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comments18.xml" ContentType="application/vnd.openxmlformats-officedocument.spreadsheetml.comments+xml"/>
  <Override PartName="/xl/theme/theme1.xml" ContentType="application/vnd.openxmlformats-officedocument.theme+xml"/>
  <Override PartName="/xl/workbook.xml" ContentType="application/vnd.ms-excel.sheet.macroEnabled.main+xml"/>
  <Override PartName="/xl/vbaProject.bin" ContentType="application/vnd.ms-office.vbaProject"/>
  <Override PartName="/xl/comments9.xml" ContentType="application/vnd.openxmlformats-officedocument.spreadsheetml.comments+xml"/>
  <Override PartName="/xl/sharedStrings.xml" ContentType="application/vnd.openxmlformats-officedocument.spreadsheetml.sharedStrings+xml"/>
  <Override PartName="/xl/worksheets/sheet11.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17.xml" ContentType="application/vnd.openxmlformats-officedocument.spreadsheetml.worksheet+xml"/>
  <Override PartName="/xl/worksheets/sheet12.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10.xml" ContentType="application/vnd.openxmlformats-officedocument.spreadsheetml.worksheet+xml"/>
  <Override PartName="/xl/worksheets/sheet16.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trlProps/ctrlProps2.xml" ContentType="application/vnd.ms-excel.controlproperties+xml"/>
  <Override PartName="/xl/ctrlProps/ctrlProps3.xml" ContentType="application/vnd.ms-excel.controlproperties+xml"/>
  <Override PartName="/xl/styles.xml" ContentType="application/vnd.openxmlformats-officedocument.spreadsheetml.styles+xml"/>
  <Override PartName="/xl/comments19.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4.vml" ContentType="application/vnd.openxmlformats-officedocument.vmlDrawing"/>
  <Override PartName="/xl/drawings/vmlDrawing1.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drawings/vmlDrawing7.vml" ContentType="application/vnd.openxmlformats-officedocument.vmlDrawing"/>
  <Override PartName="/xl/drawings/vmlDrawing2.vml" ContentType="application/vnd.openxmlformats-officedocument.vmlDrawing"/>
  <Override PartName="/xl/drawings/vmlDrawing8.vml" ContentType="application/vnd.openxmlformats-officedocument.vmlDrawing"/>
  <Override PartName="/xl/comments7.xml" ContentType="application/vnd.openxmlformats-officedocument.spreadsheetml.comments+xml"/>
  <Override PartName="/xl/comments21.xml" ContentType="application/vnd.openxmlformats-officedocument.spreadsheetml.comments+xml"/>
  <Override PartName="/xl/comments16.xml" ContentType="application/vnd.openxmlformats-officedocument.spreadsheetml.comments+xml"/>
  <Override PartName="/xl/comments8.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formation" sheetId="1" state="visible" r:id="rId4"/>
    <sheet name="Pricing" sheetId="2" state="visible" r:id="rId5"/>
    <sheet name="Proposal(New UC)" sheetId="3" state="hidden" r:id="rId6"/>
    <sheet name="Summary" sheetId="4" state="visible" r:id="rId7"/>
    <sheet name="01-Piers" sheetId="5" state="visible" r:id="rId8"/>
    <sheet name="02-Gd Beams" sheetId="6" state="visible" r:id="rId9"/>
    <sheet name="04-PT Slab on Grade" sheetId="7" state="visible" r:id="rId10"/>
    <sheet name="04-PT Slab on Grade Wrap" sheetId="8" state="visible" r:id="rId11"/>
    <sheet name="05-Slabs" sheetId="9" state="visible" r:id="rId12"/>
    <sheet name="03-Walls &amp; Footings" sheetId="10" state="visible" r:id="rId13"/>
    <sheet name="06-Walls &amp; Footings" sheetId="11" state="visible" r:id="rId14"/>
    <sheet name="06-Footings" sheetId="12" state="visible" r:id="rId15"/>
    <sheet name="06-Garage Walls &amp; Footings" sheetId="13" state="visible" r:id="rId16"/>
    <sheet name="06-Garage Footings" sheetId="14" state="visible" r:id="rId17"/>
    <sheet name="07-COLUMNS" sheetId="15" state="visible" r:id="rId18"/>
    <sheet name="10-PAVING" sheetId="16" state="visible" r:id="rId19"/>
    <sheet name="08-CIP EL. DECK" sheetId="17" state="visible" r:id="rId20"/>
    <sheet name="09-SLAB ON DECK" sheetId="18" state="visible" r:id="rId21"/>
    <sheet name="11-Sidewalks" sheetId="19" state="visible" r:id="rId22"/>
    <sheet name="13-Miscellaneous" sheetId="20" state="visible" r:id="rId23"/>
    <sheet name="12-PANELS" sheetId="21" state="visible" r:id="rId24"/>
    <sheet name="14-Contingency" sheetId="22" state="visible" r:id="rId25"/>
    <sheet name="SUB LABOR SHEET" sheetId="23" state="hidden" r:id="rId26"/>
  </sheets>
  <definedNames>
    <definedName function="false" hidden="false" localSheetId="4" name="_xlnm.Print_Area" vbProcedure="false">'01-Piers'!$B$2:$AA$89</definedName>
    <definedName function="false" hidden="false" localSheetId="5" name="_xlnm.Print_Area" vbProcedure="false">'02-Gd Beams'!$B$1:$X$95</definedName>
    <definedName function="false" hidden="false" localSheetId="9" name="_xlnm.Print_Area" vbProcedure="false">'03-Walls &amp; Footings'!$A$1:$W$100</definedName>
    <definedName function="false" hidden="false" localSheetId="6" name="_xlnm.Print_Area" vbProcedure="false">'04-PT Slab on Grade'!$B$1:$Z$115</definedName>
    <definedName function="false" hidden="false" localSheetId="7" name="_xlnm.Print_Area" vbProcedure="false">'04-PT Slab on Grade Wrap'!$B$1:$Z$115</definedName>
    <definedName function="false" hidden="false" localSheetId="8" name="_xlnm.Print_Area" vbProcedure="false">'05-Slabs'!$B$1:$Z$111</definedName>
    <definedName function="false" hidden="false" localSheetId="11" name="_xlnm.Print_Area" vbProcedure="false">'06-Footings'!$A$1:$W$99</definedName>
    <definedName function="false" hidden="false" localSheetId="13" name="_xlnm.Print_Area" vbProcedure="false">'06-Garage Footings'!$A$1:$W$99</definedName>
    <definedName function="false" hidden="false" localSheetId="12" name="_xlnm.Print_Area" vbProcedure="false">'06-Garage Walls &amp; Footings'!$A$1:$W$99</definedName>
    <definedName function="false" hidden="false" localSheetId="10" name="_xlnm.Print_Area" vbProcedure="false">'06-Walls &amp; Footings'!$A$1:$W$99</definedName>
    <definedName function="false" hidden="false" localSheetId="14" name="_xlnm.Print_Area" vbProcedure="false">'07-COLUMNS'!$A$1:$W$114</definedName>
    <definedName function="false" hidden="false" localSheetId="16" name="_xlnm.Print_Area" vbProcedure="false">'08-CIP EL. DECK'!$A$1:$X$124</definedName>
    <definedName function="false" hidden="false" localSheetId="17" name="_xlnm.Print_Area" vbProcedure="false">'09-SLAB ON DECK'!$A$1:$Z$46,'09-SLAB ON DECK'!$A$60:$Z$113</definedName>
    <definedName function="false" hidden="false" localSheetId="15" name="_xlnm.Print_Area" vbProcedure="false">'10-PAVING'!$A$1:$V$95</definedName>
    <definedName function="false" hidden="false" localSheetId="18" name="_xlnm.Print_Area" vbProcedure="false">'11-Sidewalks'!$A$1:$W$93</definedName>
    <definedName function="false" hidden="false" localSheetId="20" name="_xlnm.Print_Area" vbProcedure="false">'12-PANELS'!$A$1:$AU$109</definedName>
    <definedName function="false" hidden="false" localSheetId="19" name="_xlnm.Print_Area" vbProcedure="false">'13-Miscellaneous'!$B$1:$Y$42</definedName>
    <definedName function="false" hidden="false" localSheetId="21" name="_xlnm.Print_Area" vbProcedure="false">'14-Contingency'!$B$1:$Y$38</definedName>
    <definedName function="false" hidden="false" localSheetId="0" name="_xlnm.Print_Area" vbProcedure="false">Information!$A$1:$L$31</definedName>
    <definedName function="false" hidden="false" localSheetId="1" name="_xlnm.Print_Area" vbProcedure="false">Pricing!$2:$55</definedName>
    <definedName function="false" hidden="false" localSheetId="2" name="_xlnm.Print_Area" vbProcedure="false">'Proposal(New UC)'!$B$1:$K$578</definedName>
    <definedName function="false" hidden="false" localSheetId="22" name="_xlnm.Print_Area" vbProcedure="false">'SUB LABOR SHEET'!$1:$1048576</definedName>
    <definedName function="false" hidden="false" localSheetId="3" name="_xlnm.Print_Area" vbProcedure="false">Summary!$A$1:$Y$63</definedName>
    <definedName function="false" hidden="false" localSheetId="15" name="TABLE" vbProcedure="false">'10-PAVING'!$P$69:$T$69</definedName>
    <definedName function="false" hidden="false" localSheetId="15" name="TABLE_2" vbProcedure="false">'10-PAVING'!$P$69:$T$69</definedName>
    <definedName function="false" hidden="false" localSheetId="15" name="TABLE_3" vbProcedure="false">'10-PAVING'!$P$69:$T$69</definedName>
  </definedNames>
  <calcPr iterateCount="100" refMode="A1" iterate="true" iterateDelta="0.0001"/>
  <extLst>
    <ext xmlns:loext="http://schemas.libreoffice.org/" uri="{7626C862-2A13-11E5-B345-FEFF819CDC9F}">
      <loext:extCalcPr stringRefSyntax="ExcelA1"/>
    </ext>
  </extLst>
</workbook>
</file>

<file path=xl/comments7.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8.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9.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16.xml><?xml version="1.0" encoding="utf-8"?>
<comments xmlns="http://schemas.openxmlformats.org/spreadsheetml/2006/main" xmlns:xdr="http://schemas.openxmlformats.org/drawingml/2006/spreadsheetDrawing">
  <authors>
    <author>ACCI</author>
  </authors>
  <commentList>
    <comment ref="A1" authorId="0">
      <text>
        <r>
          <rPr>
            <sz val="10"/>
            <rFont val="Arial"/>
            <family val="2"/>
          </rPr>
          <t xml:space="preserve">//Drawing Data//
Scale=1:50
Factor=600
Units=3
Job=
Location=
Measurement=
Rounding=0
Source=XL
</t>
        </r>
      </text>
    </comment>
  </commentList>
</comments>
</file>

<file path=xl/comments18.xml><?xml version="1.0" encoding="utf-8"?>
<comments xmlns="http://schemas.openxmlformats.org/spreadsheetml/2006/main" xmlns:xdr="http://schemas.openxmlformats.org/drawingml/2006/spreadsheetDrawing">
  <authors>
    <author>ACCI</author>
  </authors>
  <commentList>
    <comment ref="B1" authorId="0">
      <text>
        <r>
          <rPr>
            <sz val="10"/>
            <rFont val="Arial"/>
            <family val="2"/>
          </rPr>
          <t xml:space="preserve">//Drawing Data//
Scale=1/8"
Factor=96
Units=1
Job=
Location=
Measurement=
Rounding=0
Source=XL
</t>
        </r>
      </text>
    </comment>
  </commentList>
</comments>
</file>

<file path=xl/comments19.xml><?xml version="1.0" encoding="utf-8"?>
<comments xmlns="http://schemas.openxmlformats.org/spreadsheetml/2006/main" xmlns:xdr="http://schemas.openxmlformats.org/drawingml/2006/spreadsheetDrawing">
  <authors>
    <author>ACCI</author>
  </authors>
  <commentList>
    <comment ref="A1" authorId="0">
      <text>
        <r>
          <rPr>
            <sz val="10"/>
            <rFont val="Arial"/>
            <family val="2"/>
          </rPr>
          <t xml:space="preserve">//Drawing Data//
Scale=1:40
Factor=480
Units=3
Job=
Location=
Measurement=
Rounding=0
Source=XL
</t>
        </r>
      </text>
    </comment>
  </commentList>
</comments>
</file>

<file path=xl/comments21.xml><?xml version="1.0" encoding="utf-8"?>
<comments xmlns="http://schemas.openxmlformats.org/spreadsheetml/2006/main" xmlns:xdr="http://schemas.openxmlformats.org/drawingml/2006/spreadsheetDrawing">
  <authors>
    <author>Dan Hoppe</author>
  </authors>
  <commentList>
    <comment ref="T137" authorId="0">
      <text>
        <r>
          <rPr>
            <sz val="10"/>
            <rFont val="Arial"/>
            <family val="2"/>
          </rPr>
          <t xml:space="preserve">Dan Hoppe:
</t>
        </r>
      </text>
    </comment>
  </commentList>
</comments>
</file>

<file path=xl/sharedStrings.xml><?xml version="1.0" encoding="utf-8"?>
<sst xmlns="http://schemas.openxmlformats.org/spreadsheetml/2006/main" count="9258" uniqueCount="2116">
  <si>
    <t xml:space="preserve">NUMBER</t>
  </si>
  <si>
    <t xml:space="preserve">DATE</t>
  </si>
  <si>
    <t xml:space="preserve">JOB NAME:</t>
  </si>
  <si>
    <t xml:space="preserve">Trammell Crow – LBJ</t>
  </si>
  <si>
    <t xml:space="preserve">BID:</t>
  </si>
  <si>
    <t xml:space="preserve">Customer </t>
  </si>
  <si>
    <t xml:space="preserve">COMPANY NAME</t>
  </si>
  <si>
    <t xml:space="preserve">ADDRESS</t>
  </si>
  <si>
    <t xml:space="preserve">CITY</t>
  </si>
  <si>
    <t xml:space="preserve">STATE</t>
  </si>
  <si>
    <t xml:space="preserve">ZIP CODE</t>
  </si>
  <si>
    <t xml:space="preserve">CONTACT</t>
  </si>
  <si>
    <t xml:space="preserve">OFFICE</t>
  </si>
  <si>
    <t xml:space="preserve">CELL</t>
  </si>
  <si>
    <t xml:space="preserve">EMAIL</t>
  </si>
  <si>
    <t xml:space="preserve">JOB ADDRESS:</t>
  </si>
  <si>
    <t xml:space="preserve">JOB #</t>
  </si>
  <si>
    <t xml:space="preserve">AMLI Development Co</t>
  </si>
  <si>
    <t xml:space="preserve">1945 Vaughn Rd</t>
  </si>
  <si>
    <t xml:space="preserve">Kennewaw</t>
  </si>
  <si>
    <t xml:space="preserve">Georgia</t>
  </si>
  <si>
    <t xml:space="preserve">Heather Wiggins</t>
  </si>
  <si>
    <t xml:space="preserve">770-281-3353</t>
  </si>
  <si>
    <t xml:space="preserve">hwiggins@amli.com</t>
  </si>
  <si>
    <t xml:space="preserve">Dallas, TX</t>
  </si>
  <si>
    <t xml:space="preserve">AMTEX Construction</t>
  </si>
  <si>
    <t xml:space="preserve">832 E Walnut St</t>
  </si>
  <si>
    <t xml:space="preserve">Garland</t>
  </si>
  <si>
    <t xml:space="preserve">Texas</t>
  </si>
  <si>
    <t xml:space="preserve">ML Williams</t>
  </si>
  <si>
    <t xml:space="preserve">703-906-6955</t>
  </si>
  <si>
    <t xml:space="preserve">mwilliams@amtexhousing.com</t>
  </si>
  <si>
    <t xml:space="preserve">Bartlett Cocke GC</t>
  </si>
  <si>
    <t xml:space="preserve">8706 Lockway St.</t>
  </si>
  <si>
    <t xml:space="preserve">San Antonio</t>
  </si>
  <si>
    <t xml:space="preserve">Scott Temple</t>
  </si>
  <si>
    <t xml:space="preserve">210-655-1031</t>
  </si>
  <si>
    <t xml:space="preserve">stemple@bartlettecocke.com</t>
  </si>
  <si>
    <t xml:space="preserve">TODAY'S DATE: </t>
  </si>
  <si>
    <t xml:space="preserve">Aarron Lacey</t>
  </si>
  <si>
    <t xml:space="preserve">512-326-4223</t>
  </si>
  <si>
    <t xml:space="preserve">alacey@bartlettecocke.com</t>
  </si>
  <si>
    <t xml:space="preserve">PREPARED BY:</t>
  </si>
  <si>
    <t xml:space="preserve">Jacob Clanton</t>
  </si>
  <si>
    <t xml:space="preserve">jclanton@bartlettcocke.com</t>
  </si>
  <si>
    <t xml:space="preserve">BBL Building Company</t>
  </si>
  <si>
    <t xml:space="preserve">16800 Dallas Pkwy, Suite 110</t>
  </si>
  <si>
    <t xml:space="preserve">Dallas</t>
  </si>
  <si>
    <t xml:space="preserve">Fernando Ulloa</t>
  </si>
  <si>
    <t xml:space="preserve">972-469-1240</t>
  </si>
  <si>
    <t xml:space="preserve">fulloa@bblbuildingco.com</t>
  </si>
  <si>
    <t xml:space="preserve">CUSTOMER ##</t>
  </si>
  <si>
    <t xml:space="preserve">Jonathan Staiger</t>
  </si>
  <si>
    <t xml:space="preserve">469-667-3828</t>
  </si>
  <si>
    <t xml:space="preserve">jstaiger@bblbuildingco.com</t>
  </si>
  <si>
    <t xml:space="preserve">BID TO:</t>
  </si>
  <si>
    <t xml:space="preserve">DWGS SUPPLIED:</t>
  </si>
  <si>
    <t xml:space="preserve">NAME</t>
  </si>
  <si>
    <t xml:space="preserve">Colby Begis</t>
  </si>
  <si>
    <t xml:space="preserve">214-808-4364</t>
  </si>
  <si>
    <t xml:space="preserve">cbegis@bblbuildingco.com</t>
  </si>
  <si>
    <t xml:space="preserve">CLIENT # 1 NAME:</t>
  </si>
  <si>
    <t xml:space="preserve">ARCHITECTURAL: </t>
  </si>
  <si>
    <t xml:space="preserve">BC Contracting Company</t>
  </si>
  <si>
    <t xml:space="preserve">705 13th Ave E, Suite 201</t>
  </si>
  <si>
    <t xml:space="preserve">West Fargo</t>
  </si>
  <si>
    <t xml:space="preserve">North Dakota</t>
  </si>
  <si>
    <t xml:space="preserve">Alex Dockter</t>
  </si>
  <si>
    <t xml:space="preserve">701-526-6929</t>
  </si>
  <si>
    <t xml:space="preserve">adockter@bccontracting.com</t>
  </si>
  <si>
    <t xml:space="preserve">ADDRESS:</t>
  </si>
  <si>
    <t xml:space="preserve">STRUCTURAL: </t>
  </si>
  <si>
    <t xml:space="preserve">Billingsley Company</t>
  </si>
  <si>
    <t xml:space="preserve">6800 Windhaven Pkwy, Suite 133</t>
  </si>
  <si>
    <t xml:space="preserve">The Colony</t>
  </si>
  <si>
    <t xml:space="preserve">Gary Daily Jr</t>
  </si>
  <si>
    <t xml:space="preserve">469-772-3051</t>
  </si>
  <si>
    <t xml:space="preserve">469-855-0208</t>
  </si>
  <si>
    <t xml:space="preserve">gdaily@billingsleyco.com</t>
  </si>
  <si>
    <t xml:space="preserve">CIVIL: </t>
  </si>
  <si>
    <t xml:space="preserve">Bob Moore Construction</t>
  </si>
  <si>
    <t xml:space="preserve">1110 N Watson Rd</t>
  </si>
  <si>
    <t xml:space="preserve">Arlington</t>
  </si>
  <si>
    <t xml:space="preserve">Adam Abshire</t>
  </si>
  <si>
    <t xml:space="preserve">877-640-1200</t>
  </si>
  <si>
    <t xml:space="preserve">aabshire@generalcontractor.com</t>
  </si>
  <si>
    <t xml:space="preserve">CONTACT:</t>
  </si>
  <si>
    <t xml:space="preserve">LANDSCAPE: </t>
  </si>
  <si>
    <t xml:space="preserve">Boone and Boone Constuction</t>
  </si>
  <si>
    <t xml:space="preserve">17025 Hwy 69S</t>
  </si>
  <si>
    <t xml:space="preserve">Tyler</t>
  </si>
  <si>
    <t xml:space="preserve">Dick Nolen</t>
  </si>
  <si>
    <t xml:space="preserve">903-839-2700</t>
  </si>
  <si>
    <t xml:space="preserve">dick@booneandboone.com</t>
  </si>
  <si>
    <t xml:space="preserve">OFFICE:</t>
  </si>
  <si>
    <t xml:space="preserve">CELL:</t>
  </si>
  <si>
    <t xml:space="preserve">Booth and Associates</t>
  </si>
  <si>
    <t xml:space="preserve">5811 Glenwood Ave. </t>
  </si>
  <si>
    <t xml:space="preserve">Raleigh</t>
  </si>
  <si>
    <t xml:space="preserve">North Carolina</t>
  </si>
  <si>
    <t xml:space="preserve">Dakota Kelley</t>
  </si>
  <si>
    <t xml:space="preserve">214-280-3825</t>
  </si>
  <si>
    <t xml:space="preserve">dakotak@teliospc.com</t>
  </si>
  <si>
    <t xml:space="preserve">EMAIL:</t>
  </si>
  <si>
    <t xml:space="preserve">Broaddus Companies</t>
  </si>
  <si>
    <t xml:space="preserve">1301 S. Capital of Texas Hwy, Suite A-302</t>
  </si>
  <si>
    <t xml:space="preserve">Austin</t>
  </si>
  <si>
    <t xml:space="preserve">Andrew Ellison</t>
  </si>
  <si>
    <t xml:space="preserve">512-329-8822</t>
  </si>
  <si>
    <t xml:space="preserve">aellison@broaddususa.com</t>
  </si>
  <si>
    <t xml:space="preserve">Brownstone Construction</t>
  </si>
  <si>
    <t xml:space="preserve">6517 Mapleridge</t>
  </si>
  <si>
    <t xml:space="preserve">Houston</t>
  </si>
  <si>
    <t xml:space="preserve">Larry Counce II</t>
  </si>
  <si>
    <t xml:space="preserve">713-432-7727 ext:118</t>
  </si>
  <si>
    <t xml:space="preserve">larry@thebrownstonegroup.net</t>
  </si>
  <si>
    <t xml:space="preserve">David Gallagher</t>
  </si>
  <si>
    <t xml:space="preserve">210-864-2719</t>
  </si>
  <si>
    <t xml:space="preserve">davidg@thebrownstonegroup.net</t>
  </si>
  <si>
    <t xml:space="preserve">CLIENT # 2 NAME:</t>
  </si>
  <si>
    <t xml:space="preserve">Cadence McShane</t>
  </si>
  <si>
    <t xml:space="preserve">5057 Keller Springs Rd</t>
  </si>
  <si>
    <t xml:space="preserve">Addison</t>
  </si>
  <si>
    <t xml:space="preserve">Navya Nadiminti</t>
  </si>
  <si>
    <t xml:space="preserve">708-327-8135</t>
  </si>
  <si>
    <t xml:space="preserve">nnadiminti@cadencemcshane.com</t>
  </si>
  <si>
    <t xml:space="preserve">Randy Shepherd</t>
  </si>
  <si>
    <t xml:space="preserve">281-216-2803</t>
  </si>
  <si>
    <t xml:space="preserve">rshepherd@cadencemcshane.com</t>
  </si>
  <si>
    <t xml:space="preserve">Chris Zumida</t>
  </si>
  <si>
    <t xml:space="preserve">972-996-5446</t>
  </si>
  <si>
    <t xml:space="preserve">czumida@cadencemcshane.com</t>
  </si>
  <si>
    <t xml:space="preserve">1221 S. MoPac Expressway, Suite 250</t>
  </si>
  <si>
    <t xml:space="preserve">Julia Mason</t>
  </si>
  <si>
    <t xml:space="preserve">512-721-2770</t>
  </si>
  <si>
    <t xml:space="preserve">Cody Wheeler</t>
  </si>
  <si>
    <t xml:space="preserve">cwheeler@cadencemcshane.com</t>
  </si>
  <si>
    <t xml:space="preserve">email:</t>
  </si>
  <si>
    <t xml:space="preserve">Surbhi Usrey</t>
  </si>
  <si>
    <t xml:space="preserve">susrey@cadencemcshane.com</t>
  </si>
  <si>
    <t xml:space="preserve">Carbon</t>
  </si>
  <si>
    <t xml:space="preserve">17120 Dallas Pkwy #101</t>
  </si>
  <si>
    <t xml:space="preserve">Dallas </t>
  </si>
  <si>
    <t xml:space="preserve">Kurt Jones</t>
  </si>
  <si>
    <t xml:space="preserve">214-864-1249</t>
  </si>
  <si>
    <t xml:space="preserve">kurt@carbonlandmark.com</t>
  </si>
  <si>
    <t xml:space="preserve">Scyler Hurd </t>
  </si>
  <si>
    <t xml:space="preserve">972-250-2990</t>
  </si>
  <si>
    <t xml:space="preserve">scyler@carbonlandmark.com</t>
  </si>
  <si>
    <t xml:space="preserve">CBG Building Company</t>
  </si>
  <si>
    <t xml:space="preserve">2871 Lake Vista Drive, Suite 150</t>
  </si>
  <si>
    <t xml:space="preserve">Lewisville</t>
  </si>
  <si>
    <t xml:space="preserve">Kurt Hunter</t>
  </si>
  <si>
    <t xml:space="preserve">(214) 676-1990</t>
  </si>
  <si>
    <t xml:space="preserve">kurt.hunter@cbgbc.com</t>
  </si>
  <si>
    <t xml:space="preserve">469-312-5568</t>
  </si>
  <si>
    <t xml:space="preserve">jonathan.staiger@cbgbc.com</t>
  </si>
  <si>
    <t xml:space="preserve">Commercial Construction Group</t>
  </si>
  <si>
    <t xml:space="preserve">3435 State Highway 276</t>
  </si>
  <si>
    <t xml:space="preserve">Rockwall</t>
  </si>
  <si>
    <t xml:space="preserve">Chelsea Gustafson</t>
  </si>
  <si>
    <t xml:space="preserve">214-773-8338</t>
  </si>
  <si>
    <t xml:space="preserve">cgustafson@ccgcommercialgroup.com</t>
  </si>
  <si>
    <t xml:space="preserve">Katie Larey</t>
  </si>
  <si>
    <t xml:space="preserve">972-961-0444</t>
  </si>
  <si>
    <t xml:space="preserve">klarey@ccgcommercialgroup.com</t>
  </si>
  <si>
    <t xml:space="preserve">DR Horton</t>
  </si>
  <si>
    <t xml:space="preserve">7740 N. 16th St, Suite 250</t>
  </si>
  <si>
    <t xml:space="preserve">Phoenix</t>
  </si>
  <si>
    <t xml:space="preserve">Arizona</t>
  </si>
  <si>
    <t xml:space="preserve">Andrew Brewer</t>
  </si>
  <si>
    <t xml:space="preserve">(480) 368-2372</t>
  </si>
  <si>
    <t xml:space="preserve">abrewer@drhorton.com</t>
  </si>
  <si>
    <t xml:space="preserve">Chris Martin</t>
  </si>
  <si>
    <t xml:space="preserve">817-390-8340</t>
  </si>
  <si>
    <t xml:space="preserve">CAMartin@drhorton.com</t>
  </si>
  <si>
    <t xml:space="preserve">Zach Galligan</t>
  </si>
  <si>
    <t xml:space="preserve">zgalligan@drhorton.com</t>
  </si>
  <si>
    <t xml:space="preserve">EMJ </t>
  </si>
  <si>
    <t xml:space="preserve">5525 N. MacArthur Blvd #400</t>
  </si>
  <si>
    <t xml:space="preserve">Irving</t>
  </si>
  <si>
    <t xml:space="preserve">Keith Starkes</t>
  </si>
  <si>
    <t xml:space="preserve">kstarkes@emjcorp.com</t>
  </si>
  <si>
    <t xml:space="preserve">Jack Brown</t>
  </si>
  <si>
    <t xml:space="preserve">972-580-1210</t>
  </si>
  <si>
    <t xml:space="preserve">jack.brown@emjcorp.com</t>
  </si>
  <si>
    <t xml:space="preserve">Galaxy Builders</t>
  </si>
  <si>
    <t xml:space="preserve">4729 College Park</t>
  </si>
  <si>
    <t xml:space="preserve">San Antonio </t>
  </si>
  <si>
    <t xml:space="preserve">Sam Beierle</t>
  </si>
  <si>
    <t xml:space="preserve">210-493-0550</t>
  </si>
  <si>
    <t xml:space="preserve">samb@galaxybuilders.com</t>
  </si>
  <si>
    <t xml:space="preserve">Alicia Furrow</t>
  </si>
  <si>
    <t xml:space="preserve">aliciaf@galaxybuilders.com</t>
  </si>
  <si>
    <t xml:space="preserve">Hanover Company</t>
  </si>
  <si>
    <t xml:space="preserve">1780 South Post Oak Lane</t>
  </si>
  <si>
    <t xml:space="preserve">Brayden Patterson</t>
  </si>
  <si>
    <t xml:space="preserve">830-730-6005</t>
  </si>
  <si>
    <t xml:space="preserve">bpatterson@hanoverco.com</t>
  </si>
  <si>
    <t xml:space="preserve">HiRise</t>
  </si>
  <si>
    <t xml:space="preserve">1616 Wabash Ave. </t>
  </si>
  <si>
    <t xml:space="preserve">Fort Worth</t>
  </si>
  <si>
    <t xml:space="preserve">Rusty Trice</t>
  </si>
  <si>
    <t xml:space="preserve">817-907-0428</t>
  </si>
  <si>
    <t xml:space="preserve">rusty@hirisepartners.com</t>
  </si>
  <si>
    <t xml:space="preserve">Integrated Real Eastate Group</t>
  </si>
  <si>
    <t xml:space="preserve">3110 W. Southlake Blvd. #120</t>
  </si>
  <si>
    <t xml:space="preserve">Southlake</t>
  </si>
  <si>
    <t xml:space="preserve">James Wiggins</t>
  </si>
  <si>
    <t xml:space="preserve">817-271-4107</t>
  </si>
  <si>
    <t xml:space="preserve">jwiggins@integratedreg.com</t>
  </si>
  <si>
    <t xml:space="preserve">Blake Tomlin</t>
  </si>
  <si>
    <t xml:space="preserve">817-412-1968</t>
  </si>
  <si>
    <t xml:space="preserve">btomlin@integratedreg.com</t>
  </si>
  <si>
    <t xml:space="preserve">Integrity Groups</t>
  </si>
  <si>
    <t xml:space="preserve">361 West Byron Nelson Blvd, Ste. 104</t>
  </si>
  <si>
    <t xml:space="preserve">Roanoke</t>
  </si>
  <si>
    <t xml:space="preserve">Dayne Barton</t>
  </si>
  <si>
    <t xml:space="preserve">254-488-0242</t>
  </si>
  <si>
    <t xml:space="preserve">dayneb@integritygroups.com</t>
  </si>
  <si>
    <t xml:space="preserve">JLB Partners</t>
  </si>
  <si>
    <t xml:space="preserve">1250 Street E</t>
  </si>
  <si>
    <t xml:space="preserve">Richardson </t>
  </si>
  <si>
    <t xml:space="preserve">Cameron Daily</t>
  </si>
  <si>
    <t xml:space="preserve">cdaily@jlbpartners.com</t>
  </si>
  <si>
    <t xml:space="preserve">3890 West Northwest Hightway</t>
  </si>
  <si>
    <t xml:space="preserve">Terry Coleman</t>
  </si>
  <si>
    <t xml:space="preserve">(214) 287-0109</t>
  </si>
  <si>
    <t xml:space="preserve">tcoleman@jlbpartners.com</t>
  </si>
  <si>
    <t xml:space="preserve">Jordan Foster Construction</t>
  </si>
  <si>
    <t xml:space="preserve">9639 Greenville Ave</t>
  </si>
  <si>
    <t xml:space="preserve">Justin Morris</t>
  </si>
  <si>
    <t xml:space="preserve">214-349-7900</t>
  </si>
  <si>
    <t xml:space="preserve">jmorris@jordanfosterconstruction.com</t>
  </si>
  <si>
    <t xml:space="preserve">Sean Boyd</t>
  </si>
  <si>
    <t xml:space="preserve">(214) 349-7900</t>
  </si>
  <si>
    <t xml:space="preserve">(214) 325-2194</t>
  </si>
  <si>
    <t xml:space="preserve">sboyd@jordanfosterconstruction.com</t>
  </si>
  <si>
    <t xml:space="preserve">Lee Wiley</t>
  </si>
  <si>
    <t xml:space="preserve">lwiley@jordanfosterconstruction.com</t>
  </si>
  <si>
    <t xml:space="preserve">Jordan Realty Advisors </t>
  </si>
  <si>
    <t xml:space="preserve">16475 Dalls Parkway Suite 540</t>
  </si>
  <si>
    <t xml:space="preserve">Zack Jordan</t>
  </si>
  <si>
    <t xml:space="preserve">214-778-1262</t>
  </si>
  <si>
    <t xml:space="preserve">214-533-9563</t>
  </si>
  <si>
    <t xml:space="preserve">zack@jordanrealtyadvisors.com</t>
  </si>
  <si>
    <t xml:space="preserve">JPI Construction, LLC</t>
  </si>
  <si>
    <t xml:space="preserve">600 E. Las Colinas Blvd, Suite 1800</t>
  </si>
  <si>
    <t xml:space="preserve">214-442-6301</t>
  </si>
  <si>
    <t xml:space="preserve">adam.abshire@jpi.com</t>
  </si>
  <si>
    <t xml:space="preserve">Nathan Brinkley</t>
  </si>
  <si>
    <t xml:space="preserve">214-451-6723</t>
  </si>
  <si>
    <t xml:space="preserve">nathan.brinkley@jpi.com</t>
  </si>
  <si>
    <t xml:space="preserve">Kaufman Lynn / Gulf Coast Community Builders</t>
  </si>
  <si>
    <t xml:space="preserve">3901 South Lamar, Suite 120</t>
  </si>
  <si>
    <t xml:space="preserve">Emily Jones</t>
  </si>
  <si>
    <t xml:space="preserve">512-587-4581</t>
  </si>
  <si>
    <t xml:space="preserve">ejones@gccbllc.com</t>
  </si>
  <si>
    <t xml:space="preserve">KWA Construction</t>
  </si>
  <si>
    <t xml:space="preserve">16800 Westgrove Dr, Suite 300</t>
  </si>
  <si>
    <t xml:space="preserve">Donnie Boone</t>
  </si>
  <si>
    <t xml:space="preserve">(214) 978-0177</t>
  </si>
  <si>
    <t xml:space="preserve">dboone@kwaconstruction.com</t>
  </si>
  <si>
    <t xml:space="preserve">16801 Westgrove Dr, Suite 300</t>
  </si>
  <si>
    <t xml:space="preserve">Jordan Jones</t>
  </si>
  <si>
    <t xml:space="preserve">jjones@kwaconstruction.com</t>
  </si>
  <si>
    <t xml:space="preserve">Nash Shevelly</t>
  </si>
  <si>
    <t xml:space="preserve">bids@kwaconstruction.com</t>
  </si>
  <si>
    <t xml:space="preserve">Links Construction</t>
  </si>
  <si>
    <t xml:space="preserve">525 S. Loop 288  Suite 105</t>
  </si>
  <si>
    <t xml:space="preserve">Denton</t>
  </si>
  <si>
    <t xml:space="preserve">Marty Skaggs</t>
  </si>
  <si>
    <t xml:space="preserve">940-566-5465 ext. 1092</t>
  </si>
  <si>
    <t xml:space="preserve">817-791-1989</t>
  </si>
  <si>
    <t xml:space="preserve">mskaggs@linksconstruction.com</t>
  </si>
  <si>
    <t xml:space="preserve">Maker Bros.</t>
  </si>
  <si>
    <t xml:space="preserve">4901 Keller Springs, Suite 101</t>
  </si>
  <si>
    <t xml:space="preserve">Justin Bailey</t>
  </si>
  <si>
    <t xml:space="preserve">(214) 682-3588</t>
  </si>
  <si>
    <t xml:space="preserve">jbailey@makerbros.net</t>
  </si>
  <si>
    <t xml:space="preserve">Patrick Anderson</t>
  </si>
  <si>
    <t xml:space="preserve">817-689-5620</t>
  </si>
  <si>
    <t xml:space="preserve">panderson@makerbros.net</t>
  </si>
  <si>
    <t xml:space="preserve">McShane Construction</t>
  </si>
  <si>
    <t xml:space="preserve">5057 Keller Springs Rd. Suite 500</t>
  </si>
  <si>
    <t xml:space="preserve">Ken DeBardelaben</t>
  </si>
  <si>
    <t xml:space="preserve">334-539-3563</t>
  </si>
  <si>
    <t xml:space="preserve">kend@mcshane.com</t>
  </si>
  <si>
    <t xml:space="preserve">Mill Creek Residential</t>
  </si>
  <si>
    <t xml:space="preserve">5910 N Central Expy, Suite 1100</t>
  </si>
  <si>
    <t xml:space="preserve">Chris Wilkins</t>
  </si>
  <si>
    <t xml:space="preserve">972-748-7578</t>
  </si>
  <si>
    <t xml:space="preserve">swilkins@mcrtrust.com</t>
  </si>
  <si>
    <t xml:space="preserve">Moss &amp; Associates</t>
  </si>
  <si>
    <t xml:space="preserve">2101 N. Andrews Avenue</t>
  </si>
  <si>
    <t xml:space="preserve">Fort Lauderdale</t>
  </si>
  <si>
    <t xml:space="preserve">Florida</t>
  </si>
  <si>
    <t xml:space="preserve">Jeff Berry</t>
  </si>
  <si>
    <t xml:space="preserve">469-625-9043</t>
  </si>
  <si>
    <t xml:space="preserve">jberry@mosscm.com</t>
  </si>
  <si>
    <t xml:space="preserve">Eric McLellan</t>
  </si>
  <si>
    <t xml:space="preserve">469-625-9037</t>
  </si>
  <si>
    <t xml:space="preserve">emclellan@mosscm.com</t>
  </si>
  <si>
    <t xml:space="preserve">Muckleroy &amp; Falls </t>
  </si>
  <si>
    <t xml:space="preserve">5801 Edwards Ranch Rd. #600</t>
  </si>
  <si>
    <t xml:space="preserve">Taylor Hale</t>
  </si>
  <si>
    <t xml:space="preserve">972-322-1420</t>
  </si>
  <si>
    <t xml:space="preserve">preconstruction@muckleroyfalls.com</t>
  </si>
  <si>
    <t xml:space="preserve">Novel Builders</t>
  </si>
  <si>
    <t xml:space="preserve">600 S. Sherman St. Suite 124</t>
  </si>
  <si>
    <t xml:space="preserve">Jessica Cruz</t>
  </si>
  <si>
    <t xml:space="preserve">214-707-0377</t>
  </si>
  <si>
    <t xml:space="preserve">Estimating@Novelbuilders.com</t>
  </si>
  <si>
    <t xml:space="preserve">NRP Group</t>
  </si>
  <si>
    <t xml:space="preserve">200 Concord Plaza Dr, 900</t>
  </si>
  <si>
    <t xml:space="preserve">Brandon Buchei</t>
  </si>
  <si>
    <t xml:space="preserve">210-773-5062</t>
  </si>
  <si>
    <t xml:space="preserve">bbuchei@nrpgroup.com</t>
  </si>
  <si>
    <t xml:space="preserve">Oden Huges LLC</t>
  </si>
  <si>
    <t xml:space="preserve">17104 Preston Rd, Suite 175</t>
  </si>
  <si>
    <t xml:space="preserve">Matt Bratton</t>
  </si>
  <si>
    <t xml:space="preserve">214-238-2995</t>
  </si>
  <si>
    <t xml:space="preserve">mbratton@odenhughesllc.com</t>
  </si>
  <si>
    <t xml:space="preserve">17103 Preston Rd, Suite 175</t>
  </si>
  <si>
    <t xml:space="preserve">Sebastian Williams</t>
  </si>
  <si>
    <t xml:space="preserve">214-238-2994</t>
  </si>
  <si>
    <t xml:space="preserve">swilliams@odenhughesllc.com</t>
  </si>
  <si>
    <t xml:space="preserve">Malcolm Sweeney</t>
  </si>
  <si>
    <t xml:space="preserve">512-639-2622</t>
  </si>
  <si>
    <t xml:space="preserve">msweeney@odenhughsllc.com</t>
  </si>
  <si>
    <t xml:space="preserve">PRA Construction</t>
  </si>
  <si>
    <t xml:space="preserve">10210 N. Central Expwy #212</t>
  </si>
  <si>
    <t xml:space="preserve">Darren Olson</t>
  </si>
  <si>
    <t xml:space="preserve">972-385-4111</t>
  </si>
  <si>
    <t xml:space="preserve">darreno@providentgc.com</t>
  </si>
  <si>
    <t xml:space="preserve">John Thompson</t>
  </si>
  <si>
    <t xml:space="preserve">972-385-4195</t>
  </si>
  <si>
    <t xml:space="preserve">JThompson@ProvidentGC.com</t>
  </si>
  <si>
    <t xml:space="preserve">Clint Gerstner</t>
  </si>
  <si>
    <t xml:space="preserve">972-385-4133</t>
  </si>
  <si>
    <t xml:space="preserve">cgerstner@providentgc.com </t>
  </si>
  <si>
    <t xml:space="preserve">Astrid Schuelke</t>
  </si>
  <si>
    <t xml:space="preserve">972-38-4144</t>
  </si>
  <si>
    <t xml:space="preserve">aschuelke@providentgc.com</t>
  </si>
  <si>
    <t xml:space="preserve">Marie Bozeman</t>
  </si>
  <si>
    <t xml:space="preserve">972-385-4107</t>
  </si>
  <si>
    <t xml:space="preserve">mbozeman@providentgc .com</t>
  </si>
  <si>
    <t xml:space="preserve">Rampart Construction</t>
  </si>
  <si>
    <t xml:space="preserve">4811 Merlot Ave, Suite 110</t>
  </si>
  <si>
    <t xml:space="preserve">Grapevine</t>
  </si>
  <si>
    <t xml:space="preserve">Kyle Pope</t>
  </si>
  <si>
    <t xml:space="preserve">817-310-0053</t>
  </si>
  <si>
    <t xml:space="preserve">kpope@ramparttx.com</t>
  </si>
  <si>
    <t xml:space="preserve">Brandon Rogers</t>
  </si>
  <si>
    <t xml:space="preserve">brogers@ramparttx.com</t>
  </si>
  <si>
    <t xml:space="preserve">Cody Sittig</t>
  </si>
  <si>
    <t xml:space="preserve">csittig@ramparttx.com</t>
  </si>
  <si>
    <t xml:space="preserve">Ratcliff Constructors</t>
  </si>
  <si>
    <t xml:space="preserve">4200 Beltway Drive</t>
  </si>
  <si>
    <t xml:space="preserve">Cindy West</t>
  </si>
  <si>
    <t xml:space="preserve">972-361-4328</t>
  </si>
  <si>
    <t xml:space="preserve">cindy.west@ratcliffconstructors.com</t>
  </si>
  <si>
    <t xml:space="preserve">Resource Commercial, Inc</t>
  </si>
  <si>
    <t xml:space="preserve">5220 Spring Valley Rd.  #615</t>
  </si>
  <si>
    <t xml:space="preserve">Steve Williams</t>
  </si>
  <si>
    <t xml:space="preserve">972-980-0880</t>
  </si>
  <si>
    <t xml:space="preserve">swilliams@resource-commercial.com</t>
  </si>
  <si>
    <t xml:space="preserve">Mike Roberts</t>
  </si>
  <si>
    <t xml:space="preserve">214-907-1355</t>
  </si>
  <si>
    <t xml:space="preserve">mroberts@rudickgroup.com</t>
  </si>
  <si>
    <t xml:space="preserve">Chris Royal</t>
  </si>
  <si>
    <t xml:space="preserve">972-743-5356</t>
  </si>
  <si>
    <t xml:space="preserve">chris@royalgeneral.com</t>
  </si>
  <si>
    <t xml:space="preserve">Ridgemont Comercial Construction</t>
  </si>
  <si>
    <t xml:space="preserve">1520 W Walnut Hill Lane</t>
  </si>
  <si>
    <t xml:space="preserve">Monica Mosley</t>
  </si>
  <si>
    <t xml:space="preserve">214-492-8900</t>
  </si>
  <si>
    <t xml:space="preserve">mmosley@ridgemont.com</t>
  </si>
  <si>
    <t xml:space="preserve">Shelie Gaffron</t>
  </si>
  <si>
    <t xml:space="preserve">Sgaffron@ridgmont.com</t>
  </si>
  <si>
    <t xml:space="preserve">Wes Grant</t>
  </si>
  <si>
    <t xml:space="preserve">Wgrant@ridgemon.com</t>
  </si>
  <si>
    <t xml:space="preserve">Rudick Construction Group</t>
  </si>
  <si>
    <t xml:space="preserve">4925 Greenville Ave Ste. 840</t>
  </si>
  <si>
    <t xml:space="preserve">Shreveland Constructors, LLC</t>
  </si>
  <si>
    <t xml:space="preserve">2301 West Plano Pkwy, Suite 100</t>
  </si>
  <si>
    <t xml:space="preserve">Plano</t>
  </si>
  <si>
    <t xml:space="preserve">Yvonne Balentine</t>
  </si>
  <si>
    <t xml:space="preserve">318-226-0056</t>
  </si>
  <si>
    <t xml:space="preserve">ybalentine@shreveland.com</t>
  </si>
  <si>
    <t xml:space="preserve">Skybeck Construction</t>
  </si>
  <si>
    <t xml:space="preserve">1309 Winkler Ave. </t>
  </si>
  <si>
    <t xml:space="preserve">Killeen </t>
  </si>
  <si>
    <t xml:space="preserve">Jesse Karsten</t>
  </si>
  <si>
    <t xml:space="preserve">jkarsten@skybeck.com</t>
  </si>
  <si>
    <t xml:space="preserve">Sparrow Partners</t>
  </si>
  <si>
    <t xml:space="preserve">5203a Brodie Ln.</t>
  </si>
  <si>
    <t xml:space="preserve">lee.wiley@sparrow-partners.com</t>
  </si>
  <si>
    <t xml:space="preserve">Spring Valley Construction Co</t>
  </si>
  <si>
    <t xml:space="preserve">10950 Alder Circle</t>
  </si>
  <si>
    <t xml:space="preserve">Luke Griffith</t>
  </si>
  <si>
    <t xml:space="preserve">214-340-9800</t>
  </si>
  <si>
    <t xml:space="preserve">lgriffith@svcc.biz</t>
  </si>
  <si>
    <t xml:space="preserve">Darren Hayes </t>
  </si>
  <si>
    <t xml:space="preserve">dhayes@svcc.biz</t>
  </si>
  <si>
    <t xml:space="preserve">Stillwater Capital</t>
  </si>
  <si>
    <t xml:space="preserve">4145 Travis Street  Suite 300</t>
  </si>
  <si>
    <t xml:space="preserve">Will Flanagan</t>
  </si>
  <si>
    <t xml:space="preserve">210-748-9525</t>
  </si>
  <si>
    <t xml:space="preserve">will.flanagan@stillwatercap.com</t>
  </si>
  <si>
    <t xml:space="preserve">Strategic Construction</t>
  </si>
  <si>
    <t xml:space="preserve">9821 Katy Freeway, Suite #675</t>
  </si>
  <si>
    <t xml:space="preserve">Mike Smith</t>
  </si>
  <si>
    <t xml:space="preserve">972-578-8072</t>
  </si>
  <si>
    <t xml:space="preserve">msmith@strategicconstruction.com</t>
  </si>
  <si>
    <t xml:space="preserve">Jeremy Fetters</t>
  </si>
  <si>
    <t xml:space="preserve">jfetters@srategicconstruction.com</t>
  </si>
  <si>
    <t xml:space="preserve">David Walker</t>
  </si>
  <si>
    <t xml:space="preserve">dwalker@strategicconstruction.com</t>
  </si>
  <si>
    <t xml:space="preserve">Phillip Clinard</t>
  </si>
  <si>
    <t xml:space="preserve">pclinard@strategicconstruction.com</t>
  </si>
  <si>
    <t xml:space="preserve">SWBC</t>
  </si>
  <si>
    <t xml:space="preserve">5949 Sherry Ln. Suite 750</t>
  </si>
  <si>
    <t xml:space="preserve">Spencer Byington</t>
  </si>
  <si>
    <t xml:space="preserve">214-987-6317</t>
  </si>
  <si>
    <t xml:space="preserve">sbyington@swbc.com</t>
  </si>
  <si>
    <t xml:space="preserve">Talley Riggins Construction Group</t>
  </si>
  <si>
    <t xml:space="preserve">1217 Digital Drive, Suite 100</t>
  </si>
  <si>
    <t xml:space="preserve">Richardson</t>
  </si>
  <si>
    <t xml:space="preserve">Ryan Kemp</t>
  </si>
  <si>
    <t xml:space="preserve">469-409-1050</t>
  </si>
  <si>
    <t xml:space="preserve">rkemp@talley-riggins.com</t>
  </si>
  <si>
    <t xml:space="preserve">Michael Rossetti</t>
  </si>
  <si>
    <t xml:space="preserve">214-878-7817</t>
  </si>
  <si>
    <t xml:space="preserve">mrossetti@talley-riggins.com</t>
  </si>
  <si>
    <t xml:space="preserve">Triton General Contractors</t>
  </si>
  <si>
    <t xml:space="preserve">102 S. Goliad St. Suite 108</t>
  </si>
  <si>
    <t xml:space="preserve">Reese Baez</t>
  </si>
  <si>
    <t xml:space="preserve">469-931-2267</t>
  </si>
  <si>
    <t xml:space="preserve">rbaez@tritongc.com</t>
  </si>
  <si>
    <t xml:space="preserve">Trumont Contruction</t>
  </si>
  <si>
    <t xml:space="preserve">1910 Pacific Ave, Suite 13350</t>
  </si>
  <si>
    <t xml:space="preserve">David Hodges </t>
  </si>
  <si>
    <t xml:space="preserve">214-416-7034</t>
  </si>
  <si>
    <t xml:space="preserve">david@trumontgroup.com</t>
  </si>
  <si>
    <t xml:space="preserve">Floyd Lee</t>
  </si>
  <si>
    <t xml:space="preserve">floyd@trupmontgroup.com</t>
  </si>
  <si>
    <t xml:space="preserve">TX-Morrow Construction, Inc.</t>
  </si>
  <si>
    <t xml:space="preserve">17300 Preston Rd, Suite 240</t>
  </si>
  <si>
    <t xml:space="preserve">Rick Quillen</t>
  </si>
  <si>
    <t xml:space="preserve">218-642-5282</t>
  </si>
  <si>
    <t xml:space="preserve">rquillen@txmorrow.com</t>
  </si>
  <si>
    <t xml:space="preserve">Chad Huffer</t>
  </si>
  <si>
    <t xml:space="preserve">972-658-5141</t>
  </si>
  <si>
    <t xml:space="preserve">chuffer@txmorrow.com</t>
  </si>
  <si>
    <t xml:space="preserve">Wade Construction</t>
  </si>
  <si>
    <t xml:space="preserve">2 Horizon Ct.</t>
  </si>
  <si>
    <t xml:space="preserve">Heath</t>
  </si>
  <si>
    <t xml:space="preserve">Billy Jay</t>
  </si>
  <si>
    <t xml:space="preserve">972-746-4104</t>
  </si>
  <si>
    <t xml:space="preserve">billy.jay@wadeconstructiongroup.com</t>
  </si>
  <si>
    <t xml:space="preserve">Eric Gibson</t>
  </si>
  <si>
    <t xml:space="preserve">egibson@wadeconstructiongroup.com</t>
  </si>
  <si>
    <t xml:space="preserve">Derek Deckard</t>
  </si>
  <si>
    <t xml:space="preserve">214-709-0480</t>
  </si>
  <si>
    <t xml:space="preserve">ddeckard@wadeconstructiongroup.com</t>
  </si>
  <si>
    <t xml:space="preserve">Brian Holt</t>
  </si>
  <si>
    <t xml:space="preserve">951-317-4996</t>
  </si>
  <si>
    <t xml:space="preserve">bholt@wadeconstructiongroup.com</t>
  </si>
  <si>
    <t xml:space="preserve">Stephen Harper</t>
  </si>
  <si>
    <t xml:space="preserve">469-434-2146</t>
  </si>
  <si>
    <t xml:space="preserve">sharper@wadeconstructiongroup.com</t>
  </si>
  <si>
    <t xml:space="preserve">Weis Builders</t>
  </si>
  <si>
    <t xml:space="preserve">520 E. Corporate Drive  Suite 500</t>
  </si>
  <si>
    <t xml:space="preserve">Kevin Moran</t>
  </si>
  <si>
    <t xml:space="preserve">469-444-6128</t>
  </si>
  <si>
    <t xml:space="preserve">kevinmoran@weisbuilders.com</t>
  </si>
  <si>
    <t xml:space="preserve">Philip Welch</t>
  </si>
  <si>
    <t xml:space="preserve">philipwelch@weisbuilders.com</t>
  </si>
  <si>
    <t xml:space="preserve">Wood Partners</t>
  </si>
  <si>
    <t xml:space="preserve">5440 Harvest Hill Rd, Suite 206</t>
  </si>
  <si>
    <t xml:space="preserve">Josh Atkins</t>
  </si>
  <si>
    <t xml:space="preserve">469-310-5348</t>
  </si>
  <si>
    <t xml:space="preserve">josh.atkins@woodpartners.com</t>
  </si>
  <si>
    <t xml:space="preserve">Johnathon Radcliffe </t>
  </si>
  <si>
    <t xml:space="preserve">713-904-2684</t>
  </si>
  <si>
    <t xml:space="preserve">johnathon.radcliffe@woodpartners.com</t>
  </si>
  <si>
    <t xml:space="preserve">Amado Flores</t>
  </si>
  <si>
    <t xml:space="preserve">940-383-2887</t>
  </si>
  <si>
    <t xml:space="preserve">amado.flores@woodpartners.com</t>
  </si>
  <si>
    <t xml:space="preserve">Brian Rodriguez</t>
  </si>
  <si>
    <t xml:space="preserve">713-904-4683</t>
  </si>
  <si>
    <t xml:space="preserve">brian.rodriguez@woodpartners.com</t>
  </si>
  <si>
    <t xml:space="preserve">Mix 1</t>
  </si>
  <si>
    <t xml:space="preserve">Mix 2</t>
  </si>
  <si>
    <t xml:space="preserve">Mix 3</t>
  </si>
  <si>
    <t xml:space="preserve">Mix 4</t>
  </si>
  <si>
    <t xml:space="preserve">Mix 5</t>
  </si>
  <si>
    <t xml:space="preserve">Mix 6</t>
  </si>
  <si>
    <t xml:space="preserve">Mix 7</t>
  </si>
  <si>
    <t xml:space="preserve">Mix 8</t>
  </si>
  <si>
    <t xml:space="preserve">Mix 9</t>
  </si>
  <si>
    <t xml:space="preserve">Mix 10</t>
  </si>
  <si>
    <t xml:space="preserve">COMPANY</t>
  </si>
  <si>
    <t xml:space="preserve">Phone</t>
  </si>
  <si>
    <t xml:space="preserve">Date,  Argos is a blanket price </t>
  </si>
  <si>
    <t xml:space="preserve">3,000 PSI 5sk /Ash and Air</t>
  </si>
  <si>
    <t xml:space="preserve">3,000 PSI / Ash no Air</t>
  </si>
  <si>
    <t xml:space="preserve">3,500 PSI 5.5sk /Ash and Air</t>
  </si>
  <si>
    <t xml:space="preserve">3,500 PSI /Ash No Air</t>
  </si>
  <si>
    <t xml:space="preserve">4,000 PSI /Ash and Air</t>
  </si>
  <si>
    <t xml:space="preserve">4,000 PSI /Ash no Air</t>
  </si>
  <si>
    <t xml:space="preserve">4,500 PSI / Ash and Air</t>
  </si>
  <si>
    <t xml:space="preserve">5,000 PSI / Ash no Air</t>
  </si>
  <si>
    <t xml:space="preserve">3,000 PSI /Air and intergral Color</t>
  </si>
  <si>
    <t xml:space="preserve">3,000 PSI SideWalks </t>
  </si>
  <si>
    <t xml:space="preserve">84 lumber Price update 9-1-21</t>
  </si>
  <si>
    <t xml:space="preserve">LUMBER AND ACCSESS</t>
  </si>
  <si>
    <t xml:space="preserve">Unit Cost</t>
  </si>
  <si>
    <t xml:space="preserve">Unit</t>
  </si>
  <si>
    <t xml:space="preserve">Multiplier</t>
  </si>
  <si>
    <t xml:space="preserve">Size</t>
  </si>
  <si>
    <t xml:space="preserve">Cost: </t>
  </si>
  <si>
    <t xml:space="preserve">Low Cost calculator</t>
  </si>
  <si>
    <t xml:space="preserve">Date:</t>
  </si>
  <si>
    <t xml:space="preserve">SRM</t>
  </si>
  <si>
    <t xml:space="preserve">2 X 4  X 16'</t>
  </si>
  <si>
    <t xml:space="preserve">/LNFT</t>
  </si>
  <si>
    <t xml:space="preserve">MIX 1</t>
  </si>
  <si>
    <t xml:space="preserve">MIX 2</t>
  </si>
  <si>
    <t xml:space="preserve">MIX 3</t>
  </si>
  <si>
    <t xml:space="preserve">MIX 4</t>
  </si>
  <si>
    <t xml:space="preserve">MIX 5</t>
  </si>
  <si>
    <t xml:space="preserve">MIX 6</t>
  </si>
  <si>
    <t xml:space="preserve">2 X 6 X 16'</t>
  </si>
  <si>
    <t xml:space="preserve">MONO</t>
  </si>
  <si>
    <t xml:space="preserve">2 X 8 X 16'</t>
  </si>
  <si>
    <t xml:space="preserve">GRADE </t>
  </si>
  <si>
    <t xml:space="preserve">2 X 10 X 16'</t>
  </si>
  <si>
    <t xml:space="preserve">SOG</t>
  </si>
  <si>
    <t xml:space="preserve">3/4 " FORMING PLY</t>
  </si>
  <si>
    <t xml:space="preserve">/SHEET</t>
  </si>
  <si>
    <t xml:space="preserve">PAVING</t>
  </si>
  <si>
    <t xml:space="preserve">MASONITE SIDING</t>
  </si>
  <si>
    <t xml:space="preserve">PIERS</t>
  </si>
  <si>
    <t xml:space="preserve">COST PER INCH FOR BELLS</t>
  </si>
  <si>
    <t xml:space="preserve">1 X 1 TACT STRIP</t>
  </si>
  <si>
    <t xml:space="preserve">SIDE WALKS</t>
  </si>
  <si>
    <t xml:space="preserve">DIA. PIERS IN INCHES</t>
  </si>
  <si>
    <t xml:space="preserve">1 X 4 RED WOOD</t>
  </si>
  <si>
    <t xml:space="preserve">MISC</t>
  </si>
  <si>
    <t xml:space="preserve">1 X 6 RED WOOD</t>
  </si>
  <si>
    <t xml:space="preserve">1 X 8 RED WOOD</t>
  </si>
  <si>
    <t xml:space="preserve">CASING</t>
  </si>
  <si>
    <t xml:space="preserve">ACCESSORIES</t>
  </si>
  <si>
    <t xml:space="preserve">/LB</t>
  </si>
  <si>
    <t xml:space="preserve">2 x 2 x 30 Stakes </t>
  </si>
  <si>
    <t xml:space="preserve">/BNDLE</t>
  </si>
  <si>
    <t xml:space="preserve">GUAGE</t>
  </si>
  <si>
    <t xml:space="preserve">DIA.</t>
  </si>
  <si>
    <t xml:space="preserve">DEDUCT</t>
  </si>
  <si>
    <t xml:space="preserve">16p NAILS DUPLEX</t>
  </si>
  <si>
    <t xml:space="preserve">/BOX</t>
  </si>
  <si>
    <t xml:space="preserve">8p DUPLEX</t>
  </si>
  <si>
    <t xml:space="preserve">6p NAILS</t>
  </si>
  <si>
    <t xml:space="preserve">SAND DELIVERED PER TON</t>
  </si>
  <si>
    <t xml:space="preserve">/YD</t>
  </si>
  <si>
    <t xml:space="preserve">Redi Mix Suppliers</t>
  </si>
  <si>
    <t xml:space="preserve">Name</t>
  </si>
  <si>
    <t xml:space="preserve">Mobile</t>
  </si>
  <si>
    <t xml:space="preserve">email</t>
  </si>
  <si>
    <t xml:space="preserve">KEYWAY</t>
  </si>
  <si>
    <t xml:space="preserve">ROCK DELEVERED PER TON</t>
  </si>
  <si>
    <t xml:space="preserve">Argos DFW </t>
  </si>
  <si>
    <t xml:space="preserve">Chris Harbour</t>
  </si>
  <si>
    <t xml:space="preserve">214-356-0926</t>
  </si>
  <si>
    <t xml:space="preserve">CHAMFER</t>
  </si>
  <si>
    <t xml:space="preserve">STEEL</t>
  </si>
  <si>
    <t xml:space="preserve">Fabrication</t>
  </si>
  <si>
    <t xml:space="preserve">Accessories/ton</t>
  </si>
  <si>
    <t xml:space="preserve">#3 -20' Price</t>
  </si>
  <si>
    <t xml:space="preserve">Argo Houston</t>
  </si>
  <si>
    <t xml:space="preserve">Brian Maxadon</t>
  </si>
  <si>
    <t xml:space="preserve">WALL TIES</t>
  </si>
  <si>
    <t xml:space="preserve">50/BOX</t>
  </si>
  <si>
    <t xml:space="preserve">REBAR PIERS / PT slabs</t>
  </si>
  <si>
    <t xml:space="preserve">1 X 2 X 18" STAKES</t>
  </si>
  <si>
    <t xml:space="preserve">/BNDL</t>
  </si>
  <si>
    <t xml:space="preserve">REBAR GRADE BEAM</t>
  </si>
  <si>
    <t xml:space="preserve">Fabricated Price per Pound with Tax</t>
  </si>
  <si>
    <t xml:space="preserve">Structural Accessories</t>
  </si>
  <si>
    <t xml:space="preserve">REBAR PAVING</t>
  </si>
  <si>
    <t xml:space="preserve">METAL CHAIRS 2.5"</t>
  </si>
  <si>
    <t xml:space="preserve">/BAG/500</t>
  </si>
  <si>
    <t xml:space="preserve">DOWEL SPACING / 3/4" &amp; CAP</t>
  </si>
  <si>
    <t xml:space="preserve">/EACH</t>
  </si>
  <si>
    <t xml:space="preserve">Strait stock</t>
  </si>
  <si>
    <t xml:space="preserve">LIFT INSERT</t>
  </si>
  <si>
    <t xml:space="preserve">WIRE MESH</t>
  </si>
  <si>
    <t xml:space="preserve">10 GAGE</t>
  </si>
  <si>
    <t xml:space="preserve">/SQ FT</t>
  </si>
  <si>
    <t xml:space="preserve">CAMLOCKS</t>
  </si>
  <si>
    <t xml:space="preserve">WIRE MESH </t>
  </si>
  <si>
    <t xml:space="preserve">6 GAGE</t>
  </si>
  <si>
    <t xml:space="preserve">TURNBUCKLES</t>
  </si>
  <si>
    <t xml:space="preserve">5 GAGE</t>
  </si>
  <si>
    <t xml:space="preserve">PATCH MATERIAL</t>
  </si>
  <si>
    <t xml:space="preserve">/BAG</t>
  </si>
  <si>
    <t xml:space="preserve">POST TENSION CABLES</t>
  </si>
  <si>
    <t xml:space="preserve">length</t>
  </si>
  <si>
    <t xml:space="preserve">size</t>
  </si>
  <si>
    <t xml:space="preserve">qty</t>
  </si>
  <si>
    <t xml:space="preserve">lbs</t>
  </si>
  <si>
    <t xml:space="preserve">PIER SLEDS</t>
  </si>
  <si>
    <t xml:space="preserve">1/2" SMOOTH DOWELS &amp; CAP</t>
  </si>
  <si>
    <t xml:space="preserve">PIER BOOTS</t>
  </si>
  <si>
    <t xml:space="preserve">EQUIPMENT RENTAL</t>
  </si>
  <si>
    <t xml:space="preserve">DAY</t>
  </si>
  <si>
    <t xml:space="preserve">SLAB CHAIRS</t>
  </si>
  <si>
    <t xml:space="preserve">SkyTrack</t>
  </si>
  <si>
    <t xml:space="preserve">/DAY</t>
  </si>
  <si>
    <t xml:space="preserve">POLSTERS</t>
  </si>
  <si>
    <t xml:space="preserve">MINI EXCAVATOR</t>
  </si>
  <si>
    <t xml:space="preserve">BRACE INSERTS</t>
  </si>
  <si>
    <t xml:space="preserve">TRENCHER</t>
  </si>
  <si>
    <t xml:space="preserve">ANCHOR BOLTS 1/2" x 8" Galv</t>
  </si>
  <si>
    <t xml:space="preserve">SKID STEER</t>
  </si>
  <si>
    <t xml:space="preserve">Anchor Bolts 1/2" x 10" Galv.</t>
  </si>
  <si>
    <t xml:space="preserve">BOXBLADE</t>
  </si>
  <si>
    <t xml:space="preserve">TIE WIRE</t>
  </si>
  <si>
    <t xml:space="preserve">/ROLL</t>
  </si>
  <si>
    <t xml:space="preserve">CHIPPING HAMMER</t>
  </si>
  <si>
    <t xml:space="preserve">Site Accessories</t>
  </si>
  <si>
    <t xml:space="preserve">COMPRESSOR</t>
  </si>
  <si>
    <t xml:space="preserve">2-1/4 PAVING CHAIRS</t>
  </si>
  <si>
    <t xml:space="preserve">TOWER LIGHT w/ GENERATOR</t>
  </si>
  <si>
    <t xml:space="preserve">3-1/4 PAVING CHAIRS</t>
  </si>
  <si>
    <t xml:space="preserve">GENERATOR</t>
  </si>
  <si>
    <t xml:space="preserve">ANCHOR BOLTS 8"x1/2" (50/BX)</t>
  </si>
  <si>
    <t xml:space="preserve">SKY LIFT</t>
  </si>
  <si>
    <t xml:space="preserve">SPEED DOWEL INSERT w/ BASE</t>
  </si>
  <si>
    <t xml:space="preserve">CRANE AND OPERATOR</t>
  </si>
  <si>
    <t xml:space="preserve">SNAP TIES</t>
  </si>
  <si>
    <t xml:space="preserve">5-6 YD Dumptruck</t>
  </si>
  <si>
    <t xml:space="preserve">POLY 10 mil  20 x 100 Black</t>
  </si>
  <si>
    <t xml:space="preserve">BACK HOE</t>
  </si>
  <si>
    <t xml:space="preserve">SLAB CURE</t>
  </si>
  <si>
    <t xml:space="preserve">/DRUM</t>
  </si>
  <si>
    <t xml:space="preserve">Water Truck</t>
  </si>
  <si>
    <t xml:space="preserve">FORM RELEASE</t>
  </si>
  <si>
    <t xml:space="preserve">Metro Pricing</t>
  </si>
  <si>
    <t xml:space="preserve">BOND BREAKER</t>
  </si>
  <si>
    <t xml:space="preserve">saw joints</t>
  </si>
  <si>
    <t xml:space="preserve">1/2" x 24" smooth dowels</t>
  </si>
  <si>
    <t xml:space="preserve">expansion</t>
  </si>
  <si>
    <t xml:space="preserve">1/2" x 30" smooth dowels</t>
  </si>
  <si>
    <t xml:space="preserve">Silicone saw joints</t>
  </si>
  <si>
    <t xml:space="preserve">5/8" x 24" smooth dowels</t>
  </si>
  <si>
    <t xml:space="preserve">Silicone expansions</t>
  </si>
  <si>
    <t xml:space="preserve">3/4" x 24" smooth dowels</t>
  </si>
  <si>
    <t xml:space="preserve">Minimum</t>
  </si>
  <si>
    <t xml:space="preserve">Buomount</t>
  </si>
  <si>
    <t xml:space="preserve">Ram Tool</t>
  </si>
  <si>
    <t xml:space="preserve">sawcutting</t>
  </si>
  <si>
    <t xml:space="preserve">ln ft</t>
  </si>
  <si>
    <t xml:space="preserve">Poly vapor barrier</t>
  </si>
  <si>
    <t xml:space="preserve">ln ft weekend</t>
  </si>
  <si>
    <t xml:space="preserve">6 mil 20 x 100</t>
  </si>
  <si>
    <t xml:space="preserve">curb cutting .25 / inch</t>
  </si>
  <si>
    <t xml:space="preserve">6 mil 32 x 100</t>
  </si>
  <si>
    <t xml:space="preserve">Therma Foam, Inc 254-582-2730</t>
  </si>
  <si>
    <t xml:space="preserve">10 mil 20 x 100</t>
  </si>
  <si>
    <t xml:space="preserve">curb and gutter demo 8"</t>
  </si>
  <si>
    <t xml:space="preserve">10 mil. Stego Wrap 14 x 210</t>
  </si>
  <si>
    <t xml:space="preserve">11/20/201</t>
  </si>
  <si>
    <t xml:space="preserve">15 mil Stego Wrap 14' x 140'  </t>
  </si>
  <si>
    <t xml:space="preserve">10 mil Yellow Guard 14' x 210'  </t>
  </si>
  <si>
    <t xml:space="preserve">XTREEME SAWING &amp; SEALING, INC.</t>
  </si>
  <si>
    <t xml:space="preserve">15 Mil Yellow Guard 14'x210</t>
  </si>
  <si>
    <t xml:space="preserve">10335 S. Peachtree rd</t>
  </si>
  <si>
    <t xml:space="preserve">FOAM FILL VOID</t>
  </si>
  <si>
    <t xml:space="preserve">2" x 4 x 8</t>
  </si>
  <si>
    <t xml:space="preserve">Mesquite, TX 75149</t>
  </si>
  <si>
    <t xml:space="preserve">/CU FT</t>
  </si>
  <si>
    <t xml:space="preserve">RCI</t>
  </si>
  <si>
    <t xml:space="preserve">Cell:</t>
  </si>
  <si>
    <t xml:space="preserve">214-677-7477</t>
  </si>
  <si>
    <t xml:space="preserve">Stego Tape</t>
  </si>
  <si>
    <t xml:space="preserve">E-Mail:</t>
  </si>
  <si>
    <t xml:space="preserve">xtreeme_007@hotmail.com</t>
  </si>
  <si>
    <t xml:space="preserve">Yellow Guard Tape</t>
  </si>
  <si>
    <t xml:space="preserve">Perminator  15 mil  12' x 200'     </t>
  </si>
  <si>
    <t xml:space="preserve">Tealstone Commercial</t>
  </si>
  <si>
    <t xml:space="preserve">2612 Sirius Dr,</t>
  </si>
  <si>
    <t xml:space="preserve">Yellow Guard  15 mil 14' x 140' </t>
  </si>
  <si>
    <t xml:space="preserve">Denton,  Tex  76208</t>
  </si>
  <si>
    <t xml:space="preserve">Tape</t>
  </si>
  <si>
    <t xml:space="preserve">Raven 15 x 200  10 mil</t>
  </si>
  <si>
    <t xml:space="preserve">PRICE LIST</t>
  </si>
  <si>
    <t xml:space="preserve">R.W Medows  12' x 200</t>
  </si>
  <si>
    <t xml:space="preserve">FLAT SAW (WET)</t>
  </si>
  <si>
    <t xml:space="preserve">PRICE PER LF.</t>
  </si>
  <si>
    <t xml:space="preserve">PRODUCT</t>
  </si>
  <si>
    <t xml:space="preserve">Saw Cut Green Concrete</t>
  </si>
  <si>
    <t xml:space="preserve">Limestone</t>
  </si>
  <si>
    <t xml:space="preserve">Austin Supplier List</t>
  </si>
  <si>
    <t xml:space="preserve">Latimore</t>
  </si>
  <si>
    <t xml:space="preserve">Post-Tension</t>
  </si>
  <si>
    <t xml:space="preserve">River Rock</t>
  </si>
  <si>
    <t xml:space="preserve">Office</t>
  </si>
  <si>
    <t xml:space="preserve">Fax</t>
  </si>
  <si>
    <t xml:space="preserve">Email</t>
  </si>
  <si>
    <t xml:space="preserve">Chris Lemke</t>
  </si>
  <si>
    <t xml:space="preserve">713-298-1684</t>
  </si>
  <si>
    <t xml:space="preserve">713-856-5133</t>
  </si>
  <si>
    <t xml:space="preserve">713-856-7434</t>
  </si>
  <si>
    <t xml:space="preserve">clemke@readycable.net</t>
  </si>
  <si>
    <t xml:space="preserve">Luke Bernhard</t>
  </si>
  <si>
    <t xml:space="preserve">210-749-6110</t>
  </si>
  <si>
    <t xml:space="preserve">lbernhard@critexas.com</t>
  </si>
  <si>
    <t xml:space="preserve">Saw Cut Hard Concrete $.20 inch per lineal feet</t>
  </si>
  <si>
    <t xml:space="preserve">Rebar</t>
  </si>
  <si>
    <t xml:space="preserve">6" Thick Concrete</t>
  </si>
  <si>
    <t xml:space="preserve">8" Thick Concrete</t>
  </si>
  <si>
    <t xml:space="preserve">Joint Widening from 1/8" to 3/8"</t>
  </si>
  <si>
    <t xml:space="preserve">Burgess Rountree</t>
  </si>
  <si>
    <t xml:space="preserve">512-748-2098</t>
  </si>
  <si>
    <t xml:space="preserve">512-259-7908</t>
  </si>
  <si>
    <t xml:space="preserve">Brountree@suncoast-pt.com</t>
  </si>
  <si>
    <t xml:space="preserve">Slurry Vacuum Clean</t>
  </si>
  <si>
    <t xml:space="preserve">Minimum Charge</t>
  </si>
  <si>
    <t xml:space="preserve">Nicholas Morgan</t>
  </si>
  <si>
    <t xml:space="preserve">512-649-6163</t>
  </si>
  <si>
    <t xml:space="preserve">512-279-3851</t>
  </si>
  <si>
    <t xml:space="preserve">Nicholas.Morgan@cmc.com</t>
  </si>
  <si>
    <t xml:space="preserve">(Metroplex Area up to 50 miles radius from Dallas, TX)</t>
  </si>
  <si>
    <t xml:space="preserve">Traveling out of town / hour trave each way.</t>
  </si>
  <si>
    <t xml:space="preserve">/hr drive</t>
  </si>
  <si>
    <t xml:space="preserve">Concrete</t>
  </si>
  <si>
    <t xml:space="preserve">CURB Cut and Haul off / lf</t>
  </si>
  <si>
    <t xml:space="preserve">Jason Wright</t>
  </si>
  <si>
    <t xml:space="preserve">512-801-0516</t>
  </si>
  <si>
    <t xml:space="preserve">jason.wright@tex-mixconcrete.com</t>
  </si>
  <si>
    <t xml:space="preserve">Steve Roberts</t>
  </si>
  <si>
    <t xml:space="preserve">512-563-2780</t>
  </si>
  <si>
    <t xml:space="preserve">800-378-1367</t>
  </si>
  <si>
    <t xml:space="preserve">steve.roberts@martinmarietta.com</t>
  </si>
  <si>
    <t xml:space="preserve">Joint Sealing</t>
  </si>
  <si>
    <t xml:space="preserve">Hot Pour</t>
  </si>
  <si>
    <t xml:space="preserve">Urethane</t>
  </si>
  <si>
    <t xml:space="preserve">Silicone</t>
  </si>
  <si>
    <t xml:space="preserve">Russell White</t>
  </si>
  <si>
    <t xml:space="preserve">512-581-8883</t>
  </si>
  <si>
    <t xml:space="preserve">rwhite@concrete.com</t>
  </si>
  <si>
    <t xml:space="preserve">3/8" control joints / lf</t>
  </si>
  <si>
    <t xml:space="preserve">1/2" control joints/lf</t>
  </si>
  <si>
    <t xml:space="preserve">Drilling</t>
  </si>
  <si>
    <t xml:space="preserve">3/4" expansion joints / lf</t>
  </si>
  <si>
    <t xml:space="preserve">Minimum charge</t>
  </si>
  <si>
    <t xml:space="preserve">Mike Speight</t>
  </si>
  <si>
    <t xml:space="preserve">214-537-0379</t>
  </si>
  <si>
    <t xml:space="preserve">972-771-0173</t>
  </si>
  <si>
    <t xml:space="preserve">Mike@bigdogdrilling.net</t>
  </si>
  <si>
    <t xml:space="preserve">Stewart Beaird</t>
  </si>
  <si>
    <t xml:space="preserve">512-450-3362</t>
  </si>
  <si>
    <t xml:space="preserve">972-802-2312</t>
  </si>
  <si>
    <t xml:space="preserve">stewart@beairddrilling.com</t>
  </si>
  <si>
    <t xml:space="preserve">W.R Meadows 1190</t>
  </si>
  <si>
    <t xml:space="preserve">Sonneborn SL-1</t>
  </si>
  <si>
    <t xml:space="preserve">Vulkem-45 SSL</t>
  </si>
  <si>
    <t xml:space="preserve">Date of Increase</t>
  </si>
  <si>
    <t xml:space="preserve">Concrete Increase</t>
  </si>
  <si>
    <t xml:space="preserve">Saw Cutting</t>
  </si>
  <si>
    <t xml:space="preserve">Maxwell Geissel</t>
  </si>
  <si>
    <t xml:space="preserve">512-541-9861</t>
  </si>
  <si>
    <t xml:space="preserve">mgeissel@suncoast-pt.com</t>
  </si>
  <si>
    <t xml:space="preserve">Joe Johnson</t>
  </si>
  <si>
    <t xml:space="preserve">512-659-9136</t>
  </si>
  <si>
    <t xml:space="preserve">STRAIGHT CEMENT</t>
  </si>
  <si>
    <t xml:space="preserve">All in</t>
  </si>
  <si>
    <t xml:space="preserve">CEMENT + 20% FLY ASH</t>
  </si>
  <si>
    <t xml:space="preserve">W/C RATIO</t>
  </si>
  <si>
    <t xml:space="preserve">STRENGTH (PSI)</t>
  </si>
  <si>
    <t xml:space="preserve">SACK CONTENT</t>
  </si>
  <si>
    <t xml:space="preserve">SLUMP +/- 1"</t>
  </si>
  <si>
    <t xml:space="preserve">MIX #</t>
  </si>
  <si>
    <t xml:space="preserve">NOTES</t>
  </si>
  <si>
    <t xml:space="preserve">1-9-20 PRICE/YD</t>
  </si>
  <si>
    <t xml:space="preserve"> </t>
  </si>
  <si>
    <t xml:space="preserve">INT. SLAB</t>
  </si>
  <si>
    <t xml:space="preserve">INT. SLAB/GRADE BEAM</t>
  </si>
  <si>
    <t xml:space="preserve">PIERS HRWR</t>
  </si>
  <si>
    <t xml:space="preserve">PIERS  </t>
  </si>
  <si>
    <t xml:space="preserve">INT. SLAB/ GRADE BEAM</t>
  </si>
  <si>
    <t xml:space="preserve">NO AIR</t>
  </si>
  <si>
    <t xml:space="preserve">PIERS MRWR</t>
  </si>
  <si>
    <t xml:space="preserve">COLUMN/MRWR  </t>
  </si>
  <si>
    <t xml:space="preserve">COLUMNS</t>
  </si>
  <si>
    <t xml:space="preserve">PRICE/YD</t>
  </si>
  <si>
    <t xml:space="preserve">WITH AIR</t>
  </si>
  <si>
    <t xml:space="preserve">WALKS</t>
  </si>
  <si>
    <t xml:space="preserve">WALKS/ PAVING/ EXT. SLAB</t>
  </si>
  <si>
    <t xml:space="preserve">PAVING/ EXT. SLAB</t>
  </si>
  <si>
    <t xml:space="preserve">PAVING/ CLASS K MOD.</t>
  </si>
  <si>
    <t xml:space="preserve">ELEVATED CONCRETE</t>
  </si>
  <si>
    <t xml:space="preserve">CITY OF DALLAS APPROACHES</t>
  </si>
  <si>
    <t xml:space="preserve">HANDPLACED TXDOT PAVING</t>
  </si>
  <si>
    <t xml:space="preserve">PUMP PRIME</t>
  </si>
  <si>
    <t xml:space="preserve">HILLS PREP NEW STUDENT ACTIVITIES CTR</t>
  </si>
  <si>
    <t xml:space="preserve">Attention:</t>
  </si>
  <si>
    <t xml:space="preserve"># SETS ORDERED COMPANY CONTACT EMAIL ADDRESS CITY STATE ZIP PHONE FAX</t>
  </si>
  <si>
    <t xml:space="preserve">Project :</t>
  </si>
  <si>
    <t xml:space="preserve">City:</t>
  </si>
  <si>
    <t xml:space="preserve">Job Number:</t>
  </si>
  <si>
    <t xml:space="preserve">Quantities for this bid are based on plans by:</t>
  </si>
  <si>
    <t xml:space="preserve">Bid 1 - </t>
  </si>
  <si>
    <t xml:space="preserve">dated:</t>
  </si>
  <si>
    <t xml:space="preserve">We hereby propose to furnish all the supervision, labor, materials, equipment, taxes and insurance necessary for the</t>
  </si>
  <si>
    <t xml:space="preserve">completion of the work specified herein and per plans and specifications provided.</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</si>
  <si>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</si>
  <si>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</si>
  <si>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 xml:space="preserve">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</si>
  <si>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r>
      <rPr>
        <b val="true"/>
        <sz val="12"/>
        <rFont val="Times New Roman"/>
        <family val="1"/>
        <charset val="1"/>
      </rPr>
      <t xml:space="preserve">Specifications: </t>
    </r>
    <r>
      <rPr>
        <i val="true"/>
        <sz val="12"/>
        <rFont val="Times New Roman"/>
        <family val="1"/>
        <charset val="1"/>
      </rPr>
      <t xml:space="preserve"> </t>
    </r>
  </si>
  <si>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</si>
  <si>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</si>
  <si>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 xml:space="preserve">SITE</t>
  </si>
  <si>
    <t xml:space="preserve">Garage</t>
  </si>
  <si>
    <t xml:space="preserve">Building</t>
  </si>
  <si>
    <t xml:space="preserve">Total Project:</t>
  </si>
  <si>
    <t xml:space="preserve">P&amp;P Bond if required</t>
  </si>
  <si>
    <t xml:space="preserve">Thank you for the opportunity to bid this project</t>
  </si>
  <si>
    <t xml:space="preserve">estimator</t>
  </si>
  <si>
    <t xml:space="preserve">817-228-0452</t>
  </si>
  <si>
    <t xml:space="preserve">Proposal for labor and materials to perform the following concrete work: </t>
  </si>
  <si>
    <t xml:space="preserve">Piers</t>
  </si>
  <si>
    <t xml:space="preserve">QTY</t>
  </si>
  <si>
    <t xml:space="preserve">LF</t>
  </si>
  <si>
    <t xml:space="preserve">add</t>
  </si>
  <si>
    <t xml:space="preserve">ded</t>
  </si>
  <si>
    <t xml:space="preserve">casing</t>
  </si>
  <si>
    <t xml:space="preserve">Includes the following: </t>
  </si>
  <si>
    <t xml:space="preserve">3,000 psi concrete, drilling, move soil to onsite location designated by GC, rebar, lifting equipment, casing will be an add price,</t>
  </si>
  <si>
    <t xml:space="preserve">layout from building corners (corners supplied by other).</t>
  </si>
  <si>
    <t xml:space="preserve">Excludes:</t>
  </si>
  <si>
    <t xml:space="preserve">1 11/21/12 </t>
  </si>
  <si>
    <t xml:space="preserve">haul off site spoils, temporary casing.</t>
  </si>
  <si>
    <t xml:space="preserve">Grade Beam</t>
  </si>
  <si>
    <t xml:space="preserve">Type</t>
  </si>
  <si>
    <t xml:space="preserve">LF.</t>
  </si>
  <si>
    <t xml:space="preserve">FF</t>
  </si>
  <si>
    <t xml:space="preserve">4,000 psi concrete 6 sack .50 W/C ratio excavation from sub grade, carton form, retainer board, </t>
  </si>
  <si>
    <t xml:space="preserve">shoring, backfill &amp; compaction, layout from building corners (corners supplied by other).</t>
  </si>
  <si>
    <t xml:space="preserve">haul off site excess spoils, material to moved to onsite location (at GC's discretion).</t>
  </si>
  <si>
    <t xml:space="preserve">Walls &amp; Footings</t>
  </si>
  <si>
    <t xml:space="preserve">3,000 psi 5 sack concrete w/ 20% fly ash, excavation from top of earth formed footings,</t>
  </si>
  <si>
    <t xml:space="preserve">backfill up to 5' behind walls with onsite materials.</t>
  </si>
  <si>
    <t xml:space="preserve">rock excavation, moisture conditioning of backfill material.</t>
  </si>
  <si>
    <t xml:space="preserve">P.T. Slabs</t>
  </si>
  <si>
    <t xml:space="preserve">Thick</t>
  </si>
  <si>
    <t xml:space="preserve">Area</t>
  </si>
  <si>
    <t xml:space="preserve">Total</t>
  </si>
  <si>
    <t xml:space="preserve">Sqft</t>
  </si>
  <si>
    <t xml:space="preserve">Avg.</t>
  </si>
  <si>
    <t xml:space="preserve">/sq ft</t>
  </si>
  <si>
    <t xml:space="preserve">3,000 psi concrete 5 sack .57 W/C ratio w/ 20% fly ash, grading sand, 10 mil yellow guard vapor barrier, rebar, pt cables,</t>
  </si>
  <si>
    <t xml:space="preserve">pumping where required, layout from building corners (corners supplied by other), Kure-n-Seal curing compound.</t>
  </si>
  <si>
    <t xml:space="preserve">rock excavation, radon mitigation</t>
  </si>
  <si>
    <t xml:space="preserve">SLAB ON GRADE</t>
  </si>
  <si>
    <t xml:space="preserve">SF</t>
  </si>
  <si>
    <t xml:space="preserve">3,000 psi concrete w/ 20% fly ash, grading sand, 10 mil standard vapor barrier, rebar,</t>
  </si>
  <si>
    <t xml:space="preserve">joint sealant</t>
  </si>
  <si>
    <t xml:space="preserve">Site Walls &amp; Footings</t>
  </si>
  <si>
    <t xml:space="preserve">Total Site:</t>
  </si>
  <si>
    <t xml:space="preserve">Total Bldg:</t>
  </si>
  <si>
    <t xml:space="preserve">Wall / Footing</t>
  </si>
  <si>
    <t xml:space="preserve">4,000 psi concrete .50 W/C ratio 6 sack w/ 20% fly ash, excavation from top earth formed footings, waterproofing, french drain,</t>
  </si>
  <si>
    <t xml:space="preserve">backfill up to 5' behind walls with onsite materials only.</t>
  </si>
  <si>
    <t xml:space="preserve">Columns</t>
  </si>
  <si>
    <t xml:space="preserve">ea</t>
  </si>
  <si>
    <t xml:space="preserve">columns</t>
  </si>
  <si>
    <t xml:space="preserve">5,000 psi concrete .44 W/C ratio 6.5 sack w/ 20% fly ash, </t>
  </si>
  <si>
    <t xml:space="preserve">pumping, layout from building corners (corners supplied by other).</t>
  </si>
  <si>
    <t xml:space="preserve">Embeds</t>
  </si>
  <si>
    <t xml:space="preserve">CIP Decks</t>
  </si>
  <si>
    <t xml:space="preserve">5,000 psi concrete .44 W/C ratio 6.5 sack w/ 20% fly ash, rebar, pt cables, stressed cut and grout,</t>
  </si>
  <si>
    <t xml:space="preserve">extended shoring beyond our scope of work.</t>
  </si>
  <si>
    <t xml:space="preserve">slab on deck</t>
  </si>
  <si>
    <t xml:space="preserve">3,000 psi  NWC concrete 20% fly ash, rebar, wire mesh</t>
  </si>
  <si>
    <t xml:space="preserve">pumping, Kure-n-Seal curing compound Sawed control joints</t>
  </si>
  <si>
    <t xml:space="preserve">landings and stairs,  (add $500 / flight if poured with mezzinine slabs.) fall protection. </t>
  </si>
  <si>
    <t xml:space="preserve">paving</t>
  </si>
  <si>
    <t xml:space="preserve">Value</t>
  </si>
  <si>
    <t xml:space="preserve">Includes:</t>
  </si>
  <si>
    <t xml:space="preserve">3,500 psi w/ 20% fly ash concrete, mono curb and gutter, sawed control joints,</t>
  </si>
  <si>
    <t xml:space="preserve">#3 rebar 18" ocew, city paving bond, redwood expansion and saw joints per plan, silicone joint sealant.</t>
  </si>
  <si>
    <t xml:space="preserve">demo of existing concrete, stabilizing of soils, barricades, Vertical joint sealant at curbs,</t>
  </si>
  <si>
    <t xml:space="preserve">colored, stamped, or patterned concrete (UNO).</t>
  </si>
  <si>
    <t xml:space="preserve">sidewalks</t>
  </si>
  <si>
    <t xml:space="preserve">incl</t>
  </si>
  <si>
    <t xml:space="preserve">Total:</t>
  </si>
  <si>
    <t xml:space="preserve">sq ft</t>
  </si>
  <si>
    <t xml:space="preserve">3,000 psi concrete w/ 20% fly ash, truncated dome pavers at ramps into roadways, rebar, sealed expansion joints @ 20' oc,</t>
  </si>
  <si>
    <t xml:space="preserve">light broom finish, standard curing compound, sawed control joints.</t>
  </si>
  <si>
    <t xml:space="preserve">Excludes: </t>
  </si>
  <si>
    <t xml:space="preserve">pool deck, colored, stamped, or patterned concrete (UNO).</t>
  </si>
  <si>
    <t xml:space="preserve">Miscellaneous</t>
  </si>
  <si>
    <t xml:space="preserve">OPTIONS:</t>
  </si>
  <si>
    <t xml:space="preserve">THE FOLLOWING ARE SPECIFICALLY INCLUDED FOR THE ABOVE:</t>
  </si>
  <si>
    <r>
      <rPr>
        <sz val="10"/>
        <rFont val="Symbol"/>
        <family val="1"/>
        <charset val="2"/>
      </rPr>
      <t xml:space="preserve">·</t>
    </r>
    <r>
      <rPr>
        <sz val="7"/>
        <rFont val="Times New Roman"/>
        <family val="1"/>
        <charset val="1"/>
      </rPr>
      <t xml:space="preserve">         </t>
    </r>
    <r>
      <rPr>
        <sz val="10"/>
        <rFont val="Times New Roman"/>
        <family val="1"/>
        <charset val="1"/>
      </rPr>
      <t xml:space="preserve">Batter boards set from building corners( corners supplied by other), forming as shown on structural plans </t>
    </r>
  </si>
  <si>
    <r>
      <rPr>
        <sz val="10"/>
        <rFont val="Symbol"/>
        <family val="1"/>
        <charset val="2"/>
      </rPr>
      <t xml:space="preserve">·</t>
    </r>
    <r>
      <rPr>
        <sz val="7"/>
        <rFont val="Times New Roman"/>
        <family val="1"/>
        <charset val="1"/>
      </rPr>
      <t xml:space="preserve">         </t>
    </r>
    <r>
      <rPr>
        <sz val="10"/>
        <rFont val="Times New Roman"/>
        <family val="1"/>
        <charset val="1"/>
      </rPr>
      <t xml:space="preserve">Trench &amp; Grading @ building foundations, beam spoils and sand  used as needed for fine grade material, excess spoils relocated on site </t>
    </r>
  </si>
  <si>
    <r>
      <rPr>
        <sz val="10"/>
        <rFont val="Symbol"/>
        <family val="1"/>
        <charset val="2"/>
      </rPr>
      <t xml:space="preserve">·</t>
    </r>
    <r>
      <rPr>
        <sz val="7"/>
        <rFont val="Times New Roman"/>
        <family val="1"/>
        <charset val="1"/>
      </rPr>
      <t xml:space="preserve">         </t>
    </r>
    <r>
      <rPr>
        <sz val="10"/>
        <rFont val="Times New Roman"/>
        <family val="1"/>
        <charset val="1"/>
      </rPr>
      <t xml:space="preserve">Reinforcement and accessories , Pt Cables, Pre-Stress if required, Stress, cut and grout, one time.</t>
    </r>
  </si>
  <si>
    <r>
      <rPr>
        <sz val="10"/>
        <rFont val="Symbol"/>
        <family val="1"/>
        <charset val="2"/>
      </rPr>
      <t xml:space="preserve">·</t>
    </r>
    <r>
      <rPr>
        <sz val="7"/>
        <rFont val="Times New Roman"/>
        <family val="1"/>
        <charset val="1"/>
      </rPr>
      <t xml:space="preserve">         </t>
    </r>
    <r>
      <rPr>
        <sz val="10"/>
        <rFont val="Times New Roman"/>
        <family val="1"/>
        <charset val="1"/>
      </rPr>
      <t xml:space="preserve">Anchor bolts-furnish and install, 4’ on center at slab perimeter only (1/2” x 10”). All interior anchor bolts, hold downs and </t>
    </r>
  </si>
  <si>
    <t xml:space="preserve">                straps by others.</t>
  </si>
  <si>
    <r>
      <rPr>
        <sz val="10"/>
        <rFont val="Symbol"/>
        <family val="1"/>
        <charset val="2"/>
      </rPr>
      <t xml:space="preserve">·</t>
    </r>
    <r>
      <rPr>
        <sz val="7"/>
        <rFont val="Times New Roman"/>
        <family val="1"/>
        <charset val="1"/>
      </rPr>
      <t xml:space="preserve">         </t>
    </r>
    <r>
      <rPr>
        <sz val="10"/>
        <rFont val="Times New Roman"/>
        <family val="1"/>
        <charset val="1"/>
      </rPr>
      <t xml:space="preserve">Concrete mix designs at foundations &amp; </t>
    </r>
    <r>
      <rPr>
        <sz val="10"/>
        <color rgb="FF000000"/>
        <rFont val="Times New Roman"/>
        <family val="1"/>
        <charset val="1"/>
      </rPr>
      <t xml:space="preserve">paving as specified (water</t>
    </r>
    <r>
      <rPr>
        <sz val="10"/>
        <rFont val="Times New Roman"/>
        <family val="1"/>
        <charset val="1"/>
      </rPr>
      <t xml:space="preserve"> reducer for pouring a 5” slump)</t>
    </r>
  </si>
  <si>
    <r>
      <rPr>
        <sz val="10"/>
        <rFont val="Symbol"/>
        <family val="1"/>
        <charset val="2"/>
      </rPr>
      <t xml:space="preserve">·</t>
    </r>
    <r>
      <rPr>
        <sz val="7"/>
        <rFont val="Times New Roman"/>
        <family val="1"/>
        <charset val="1"/>
      </rPr>
      <t xml:space="preserve">         </t>
    </r>
    <r>
      <rPr>
        <sz val="10"/>
        <rFont val="Times New Roman"/>
        <family val="1"/>
        <charset val="1"/>
      </rPr>
      <t xml:space="preserve">Concrete pumping equipment at building foundations and Paving as needed</t>
    </r>
  </si>
  <si>
    <r>
      <rPr>
        <sz val="10"/>
        <rFont val="Symbol"/>
        <family val="1"/>
        <charset val="2"/>
      </rPr>
      <t xml:space="preserve">·</t>
    </r>
    <r>
      <rPr>
        <sz val="7"/>
        <rFont val="Times New Roman"/>
        <family val="1"/>
        <charset val="1"/>
      </rPr>
      <t xml:space="preserve">         </t>
    </r>
    <r>
      <rPr>
        <sz val="10"/>
        <rFont val="Times New Roman"/>
        <family val="1"/>
        <charset val="1"/>
      </rPr>
      <t xml:space="preserve">Place, finish and chemically cure all concrete for items listed in scope above</t>
    </r>
  </si>
  <si>
    <r>
      <rPr>
        <sz val="10"/>
        <rFont val="Symbol"/>
        <family val="1"/>
        <charset val="2"/>
      </rPr>
      <t xml:space="preserve">·</t>
    </r>
    <r>
      <rPr>
        <sz val="7"/>
        <rFont val="Times New Roman"/>
        <family val="1"/>
        <charset val="1"/>
      </rPr>
      <t xml:space="preserve">         </t>
    </r>
    <r>
      <rPr>
        <sz val="10"/>
        <rFont val="Times New Roman"/>
        <family val="1"/>
        <charset val="1"/>
      </rPr>
      <t xml:space="preserve">Strip and clean all debris propagated by subcontractors work process (haul off by others)</t>
    </r>
  </si>
  <si>
    <r>
      <rPr>
        <sz val="10"/>
        <rFont val="Symbol"/>
        <family val="1"/>
        <charset val="2"/>
      </rPr>
      <t xml:space="preserve">·</t>
    </r>
    <r>
      <rPr>
        <sz val="7"/>
        <rFont val="Times New Roman"/>
        <family val="1"/>
        <charset val="1"/>
      </rPr>
      <t xml:space="preserve">         T</t>
    </r>
    <r>
      <rPr>
        <sz val="10"/>
        <rFont val="Times New Roman"/>
        <family val="1"/>
        <charset val="1"/>
      </rPr>
      <t xml:space="preserve">rash generated by subcontractor is placed in receptacle provided by General Contractors or</t>
    </r>
  </si>
  <si>
    <t xml:space="preserve">            in an area designated by General Contractor.</t>
  </si>
  <si>
    <t xml:space="preserve">THE FOLLOWING ARE SPECIFICALLY EXCLUDED FOR THE ABOVE</t>
  </si>
  <si>
    <r>
      <rPr>
        <sz val="10"/>
        <rFont val="Symbol"/>
        <family val="1"/>
        <charset val="2"/>
      </rPr>
      <t xml:space="preserve">·</t>
    </r>
    <r>
      <rPr>
        <sz val="7"/>
        <rFont val="Times New Roman"/>
        <family val="1"/>
        <charset val="1"/>
      </rPr>
      <t xml:space="preserve">         </t>
    </r>
    <r>
      <rPr>
        <sz val="10"/>
        <rFont val="Times New Roman"/>
        <family val="1"/>
        <charset val="1"/>
      </rPr>
      <t xml:space="preserve">Rock Excavation, Haul off of excess soil generated by Beam spoils.  </t>
    </r>
  </si>
  <si>
    <r>
      <rPr>
        <sz val="10"/>
        <rFont val="Symbol"/>
        <family val="1"/>
        <charset val="2"/>
      </rPr>
      <t xml:space="preserve">·</t>
    </r>
    <r>
      <rPr>
        <sz val="7"/>
        <rFont val="Times New Roman"/>
        <family val="1"/>
        <charset val="1"/>
      </rPr>
      <t xml:space="preserve">         </t>
    </r>
    <r>
      <rPr>
        <sz val="10"/>
        <rFont val="Times New Roman"/>
        <family val="1"/>
        <charset val="1"/>
      </rPr>
      <t xml:space="preserve">Dirt work (sub grade to be plus or minus as stated above)</t>
    </r>
  </si>
  <si>
    <r>
      <rPr>
        <sz val="10"/>
        <rFont val="Symbol"/>
        <family val="1"/>
        <charset val="2"/>
      </rPr>
      <t xml:space="preserve">·</t>
    </r>
    <r>
      <rPr>
        <sz val="7"/>
        <rFont val="Times New Roman"/>
        <family val="1"/>
        <charset val="1"/>
      </rPr>
      <t xml:space="preserve">         </t>
    </r>
    <r>
      <rPr>
        <sz val="10"/>
        <rFont val="Times New Roman"/>
        <family val="1"/>
        <charset val="1"/>
      </rPr>
      <t xml:space="preserve">Soil erosion protection</t>
    </r>
  </si>
  <si>
    <r>
      <rPr>
        <sz val="10"/>
        <rFont val="Symbol"/>
        <family val="1"/>
        <charset val="2"/>
      </rPr>
      <t xml:space="preserve">·</t>
    </r>
    <r>
      <rPr>
        <sz val="7"/>
        <rFont val="Times New Roman"/>
        <family val="1"/>
        <charset val="1"/>
      </rPr>
      <t xml:space="preserve">         </t>
    </r>
    <r>
      <rPr>
        <sz val="10"/>
        <rFont val="Times New Roman"/>
        <family val="1"/>
        <charset val="1"/>
      </rPr>
      <t xml:space="preserve">Sand over stabilized material</t>
    </r>
  </si>
  <si>
    <r>
      <rPr>
        <sz val="10"/>
        <rFont val="Symbol"/>
        <family val="1"/>
        <charset val="2"/>
      </rPr>
      <t xml:space="preserve">·</t>
    </r>
    <r>
      <rPr>
        <sz val="7"/>
        <rFont val="Times New Roman"/>
        <family val="1"/>
        <charset val="1"/>
      </rPr>
      <t xml:space="preserve">         </t>
    </r>
    <r>
      <rPr>
        <sz val="10"/>
        <rFont val="Times New Roman"/>
        <family val="1"/>
        <charset val="1"/>
      </rPr>
      <t xml:space="preserve">De-watering as a result of subsurface water</t>
    </r>
  </si>
  <si>
    <r>
      <rPr>
        <sz val="10"/>
        <rFont val="Symbol"/>
        <family val="1"/>
        <charset val="2"/>
      </rPr>
      <t xml:space="preserve">·</t>
    </r>
    <r>
      <rPr>
        <sz val="7"/>
        <rFont val="Times New Roman"/>
        <family val="1"/>
        <charset val="1"/>
      </rPr>
      <t xml:space="preserve">         </t>
    </r>
    <r>
      <rPr>
        <sz val="10"/>
        <rFont val="Times New Roman"/>
        <family val="1"/>
        <charset val="1"/>
      </rPr>
      <t xml:space="preserve">Surveying, engineering, layout of building corners, back of curbs, and blue tops</t>
    </r>
  </si>
  <si>
    <r>
      <rPr>
        <sz val="10"/>
        <rFont val="Symbol"/>
        <family val="1"/>
        <charset val="2"/>
      </rPr>
      <t xml:space="preserve">·</t>
    </r>
    <r>
      <rPr>
        <sz val="7"/>
        <rFont val="Times New Roman"/>
        <family val="1"/>
        <charset val="1"/>
      </rPr>
      <t xml:space="preserve">         </t>
    </r>
    <r>
      <rPr>
        <sz val="10"/>
        <rFont val="Times New Roman"/>
        <family val="1"/>
        <charset val="1"/>
      </rPr>
      <t xml:space="preserve">Saw cutting, demolition or haul off of existing concrete (except as noted)</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</si>
  <si>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Stamped, colored, patterned, grooved concrete or pavers (unless specified above)</t>
    </r>
  </si>
  <si>
    <r>
      <rPr>
        <sz val="10"/>
        <rFont val="Symbol"/>
        <family val="1"/>
        <charset val="2"/>
      </rPr>
      <t xml:space="preserve">·</t>
    </r>
    <r>
      <rPr>
        <sz val="7"/>
        <rFont val="Times New Roman"/>
        <family val="1"/>
        <charset val="1"/>
      </rPr>
      <t xml:space="preserve">         </t>
    </r>
    <r>
      <rPr>
        <sz val="10"/>
        <rFont val="Times New Roman"/>
        <family val="1"/>
        <charset val="1"/>
      </rPr>
      <t xml:space="preserve">Concrete testing and temperature control (heating, ice or blankets etc.)</t>
    </r>
  </si>
  <si>
    <r>
      <rPr>
        <sz val="10"/>
        <rFont val="Symbol"/>
        <family val="1"/>
        <charset val="2"/>
      </rPr>
      <t xml:space="preserve">·</t>
    </r>
    <r>
      <rPr>
        <sz val="7"/>
        <rFont val="Times New Roman"/>
        <family val="1"/>
        <charset val="1"/>
      </rPr>
      <t xml:space="preserve">         </t>
    </r>
    <r>
      <rPr>
        <sz val="10"/>
        <rFont val="Times New Roman"/>
        <family val="1"/>
        <charset val="1"/>
      </rPr>
      <t xml:space="preserve">Hoisting materials or equipment to upper floors</t>
    </r>
  </si>
  <si>
    <r>
      <rPr>
        <sz val="10"/>
        <rFont val="Symbol"/>
        <family val="1"/>
        <charset val="2"/>
      </rPr>
      <t xml:space="preserve">·</t>
    </r>
    <r>
      <rPr>
        <sz val="7"/>
        <rFont val="Times New Roman"/>
        <family val="1"/>
        <charset val="1"/>
      </rPr>
      <t xml:space="preserve">         </t>
    </r>
    <r>
      <rPr>
        <sz val="10"/>
        <rFont val="Times New Roman"/>
        <family val="1"/>
        <charset val="1"/>
      </rPr>
      <t xml:space="preserve">Masonry reinforcing or grouting</t>
    </r>
  </si>
  <si>
    <r>
      <rPr>
        <sz val="10"/>
        <rFont val="Symbol"/>
        <family val="1"/>
        <charset val="2"/>
      </rPr>
      <t xml:space="preserve">·</t>
    </r>
    <r>
      <rPr>
        <sz val="7"/>
        <rFont val="Times New Roman"/>
        <family val="1"/>
        <charset val="1"/>
      </rPr>
      <t xml:space="preserve">         </t>
    </r>
    <r>
      <rPr>
        <sz val="10"/>
        <rFont val="Times New Roman"/>
        <family val="1"/>
        <charset val="1"/>
      </rPr>
      <t xml:space="preserve">Sawed control joints at post tension foundations</t>
    </r>
  </si>
  <si>
    <r>
      <rPr>
        <sz val="10"/>
        <rFont val="Symbol"/>
        <family val="1"/>
        <charset val="2"/>
      </rPr>
      <t xml:space="preserve">·</t>
    </r>
    <r>
      <rPr>
        <sz val="7"/>
        <rFont val="Times New Roman"/>
        <family val="1"/>
        <charset val="1"/>
      </rPr>
      <t xml:space="preserve">         </t>
    </r>
    <r>
      <rPr>
        <sz val="10"/>
        <rFont val="Times New Roman"/>
        <family val="1"/>
        <charset val="1"/>
      </rPr>
      <t xml:space="preserve">Embedded materials and shop drawings (anchor bolts, pipe bollards, embedded plates, angles, hold downs, </t>
    </r>
  </si>
  <si>
    <t xml:space="preserve">                Simpson anchors etc.)</t>
  </si>
  <si>
    <r>
      <rPr>
        <sz val="10"/>
        <rFont val="Symbol"/>
        <family val="1"/>
        <charset val="2"/>
      </rPr>
      <t xml:space="preserve">·</t>
    </r>
    <r>
      <rPr>
        <sz val="7"/>
        <rFont val="Times New Roman"/>
        <family val="1"/>
        <charset val="1"/>
      </rPr>
      <t xml:space="preserve">         </t>
    </r>
    <r>
      <rPr>
        <sz val="10"/>
        <rFont val="Times New Roman"/>
        <family val="1"/>
        <charset val="1"/>
      </rPr>
      <t xml:space="preserve">Permits, fees, performance or payment bonds</t>
    </r>
  </si>
  <si>
    <r>
      <rPr>
        <sz val="10"/>
        <rFont val="Symbol"/>
        <family val="1"/>
        <charset val="2"/>
      </rPr>
      <t xml:space="preserve">·</t>
    </r>
    <r>
      <rPr>
        <sz val="7"/>
        <rFont val="Times New Roman"/>
        <family val="1"/>
        <charset val="1"/>
      </rPr>
      <t xml:space="preserve">         </t>
    </r>
    <r>
      <rPr>
        <sz val="10"/>
        <rFont val="Times New Roman"/>
        <family val="1"/>
        <charset val="1"/>
      </rPr>
      <t xml:space="preserve">Joint sealant unless noted otherwise above</t>
    </r>
  </si>
  <si>
    <r>
      <rPr>
        <sz val="10"/>
        <rFont val="Symbol"/>
        <family val="1"/>
        <charset val="2"/>
      </rPr>
      <t xml:space="preserve">·</t>
    </r>
    <r>
      <rPr>
        <sz val="7"/>
        <rFont val="Times New Roman"/>
        <family val="1"/>
        <charset val="1"/>
      </rPr>
      <t xml:space="preserve">         </t>
    </r>
    <r>
      <rPr>
        <sz val="10"/>
        <rFont val="Times New Roman"/>
        <family val="1"/>
        <charset val="1"/>
      </rPr>
      <t xml:space="preserve">Wet curing, Hardeners or Sealers</t>
    </r>
  </si>
  <si>
    <r>
      <rPr>
        <sz val="10"/>
        <rFont val="Symbol"/>
        <family val="1"/>
        <charset val="2"/>
      </rPr>
      <t xml:space="preserve">·</t>
    </r>
    <r>
      <rPr>
        <sz val="7"/>
        <rFont val="Times New Roman"/>
        <family val="1"/>
        <charset val="1"/>
      </rPr>
      <t xml:space="preserve">         </t>
    </r>
    <r>
      <rPr>
        <sz val="10"/>
        <rFont val="Times New Roman"/>
        <family val="1"/>
        <charset val="1"/>
      </rPr>
      <t xml:space="preserve">Removal of trash or concrete spoils from site (we will place in dumpster or designated area)</t>
    </r>
  </si>
  <si>
    <r>
      <rPr>
        <sz val="10"/>
        <rFont val="Symbol"/>
        <family val="1"/>
        <charset val="2"/>
      </rPr>
      <t xml:space="preserve">·</t>
    </r>
    <r>
      <rPr>
        <sz val="7"/>
        <rFont val="Times New Roman"/>
        <family val="1"/>
        <charset val="1"/>
      </rPr>
      <t xml:space="preserve">         </t>
    </r>
    <r>
      <rPr>
        <sz val="10"/>
        <rFont val="Times New Roman"/>
        <family val="1"/>
        <charset val="1"/>
      </rPr>
      <t xml:space="preserve">Backfill at back of curbs or around buildings</t>
    </r>
  </si>
  <si>
    <r>
      <rPr>
        <sz val="10"/>
        <rFont val="Symbol"/>
        <family val="1"/>
        <charset val="2"/>
      </rPr>
      <t xml:space="preserve">·</t>
    </r>
    <r>
      <rPr>
        <sz val="7"/>
        <rFont val="Times New Roman"/>
        <family val="1"/>
        <charset val="1"/>
      </rPr>
      <t xml:space="preserve">         </t>
    </r>
    <r>
      <rPr>
        <sz val="10"/>
        <rFont val="Times New Roman"/>
        <family val="1"/>
        <charset val="1"/>
      </rPr>
      <t xml:space="preserve">Waterproofing</t>
    </r>
    <r>
      <rPr>
        <sz val="10"/>
        <color rgb="FF000000"/>
        <rFont val="Times New Roman"/>
        <family val="1"/>
        <charset val="1"/>
      </rPr>
      <t xml:space="preserve">, French drain, or backfill at foundation perimeter, drop or stem wall</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</si>
  <si>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Soil poisoning</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</si>
  <si>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Traffic control or barricades unless noted above</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</si>
  <si>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PVC for electrical or landscaping sleeves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</si>
  <si>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Sweeping or washing down of pavement</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</si>
  <si>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Concrete wheel stops, pavement markings (stripping or buttons) &amp; misc. signs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</si>
  <si>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Inlets, drains, catch basins, box culverts</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</si>
  <si>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Stair nosing, non slip surface treatment or sleeves for handrails </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</si>
  <si>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Repair of existing underground if damaged</t>
    </r>
  </si>
  <si>
    <r>
      <rPr>
        <sz val="10"/>
        <color rgb="FF000000"/>
        <rFont val="Symbol"/>
        <family val="1"/>
        <charset val="2"/>
      </rPr>
      <t xml:space="preserve">·</t>
    </r>
    <r>
      <rPr>
        <sz val="7"/>
        <color rgb="FF000000"/>
        <rFont val="Times New Roman"/>
        <family val="1"/>
        <charset val="1"/>
      </rPr>
      <t xml:space="preserve">         </t>
    </r>
    <r>
      <rPr>
        <sz val="10"/>
        <color rgb="FF000000"/>
        <rFont val="Times New Roman"/>
        <family val="1"/>
        <charset val="1"/>
      </rPr>
      <t xml:space="preserve">Grouting of thresholds</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</si>
  <si>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Safety railing, hand railing or perimeter cables at slabs, upper floors, pits, drops, and openings</t>
    </r>
  </si>
  <si>
    <r>
      <rPr>
        <sz val="10"/>
        <color rgb="FF000000"/>
        <rFont val="Symbol"/>
        <family val="1"/>
        <charset val="2"/>
      </rPr>
      <t xml:space="preserve">·</t>
    </r>
    <r>
      <rPr>
        <sz val="7"/>
        <color rgb="FF000000"/>
        <rFont val="Times New Roman"/>
        <family val="1"/>
        <charset val="1"/>
      </rPr>
      <t xml:space="preserve">         </t>
    </r>
    <r>
      <rPr>
        <sz val="10"/>
        <rFont val="Times New Roman"/>
        <family val="1"/>
        <charset val="1"/>
      </rPr>
      <t xml:space="preserve">Light weight concrete, gypcrete or any other cementious topping -furnish or install.</t>
    </r>
  </si>
  <si>
    <r>
      <rPr>
        <sz val="10"/>
        <rFont val="Symbol"/>
        <family val="1"/>
        <charset val="2"/>
      </rPr>
      <t xml:space="preserve">·</t>
    </r>
    <r>
      <rPr>
        <sz val="7"/>
        <rFont val="Times New Roman"/>
        <family val="1"/>
        <charset val="1"/>
      </rPr>
      <t xml:space="preserve">         </t>
    </r>
    <r>
      <rPr>
        <sz val="10"/>
        <color rgb="FF000000"/>
        <rFont val="Times New Roman"/>
        <family val="1"/>
        <charset val="1"/>
      </rPr>
      <t xml:space="preserve">Pool decks, transformer pads or site retaining walls.</t>
    </r>
  </si>
  <si>
    <r>
      <rPr>
        <sz val="10"/>
        <rFont val="Symbol"/>
        <family val="1"/>
        <charset val="2"/>
      </rPr>
      <t xml:space="preserve">·</t>
    </r>
    <r>
      <rPr>
        <sz val="7"/>
        <rFont val="Times New Roman"/>
        <family val="1"/>
        <charset val="1"/>
      </rPr>
      <t xml:space="preserve">         </t>
    </r>
    <r>
      <rPr>
        <b val="true"/>
        <sz val="11"/>
        <color rgb="FF000000"/>
        <rFont val="Times New Roman"/>
        <family val="1"/>
        <charset val="1"/>
      </rPr>
      <t xml:space="preserve">Any item not on the Bid Schedule</t>
    </r>
  </si>
  <si>
    <r>
      <rPr>
        <sz val="10"/>
        <rFont val="Symbol"/>
        <family val="1"/>
        <charset val="2"/>
      </rPr>
      <t xml:space="preserve">·</t>
    </r>
    <r>
      <rPr>
        <sz val="7"/>
        <rFont val="Times New Roman"/>
        <family val="1"/>
        <charset val="1"/>
      </rPr>
      <t xml:space="preserve">         </t>
    </r>
    <r>
      <rPr>
        <b val="true"/>
        <sz val="11"/>
        <color rgb="FF000000"/>
        <rFont val="Times New Roman"/>
        <family val="1"/>
        <charset val="1"/>
      </rPr>
      <t xml:space="preserve">This proposal shall become part of the contract.</t>
    </r>
  </si>
  <si>
    <t xml:space="preserve">REV </t>
  </si>
  <si>
    <t xml:space="preserve">ARCHITECTUAL: </t>
  </si>
  <si>
    <t xml:space="preserve">CITY, STATE:</t>
  </si>
  <si>
    <t xml:space="preserve">Entered by:</t>
  </si>
  <si>
    <t xml:space="preserve">Approved by:</t>
  </si>
  <si>
    <t xml:space="preserve"> BID: </t>
  </si>
  <si>
    <t xml:space="preserve">REVISION: </t>
  </si>
  <si>
    <t xml:space="preserve">JOB COST SUMMARY </t>
  </si>
  <si>
    <t xml:space="preserve">Concrete Supplier:</t>
  </si>
  <si>
    <t xml:space="preserve">FORMS &amp;</t>
  </si>
  <si>
    <t xml:space="preserve">GRADE</t>
  </si>
  <si>
    <t xml:space="preserve">POLY</t>
  </si>
  <si>
    <t xml:space="preserve">PT CABLES</t>
  </si>
  <si>
    <t xml:space="preserve">REBAR</t>
  </si>
  <si>
    <t xml:space="preserve">REBAR </t>
  </si>
  <si>
    <t xml:space="preserve">CONCRETE</t>
  </si>
  <si>
    <t xml:space="preserve">SEAL/</t>
  </si>
  <si>
    <t xml:space="preserve">OTHER </t>
  </si>
  <si>
    <t xml:space="preserve">SUB</t>
  </si>
  <si>
    <t xml:space="preserve">LABOR</t>
  </si>
  <si>
    <t xml:space="preserve">SUPV</t>
  </si>
  <si>
    <t xml:space="preserve">PM</t>
  </si>
  <si>
    <t xml:space="preserve">EQUIP</t>
  </si>
  <si>
    <t xml:space="preserve">OUT OF</t>
  </si>
  <si>
    <t xml:space="preserve">MARGIN</t>
  </si>
  <si>
    <t xml:space="preserve">UNIT</t>
  </si>
  <si>
    <t xml:space="preserve">TOTAL COST</t>
  </si>
  <si>
    <t xml:space="preserve">%</t>
  </si>
  <si>
    <t xml:space="preserve">SALE</t>
  </si>
  <si>
    <t xml:space="preserve">Sale by</t>
  </si>
  <si>
    <t xml:space="preserve">MATERIAL</t>
  </si>
  <si>
    <t xml:space="preserve">SEALING</t>
  </si>
  <si>
    <t xml:space="preserve">WTR PRF</t>
  </si>
  <si>
    <t xml:space="preserve">SUBS</t>
  </si>
  <si>
    <t xml:space="preserve">TOWN</t>
  </si>
  <si>
    <t xml:space="preserve">CONTINGENCY</t>
  </si>
  <si>
    <t xml:space="preserve">COST</t>
  </si>
  <si>
    <t xml:space="preserve">of</t>
  </si>
  <si>
    <t xml:space="preserve">DESCRIPTION</t>
  </si>
  <si>
    <t xml:space="preserve">QUANTITY</t>
  </si>
  <si>
    <t xml:space="preserve">UNT</t>
  </si>
  <si>
    <t xml:space="preserve">AMOUNT</t>
  </si>
  <si>
    <t xml:space="preserve">CURE</t>
  </si>
  <si>
    <t xml:space="preserve">sale</t>
  </si>
  <si>
    <t xml:space="preserve">CY</t>
  </si>
  <si>
    <t xml:space="preserve">01-PIERS</t>
  </si>
  <si>
    <t xml:space="preserve">EA</t>
  </si>
  <si>
    <t xml:space="preserve">02-GRADE BEAMS</t>
  </si>
  <si>
    <t xml:space="preserve">03-WALL\FOOTINGS</t>
  </si>
  <si>
    <t xml:space="preserve">04-PT SLABS</t>
  </si>
  <si>
    <t xml:space="preserve">$ /SF</t>
  </si>
  <si>
    <t xml:space="preserve">05-SLABS</t>
  </si>
  <si>
    <t xml:space="preserve">06-WALLS</t>
  </si>
  <si>
    <t xml:space="preserve">06-Footings</t>
  </si>
  <si>
    <t xml:space="preserve">06-Garage Walls</t>
  </si>
  <si>
    <t xml:space="preserve">06-Garage Footings</t>
  </si>
  <si>
    <t xml:space="preserve">07-COLUMNS</t>
  </si>
  <si>
    <t xml:space="preserve">08-CIP ELEV.   SLAB</t>
  </si>
  <si>
    <t xml:space="preserve">09-SLAB ON DECK</t>
  </si>
  <si>
    <t xml:space="preserve">12-TILT PANELS</t>
  </si>
  <si>
    <t xml:space="preserve">SITEWORK</t>
  </si>
  <si>
    <t xml:space="preserve">10-PAVING</t>
  </si>
  <si>
    <t xml:space="preserve">11-SIDEWALKS</t>
  </si>
  <si>
    <t xml:space="preserve">13-MISCELLANEOUS</t>
  </si>
  <si>
    <t xml:space="preserve">LS</t>
  </si>
  <si>
    <t xml:space="preserve">TONS</t>
  </si>
  <si>
    <t xml:space="preserve">WKS</t>
  </si>
  <si>
    <t xml:space="preserve">Labor Sheet</t>
  </si>
  <si>
    <t xml:space="preserve">    TOTALS</t>
  </si>
  <si>
    <t xml:space="preserve">total CY</t>
  </si>
  <si>
    <t xml:space="preserve">TOTAL BOND</t>
  </si>
  <si>
    <t xml:space="preserve">$/CY</t>
  </si>
  <si>
    <t xml:space="preserve">CONTRACT PRICE</t>
  </si>
  <si>
    <t xml:space="preserve">Budget Price</t>
  </si>
  <si>
    <t xml:space="preserve">BOND ?</t>
  </si>
  <si>
    <t xml:space="preserve">n</t>
  </si>
  <si>
    <t xml:space="preserve">BONDING PRICE</t>
  </si>
  <si>
    <t xml:space="preserve">Last Bid</t>
  </si>
  <si>
    <t xml:space="preserve">Value of CCIP</t>
  </si>
  <si>
    <t xml:space="preserve">LABOR INSURANCE</t>
  </si>
  <si>
    <t xml:space="preserve">TOTAL MATERIAL</t>
  </si>
  <si>
    <t xml:space="preserve">TOTAL LABOR</t>
  </si>
  <si>
    <t xml:space="preserve">Margin</t>
  </si>
  <si>
    <t xml:space="preserve">Rebar Origin</t>
  </si>
  <si>
    <t xml:space="preserve">TOTAL SUB LABOR</t>
  </si>
  <si>
    <t xml:space="preserve">Contingency</t>
  </si>
  <si>
    <t xml:space="preserve">Structural</t>
  </si>
  <si>
    <t xml:space="preserve">Import</t>
  </si>
  <si>
    <t xml:space="preserve">TOTAL OTHER</t>
  </si>
  <si>
    <t xml:space="preserve">Adjusted Margin</t>
  </si>
  <si>
    <t xml:space="preserve">Civil</t>
  </si>
  <si>
    <t xml:space="preserve">Margin Contingency </t>
  </si>
  <si>
    <t xml:space="preserve">Tax Exempt</t>
  </si>
  <si>
    <t xml:space="preserve">N</t>
  </si>
  <si>
    <t xml:space="preserve">Tax Rate</t>
  </si>
  <si>
    <t xml:space="preserve">ESTIMATED PROFIT</t>
  </si>
  <si>
    <t xml:space="preserve">Harris:</t>
  </si>
  <si>
    <t xml:space="preserve">LOCATION:</t>
  </si>
  <si>
    <t xml:space="preserve">BID #</t>
  </si>
  <si>
    <t xml:space="preserve">ITEM</t>
  </si>
  <si>
    <t xml:space="preserve">Summary</t>
  </si>
  <si>
    <t xml:space="preserve">Code</t>
  </si>
  <si>
    <t xml:space="preserve">Grade Beams</t>
  </si>
  <si>
    <t xml:space="preserve">PT Wrap</t>
  </si>
  <si>
    <t xml:space="preserve">PT  Foundation Slabs</t>
  </si>
  <si>
    <t xml:space="preserve">Slab on Grade</t>
  </si>
  <si>
    <t xml:space="preserve">Footings</t>
  </si>
  <si>
    <t xml:space="preserve">Walls</t>
  </si>
  <si>
    <t xml:space="preserve">Garage Walls</t>
  </si>
  <si>
    <t xml:space="preserve">Slab on Deck</t>
  </si>
  <si>
    <t xml:space="preserve">Paving</t>
  </si>
  <si>
    <t xml:space="preserve">Sidewalks</t>
  </si>
  <si>
    <t xml:space="preserve">Panels</t>
  </si>
  <si>
    <t xml:space="preserve">MISCELLANEOUS</t>
  </si>
  <si>
    <t xml:space="preserve">01</t>
  </si>
  <si>
    <t xml:space="preserve">02</t>
  </si>
  <si>
    <t xml:space="preserve">03</t>
  </si>
  <si>
    <t xml:space="preserve">04</t>
  </si>
  <si>
    <t xml:space="preserve">05</t>
  </si>
  <si>
    <t xml:space="preserve">06</t>
  </si>
  <si>
    <t xml:space="preserve">07</t>
  </si>
  <si>
    <t xml:space="preserve">08</t>
  </si>
  <si>
    <t xml:space="preserve">09</t>
  </si>
  <si>
    <t xml:space="preserve">12</t>
  </si>
  <si>
    <t xml:space="preserve">13</t>
  </si>
  <si>
    <t xml:space="preserve">Material</t>
  </si>
  <si>
    <t xml:space="preserve">000001</t>
  </si>
  <si>
    <t xml:space="preserve">General Requirements</t>
  </si>
  <si>
    <t xml:space="preserve">000002</t>
  </si>
  <si>
    <t xml:space="preserve">Lumber</t>
  </si>
  <si>
    <t xml:space="preserve">000003</t>
  </si>
  <si>
    <t xml:space="preserve">Sand Material</t>
  </si>
  <si>
    <t xml:space="preserve">000004</t>
  </si>
  <si>
    <t xml:space="preserve">Rock Material</t>
  </si>
  <si>
    <t xml:space="preserve">000005</t>
  </si>
  <si>
    <t xml:space="preserve">Reinforcement Material</t>
  </si>
  <si>
    <t xml:space="preserve">000006</t>
  </si>
  <si>
    <t xml:space="preserve">Reinforcement Accessories</t>
  </si>
  <si>
    <t xml:space="preserve">000007</t>
  </si>
  <si>
    <t xml:space="preserve">PT Cables</t>
  </si>
  <si>
    <t xml:space="preserve">000008</t>
  </si>
  <si>
    <t xml:space="preserve">Concrete Material</t>
  </si>
  <si>
    <t xml:space="preserve">000009</t>
  </si>
  <si>
    <t xml:space="preserve">Carton Forms</t>
  </si>
  <si>
    <t xml:space="preserve">000010</t>
  </si>
  <si>
    <t xml:space="preserve">Cure/Sealers</t>
  </si>
  <si>
    <t xml:space="preserve">000011</t>
  </si>
  <si>
    <t xml:space="preserve">Patch/Grout</t>
  </si>
  <si>
    <t xml:space="preserve">000012</t>
  </si>
  <si>
    <t xml:space="preserve">Poly/Vapor Barrier</t>
  </si>
  <si>
    <t xml:space="preserve">000013</t>
  </si>
  <si>
    <t xml:space="preserve">Special Material</t>
  </si>
  <si>
    <t xml:space="preserve">000014</t>
  </si>
  <si>
    <t xml:space="preserve">000015</t>
  </si>
  <si>
    <t xml:space="preserve">PPE/Safety</t>
  </si>
  <si>
    <t xml:space="preserve">000020</t>
  </si>
  <si>
    <t xml:space="preserve">Supervision</t>
  </si>
  <si>
    <t xml:space="preserve">000021</t>
  </si>
  <si>
    <t xml:space="preserve">Supervision Expense</t>
  </si>
  <si>
    <t xml:space="preserve">In House Labor</t>
  </si>
  <si>
    <t xml:space="preserve">000022</t>
  </si>
  <si>
    <t xml:space="preserve">Project Management</t>
  </si>
  <si>
    <t xml:space="preserve">000023</t>
  </si>
  <si>
    <t xml:space="preserve">Labor Grade, Poly, Reinf.</t>
  </si>
  <si>
    <t xml:space="preserve">000024</t>
  </si>
  <si>
    <t xml:space="preserve">Labor Place &amp; Finish</t>
  </si>
  <si>
    <t xml:space="preserve">000025</t>
  </si>
  <si>
    <t xml:space="preserve">Labor Drops</t>
  </si>
  <si>
    <t xml:space="preserve">000026</t>
  </si>
  <si>
    <t xml:space="preserve">Labor Strip Forms</t>
  </si>
  <si>
    <t xml:space="preserve">000027</t>
  </si>
  <si>
    <t xml:space="preserve">Labor Burden</t>
  </si>
  <si>
    <t xml:space="preserve">000028</t>
  </si>
  <si>
    <t xml:space="preserve">Surveying</t>
  </si>
  <si>
    <t xml:space="preserve">Contract Services</t>
  </si>
  <si>
    <t xml:space="preserve">000030</t>
  </si>
  <si>
    <t xml:space="preserve">Pumping</t>
  </si>
  <si>
    <t xml:space="preserve">000031</t>
  </si>
  <si>
    <t xml:space="preserve">Earth Work/Excavation</t>
  </si>
  <si>
    <t xml:space="preserve">000032</t>
  </si>
  <si>
    <t xml:space="preserve">000033</t>
  </si>
  <si>
    <t xml:space="preserve">Haul off</t>
  </si>
  <si>
    <t xml:space="preserve">000034</t>
  </si>
  <si>
    <t xml:space="preserve">Saw Cutting/Sealing</t>
  </si>
  <si>
    <t xml:space="preserve">000035</t>
  </si>
  <si>
    <t xml:space="preserve">Demolition</t>
  </si>
  <si>
    <t xml:space="preserve">000037</t>
  </si>
  <si>
    <t xml:space="preserve">Waterproofing</t>
  </si>
  <si>
    <t xml:space="preserve">000038</t>
  </si>
  <si>
    <t xml:space="preserve">Crain/Hoisting</t>
  </si>
  <si>
    <t xml:space="preserve">000039</t>
  </si>
  <si>
    <t xml:space="preserve">Forming Systems</t>
  </si>
  <si>
    <t xml:space="preserve">Labor</t>
  </si>
  <si>
    <t xml:space="preserve">000040</t>
  </si>
  <si>
    <t xml:space="preserve">Total Sub Labor</t>
  </si>
  <si>
    <t xml:space="preserve">000041</t>
  </si>
  <si>
    <t xml:space="preserve">Labor Forming</t>
  </si>
  <si>
    <t xml:space="preserve">000042</t>
  </si>
  <si>
    <t xml:space="preserve">000043</t>
  </si>
  <si>
    <t xml:space="preserve">000044</t>
  </si>
  <si>
    <t xml:space="preserve">000045</t>
  </si>
  <si>
    <t xml:space="preserve">000046</t>
  </si>
  <si>
    <t xml:space="preserve">000047</t>
  </si>
  <si>
    <t xml:space="preserve">000048</t>
  </si>
  <si>
    <t xml:space="preserve">PT Installation</t>
  </si>
  <si>
    <t xml:space="preserve">Extra Hours</t>
  </si>
  <si>
    <t xml:space="preserve">Equipment</t>
  </si>
  <si>
    <t xml:space="preserve">000060</t>
  </si>
  <si>
    <t xml:space="preserve">Total Equipment Rental</t>
  </si>
  <si>
    <t xml:space="preserve">000061</t>
  </si>
  <si>
    <t xml:space="preserve">000062</t>
  </si>
  <si>
    <t xml:space="preserve">Mini Excavator</t>
  </si>
  <si>
    <t xml:space="preserve">Mini Ex</t>
  </si>
  <si>
    <t xml:space="preserve">000063</t>
  </si>
  <si>
    <t xml:space="preserve">Trencher</t>
  </si>
  <si>
    <t xml:space="preserve">000064</t>
  </si>
  <si>
    <t xml:space="preserve">Skid Steer</t>
  </si>
  <si>
    <t xml:space="preserve">000065</t>
  </si>
  <si>
    <t xml:space="preserve">General Equipment Rental</t>
  </si>
  <si>
    <t xml:space="preserve">000066</t>
  </si>
  <si>
    <t xml:space="preserve">Fuel</t>
  </si>
  <si>
    <t xml:space="preserve">000067</t>
  </si>
  <si>
    <t xml:space="preserve">Purchased Tools</t>
  </si>
  <si>
    <t xml:space="preserve">000068</t>
  </si>
  <si>
    <t xml:space="preserve">Stolen/Damaged</t>
  </si>
  <si>
    <t xml:space="preserve">TRAVEL</t>
  </si>
  <si>
    <t xml:space="preserve">000070</t>
  </si>
  <si>
    <t xml:space="preserve">Out of Town Expense</t>
  </si>
  <si>
    <t xml:space="preserve">MISELLANIOUS</t>
  </si>
  <si>
    <t xml:space="preserve">000071</t>
  </si>
  <si>
    <t xml:space="preserve">000072</t>
  </si>
  <si>
    <t xml:space="preserve">Repairs</t>
  </si>
  <si>
    <t xml:space="preserve">000073</t>
  </si>
  <si>
    <t xml:space="preserve">Engineering</t>
  </si>
  <si>
    <t xml:space="preserve">000090</t>
  </si>
  <si>
    <t xml:space="preserve">Not Used</t>
  </si>
  <si>
    <t xml:space="preserve">000091</t>
  </si>
  <si>
    <t xml:space="preserve">Margin Contingency</t>
  </si>
  <si>
    <t xml:space="preserve">Version 2</t>
  </si>
  <si>
    <t xml:space="preserve">DATE:</t>
  </si>
  <si>
    <t xml:space="preserve">Rev.</t>
  </si>
  <si>
    <t xml:space="preserve">CONCRETE FOR PIER CAPS</t>
  </si>
  <si>
    <t xml:space="preserve">Concrete Supplier</t>
  </si>
  <si>
    <t xml:space="preserve">PIERS </t>
  </si>
  <si>
    <t xml:space="preserve">VERTICAL RENFORCING</t>
  </si>
  <si>
    <t xml:space="preserve">STIRRUPS </t>
  </si>
  <si>
    <t xml:space="preserve">DOWELS</t>
  </si>
  <si>
    <t xml:space="preserve">QUANTITIES</t>
  </si>
  <si>
    <t xml:space="preserve">ADD/DED</t>
  </si>
  <si>
    <t xml:space="preserve">LABOR SHEET</t>
  </si>
  <si>
    <t xml:space="preserve">ADD / DEDUCT</t>
  </si>
  <si>
    <t xml:space="preserve">COST Drilling</t>
  </si>
  <si>
    <t xml:space="preserve">concrete</t>
  </si>
  <si>
    <t xml:space="preserve">Enter Group</t>
  </si>
  <si>
    <t xml:space="preserve">TYPE </t>
  </si>
  <si>
    <t xml:space="preserve">MIX DESIGN</t>
  </si>
  <si>
    <t xml:space="preserve">DIA INCHES</t>
  </si>
  <si>
    <t xml:space="preserve">BASE DEPTH (FT)</t>
  </si>
  <si>
    <t xml:space="preserve">ROCK PENETR (FT)</t>
  </si>
  <si>
    <t xml:space="preserve">BELL SIZE (INCHES)</t>
  </si>
  <si>
    <t xml:space="preserve">TOTAL DEPTH (FT)</t>
  </si>
  <si>
    <t xml:space="preserve">SIZE</t>
  </si>
  <si>
    <t xml:space="preserve">SPACING</t>
  </si>
  <si>
    <t xml:space="preserve">LGTH (FT)</t>
  </si>
  <si>
    <t xml:space="preserve">STEEL WEIGHT (LBS)</t>
  </si>
  <si>
    <t xml:space="preserve">TOTAL CY CONCRETE</t>
  </si>
  <si>
    <t xml:space="preserve">ADD/FT</t>
  </si>
  <si>
    <t xml:space="preserve">DED / FT</t>
  </si>
  <si>
    <t xml:space="preserve">CASING / FT</t>
  </si>
  <si>
    <t xml:space="preserve">WTS</t>
  </si>
  <si>
    <t xml:space="preserve">EXCAVATION</t>
  </si>
  <si>
    <t xml:space="preserve">CASING CON</t>
  </si>
  <si>
    <t xml:space="preserve">CONC STRAIT</t>
  </si>
  <si>
    <t xml:space="preserve">STEEL WT / FT</t>
  </si>
  <si>
    <t xml:space="preserve">HAUL CASING</t>
  </si>
  <si>
    <t xml:space="preserve">CASING CONCRETE</t>
  </si>
  <si>
    <t xml:space="preserve">DED</t>
  </si>
  <si>
    <t xml:space="preserve">DRILLING</t>
  </si>
  <si>
    <t xml:space="preserve">LABOR </t>
  </si>
  <si>
    <t xml:space="preserve">SHAFT CONCRETE</t>
  </si>
  <si>
    <t xml:space="preserve">HAUL OFF</t>
  </si>
  <si>
    <t xml:space="preserve">mix 1</t>
  </si>
  <si>
    <t xml:space="preserve">mix 2</t>
  </si>
  <si>
    <t xml:space="preserve">mix 3</t>
  </si>
  <si>
    <t xml:space="preserve">mix 4</t>
  </si>
  <si>
    <t xml:space="preserve">mix 5</t>
  </si>
  <si>
    <t xml:space="preserve">mix 6</t>
  </si>
  <si>
    <t xml:space="preserve">mix 7</t>
  </si>
  <si>
    <t xml:space="preserve">mix 8</t>
  </si>
  <si>
    <t xml:space="preserve">mix 9</t>
  </si>
  <si>
    <t xml:space="preserve">mix 10</t>
  </si>
  <si>
    <t xml:space="preserve">bell dia total</t>
  </si>
  <si>
    <t xml:space="preserve">price if from quote</t>
  </si>
  <si>
    <t xml:space="preserve">42"</t>
  </si>
  <si>
    <t xml:space="preserve">BELL COST</t>
  </si>
  <si>
    <t xml:space="preserve">General Labor</t>
  </si>
  <si>
    <t xml:space="preserve">Excavation</t>
  </si>
  <si>
    <t xml:space="preserve">Rebar Labor</t>
  </si>
  <si>
    <t xml:space="preserve">Piers Caps</t>
  </si>
  <si>
    <t xml:space="preserve">SUPER</t>
  </si>
  <si>
    <t xml:space="preserve">SUB Contract</t>
  </si>
  <si>
    <t xml:space="preserve">Contengency</t>
  </si>
  <si>
    <t xml:space="preserve">G</t>
  </si>
  <si>
    <t xml:space="preserve">R</t>
  </si>
  <si>
    <t xml:space="preserve">TOTALS</t>
  </si>
  <si>
    <t xml:space="preserve">LN FT</t>
  </si>
  <si>
    <t xml:space="preserve">  TOTAL LBS.</t>
  </si>
  <si>
    <t xml:space="preserve">Enter Target Price:</t>
  </si>
  <si>
    <t xml:space="preserve">UNIT SALE / FT</t>
  </si>
  <si>
    <t xml:space="preserve">MARK UP OF SALE:</t>
  </si>
  <si>
    <t xml:space="preserve">UNIT COST:</t>
  </si>
  <si>
    <t xml:space="preserve">COST +</t>
  </si>
  <si>
    <t xml:space="preserve">TAX  @…………</t>
  </si>
  <si>
    <t xml:space="preserve">EXEMPT</t>
  </si>
  <si>
    <t xml:space="preserve">Rate</t>
  </si>
  <si>
    <t xml:space="preserve">PRICE:</t>
  </si>
  <si>
    <t xml:space="preserve">Target Price</t>
  </si>
  <si>
    <t xml:space="preserve">Notes:</t>
  </si>
  <si>
    <t xml:space="preserve">$$$</t>
  </si>
  <si>
    <t xml:space="preserve">Pod</t>
  </si>
  <si>
    <t xml:space="preserve">RCI QUOTE</t>
  </si>
  <si>
    <t xml:space="preserve">Rebar Wt per CY</t>
  </si>
  <si>
    <t xml:space="preserve">TS Budget</t>
  </si>
  <si>
    <t xml:space="preserve">TOTAL INCHES OF BELLS</t>
  </si>
  <si>
    <t xml:space="preserve">LUMBER %</t>
  </si>
  <si>
    <t xml:space="preserve">TOTAL COST FOR BELLS</t>
  </si>
  <si>
    <t xml:space="preserve">Mix #</t>
  </si>
  <si>
    <t xml:space="preserve"> MATERIAL COSTS:</t>
  </si>
  <si>
    <t xml:space="preserve">Waste</t>
  </si>
  <si>
    <t xml:space="preserve">LUMBER AND ACCESS</t>
  </si>
  <si>
    <t xml:space="preserve">ACC #</t>
  </si>
  <si>
    <t xml:space="preserve">/CY</t>
  </si>
  <si>
    <t xml:space="preserve">CY   =</t>
  </si>
  <si>
    <t xml:space="preserve">TOTAL STEEL COST @</t>
  </si>
  <si>
    <t xml:space="preserve">LBS</t>
  </si>
  <si>
    <t xml:space="preserve">PIER QUOTE</t>
  </si>
  <si>
    <t xml:space="preserve">BY</t>
  </si>
  <si>
    <t xml:space="preserve">Quote:</t>
  </si>
  <si>
    <t xml:space="preserve">3/8" X 12" X 16' SIDING</t>
  </si>
  <si>
    <t xml:space="preserve">SHEET</t>
  </si>
  <si>
    <t xml:space="preserve">ROAD BASE</t>
  </si>
  <si>
    <t xml:space="preserve"> LABOR</t>
  </si>
  <si>
    <t xml:space="preserve">Sub</t>
  </si>
  <si>
    <t xml:space="preserve">SUB LABOR</t>
  </si>
  <si>
    <t xml:space="preserve">2 x 2 x 30 STAKES</t>
  </si>
  <si>
    <t xml:space="preserve">BNDLS</t>
  </si>
  <si>
    <t xml:space="preserve">/BUNDL</t>
  </si>
  <si>
    <t xml:space="preserve">LAYOUT</t>
  </si>
  <si>
    <t xml:space="preserve">y</t>
  </si>
  <si>
    <t xml:space="preserve">BOX</t>
  </si>
  <si>
    <t xml:space="preserve">PLACE &amp; FINISH</t>
  </si>
  <si>
    <t xml:space="preserve">CLEANUP</t>
  </si>
  <si>
    <t xml:space="preserve">Y</t>
  </si>
  <si>
    <t xml:space="preserve">TIE STEEL</t>
  </si>
  <si>
    <t xml:space="preserve">/TON</t>
  </si>
  <si>
    <t xml:space="preserve">TONS =   </t>
  </si>
  <si>
    <t xml:space="preserve">ANCHOR BOLTS</t>
  </si>
  <si>
    <t xml:space="preserve">PIER CAPS</t>
  </si>
  <si>
    <t xml:space="preserve">EACH</t>
  </si>
  <si>
    <t xml:space="preserve">EXTRA HOURS</t>
  </si>
  <si>
    <t xml:space="preserve">COST PER PIER</t>
  </si>
  <si>
    <t xml:space="preserve">SUPERVISION </t>
  </si>
  <si>
    <t xml:space="preserve">SUPERINTENDENT</t>
  </si>
  <si>
    <t xml:space="preserve">DAYS@</t>
  </si>
  <si>
    <t xml:space="preserve">FORMAN</t>
  </si>
  <si>
    <t xml:space="preserve">TACK STRIPS</t>
  </si>
  <si>
    <t xml:space="preserve">EXPENSE ALLOWANCE</t>
  </si>
  <si>
    <t xml:space="preserve">PROJECT MANAGEMENT</t>
  </si>
  <si>
    <t xml:space="preserve">Concrete Haul OFF</t>
  </si>
  <si>
    <t xml:space="preserve">Loads</t>
  </si>
  <si>
    <t xml:space="preserve">/Load</t>
  </si>
  <si>
    <t xml:space="preserve">EQUIPMENT</t>
  </si>
  <si>
    <t xml:space="preserve">SKY TRACK</t>
  </si>
  <si>
    <t xml:space="preserve">Days </t>
  </si>
  <si>
    <t xml:space="preserve">14</t>
  </si>
  <si>
    <t xml:space="preserve">FUEL &amp; MAINT.</t>
  </si>
  <si>
    <t xml:space="preserve">15</t>
  </si>
  <si>
    <t xml:space="preserve">6</t>
  </si>
  <si>
    <t xml:space="preserve">LIGHT TOWER</t>
  </si>
  <si>
    <t xml:space="preserve">VAULT</t>
  </si>
  <si>
    <t xml:space="preserve">CARTON FORMS</t>
  </si>
  <si>
    <t xml:space="preserve">9</t>
  </si>
  <si>
    <t xml:space="preserve">CONTRACT SERVICES</t>
  </si>
  <si>
    <t xml:space="preserve">SONOTUBES</t>
  </si>
  <si>
    <t xml:space="preserve">/LF</t>
  </si>
  <si>
    <t xml:space="preserve">SURVEYING</t>
  </si>
  <si>
    <t xml:space="preserve">DEMO</t>
  </si>
  <si>
    <t xml:space="preserve">/LN FT</t>
  </si>
  <si>
    <t xml:space="preserve">10</t>
  </si>
  <si>
    <t xml:space="preserve">CONCRETE PUMPING</t>
  </si>
  <si>
    <t xml:space="preserve">DRUMS</t>
  </si>
  <si>
    <t xml:space="preserve">OFF SITE HAUL OFF</t>
  </si>
  <si>
    <t xml:space="preserve">OUT OF TOWN EXP</t>
  </si>
  <si>
    <t xml:space="preserve">DAYS</t>
  </si>
  <si>
    <t xml:space="preserve">FOR </t>
  </si>
  <si>
    <t xml:space="preserve">Spacing</t>
  </si>
  <si>
    <t xml:space="preserve">C . C</t>
  </si>
  <si>
    <t xml:space="preserve">Margin Contengency</t>
  </si>
  <si>
    <t xml:space="preserve">Mark Up</t>
  </si>
  <si>
    <t xml:space="preserve">1/2" Smooth Dowels</t>
  </si>
  <si>
    <t xml:space="preserve">PCS</t>
  </si>
  <si>
    <t xml:space="preserve">JOB NAME</t>
  </si>
  <si>
    <t xml:space="preserve">GB DIMENSIONS</t>
  </si>
  <si>
    <t xml:space="preserve">TOP BARS</t>
  </si>
  <si>
    <t xml:space="preserve">BOTTOM BARS</t>
  </si>
  <si>
    <t xml:space="preserve">MID BARS</t>
  </si>
  <si>
    <t xml:space="preserve">STIRRUPS</t>
  </si>
  <si>
    <t xml:space="preserve">"L" BARS</t>
  </si>
  <si>
    <t xml:space="preserve">PILASTERS</t>
  </si>
  <si>
    <t xml:space="preserve">LBS OF STEEL</t>
  </si>
  <si>
    <t xml:space="preserve">mix design</t>
  </si>
  <si>
    <t xml:space="preserve">GB TYPE</t>
  </si>
  <si>
    <t xml:space="preserve">LENGTH FT.</t>
  </si>
  <si>
    <t xml:space="preserve">WIDTH IN.</t>
  </si>
  <si>
    <t xml:space="preserve">HEIGHT IN.</t>
  </si>
  <si>
    <t xml:space="preserve"># BARS</t>
  </si>
  <si>
    <t xml:space="preserve">LNTH</t>
  </si>
  <si>
    <t xml:space="preserve">LGTH</t>
  </si>
  <si>
    <t xml:space="preserve">WIDTH</t>
  </si>
  <si>
    <t xml:space="preserve">By Yrds</t>
  </si>
  <si>
    <t xml:space="preserve">MIX #1</t>
  </si>
  <si>
    <t xml:space="preserve">MIX #2</t>
  </si>
  <si>
    <t xml:space="preserve">MIX #3</t>
  </si>
  <si>
    <t xml:space="preserve">MIX #4</t>
  </si>
  <si>
    <t xml:space="preserve">MIX#5</t>
  </si>
  <si>
    <t xml:space="preserve">MIX#6</t>
  </si>
  <si>
    <t xml:space="preserve">MIX#7</t>
  </si>
  <si>
    <t xml:space="preserve">MIX#8</t>
  </si>
  <si>
    <t xml:space="preserve">MIX#9</t>
  </si>
  <si>
    <t xml:space="preserve">MIX#10</t>
  </si>
  <si>
    <t xml:space="preserve">TOTAL CONCRETE</t>
  </si>
  <si>
    <t xml:space="preserve">TOTAL STEEL</t>
  </si>
  <si>
    <t xml:space="preserve">CONTACT FT</t>
  </si>
  <si>
    <t xml:space="preserve">FACE FT</t>
  </si>
  <si>
    <t xml:space="preserve">CONCRETE COST</t>
  </si>
  <si>
    <t xml:space="preserve">FORMING COST</t>
  </si>
  <si>
    <t xml:space="preserve">PHILASTER COST</t>
  </si>
  <si>
    <t xml:space="preserve">STEEL LABOR</t>
  </si>
  <si>
    <t xml:space="preserve">EXCAVATE LABOR</t>
  </si>
  <si>
    <t xml:space="preserve">EQUIP,SUP,CONTRACT</t>
  </si>
  <si>
    <t xml:space="preserve">By FF</t>
  </si>
  <si>
    <t xml:space="preserve">Average Cost</t>
  </si>
  <si>
    <t xml:space="preserve">rebar</t>
  </si>
  <si>
    <t xml:space="preserve">Backfill</t>
  </si>
  <si>
    <t xml:space="preserve">TOTAL LINEAR FEET BEAMS</t>
  </si>
  <si>
    <t xml:space="preserve"> TOTAL WIEGHT LBS.</t>
  </si>
  <si>
    <t xml:space="preserve"> TOTAL WEIGHT TONS</t>
  </si>
  <si>
    <t xml:space="preserve">Enter</t>
  </si>
  <si>
    <t xml:space="preserve">Answer</t>
  </si>
  <si>
    <t xml:space="preserve">0 FF = Elevation</t>
  </si>
  <si>
    <t xml:space="preserve">NOTES;</t>
  </si>
  <si>
    <t xml:space="preserve">Garage:</t>
  </si>
  <si>
    <t xml:space="preserve">Enter FF elevation</t>
  </si>
  <si>
    <t xml:space="preserve">Res:</t>
  </si>
  <si>
    <t xml:space="preserve">COST OF FORMING / FACE FOOT</t>
  </si>
  <si>
    <t xml:space="preserve">Enter sea level FF</t>
  </si>
  <si>
    <t xml:space="preserve">Rebar Wt. Per CY </t>
  </si>
  <si>
    <t xml:space="preserve">Rebar Calculator</t>
  </si>
  <si>
    <t xml:space="preserve">includes waste</t>
  </si>
  <si>
    <t xml:space="preserve"> MATERIAL COSTS :</t>
  </si>
  <si>
    <t xml:space="preserve">TOTAL WT</t>
  </si>
  <si>
    <t xml:space="preserve">% OF FORMING</t>
  </si>
  <si>
    <t xml:space="preserve">Ln ft</t>
  </si>
  <si>
    <t xml:space="preserve">/FT</t>
  </si>
  <si>
    <t xml:space="preserve">SQ FT</t>
  </si>
  <si>
    <t xml:space="preserve">POST TENSION</t>
  </si>
  <si>
    <t xml:space="preserve">SHT</t>
  </si>
  <si>
    <t xml:space="preserve">TOTAL COST SAND</t>
  </si>
  <si>
    <t xml:space="preserve">2 x 2 x 30 stakes </t>
  </si>
  <si>
    <t xml:space="preserve">bndls</t>
  </si>
  <si>
    <t xml:space="preserve">ROCK COST</t>
  </si>
  <si>
    <t xml:space="preserve">Box</t>
  </si>
  <si>
    <t xml:space="preserve">/' SQ FT</t>
  </si>
  <si>
    <t xml:space="preserve">CARTON FORMS (GR BMS)</t>
  </si>
  <si>
    <t xml:space="preserve">Y/N</t>
  </si>
  <si>
    <t xml:space="preserve">DURROCK RETAINER</t>
  </si>
  <si>
    <t xml:space="preserve">/ LN FT</t>
  </si>
  <si>
    <t xml:space="preserve">FORM RENTAL</t>
  </si>
  <si>
    <t xml:space="preserve">/CONTACT FT.</t>
  </si>
  <si>
    <t xml:space="preserve">% of forming</t>
  </si>
  <si>
    <t xml:space="preserve"> LABOR: SLAB</t>
  </si>
  <si>
    <t xml:space="preserve">/FC. FT.</t>
  </si>
  <si>
    <t xml:space="preserve">FC. FT=</t>
  </si>
  <si>
    <t xml:space="preserve">FORMING</t>
  </si>
  <si>
    <t xml:space="preserve">/FC FT.</t>
  </si>
  <si>
    <t xml:space="preserve">FC.FT.=</t>
  </si>
  <si>
    <t xml:space="preserve">Water Stops</t>
  </si>
  <si>
    <t xml:space="preserve">Ln Ft</t>
  </si>
  <si>
    <t xml:space="preserve">PLACE AND FINISH</t>
  </si>
  <si>
    <t xml:space="preserve">WRECK AND CLEAN UP</t>
  </si>
  <si>
    <t xml:space="preserve">RUB AND PATCH</t>
  </si>
  <si>
    <t xml:space="preserve">EXCAVATE</t>
  </si>
  <si>
    <t xml:space="preserve">BACKFILL/COMPACTION</t>
  </si>
  <si>
    <t xml:space="preserve">COST PER SQ FT</t>
  </si>
  <si>
    <t xml:space="preserve">39</t>
  </si>
  <si>
    <t xml:space="preserve">SUPERVISION MONO SLAB</t>
  </si>
  <si>
    <t xml:space="preserve">$/DAY</t>
  </si>
  <si>
    <t xml:space="preserve">11</t>
  </si>
  <si>
    <t xml:space="preserve">BAGS</t>
  </si>
  <si>
    <t xml:space="preserve">POLY 6 mill</t>
  </si>
  <si>
    <t xml:space="preserve">Rolls</t>
  </si>
  <si>
    <t xml:space="preserve">Insulation Board</t>
  </si>
  <si>
    <t xml:space="preserve">Concrete Haul off</t>
  </si>
  <si>
    <t xml:space="preserve">BOLSTERS</t>
  </si>
  <si>
    <t xml:space="preserve">PUMP ALLOWANCE</t>
  </si>
  <si>
    <t xml:space="preserve">/ CY</t>
  </si>
  <si>
    <t xml:space="preserve">drms</t>
  </si>
  <si>
    <t xml:space="preserve">WATERPROOFING</t>
  </si>
  <si>
    <t xml:space="preserve">SAW CUTTING</t>
  </si>
  <si>
    <t xml:space="preserve">UNITS</t>
  </si>
  <si>
    <t xml:space="preserve">/UNIT</t>
  </si>
  <si>
    <t xml:space="preserve">Mark up</t>
  </si>
  <si>
    <t xml:space="preserve">If Rows are added</t>
  </si>
  <si>
    <t xml:space="preserve">go to cost code below </t>
  </si>
  <si>
    <t xml:space="preserve">and follow directions</t>
  </si>
  <si>
    <t xml:space="preserve">CONCRETE GRADE BEAMS</t>
  </si>
  <si>
    <t xml:space="preserve">Dirt Haul off</t>
  </si>
  <si>
    <t xml:space="preserve">Area of Beam</t>
  </si>
  <si>
    <t xml:space="preserve">PT SOG TYPE</t>
  </si>
  <si>
    <t xml:space="preserve">LABOR ADD</t>
  </si>
  <si>
    <t xml:space="preserve">SQ</t>
  </si>
  <si>
    <t xml:space="preserve">THICK INCH</t>
  </si>
  <si>
    <t xml:space="preserve">QTY </t>
  </si>
  <si>
    <t xml:space="preserve">CABLE</t>
  </si>
  <si>
    <t xml:space="preserve">INCH OF</t>
  </si>
  <si>
    <t xml:space="preserve">PERM. EDGE</t>
  </si>
  <si>
    <t xml:space="preserve">RE</t>
  </si>
  <si>
    <t xml:space="preserve">BAR</t>
  </si>
  <si>
    <t xml:space="preserve">Hold Dwn</t>
  </si>
  <si>
    <t xml:space="preserve">STEEL WT LBS</t>
  </si>
  <si>
    <t xml:space="preserve">PRICE PER SQ FT</t>
  </si>
  <si>
    <t xml:space="preserve">TOTAL PRICE EACH</t>
  </si>
  <si>
    <t xml:space="preserve">Drops</t>
  </si>
  <si>
    <t xml:space="preserve">Wts</t>
  </si>
  <si>
    <t xml:space="preserve">DROPS</t>
  </si>
  <si>
    <t xml:space="preserve">Vertical Stems</t>
  </si>
  <si>
    <t xml:space="preserve">Extended Beams</t>
  </si>
  <si>
    <t xml:space="preserve">Beam 1</t>
  </si>
  <si>
    <t xml:space="preserve">Beam 2</t>
  </si>
  <si>
    <t xml:space="preserve">beam 3</t>
  </si>
  <si>
    <t xml:space="preserve">beam 4</t>
  </si>
  <si>
    <t xml:space="preserve">beam 5</t>
  </si>
  <si>
    <t xml:space="preserve">beam 6</t>
  </si>
  <si>
    <t xml:space="preserve">beam 7</t>
  </si>
  <si>
    <t xml:space="preserve">drops</t>
  </si>
  <si>
    <t xml:space="preserve">Vertical Stem</t>
  </si>
  <si>
    <t xml:space="preserve">Beam 3</t>
  </si>
  <si>
    <t xml:space="preserve">Beam 4</t>
  </si>
  <si>
    <t xml:space="preserve">Beam 5</t>
  </si>
  <si>
    <t xml:space="preserve">Beam 6</t>
  </si>
  <si>
    <t xml:space="preserve">Beam 7</t>
  </si>
  <si>
    <t xml:space="preserve">yrds conc. Beams</t>
  </si>
  <si>
    <t xml:space="preserve">Lbs rebar. Beams</t>
  </si>
  <si>
    <t xml:space="preserve">Cost Center</t>
  </si>
  <si>
    <t xml:space="preserve">Poly for Slabs</t>
  </si>
  <si>
    <t xml:space="preserve">Total Area of Beams</t>
  </si>
  <si>
    <t xml:space="preserve">/SF</t>
  </si>
  <si>
    <t xml:space="preserve">FT</t>
  </si>
  <si>
    <t xml:space="preserve">SLABS</t>
  </si>
  <si>
    <t xml:space="preserve">SAND</t>
  </si>
  <si>
    <t xml:space="preserve">SPACE</t>
  </si>
  <si>
    <t xml:space="preserve">Count</t>
  </si>
  <si>
    <t xml:space="preserve">ADDERS</t>
  </si>
  <si>
    <t xml:space="preserve">TYPE</t>
  </si>
  <si>
    <t xml:space="preserve">SLAB REBAR</t>
  </si>
  <si>
    <t xml:space="preserve">SQ FTWIRE MESH</t>
  </si>
  <si>
    <t xml:space="preserve">QTY SLABS</t>
  </si>
  <si>
    <t xml:space="preserve">Traf con</t>
  </si>
  <si>
    <t xml:space="preserve">MIX #6</t>
  </si>
  <si>
    <t xml:space="preserve">MIX #7</t>
  </si>
  <si>
    <t xml:space="preserve">MIX #8</t>
  </si>
  <si>
    <t xml:space="preserve">MIX #9</t>
  </si>
  <si>
    <t xml:space="preserve">MIX #10</t>
  </si>
  <si>
    <t xml:space="preserve">TOTAL </t>
  </si>
  <si>
    <t xml:space="preserve">SQ FT CABLES</t>
  </si>
  <si>
    <t xml:space="preserve">TOTAL PERIMITER</t>
  </si>
  <si>
    <t xml:space="preserve"> FF DROPS</t>
  </si>
  <si>
    <t xml:space="preserve">FF Stem Walls</t>
  </si>
  <si>
    <t xml:space="preserve">FF extended Beam</t>
  </si>
  <si>
    <t xml:space="preserve">TOTAL SQ FT</t>
  </si>
  <si>
    <t xml:space="preserve">Hold Down Count</t>
  </si>
  <si>
    <t xml:space="preserve">TOTAL COST EACH</t>
  </si>
  <si>
    <t xml:space="preserve">Labor Adder</t>
  </si>
  <si>
    <t xml:space="preserve">labor</t>
  </si>
  <si>
    <t xml:space="preserve">Drops Labor</t>
  </si>
  <si>
    <t xml:space="preserve">CURBS</t>
  </si>
  <si>
    <t xml:space="preserve">SUPR</t>
  </si>
  <si>
    <t xml:space="preserve">LUMBER</t>
  </si>
  <si>
    <t xml:space="preserve">CONTRACT</t>
  </si>
  <si>
    <t xml:space="preserve">ACCESS</t>
  </si>
  <si>
    <t xml:space="preserve">CABLES</t>
  </si>
  <si>
    <t xml:space="preserve">HOLD DOWNS</t>
  </si>
  <si>
    <t xml:space="preserve">GB1</t>
  </si>
  <si>
    <t xml:space="preserve">GB2</t>
  </si>
  <si>
    <t xml:space="preserve">GB3</t>
  </si>
  <si>
    <t xml:space="preserve">GB4</t>
  </si>
  <si>
    <t xml:space="preserve">GB5</t>
  </si>
  <si>
    <t xml:space="preserve">GB6</t>
  </si>
  <si>
    <t xml:space="preserve">GB7</t>
  </si>
  <si>
    <t xml:space="preserve">Pour 1</t>
  </si>
  <si>
    <t xml:space="preserve">Pour 2</t>
  </si>
  <si>
    <t xml:space="preserve">Pour 3</t>
  </si>
  <si>
    <t xml:space="preserve">Pour 4</t>
  </si>
  <si>
    <t xml:space="preserve">Pour 5</t>
  </si>
  <si>
    <t xml:space="preserve">Pour 6</t>
  </si>
  <si>
    <t xml:space="preserve">Pour 7</t>
  </si>
  <si>
    <t xml:space="preserve">Pour 8</t>
  </si>
  <si>
    <t xml:space="preserve">Pour 9</t>
  </si>
  <si>
    <t xml:space="preserve">Pour 10</t>
  </si>
  <si>
    <t xml:space="preserve">Pour 11</t>
  </si>
  <si>
    <t xml:space="preserve">Pour 12</t>
  </si>
  <si>
    <t xml:space="preserve">Pour 13</t>
  </si>
  <si>
    <t xml:space="preserve">Pour 14</t>
  </si>
  <si>
    <t xml:space="preserve">Pour 15</t>
  </si>
  <si>
    <t xml:space="preserve">16</t>
  </si>
  <si>
    <t xml:space="preserve">Pour 16</t>
  </si>
  <si>
    <t xml:space="preserve">17</t>
  </si>
  <si>
    <t xml:space="preserve">18</t>
  </si>
  <si>
    <t xml:space="preserve">19</t>
  </si>
  <si>
    <t xml:space="preserve">20</t>
  </si>
  <si>
    <t xml:space="preserve">21</t>
  </si>
  <si>
    <t xml:space="preserve">22</t>
  </si>
  <si>
    <t xml:space="preserve">23</t>
  </si>
  <si>
    <t xml:space="preserve">24</t>
  </si>
  <si>
    <t xml:space="preserve">25</t>
  </si>
  <si>
    <t xml:space="preserve">Pour Strip</t>
  </si>
  <si>
    <t xml:space="preserve">26</t>
  </si>
  <si>
    <t xml:space="preserve">27</t>
  </si>
  <si>
    <t xml:space="preserve">28</t>
  </si>
  <si>
    <t xml:space="preserve">29</t>
  </si>
  <si>
    <t xml:space="preserve">30</t>
  </si>
  <si>
    <t xml:space="preserve">31</t>
  </si>
  <si>
    <t xml:space="preserve">32</t>
  </si>
  <si>
    <t xml:space="preserve">Total SF</t>
  </si>
  <si>
    <t xml:space="preserve">SQ FT PER CY</t>
  </si>
  <si>
    <t xml:space="preserve">Sub Grade </t>
  </si>
  <si>
    <t xml:space="preserve">BOT BARS</t>
  </si>
  <si>
    <t xml:space="preserve">LBS OF</t>
  </si>
  <si>
    <t xml:space="preserve">CONCRETE </t>
  </si>
  <si>
    <t xml:space="preserve">SF/CY</t>
  </si>
  <si>
    <t xml:space="preserve">TOTAL POLY</t>
  </si>
  <si>
    <t xml:space="preserve">GB #</t>
  </si>
  <si>
    <t xml:space="preserve">HEIGHT IN</t>
  </si>
  <si>
    <t xml:space="preserve">SPACING IN.</t>
  </si>
  <si>
    <t xml:space="preserve">LNTH  FT</t>
  </si>
  <si>
    <t xml:space="preserve">STEEL  / FT</t>
  </si>
  <si>
    <t xml:space="preserve">Dirt Calculation</t>
  </si>
  <si>
    <t xml:space="preserve">Total Area of Beam</t>
  </si>
  <si>
    <t xml:space="preserve">AVERAGE WT /SQ FT</t>
  </si>
  <si>
    <t xml:space="preserve">poly area</t>
  </si>
  <si>
    <t xml:space="preserve">COST CON. / FT</t>
  </si>
  <si>
    <t xml:space="preserve">COST/ FT</t>
  </si>
  <si>
    <t xml:space="preserve">2 x 4 BRACING</t>
  </si>
  <si>
    <t xml:space="preserve">Supplier</t>
  </si>
  <si>
    <t xml:space="preserve">Date</t>
  </si>
  <si>
    <t xml:space="preserve">LNGT</t>
  </si>
  <si>
    <t xml:space="preserve">/LNGTH</t>
  </si>
  <si>
    <t xml:space="preserve"> SAND</t>
  </si>
  <si>
    <t xml:space="preserve">CARTON GRADE BEAMS</t>
  </si>
  <si>
    <t xml:space="preserve">Y/N         ?</t>
  </si>
  <si>
    <t xml:space="preserve">CARTON FORMS SLAB</t>
  </si>
  <si>
    <t xml:space="preserve">COVER SHEETS</t>
  </si>
  <si>
    <t xml:space="preserve">/UNITS</t>
  </si>
  <si>
    <t xml:space="preserve">20p NAILS</t>
  </si>
  <si>
    <t xml:space="preserve">/SQ FT.</t>
  </si>
  <si>
    <t xml:space="preserve">GRADING / CABLES</t>
  </si>
  <si>
    <t xml:space="preserve">/FC FT</t>
  </si>
  <si>
    <t xml:space="preserve">SQFT</t>
  </si>
  <si>
    <t xml:space="preserve">Box Delivery</t>
  </si>
  <si>
    <t xml:space="preserve">Boxes</t>
  </si>
  <si>
    <t xml:space="preserve">/EA</t>
  </si>
  <si>
    <t xml:space="preserve">8.5" Box</t>
  </si>
  <si>
    <t xml:space="preserve">EXCAVATION ADD</t>
  </si>
  <si>
    <t xml:space="preserve">12" Box</t>
  </si>
  <si>
    <t xml:space="preserve">HOLD DOWNS / FTGS</t>
  </si>
  <si>
    <t xml:space="preserve">10 Mil  vapor barrier</t>
  </si>
  <si>
    <t xml:space="preserve">2,000 sf/roll</t>
  </si>
  <si>
    <t xml:space="preserve">/roll</t>
  </si>
  <si>
    <t xml:space="preserve">10 Mil Yellow Guard  </t>
  </si>
  <si>
    <t xml:space="preserve">14' x 210'</t>
  </si>
  <si>
    <t xml:space="preserve">15 Mil Stego Wrap</t>
  </si>
  <si>
    <t xml:space="preserve">14' x 140'</t>
  </si>
  <si>
    <t xml:space="preserve">11 Mil barrier bac</t>
  </si>
  <si>
    <t xml:space="preserve">12.75' X 250'</t>
  </si>
  <si>
    <t xml:space="preserve">Concrete Deduct</t>
  </si>
  <si>
    <t xml:space="preserve">yds</t>
  </si>
  <si>
    <t xml:space="preserve">FOREMAN</t>
  </si>
  <si>
    <t xml:space="preserve">Poly Tape</t>
  </si>
  <si>
    <t xml:space="preserve">/Roll</t>
  </si>
  <si>
    <t xml:space="preserve">Concrete Haul Off</t>
  </si>
  <si>
    <t xml:space="preserve">ROLL</t>
  </si>
  <si>
    <t xml:space="preserve">Days</t>
  </si>
  <si>
    <t xml:space="preserve">ENGINEERING</t>
  </si>
  <si>
    <t xml:space="preserve">SAW JOINT SEALANT</t>
  </si>
  <si>
    <t xml:space="preserve">SPACING FT</t>
  </si>
  <si>
    <t xml:space="preserve">DRMS</t>
  </si>
  <si>
    <t xml:space="preserve">3/4" Smooth Dowels</t>
  </si>
  <si>
    <t xml:space="preserve">Rebar Total:</t>
  </si>
  <si>
    <t xml:space="preserve">Concrete Total: </t>
  </si>
  <si>
    <t xml:space="preserve">Labor Total</t>
  </si>
  <si>
    <t xml:space="preserve">Item</t>
  </si>
  <si>
    <t xml:space="preserve">Mono Slab on Grade</t>
  </si>
  <si>
    <t xml:space="preserve">&lt;&lt;&lt;&lt;&lt;&lt;&lt;&lt;&lt;&lt;&lt;&lt;&lt;   Copy Drag  down from Column G to H</t>
  </si>
  <si>
    <t xml:space="preserve">Patch Material</t>
  </si>
  <si>
    <t xml:space="preserve">Bags</t>
  </si>
  <si>
    <t xml:space="preserve">Concrete haul Off</t>
  </si>
  <si>
    <t xml:space="preserve">BACKFILL</t>
  </si>
  <si>
    <t xml:space="preserve">Mix</t>
  </si>
  <si>
    <t xml:space="preserve">WALL DIMENSIONS</t>
  </si>
  <si>
    <t xml:space="preserve">HORIZONTAL STEEL</t>
  </si>
  <si>
    <t xml:space="preserve">VERTICAL STEEL</t>
  </si>
  <si>
    <t xml:space="preserve">FOOTING INFO</t>
  </si>
  <si>
    <t xml:space="preserve">mix design FOOTERS</t>
  </si>
  <si>
    <t xml:space="preserve">mix design WALLS</t>
  </si>
  <si>
    <t xml:space="preserve">FTG / WALL TYPE</t>
  </si>
  <si>
    <t xml:space="preserve">Design</t>
  </si>
  <si>
    <t xml:space="preserve">THICK IN.</t>
  </si>
  <si>
    <t xml:space="preserve">#  OF MATS</t>
  </si>
  <si>
    <t xml:space="preserve"># OF MATS</t>
  </si>
  <si>
    <t xml:space="preserve">INCHES WIDE</t>
  </si>
  <si>
    <t xml:space="preserve">INCHES THICK</t>
  </si>
  <si>
    <t xml:space="preserve">LGTH INCHES</t>
  </si>
  <si>
    <t xml:space="preserve">WIDTH INCHES</t>
  </si>
  <si>
    <t xml:space="preserve">CONCRETE FOOTERS</t>
  </si>
  <si>
    <t xml:space="preserve">TOTAL CONCRETE WALLS</t>
  </si>
  <si>
    <t xml:space="preserve">FOOTER SQ FT</t>
  </si>
  <si>
    <t xml:space="preserve">ROCK</t>
  </si>
  <si>
    <t xml:space="preserve">WALL Aggregate</t>
  </si>
  <si>
    <t xml:space="preserve">FOOTER  COST</t>
  </si>
  <si>
    <t xml:space="preserve">Wall EXCAVATE LABOR</t>
  </si>
  <si>
    <t xml:space="preserve">FOOTER COST</t>
  </si>
  <si>
    <t xml:space="preserve">COST PER FT</t>
  </si>
  <si>
    <t xml:space="preserve">WALL COST</t>
  </si>
  <si>
    <t xml:space="preserve">COST / FT</t>
  </si>
  <si>
    <t xml:space="preserve">by Yard</t>
  </si>
  <si>
    <t xml:space="preserve">by sf</t>
  </si>
  <si>
    <t xml:space="preserve">WALL Qty</t>
  </si>
  <si>
    <t xml:space="preserve">French Drain</t>
  </si>
  <si>
    <t xml:space="preserve">FTG QTY</t>
  </si>
  <si>
    <t xml:space="preserve">WALL</t>
  </si>
  <si>
    <t xml:space="preserve">FOOTING:</t>
  </si>
  <si>
    <t xml:space="preserve">Shoring Cost / sq ft</t>
  </si>
  <si>
    <t xml:space="preserve">Target .80/ FF</t>
  </si>
  <si>
    <t xml:space="preserve">NOTES:</t>
  </si>
  <si>
    <t xml:space="preserve">Form Cost / sq ft</t>
  </si>
  <si>
    <t xml:space="preserve">Target  $2.75 / FF</t>
  </si>
  <si>
    <t xml:space="preserve">/burden</t>
  </si>
  <si>
    <t xml:space="preserve">Mn Hr</t>
  </si>
  <si>
    <t xml:space="preserve">Forming</t>
  </si>
  <si>
    <t xml:space="preserve">P/F</t>
  </si>
  <si>
    <t xml:space="preserve">LNFT</t>
  </si>
  <si>
    <t xml:space="preserve">BUNDL</t>
  </si>
  <si>
    <t xml:space="preserve">CARTON FORMS(GR BMS)</t>
  </si>
  <si>
    <t xml:space="preserve">RETAINER BOARDS (GR BMS)</t>
  </si>
  <si>
    <t xml:space="preserve">% of FORMING</t>
  </si>
  <si>
    <t xml:space="preserve">FOOTINGS</t>
  </si>
  <si>
    <t xml:space="preserve">WATER STOP</t>
  </si>
  <si>
    <t xml:space="preserve">ROLLS</t>
  </si>
  <si>
    <t xml:space="preserve">FRENCH DRAIN</t>
  </si>
  <si>
    <t xml:space="preserve">37</t>
  </si>
  <si>
    <t xml:space="preserve">Mirafi 140N or equal</t>
  </si>
  <si>
    <t xml:space="preserve">FRENCH DRAINS</t>
  </si>
  <si>
    <t xml:space="preserve">EXCAVATE </t>
  </si>
  <si>
    <t xml:space="preserve">Pipe Bracing</t>
  </si>
  <si>
    <t xml:space="preserve">LOADS</t>
  </si>
  <si>
    <t xml:space="preserve">/LOAD</t>
  </si>
  <si>
    <t xml:space="preserve">DRUM</t>
  </si>
  <si>
    <t xml:space="preserve">WATERPROOFING  Carlisle 860 Mira Dri</t>
  </si>
  <si>
    <t xml:space="preserve">COLUMN DIM.</t>
  </si>
  <si>
    <t xml:space="preserve">VERTICAL </t>
  </si>
  <si>
    <t xml:space="preserve">VERTICAL</t>
  </si>
  <si>
    <t xml:space="preserve">SALE PRICE/COLUMN</t>
  </si>
  <si>
    <t xml:space="preserve">COLUMN TYPE</t>
  </si>
  <si>
    <t xml:space="preserve">HEIGHT FT</t>
  </si>
  <si>
    <t xml:space="preserve">COST / COLUMN</t>
  </si>
  <si>
    <t xml:space="preserve">Total SALE</t>
  </si>
  <si>
    <t xml:space="preserve">Build up</t>
  </si>
  <si>
    <t xml:space="preserve">Patch</t>
  </si>
  <si>
    <t xml:space="preserve">SETUP/TEARDOWN</t>
  </si>
  <si>
    <t xml:space="preserve">EMBEDS</t>
  </si>
  <si>
    <t xml:space="preserve">Total Cost</t>
  </si>
  <si>
    <t xml:space="preserve">TOTAL SALE</t>
  </si>
  <si>
    <t xml:space="preserve">TOTAL COLUMNS</t>
  </si>
  <si>
    <t xml:space="preserve">COST PER CY</t>
  </si>
  <si>
    <t xml:space="preserve">UNIT SALE / EACH</t>
  </si>
  <si>
    <t xml:space="preserve">exempt</t>
  </si>
  <si>
    <t xml:space="preserve">Rebar by Volume</t>
  </si>
  <si>
    <t xml:space="preserve">/CONTACT FT</t>
  </si>
  <si>
    <t xml:space="preserve">\</t>
  </si>
  <si>
    <t xml:space="preserve">BUILD-UP</t>
  </si>
  <si>
    <t xml:space="preserve">FC. FT</t>
  </si>
  <si>
    <t xml:space="preserve">FC.FT.</t>
  </si>
  <si>
    <t xml:space="preserve">SUB COST PER COLUMN</t>
  </si>
  <si>
    <t xml:space="preserve">/Loads</t>
  </si>
  <si>
    <t xml:space="preserve">HOISTING</t>
  </si>
  <si>
    <t xml:space="preserve">STORAGE</t>
  </si>
  <si>
    <t xml:space="preserve">DIAMOND HARD CURE</t>
  </si>
  <si>
    <t xml:space="preserve">set up tear down </t>
  </si>
  <si>
    <t xml:space="preserve">PAVING TYPE</t>
  </si>
  <si>
    <t xml:space="preserve">slip form Y/N</t>
  </si>
  <si>
    <t xml:space="preserve">SQUARE FOOTAGE</t>
  </si>
  <si>
    <t xml:space="preserve">THICK INCHES</t>
  </si>
  <si>
    <t xml:space="preserve">Paving Add $$/SF</t>
  </si>
  <si>
    <t xml:space="preserve">Traffic Control  Y/N</t>
  </si>
  <si>
    <t xml:space="preserve">LN FT DEMO</t>
  </si>
  <si>
    <t xml:space="preserve">LF CURBS</t>
  </si>
  <si>
    <t xml:space="preserve">LN FT THICK EDGE</t>
  </si>
  <si>
    <t xml:space="preserve">SAND INCHES</t>
  </si>
  <si>
    <t xml:space="preserve">STEEL REINFORCING</t>
  </si>
  <si>
    <t xml:space="preserve">MESH GUAGE</t>
  </si>
  <si>
    <t xml:space="preserve">CY    SAND</t>
  </si>
  <si>
    <t xml:space="preserve">MESH WT</t>
  </si>
  <si>
    <t xml:space="preserve">PRICE PER FT</t>
  </si>
  <si>
    <t xml:space="preserve">TOTAL PRICE</t>
  </si>
  <si>
    <t xml:space="preserve">SQ FT MACH POUR</t>
  </si>
  <si>
    <t xml:space="preserve">1 X 6</t>
  </si>
  <si>
    <t xml:space="preserve">1 X 8</t>
  </si>
  <si>
    <t xml:space="preserve">Base Labor</t>
  </si>
  <si>
    <t xml:space="preserve">Labor Adjustment</t>
  </si>
  <si>
    <t xml:space="preserve">THICK EDGE</t>
  </si>
  <si>
    <t xml:space="preserve">SLIB FORMINNG</t>
  </si>
  <si>
    <t xml:space="preserve">traffic control</t>
  </si>
  <si>
    <t xml:space="preserve">Extra Curbs</t>
  </si>
  <si>
    <t xml:space="preserve">paving add</t>
  </si>
  <si>
    <t xml:space="preserve">TOTAL LBS STEEL</t>
  </si>
  <si>
    <t xml:space="preserve">.81 includes backfill of curb</t>
  </si>
  <si>
    <t xml:space="preserve">BUNDLS</t>
  </si>
  <si>
    <t xml:space="preserve">TOTAL ROCK</t>
  </si>
  <si>
    <t xml:space="preserve">LABOR ADJUSTMENT</t>
  </si>
  <si>
    <t xml:space="preserve">CURB  </t>
  </si>
  <si>
    <t xml:space="preserve">1 X 1 TACK STRIPS</t>
  </si>
  <si>
    <t xml:space="preserve">TEXTURE COMB</t>
  </si>
  <si>
    <t xml:space="preserve">FORK TRUCK</t>
  </si>
  <si>
    <t xml:space="preserve">1 BOB CAT</t>
  </si>
  <si>
    <t xml:space="preserve">EASY DRILL</t>
  </si>
  <si>
    <t xml:space="preserve">CONCRETE HAUL OFF</t>
  </si>
  <si>
    <t xml:space="preserve">3-1/4 Paving Chairs</t>
  </si>
  <si>
    <t xml:space="preserve">BARRICADES</t>
  </si>
  <si>
    <t xml:space="preserve">MONTH</t>
  </si>
  <si>
    <t xml:space="preserve">/MONTH</t>
  </si>
  <si>
    <t xml:space="preserve">DOWEL BASKETS</t>
  </si>
  <si>
    <t xml:space="preserve">HOT POUR JOINT SEALANT</t>
  </si>
  <si>
    <t xml:space="preserve">X</t>
  </si>
  <si>
    <t xml:space="preserve">Special Materal</t>
  </si>
  <si>
    <t xml:space="preserve">HOT POUR CTRL JOINT SEALANT</t>
  </si>
  <si>
    <t xml:space="preserve">SOFT CUT</t>
  </si>
  <si>
    <t xml:space="preserve">CONCRETE PUMP</t>
  </si>
  <si>
    <t xml:space="preserve">STAMPING</t>
  </si>
  <si>
    <t xml:space="preserve">SLIP FORMING</t>
  </si>
  <si>
    <t xml:space="preserve">BOND</t>
  </si>
  <si>
    <t xml:space="preserve">UNIT PRICE</t>
  </si>
  <si>
    <t xml:space="preserve">ARCHITECTUAL:</t>
  </si>
  <si>
    <t xml:space="preserve">STRUCTURAL:</t>
  </si>
  <si>
    <t xml:space="preserve">CIP EL. DECK TYPE</t>
  </si>
  <si>
    <t xml:space="preserve">TOP REINFORCING</t>
  </si>
  <si>
    <t xml:space="preserve">BOTTOM REINFORCING</t>
  </si>
  <si>
    <t xml:space="preserve">SQ FT WIRE MESH</t>
  </si>
  <si>
    <t xml:space="preserve">BEAMS</t>
  </si>
  <si>
    <t xml:space="preserve">Gradebeams Rebar</t>
  </si>
  <si>
    <t xml:space="preserve">Materials</t>
  </si>
  <si>
    <t xml:space="preserve">rebar grade beams</t>
  </si>
  <si>
    <t xml:space="preserve">face ft</t>
  </si>
  <si>
    <t xml:space="preserve">Cables</t>
  </si>
  <si>
    <t xml:space="preserve">Stud Rails</t>
  </si>
  <si>
    <t xml:space="preserve">Safety Rails/ EDGE</t>
  </si>
  <si>
    <t xml:space="preserve">GB Forming</t>
  </si>
  <si>
    <t xml:space="preserve">Cable &amp; Embeds</t>
  </si>
  <si>
    <t xml:space="preserve">Contingent</t>
  </si>
  <si>
    <t xml:space="preserve">CARTONS</t>
  </si>
  <si>
    <t xml:space="preserve">Rebar Wts</t>
  </si>
  <si>
    <t xml:space="preserve">PT Wts</t>
  </si>
  <si>
    <t xml:space="preserve">LBS OF STEEL PER LN FT</t>
  </si>
  <si>
    <t xml:space="preserve">CONCRETE CY / LN FT</t>
  </si>
  <si>
    <t xml:space="preserve">sq ft / yd</t>
  </si>
  <si>
    <t xml:space="preserve">BEAM #</t>
  </si>
  <si>
    <t xml:space="preserve">lbs / ft</t>
  </si>
  <si>
    <t xml:space="preserve">ff/ln ft</t>
  </si>
  <si>
    <t xml:space="preserve">Skyline Budget</t>
  </si>
  <si>
    <t xml:space="preserve">Skyline Quote</t>
  </si>
  <si>
    <t xml:space="preserve">Qty Rails</t>
  </si>
  <si>
    <t xml:space="preserve">Garage :</t>
  </si>
  <si>
    <t xml:space="preserve">Skyline</t>
  </si>
  <si>
    <t xml:space="preserve">Skyline Delta</t>
  </si>
  <si>
    <t xml:space="preserve">Avg wt per column</t>
  </si>
  <si>
    <t xml:space="preserve">Retail:</t>
  </si>
  <si>
    <t xml:space="preserve">RECI QUOTE</t>
  </si>
  <si>
    <t xml:space="preserve">Deck</t>
  </si>
  <si>
    <t xml:space="preserve">Total Columns</t>
  </si>
  <si>
    <t xml:space="preserve">Beams</t>
  </si>
  <si>
    <t xml:space="preserve">Total Stud Rail Wt</t>
  </si>
  <si>
    <t xml:space="preserve">Stud Rail ID</t>
  </si>
  <si>
    <t xml:space="preserve"># rails per column</t>
  </si>
  <si>
    <t xml:space="preserve"># studs per rail</t>
  </si>
  <si>
    <t xml:space="preserve">Stud spac (in)</t>
  </si>
  <si>
    <t xml:space="preserve">Dist. To first stud</t>
  </si>
  <si>
    <t xml:space="preserve">Rail thickness</t>
  </si>
  <si>
    <t xml:space="preserve">Stud dia (in)</t>
  </si>
  <si>
    <t xml:space="preserve">Stud Length</t>
  </si>
  <si>
    <t xml:space="preserve">wt per column</t>
  </si>
  <si>
    <t xml:space="preserve">Number of columns</t>
  </si>
  <si>
    <t xml:space="preserve">qty rails</t>
  </si>
  <si>
    <t xml:space="preserve">Total Wt</t>
  </si>
  <si>
    <t xml:space="preserve">SR1</t>
  </si>
  <si>
    <t xml:space="preserve">SR2</t>
  </si>
  <si>
    <t xml:space="preserve">SR3</t>
  </si>
  <si>
    <t xml:space="preserve">SR4</t>
  </si>
  <si>
    <t xml:space="preserve">STUD RAILS</t>
  </si>
  <si>
    <t xml:space="preserve">/LBS</t>
  </si>
  <si>
    <t xml:space="preserve">SR5</t>
  </si>
  <si>
    <t xml:space="preserve">POST TENSION (Encapsulated)</t>
  </si>
  <si>
    <t xml:space="preserve">SR6</t>
  </si>
  <si>
    <t xml:space="preserve">SR7</t>
  </si>
  <si>
    <t xml:space="preserve">PLYWOOD FORMING </t>
  </si>
  <si>
    <t xml:space="preserve">OF COVERAGE</t>
  </si>
  <si>
    <t xml:space="preserve">SR8</t>
  </si>
  <si>
    <t xml:space="preserve">RESHORING</t>
  </si>
  <si>
    <t xml:space="preserve">SR9</t>
  </si>
  <si>
    <t xml:space="preserve">FORM RENTAL SHORING</t>
  </si>
  <si>
    <t xml:space="preserve">SR10</t>
  </si>
  <si>
    <t xml:space="preserve">CuYd</t>
  </si>
  <si>
    <t xml:space="preserve">W</t>
  </si>
  <si>
    <t xml:space="preserve">H</t>
  </si>
  <si>
    <t xml:space="preserve">SR11</t>
  </si>
  <si>
    <t xml:space="preserve">SR12</t>
  </si>
  <si>
    <t xml:space="preserve">SR13</t>
  </si>
  <si>
    <t xml:space="preserve">WRECK AND CLEAN</t>
  </si>
  <si>
    <t xml:space="preserve">EDGE / SAFETY RAILS </t>
  </si>
  <si>
    <t xml:space="preserve">POLY 6 MILL</t>
  </si>
  <si>
    <t xml:space="preserve">/ ROLL</t>
  </si>
  <si>
    <t xml:space="preserve">GB FORMING</t>
  </si>
  <si>
    <t xml:space="preserve">/FF</t>
  </si>
  <si>
    <t xml:space="preserve">BUILD-UP LUMBER</t>
  </si>
  <si>
    <t xml:space="preserve">RUB &amp; PATCH</t>
  </si>
  <si>
    <t xml:space="preserve">HARDWARE</t>
  </si>
  <si>
    <t xml:space="preserve">ton</t>
  </si>
  <si>
    <t xml:space="preserve">PLYWOOD</t>
  </si>
  <si>
    <t xml:space="preserve">SHEETS</t>
  </si>
  <si>
    <t xml:space="preserve">CABLE PLACEMENT</t>
  </si>
  <si>
    <t xml:space="preserve">LB</t>
  </si>
  <si>
    <t xml:space="preserve">FORMING SYSTEM</t>
  </si>
  <si>
    <t xml:space="preserve">PAVECRETE</t>
  </si>
  <si>
    <t xml:space="preserve">20 TON LIFT</t>
  </si>
  <si>
    <t xml:space="preserve">CRANE &amp; OPERATOR</t>
  </si>
  <si>
    <t xml:space="preserve">SLAB BOLSTERS</t>
  </si>
  <si>
    <t xml:space="preserve">/PC</t>
  </si>
  <si>
    <t xml:space="preserve">FREIGHT</t>
  </si>
  <si>
    <t xml:space="preserve">WATERPROOFING CT YD</t>
  </si>
  <si>
    <t xml:space="preserve">SUB CONTRACT BARRICADES</t>
  </si>
  <si>
    <t xml:space="preserve">"/LF</t>
  </si>
  <si>
    <t xml:space="preserve">Magrin Contingency</t>
  </si>
  <si>
    <t xml:space="preserve">CIP</t>
  </si>
  <si>
    <t xml:space="preserve">SLAB ON DECK TYPE</t>
  </si>
  <si>
    <t xml:space="preserve">SF/YD</t>
  </si>
  <si>
    <t xml:space="preserve">WASTE</t>
  </si>
  <si>
    <t xml:space="preserve">Ready Cable</t>
  </si>
  <si>
    <t xml:space="preserve">SLAB PREP</t>
  </si>
  <si>
    <t xml:space="preserve">12'</t>
  </si>
  <si>
    <t xml:space="preserve">14' x 140</t>
  </si>
  <si>
    <t xml:space="preserve">12.75' x 250'</t>
  </si>
  <si>
    <t xml:space="preserve">Concete Haul Off</t>
  </si>
  <si>
    <t xml:space="preserve">Rebar total:</t>
  </si>
  <si>
    <t xml:space="preserve">SIDEWALK TYPE</t>
  </si>
  <si>
    <t xml:space="preserve">Cost Adder</t>
  </si>
  <si>
    <t xml:space="preserve">STAIR TREADS</t>
  </si>
  <si>
    <t xml:space="preserve"> REINFORCING</t>
  </si>
  <si>
    <t xml:space="preserve">MESH SQ FT</t>
  </si>
  <si>
    <t xml:space="preserve">HT</t>
  </si>
  <si>
    <t xml:space="preserve">WDTH</t>
  </si>
  <si>
    <t xml:space="preserve">Stamped QQTy</t>
  </si>
  <si>
    <t xml:space="preserve">Traffic Control QTY</t>
  </si>
  <si>
    <t xml:space="preserve">ADA Ramps</t>
  </si>
  <si>
    <t xml:space="preserve">Finishes</t>
  </si>
  <si>
    <t xml:space="preserve">Steps</t>
  </si>
  <si>
    <t xml:space="preserve">finish add</t>
  </si>
  <si>
    <t xml:space="preserve">ADA RAMPS</t>
  </si>
  <si>
    <t xml:space="preserve">CONCRETE WASTAGE</t>
  </si>
  <si>
    <t xml:space="preserve"> WASTAGE</t>
  </si>
  <si>
    <t xml:space="preserve">3/8" X 12" X 16' Siding</t>
  </si>
  <si>
    <t xml:space="preserve">2 X 2 X 18 STAKES</t>
  </si>
  <si>
    <t xml:space="preserve">QNTY</t>
  </si>
  <si>
    <t xml:space="preserve">ADA BRICKS</t>
  </si>
  <si>
    <t xml:space="preserve">BOB CATS</t>
  </si>
  <si>
    <t xml:space="preserve">FUEL&amp;MAINT.</t>
  </si>
  <si>
    <t xml:space="preserve">BUGGIE</t>
  </si>
  <si>
    <t xml:space="preserve">MISCELLANIOUS</t>
  </si>
  <si>
    <t xml:space="preserve">BARRACADES</t>
  </si>
  <si>
    <t xml:space="preserve">CONTRACT  SERVICES</t>
  </si>
  <si>
    <t xml:space="preserve">EXPANSION JOINT SEALANT</t>
  </si>
  <si>
    <t xml:space="preserve">CONTROL JOINT SEALANT</t>
  </si>
  <si>
    <t xml:space="preserve">PPE/Saftey</t>
  </si>
  <si>
    <t xml:space="preserve">PUMPING</t>
  </si>
  <si>
    <t xml:space="preserve">Sealers</t>
  </si>
  <si>
    <t xml:space="preserve">Gal.</t>
  </si>
  <si>
    <t xml:space="preserve">/Gal</t>
  </si>
  <si>
    <t xml:space="preserve">CURB DEMO</t>
  </si>
  <si>
    <t xml:space="preserve">SIDEWALKS</t>
  </si>
  <si>
    <t xml:space="preserve">Budget Name</t>
  </si>
  <si>
    <t xml:space="preserve">No Buget</t>
  </si>
  <si>
    <t xml:space="preserve">LUMBER total:</t>
  </si>
  <si>
    <t xml:space="preserve">REBAR TOTAL</t>
  </si>
  <si>
    <t xml:space="preserve">SUPERVISION</t>
  </si>
  <si>
    <t xml:space="preserve">EQUIP.  TOTAL</t>
  </si>
  <si>
    <t xml:space="preserve">SITE CONCRETE MIX MIX DESIGN:</t>
  </si>
  <si>
    <t xml:space="preserve">STRUCTURAL CONCRETE MIX DESIGN:</t>
  </si>
  <si>
    <t xml:space="preserve">SUB LABOR?</t>
  </si>
  <si>
    <t xml:space="preserve">UNIT SALE</t>
  </si>
  <si>
    <t xml:space="preserve">U/M</t>
  </si>
  <si>
    <t xml:space="preserve">LABOR  COST</t>
  </si>
  <si>
    <t xml:space="preserve">TOTAL SALES</t>
  </si>
  <si>
    <t xml:space="preserve">DIA</t>
  </si>
  <si>
    <t xml:space="preserve">DEPTH</t>
  </si>
  <si>
    <t xml:space="preserve">CY   CONC.</t>
  </si>
  <si>
    <t xml:space="preserve">STEEL WT</t>
  </si>
  <si>
    <t xml:space="preserve">FORMS</t>
  </si>
  <si>
    <t xml:space="preserve">SUPRVSN</t>
  </si>
  <si>
    <t xml:space="preserve">EQUIP.</t>
  </si>
  <si>
    <t xml:space="preserve">Lumber Material</t>
  </si>
  <si>
    <t xml:space="preserve">Description</t>
  </si>
  <si>
    <t xml:space="preserve">set up/pour</t>
  </si>
  <si>
    <t xml:space="preserve">Clean up</t>
  </si>
  <si>
    <t xml:space="preserve">1301 - Light Pole Bases</t>
  </si>
  <si>
    <t xml:space="preserve">1302 - Bollard / Landscape Light Bases</t>
  </si>
  <si>
    <t xml:space="preserve">1303 - Bike Rack (Installation)</t>
  </si>
  <si>
    <t xml:space="preserve">1304 - Pipe Bollards (Install Only)</t>
  </si>
  <si>
    <t xml:space="preserve">1305 -</t>
  </si>
  <si>
    <t xml:space="preserve">LABOR COST</t>
  </si>
  <si>
    <t xml:space="preserve">HEIGHT INCHES</t>
  </si>
  <si>
    <t xml:space="preserve">P.T. Cable Material</t>
  </si>
  <si>
    <t xml:space="preserve">1306 - Elevator Pits</t>
  </si>
  <si>
    <t xml:space="preserve">1307 - Elevator Water Proofing</t>
  </si>
  <si>
    <t xml:space="preserve">1308 - Monument Base (15' x 3' x 36")</t>
  </si>
  <si>
    <t xml:space="preserve">Cures / Sealers</t>
  </si>
  <si>
    <t xml:space="preserve">1309 - Bldg Transformer Pad </t>
  </si>
  <si>
    <t xml:space="preserve">Patch &amp; Grout Materials</t>
  </si>
  <si>
    <t xml:space="preserve">1310 - Transformer Pads (Three Phase)</t>
  </si>
  <si>
    <t xml:space="preserve">1311- Gate Track</t>
  </si>
  <si>
    <t xml:space="preserve">Panel Accessories</t>
  </si>
  <si>
    <t xml:space="preserve">Carton Forms Material</t>
  </si>
  <si>
    <t xml:space="preserve">CY CONC.</t>
  </si>
  <si>
    <t xml:space="preserve">Column Form Rental</t>
  </si>
  <si>
    <t xml:space="preserve">1312 - Trellis Ftgs</t>
  </si>
  <si>
    <t xml:space="preserve">Deck form Rental</t>
  </si>
  <si>
    <t xml:space="preserve">1313 -Gate Column Ftgs 3'x3'x2'</t>
  </si>
  <si>
    <t xml:space="preserve">Wall Form Rental</t>
  </si>
  <si>
    <t xml:space="preserve">1314 - Fire Pit Footings</t>
  </si>
  <si>
    <t xml:space="preserve">1315 - Site Wall Footing</t>
  </si>
  <si>
    <t xml:space="preserve">Supervision Expenses</t>
  </si>
  <si>
    <t xml:space="preserve">1316 - landscape Curb</t>
  </si>
  <si>
    <t xml:space="preserve">1317 - Call Box&amp; motor pad  Ftg</t>
  </si>
  <si>
    <t xml:space="preserve">1318 - Outdoor Prep counter</t>
  </si>
  <si>
    <t xml:space="preserve">1319 - Grill Footing (12" thick 369 sq ft)</t>
  </si>
  <si>
    <t xml:space="preserve">LNTH INCHES</t>
  </si>
  <si>
    <t xml:space="preserve">DEPTH INCHES</t>
  </si>
  <si>
    <t xml:space="preserve">1320 - Radon Pits</t>
  </si>
  <si>
    <t xml:space="preserve">In House Labor - Walks &amp; Site</t>
  </si>
  <si>
    <t xml:space="preserve">1321 - Stair Treads</t>
  </si>
  <si>
    <t xml:space="preserve">Sub Pumping</t>
  </si>
  <si>
    <t xml:space="preserve">1322 - Pour Back Block Outs (3' x 3')</t>
  </si>
  <si>
    <t xml:space="preserve">Sub Surveying</t>
  </si>
  <si>
    <t xml:space="preserve">1323 - ADA Ramps</t>
  </si>
  <si>
    <t xml:space="preserve">Sub Drilling</t>
  </si>
  <si>
    <t xml:space="preserve">1324-</t>
  </si>
  <si>
    <t xml:space="preserve">Sub Haul-Off Spoils</t>
  </si>
  <si>
    <t xml:space="preserve">1325-</t>
  </si>
  <si>
    <t xml:space="preserve">Sub Sawcutting/Sealing</t>
  </si>
  <si>
    <t xml:space="preserve">1326-</t>
  </si>
  <si>
    <t xml:space="preserve">Sub Demolition</t>
  </si>
  <si>
    <t xml:space="preserve">Sub Panel Drawings</t>
  </si>
  <si>
    <t xml:space="preserve">EXCLUSIONS</t>
  </si>
  <si>
    <t xml:space="preserve">Sub Labor Pier Caps</t>
  </si>
  <si>
    <t xml:space="preserve">Sub Labor</t>
  </si>
  <si>
    <t xml:space="preserve">Sub Labor Forming</t>
  </si>
  <si>
    <t xml:space="preserve">Sub Labor Grade, Poly, Reinf.</t>
  </si>
  <si>
    <t xml:space="preserve">Sub Labor Place &amp; Finish</t>
  </si>
  <si>
    <t xml:space="preserve">Sub Labor - Drops</t>
  </si>
  <si>
    <t xml:space="preserve">Sub Labor Strip Forms</t>
  </si>
  <si>
    <t xml:space="preserve">Sub Labor Piers</t>
  </si>
  <si>
    <t xml:space="preserve">Sub Labor Paving</t>
  </si>
  <si>
    <t xml:space="preserve">Sub Labor Metal Decks</t>
  </si>
  <si>
    <t xml:space="preserve">Sub Labor Walks</t>
  </si>
  <si>
    <t xml:space="preserve">Sub Labor Panels</t>
  </si>
  <si>
    <t xml:space="preserve">Sub Labor Curbs</t>
  </si>
  <si>
    <t xml:space="preserve">Sub Labor Columns</t>
  </si>
  <si>
    <t xml:space="preserve">Sub Labor - Elevator Pit</t>
  </si>
  <si>
    <t xml:space="preserve">Sub Labor - Footing</t>
  </si>
  <si>
    <t xml:space="preserve">Sub Labor Other</t>
  </si>
  <si>
    <t xml:space="preserve">Sub Labor Rebar Per Ton</t>
  </si>
  <si>
    <t xml:space="preserve">Equipment Rental</t>
  </si>
  <si>
    <t xml:space="preserve">Small Tools</t>
  </si>
  <si>
    <t xml:space="preserve">WALL DEMINSIONS</t>
  </si>
  <si>
    <t xml:space="preserve">OPENINGS</t>
  </si>
  <si>
    <t xml:space="preserve"># EDGE BAR</t>
  </si>
  <si>
    <t xml:space="preserve"># CNER BARS</t>
  </si>
  <si>
    <t xml:space="preserve">LBS OF STEEL/ PANEL</t>
  </si>
  <si>
    <t xml:space="preserve">CONCRETE CU. YDS.</t>
  </si>
  <si>
    <t xml:space="preserve">SQ FT EACH</t>
  </si>
  <si>
    <t xml:space="preserve">COST PER PANEL</t>
  </si>
  <si>
    <t xml:space="preserve">MIX DESIGN PANELS</t>
  </si>
  <si>
    <t xml:space="preserve">TOP  EL.</t>
  </si>
  <si>
    <t xml:space="preserve">BOT EL.</t>
  </si>
  <si>
    <t xml:space="preserve">LGTH FT</t>
  </si>
  <si>
    <t xml:space="preserve">WIDE FT</t>
  </si>
  <si>
    <t xml:space="preserve">ELE. </t>
  </si>
  <si>
    <t xml:space="preserve">TOTAL PANELS</t>
  </si>
  <si>
    <t xml:space="preserve">LN FT PERIMETER</t>
  </si>
  <si>
    <t xml:space="preserve">CARTON FORM</t>
  </si>
  <si>
    <t xml:space="preserve">2 X 6</t>
  </si>
  <si>
    <t xml:space="preserve">2 X 8</t>
  </si>
  <si>
    <t xml:space="preserve">PANEL LABOR</t>
  </si>
  <si>
    <t xml:space="preserve">SUP LABOR</t>
  </si>
  <si>
    <t xml:space="preserve">EQUIP,CONTRACT</t>
  </si>
  <si>
    <t xml:space="preserve">lbs / sqft</t>
  </si>
  <si>
    <t xml:space="preserve">/CU. YD.</t>
  </si>
  <si>
    <t xml:space="preserve">YDS.   =</t>
  </si>
  <si>
    <t xml:space="preserve">/ YD</t>
  </si>
  <si>
    <t xml:space="preserve">TBD</t>
  </si>
  <si>
    <t xml:space="preserve">CARTON FORM QUOTE</t>
  </si>
  <si>
    <t xml:space="preserve">DURROCK</t>
  </si>
  <si>
    <t xml:space="preserve">BRICK LEDGE</t>
  </si>
  <si>
    <t xml:space="preserve">REVEL</t>
  </si>
  <si>
    <t xml:space="preserve">BACK FILL</t>
  </si>
  <si>
    <t xml:space="preserve">CU YD</t>
  </si>
  <si>
    <t xml:space="preserve">CU/YD</t>
  </si>
  <si>
    <t xml:space="preserve">Bracing</t>
  </si>
  <si>
    <t xml:space="preserve">Pave Crete</t>
  </si>
  <si>
    <t xml:space="preserve">Special Materials</t>
  </si>
  <si>
    <t xml:space="preserve">units</t>
  </si>
  <si>
    <t xml:space="preserve">PANEL CHAIRS</t>
  </si>
  <si>
    <t xml:space="preserve">LIFTING INSERTS</t>
  </si>
  <si>
    <t xml:space="preserve">Compactor</t>
  </si>
  <si>
    <t xml:space="preserve">BRACING INSERTS</t>
  </si>
  <si>
    <t xml:space="preserve">/YARD</t>
  </si>
  <si>
    <t xml:space="preserve">YARDS</t>
  </si>
  <si>
    <t xml:space="preserve">PANEL ENG.</t>
  </si>
  <si>
    <t xml:space="preserve">ELEVATIONS</t>
  </si>
  <si>
    <t xml:space="preserve">YDS</t>
  </si>
  <si>
    <t xml:space="preserve">Units</t>
  </si>
  <si>
    <t xml:space="preserve">Tilt Wall Panel</t>
  </si>
  <si>
    <t xml:space="preserve">PT-SOG</t>
  </si>
  <si>
    <t xml:space="preserve">Slabs</t>
  </si>
  <si>
    <t xml:space="preserve">CIP EL. Deck</t>
  </si>
  <si>
    <t xml:space="preserve">Job Name:</t>
  </si>
  <si>
    <t xml:space="preserve">Job Address:</t>
  </si>
  <si>
    <t xml:space="preserve">subcontractor:</t>
  </si>
  <si>
    <t xml:space="preserve">signature</t>
  </si>
  <si>
    <t xml:space="preserve">total</t>
  </si>
  <si>
    <t xml:space="preserve">Scope</t>
  </si>
  <si>
    <t xml:space="preserve">unit price</t>
  </si>
  <si>
    <t xml:space="preserve">/ln ft</t>
  </si>
  <si>
    <t xml:space="preserve">/ ton</t>
  </si>
  <si>
    <t xml:space="preserve">Walls and footings</t>
  </si>
  <si>
    <t xml:space="preserve">/ton</t>
  </si>
  <si>
    <t xml:space="preserve">/yrd</t>
  </si>
  <si>
    <t xml:space="preserve">CIP Deck</t>
  </si>
  <si>
    <t xml:space="preserve">pipe bollards</t>
  </si>
  <si>
    <t xml:space="preserve">each</t>
  </si>
  <si>
    <t xml:space="preserve">elevator pits</t>
  </si>
  <si>
    <t xml:space="preserve">monument sign base</t>
  </si>
  <si>
    <t xml:space="preserve">gate track</t>
  </si>
  <si>
    <t xml:space="preserve">plate and bolt placement</t>
  </si>
  <si>
    <t xml:space="preserve">pier caps</t>
  </si>
  <si>
    <t xml:space="preserve">fence footins</t>
  </si>
</sst>
</file>

<file path=xl/styles.xml><?xml version="1.0" encoding="utf-8"?>
<styleSheet xmlns="http://schemas.openxmlformats.org/spreadsheetml/2006/main">
  <numFmts count="74">
    <numFmt numFmtId="164" formatCode="General"/>
    <numFmt numFmtId="165" formatCode="0.0000_)"/>
    <numFmt numFmtId="166" formatCode="[&lt;=9999999]###\-####;\(###&quot;) &quot;###\-####"/>
    <numFmt numFmtId="167" formatCode="mm/dd/yy"/>
    <numFmt numFmtId="168" formatCode="m/d/yyyy"/>
    <numFmt numFmtId="169" formatCode="_(\$* #,##0.00_);_(\$* \(#,##0.00\);_(\$* \-??_);_(@_)"/>
    <numFmt numFmtId="170" formatCode="mm/dd/yy;@"/>
    <numFmt numFmtId="171" formatCode="0_)"/>
    <numFmt numFmtId="172" formatCode="\$#,##0.00_);[RED]&quot;($&quot;#,##0.00\)"/>
    <numFmt numFmtId="173" formatCode="m/d/yy"/>
    <numFmt numFmtId="174" formatCode="\$#,##0.00"/>
    <numFmt numFmtId="175" formatCode="#.##&quot; X&quot;"/>
    <numFmt numFmtId="176" formatCode="0&quot; ft&quot;"/>
    <numFmt numFmtId="177" formatCode="#.#&quot; X&quot;"/>
    <numFmt numFmtId="178" formatCode="\$#,##0.00_);&quot;($&quot;#,##0.00\)"/>
    <numFmt numFmtId="179" formatCode="_(\$* #,##0_);_(\$* \(#,##0\);_(\$* \-??_);_(@_)"/>
    <numFmt numFmtId="180" formatCode="0.00_)"/>
    <numFmt numFmtId="181" formatCode="0.00"/>
    <numFmt numFmtId="182" formatCode="_(* #,##0.00_);_(* \(#,##0.00\);_(* \-??_);_(@_)"/>
    <numFmt numFmtId="183" formatCode="0%"/>
    <numFmt numFmtId="184" formatCode="0.00%"/>
    <numFmt numFmtId="185" formatCode="0.0%"/>
    <numFmt numFmtId="186" formatCode="\$#,##0_);[RED]&quot;($&quot;#,##0\)"/>
    <numFmt numFmtId="187" formatCode="d\-mmm\-yy"/>
    <numFmt numFmtId="188" formatCode="mmm\-yy"/>
    <numFmt numFmtId="189" formatCode="#,##0.00"/>
    <numFmt numFmtId="190" formatCode="@"/>
    <numFmt numFmtId="191" formatCode="[$-409]mmmm\ d&quot;, &quot;yyyy;@"/>
    <numFmt numFmtId="192" formatCode="\$#,##0"/>
    <numFmt numFmtId="193" formatCode="0"/>
    <numFmt numFmtId="194" formatCode="0&quot; ea - &quot;"/>
    <numFmt numFmtId="195" formatCode="0_)&quot; in.dia&quot;"/>
    <numFmt numFmtId="196" formatCode="_(* #,##0_);_(* \(#,##0\);_(* \-_);_(@_)"/>
    <numFmt numFmtId="197" formatCode="_(\$* #,##0_);_(\$* \(#,##0\);_(\$* \-_);_(@_)"/>
    <numFmt numFmtId="198" formatCode="0&quot; ea&quot;"/>
    <numFmt numFmtId="199" formatCode="0&quot; LF&quot;"/>
    <numFmt numFmtId="200" formatCode="0&quot; 48in dia&quot;"/>
    <numFmt numFmtId="201" formatCode="_(* #,##0_);_(* \(#,##0\);_(* \-??_);_(@_)"/>
    <numFmt numFmtId="202" formatCode="0_)&quot; in&quot;"/>
    <numFmt numFmtId="203" formatCode="#,##0"/>
    <numFmt numFmtId="204" formatCode="\$#,##0_);&quot;($&quot;#,##0\)"/>
    <numFmt numFmtId="205" formatCode="_(\$* #,##0.0_);_(\$* \(#,##0.0\);_(\$* \-??_);_(@_)"/>
    <numFmt numFmtId="206" formatCode="0.0000"/>
    <numFmt numFmtId="207" formatCode="000000.0_)"/>
    <numFmt numFmtId="208" formatCode="000000_)"/>
    <numFmt numFmtId="209" formatCode="0.0_)"/>
    <numFmt numFmtId="210" formatCode="_([$$-409]* #,##0.00_);_([$$-409]* \(#,##0.00\);_([$$-409]* \-??_);_(@_)"/>
    <numFmt numFmtId="211" formatCode="0000"/>
    <numFmt numFmtId="212" formatCode="0.0"/>
    <numFmt numFmtId="213" formatCode="_(\$* #,##0.0_);_(\$* \(#,##0.0\);_(\$* \-?_);_(@_)"/>
    <numFmt numFmtId="214" formatCode="0.00000"/>
    <numFmt numFmtId="215" formatCode="0&quot; ff&quot;"/>
    <numFmt numFmtId="216" formatCode="0&quot; lbs&quot;"/>
    <numFmt numFmtId="217" formatCode="0&quot; yds&quot;"/>
    <numFmt numFmtId="218" formatCode="_(* #,##0.00_);_(* \(#,##0.00\);_(* \-_);_(@_)"/>
    <numFmt numFmtId="219" formatCode="#,##0.00_);\(#,##0.00\)"/>
    <numFmt numFmtId="220" formatCode="&quot;Bld  &quot;##."/>
    <numFmt numFmtId="221" formatCode="00.0_)"/>
    <numFmt numFmtId="222" formatCode="_(\$* #,##0.000000_);_(\$* \(#,##0.000000\);_(\$* \-??_);_(@_)"/>
    <numFmt numFmtId="223" formatCode="0.00&quot;  - ff/mh&quot;"/>
    <numFmt numFmtId="224" formatCode="0.000000"/>
    <numFmt numFmtId="225" formatCode="0.00&quot; -cy/mh&quot;"/>
    <numFmt numFmtId="226" formatCode="0_);\(0\)"/>
    <numFmt numFmtId="227" formatCode="0&quot;  mh&quot;"/>
    <numFmt numFmtId="228" formatCode="0.00&quot;  -ff/mh&quot;"/>
    <numFmt numFmtId="229" formatCode="0.00&quot; -cy/mh&quot;"/>
    <numFmt numFmtId="230" formatCode="_(* #,##0.0000_);_(* \(#,##0.0000\);_(* \-??_);_(@_)"/>
    <numFmt numFmtId="231" formatCode="0.000%"/>
    <numFmt numFmtId="232" formatCode="\$#,##0.00&quot; /hr&quot;"/>
    <numFmt numFmtId="233" formatCode="#,##0&quot; mh&quot;"/>
    <numFmt numFmtId="234" formatCode="0_)&quot; sf/hr&quot;"/>
    <numFmt numFmtId="235" formatCode="_(* #,##0.0_);_(* \(#,##0.0\);_(* \-?_);_(@_)"/>
    <numFmt numFmtId="236" formatCode="0.000"/>
    <numFmt numFmtId="237" formatCode="#,##0_);\(#,##0\)"/>
  </numFmts>
  <fonts count="92">
    <font>
      <sz val="10"/>
      <name val="Arial"/>
      <family val="0"/>
      <charset val="1"/>
    </font>
    <font>
      <sz val="10"/>
      <name val="Arial"/>
      <family val="0"/>
    </font>
    <font>
      <sz val="10"/>
      <name val="Arial"/>
      <family val="0"/>
    </font>
    <font>
      <sz val="10"/>
      <name val="Arial"/>
      <family val="0"/>
    </font>
    <font>
      <sz val="10"/>
      <name val="Arial"/>
      <family val="2"/>
      <charset val="1"/>
    </font>
    <font>
      <sz val="12"/>
      <name val="Courier New"/>
      <family val="3"/>
      <charset val="1"/>
    </font>
    <font>
      <b val="true"/>
      <sz val="12"/>
      <name val="Arial"/>
      <family val="2"/>
      <charset val="1"/>
    </font>
    <font>
      <sz val="12"/>
      <color theme="1"/>
      <name val="Arial"/>
      <family val="2"/>
      <charset val="1"/>
    </font>
    <font>
      <sz val="12"/>
      <name val="Arial"/>
      <family val="2"/>
      <charset val="1"/>
    </font>
    <font>
      <u val="single"/>
      <sz val="12"/>
      <color rgb="FF0000FF"/>
      <name val="Arial"/>
      <family val="2"/>
      <charset val="1"/>
    </font>
    <font>
      <u val="single"/>
      <sz val="10"/>
      <color rgb="FF0000FF"/>
      <name val="Arial"/>
      <family val="2"/>
      <charset val="1"/>
    </font>
    <font>
      <sz val="12"/>
      <color rgb="FF000000"/>
      <name val="Arial"/>
      <family val="2"/>
      <charset val="1"/>
    </font>
    <font>
      <b val="true"/>
      <sz val="14"/>
      <name val="Arial"/>
      <family val="2"/>
      <charset val="1"/>
    </font>
    <font>
      <b val="true"/>
      <sz val="10"/>
      <name val="Arial"/>
      <family val="2"/>
      <charset val="1"/>
    </font>
    <font>
      <sz val="11"/>
      <name val="Arial"/>
      <family val="2"/>
      <charset val="1"/>
    </font>
    <font>
      <sz val="10"/>
      <color rgb="FF000000"/>
      <name val="Arial"/>
      <family val="2"/>
      <charset val="1"/>
    </font>
    <font>
      <b val="true"/>
      <sz val="10"/>
      <color rgb="FF000000"/>
      <name val="Arial"/>
      <family val="2"/>
      <charset val="1"/>
    </font>
    <font>
      <sz val="10"/>
      <color rgb="FF00B0F0"/>
      <name val="Arial"/>
      <family val="2"/>
      <charset val="1"/>
    </font>
    <font>
      <sz val="12"/>
      <color rgb="FF191919"/>
      <name val="Arial"/>
      <family val="2"/>
      <charset val="1"/>
    </font>
    <font>
      <sz val="12"/>
      <color rgb="FF222222"/>
      <name val="Arial"/>
      <family val="2"/>
      <charset val="1"/>
    </font>
    <font>
      <sz val="12"/>
      <color theme="5" tint="0.3999"/>
      <name val="Arial"/>
      <family val="2"/>
      <charset val="1"/>
    </font>
    <font>
      <sz val="12"/>
      <color rgb="FF0000FF"/>
      <name val="Arial"/>
      <family val="2"/>
      <charset val="1"/>
    </font>
    <font>
      <b val="true"/>
      <sz val="12"/>
      <color rgb="FF000000"/>
      <name val="Arial"/>
      <family val="2"/>
      <charset val="1"/>
    </font>
    <font>
      <sz val="14"/>
      <name val="Arial"/>
      <family val="2"/>
      <charset val="1"/>
    </font>
    <font>
      <sz val="10"/>
      <color rgb="FFFF0000"/>
      <name val="Arial"/>
      <family val="2"/>
      <charset val="1"/>
    </font>
    <font>
      <sz val="14"/>
      <color theme="1"/>
      <name val="Century Schoolbook"/>
      <family val="1"/>
      <charset val="1"/>
    </font>
    <font>
      <sz val="11"/>
      <color theme="1"/>
      <name val="Century Schoolbook"/>
      <family val="1"/>
      <charset val="1"/>
    </font>
    <font>
      <b val="true"/>
      <u val="single"/>
      <sz val="14"/>
      <color theme="1"/>
      <name val="Century Schoolbook"/>
      <family val="1"/>
      <charset val="1"/>
    </font>
    <font>
      <b val="true"/>
      <u val="single"/>
      <sz val="11"/>
      <color theme="1"/>
      <name val="Century Schoolbook"/>
      <family val="1"/>
      <charset val="1"/>
    </font>
    <font>
      <b val="true"/>
      <i val="true"/>
      <sz val="12"/>
      <name val="Calibri"/>
      <family val="2"/>
      <charset val="1"/>
    </font>
    <font>
      <b val="true"/>
      <sz val="11"/>
      <color theme="1"/>
      <name val="Calibri"/>
      <family val="2"/>
      <charset val="1"/>
    </font>
    <font>
      <b val="true"/>
      <i val="true"/>
      <sz val="10"/>
      <name val="Arial"/>
      <family val="2"/>
      <charset val="1"/>
    </font>
    <font>
      <sz val="9"/>
      <name val="Copperplate Gothic Light"/>
      <family val="2"/>
      <charset val="1"/>
    </font>
    <font>
      <sz val="9"/>
      <name val="Engravers MT"/>
      <family val="1"/>
      <charset val="1"/>
    </font>
    <font>
      <sz val="8"/>
      <name val="Engravers MT"/>
      <family val="1"/>
      <charset val="1"/>
    </font>
    <font>
      <sz val="10"/>
      <name val="Copperplate Gothic Light"/>
      <family val="2"/>
      <charset val="1"/>
    </font>
    <font>
      <b val="true"/>
      <sz val="10"/>
      <name val="Copperplate Gothic Light"/>
      <family val="2"/>
      <charset val="1"/>
    </font>
    <font>
      <sz val="12"/>
      <name val="Times New Roman"/>
      <family val="1"/>
      <charset val="1"/>
    </font>
    <font>
      <b val="true"/>
      <sz val="9"/>
      <name val="Copperplate Gothic Light"/>
      <family val="2"/>
      <charset val="1"/>
    </font>
    <font>
      <sz val="9"/>
      <name val="Arial"/>
      <family val="2"/>
      <charset val="1"/>
    </font>
    <font>
      <b val="true"/>
      <sz val="10"/>
      <name val="Albertus Medium"/>
      <family val="2"/>
      <charset val="1"/>
    </font>
    <font>
      <b val="true"/>
      <sz val="10"/>
      <color rgb="FFFF0000"/>
      <name val="Arial"/>
      <family val="2"/>
      <charset val="1"/>
    </font>
    <font>
      <b val="true"/>
      <sz val="12"/>
      <name val="Times New Roman"/>
      <family val="1"/>
      <charset val="1"/>
    </font>
    <font>
      <i val="true"/>
      <sz val="12"/>
      <name val="Times New Roman"/>
      <family val="1"/>
      <charset val="1"/>
    </font>
    <font>
      <b val="true"/>
      <sz val="10"/>
      <color rgb="FFFF0000"/>
      <name val="Copperplate Gothic Light"/>
      <family val="2"/>
      <charset val="1"/>
    </font>
    <font>
      <sz val="10"/>
      <name val="Times New Roman"/>
      <family val="1"/>
      <charset val="1"/>
    </font>
    <font>
      <sz val="11"/>
      <name val="Copperplate Gothic Light"/>
      <family val="2"/>
      <charset val="1"/>
    </font>
    <font>
      <b val="true"/>
      <sz val="11"/>
      <name val="Copperplate Gothic Light"/>
      <family val="2"/>
      <charset val="1"/>
    </font>
    <font>
      <b val="true"/>
      <sz val="10"/>
      <name val="Engravers MT"/>
      <family val="1"/>
      <charset val="1"/>
    </font>
    <font>
      <b val="true"/>
      <u val="single"/>
      <sz val="10"/>
      <name val="Copperplate Gothic Light"/>
      <family val="2"/>
      <charset val="1"/>
    </font>
    <font>
      <u val="single"/>
      <sz val="10"/>
      <name val="Copperplate Gothic Light"/>
      <family val="2"/>
      <charset val="1"/>
    </font>
    <font>
      <i val="true"/>
      <sz val="10"/>
      <name val="Copperplate Gothic Light"/>
      <family val="2"/>
      <charset val="1"/>
    </font>
    <font>
      <sz val="10"/>
      <name val="Engravers MT"/>
      <family val="1"/>
      <charset val="1"/>
    </font>
    <font>
      <i val="true"/>
      <sz val="10"/>
      <name val="Arial"/>
      <family val="2"/>
      <charset val="1"/>
    </font>
    <font>
      <b val="true"/>
      <sz val="10"/>
      <color rgb="FF663300"/>
      <name val="Copperplate Gothic Light"/>
      <family val="2"/>
      <charset val="1"/>
    </font>
    <font>
      <sz val="10"/>
      <color rgb="FF663300"/>
      <name val="Copperplate Gothic Light"/>
      <family val="2"/>
      <charset val="1"/>
    </font>
    <font>
      <b val="true"/>
      <sz val="12"/>
      <name val="Copperplate Gothic Light"/>
      <family val="2"/>
      <charset val="1"/>
    </font>
    <font>
      <b val="true"/>
      <u val="single"/>
      <sz val="11"/>
      <name val="Times New Roman"/>
      <family val="1"/>
      <charset val="1"/>
    </font>
    <font>
      <sz val="10"/>
      <name val="Symbol"/>
      <family val="1"/>
      <charset val="2"/>
    </font>
    <font>
      <sz val="7"/>
      <name val="Times New Roman"/>
      <family val="1"/>
      <charset val="1"/>
    </font>
    <font>
      <sz val="10"/>
      <color rgb="FF000000"/>
      <name val="Times New Roman"/>
      <family val="1"/>
      <charset val="1"/>
    </font>
    <font>
      <sz val="10"/>
      <color rgb="FF000000"/>
      <name val="Symbol"/>
      <family val="1"/>
      <charset val="2"/>
    </font>
    <font>
      <sz val="7"/>
      <color rgb="FF000000"/>
      <name val="Times New Roman"/>
      <family val="1"/>
      <charset val="1"/>
    </font>
    <font>
      <b val="true"/>
      <sz val="11"/>
      <color rgb="FF000000"/>
      <name val="Times New Roman"/>
      <family val="1"/>
      <charset val="1"/>
    </font>
    <font>
      <sz val="10"/>
      <color rgb="FF000000"/>
      <name val="Arial"/>
      <family val="0"/>
      <charset val="1"/>
    </font>
    <font>
      <sz val="8"/>
      <name val="Arial"/>
      <family val="2"/>
      <charset val="1"/>
    </font>
    <font>
      <b val="true"/>
      <sz val="16"/>
      <color rgb="FFFF0000"/>
      <name val="Arial"/>
      <family val="2"/>
      <charset val="1"/>
    </font>
    <font>
      <sz val="11"/>
      <color theme="1"/>
      <name val="Arial"/>
      <family val="2"/>
      <charset val="1"/>
    </font>
    <font>
      <sz val="10"/>
      <color theme="1"/>
      <name val="Arial"/>
      <family val="2"/>
      <charset val="1"/>
    </font>
    <font>
      <b val="true"/>
      <sz val="12"/>
      <color rgb="FFFF0000"/>
      <name val="Arial"/>
      <family val="2"/>
      <charset val="1"/>
    </font>
    <font>
      <b val="true"/>
      <sz val="9"/>
      <name val="Arial"/>
      <family val="2"/>
      <charset val="1"/>
    </font>
    <font>
      <sz val="18"/>
      <name val="Arial"/>
      <family val="2"/>
      <charset val="1"/>
    </font>
    <font>
      <sz val="16"/>
      <name val="Arial"/>
      <family val="2"/>
      <charset val="1"/>
    </font>
    <font>
      <sz val="10"/>
      <color rgb="FFC0C0C0"/>
      <name val="Arial"/>
      <family val="2"/>
      <charset val="1"/>
    </font>
    <font>
      <b val="true"/>
      <sz val="16"/>
      <name val="Arial"/>
      <family val="2"/>
      <charset val="1"/>
    </font>
    <font>
      <sz val="11"/>
      <color rgb="FFFF0000"/>
      <name val="Arial"/>
      <family val="2"/>
      <charset val="1"/>
    </font>
    <font>
      <sz val="12"/>
      <color rgb="FFFF0000"/>
      <name val="Arial"/>
      <family val="2"/>
      <charset val="1"/>
    </font>
    <font>
      <b val="true"/>
      <sz val="11"/>
      <name val="Arial"/>
      <family val="2"/>
      <charset val="1"/>
    </font>
    <font>
      <sz val="12"/>
      <color rgb="FF000000"/>
      <name val="Times New Roman"/>
      <family val="1"/>
      <charset val="1"/>
    </font>
    <font>
      <b val="true"/>
      <sz val="12"/>
      <color rgb="FF969696"/>
      <name val="Arial"/>
      <family val="2"/>
      <charset val="1"/>
    </font>
    <font>
      <sz val="11"/>
      <color rgb="FF9C0006"/>
      <name val="Calibri"/>
      <family val="2"/>
      <charset val="1"/>
    </font>
    <font>
      <sz val="12"/>
      <color rgb="FF002060"/>
      <name val="Arial"/>
      <family val="2"/>
      <charset val="1"/>
    </font>
    <font>
      <sz val="12"/>
      <color rgb="FF0000FF"/>
      <name val="Arial"/>
      <family val="2"/>
      <charset val="1"/>
    </font>
    <font>
      <b val="true"/>
      <sz val="12"/>
      <color theme="1" tint="0.0499"/>
      <name val="Arial"/>
      <family val="2"/>
      <charset val="1"/>
    </font>
    <font>
      <b val="true"/>
      <sz val="12"/>
      <color rgb="FF002060"/>
      <name val="Arial"/>
      <family val="2"/>
      <charset val="1"/>
    </font>
    <font>
      <i val="true"/>
      <sz val="12"/>
      <name val="Arial"/>
      <family val="2"/>
      <charset val="1"/>
    </font>
    <font>
      <sz val="10"/>
      <name val="Arial"/>
      <family val="2"/>
    </font>
    <font>
      <b val="true"/>
      <sz val="12"/>
      <color theme="1"/>
      <name val="Arial"/>
      <family val="2"/>
      <charset val="1"/>
    </font>
    <font>
      <sz val="12"/>
      <color theme="5"/>
      <name val="Arial"/>
      <family val="2"/>
      <charset val="1"/>
    </font>
    <font>
      <b val="true"/>
      <sz val="12"/>
      <color theme="0" tint="-0.15"/>
      <name val="Arial"/>
      <family val="2"/>
      <charset val="1"/>
    </font>
    <font>
      <b val="true"/>
      <sz val="12"/>
      <color theme="5"/>
      <name val="Arial"/>
      <family val="2"/>
      <charset val="1"/>
    </font>
    <font>
      <sz val="9"/>
      <color rgb="FF000000"/>
      <name val="Tahoma"/>
      <family val="2"/>
      <charset val="1"/>
    </font>
  </fonts>
  <fills count="46">
    <fill>
      <patternFill patternType="none"/>
    </fill>
    <fill>
      <patternFill patternType="gray125"/>
    </fill>
    <fill>
      <patternFill patternType="solid">
        <fgColor rgb="FFFFC7CE"/>
        <bgColor rgb="FFFCD5B5"/>
      </patternFill>
    </fill>
    <fill>
      <patternFill patternType="solid">
        <fgColor rgb="FFFFFF99"/>
        <bgColor rgb="FFFFFFC0"/>
      </patternFill>
    </fill>
    <fill>
      <patternFill patternType="solid">
        <fgColor rgb="FFFFFFCC"/>
        <bgColor rgb="FFFFFFC0"/>
      </patternFill>
    </fill>
    <fill>
      <patternFill patternType="solid">
        <fgColor theme="0" tint="-0.15"/>
        <bgColor rgb="FFDDD9C3"/>
      </patternFill>
    </fill>
    <fill>
      <patternFill patternType="solid">
        <fgColor rgb="FFE3E3E3"/>
        <bgColor rgb="FFDCE6F2"/>
      </patternFill>
    </fill>
    <fill>
      <patternFill patternType="solid">
        <fgColor theme="9" tint="0.7999"/>
        <bgColor rgb="FFF6E7E6"/>
      </patternFill>
    </fill>
    <fill>
      <patternFill patternType="solid">
        <fgColor rgb="FFFFFF00"/>
        <bgColor rgb="FFFFC000"/>
      </patternFill>
    </fill>
    <fill>
      <patternFill patternType="solid">
        <fgColor rgb="FFFFFFFF"/>
        <bgColor rgb="FFFEF4EC"/>
      </patternFill>
    </fill>
    <fill>
      <patternFill patternType="solid">
        <fgColor theme="5" tint="0.5999"/>
        <bgColor rgb="FFFAC090"/>
      </patternFill>
    </fill>
    <fill>
      <patternFill patternType="solid">
        <fgColor rgb="FFFFC000"/>
        <bgColor rgb="FFFAC090"/>
      </patternFill>
    </fill>
    <fill>
      <patternFill patternType="solid">
        <fgColor theme="4" tint="0.5999"/>
        <bgColor rgb="FFB7DEE8"/>
      </patternFill>
    </fill>
    <fill>
      <patternFill patternType="solid">
        <fgColor theme="8" tint="0.5999"/>
        <bgColor rgb="FFB9CDE5"/>
      </patternFill>
    </fill>
    <fill>
      <patternFill patternType="solid">
        <fgColor rgb="FFC0C0C0"/>
        <bgColor rgb="FFBFBFBF"/>
      </patternFill>
    </fill>
    <fill>
      <patternFill patternType="solid">
        <fgColor rgb="FFCCFFCC"/>
        <bgColor rgb="FFE5FFE5"/>
      </patternFill>
    </fill>
    <fill>
      <patternFill patternType="solid">
        <fgColor theme="9" tint="0.3999"/>
        <bgColor rgb="FFE6B9B8"/>
      </patternFill>
    </fill>
    <fill>
      <patternFill patternType="solid">
        <fgColor rgb="FFFF0000"/>
        <bgColor rgb="FF9C0006"/>
      </patternFill>
    </fill>
    <fill>
      <patternFill patternType="solid">
        <fgColor rgb="FFFFFFC0"/>
        <bgColor rgb="FFFFFFCC"/>
      </patternFill>
    </fill>
    <fill>
      <patternFill patternType="mediumGray">
        <fgColor theme="3" tint="0.5999"/>
        <bgColor rgb="FFB9CDE5"/>
      </patternFill>
    </fill>
    <fill>
      <patternFill patternType="solid">
        <fgColor theme="9" tint="0.5999"/>
        <bgColor rgb="FFFFC7CE"/>
      </patternFill>
    </fill>
    <fill>
      <patternFill patternType="solid">
        <fgColor rgb="FF99FF99"/>
        <bgColor rgb="FFCCFFCC"/>
      </patternFill>
    </fill>
    <fill>
      <patternFill patternType="solid">
        <fgColor rgb="FF69FFFF"/>
        <bgColor rgb="FF66FFFF"/>
      </patternFill>
    </fill>
    <fill>
      <patternFill patternType="solid">
        <fgColor rgb="FF66FFFF"/>
        <bgColor rgb="FF69FFFF"/>
      </patternFill>
    </fill>
    <fill>
      <patternFill patternType="solid">
        <fgColor theme="8" tint="0.7999"/>
        <bgColor rgb="FFDFF1F5"/>
      </patternFill>
    </fill>
    <fill>
      <patternFill patternType="solid">
        <fgColor theme="1" tint="0.3499"/>
        <bgColor rgb="FF996666"/>
      </patternFill>
    </fill>
    <fill>
      <patternFill patternType="solid">
        <fgColor rgb="FFF76C65"/>
        <bgColor rgb="FFC0504D"/>
      </patternFill>
    </fill>
    <fill>
      <patternFill patternType="solid">
        <fgColor theme="2" tint="-0.25"/>
        <bgColor rgb="FFBFBFBF"/>
      </patternFill>
    </fill>
    <fill>
      <patternFill patternType="solid">
        <fgColor theme="4" tint="0.7999"/>
        <bgColor rgb="FFDBEEF4"/>
      </patternFill>
    </fill>
    <fill>
      <patternFill patternType="solid">
        <fgColor theme="5" tint="0.7999"/>
        <bgColor rgb="FFF6E7E6"/>
      </patternFill>
    </fill>
    <fill>
      <patternFill patternType="solid">
        <fgColor rgb="FF996666"/>
        <bgColor rgb="FF7F7F7F"/>
      </patternFill>
    </fill>
    <fill>
      <patternFill patternType="solid">
        <fgColor theme="6" tint="0.7999"/>
        <bgColor rgb="FFEEECE1"/>
      </patternFill>
    </fill>
    <fill>
      <patternFill patternType="solid">
        <fgColor theme="6" tint="0.5999"/>
        <bgColor rgb="FFDDD9C3"/>
      </patternFill>
    </fill>
    <fill>
      <patternFill patternType="solid">
        <fgColor theme="1" tint="0.4999"/>
        <bgColor rgb="FF808080"/>
      </patternFill>
    </fill>
    <fill>
      <patternFill patternType="solid">
        <fgColor theme="0" tint="-0.25"/>
        <bgColor rgb="FFC0C0C0"/>
      </patternFill>
    </fill>
    <fill>
      <patternFill patternType="solid">
        <fgColor theme="0" tint="-0.05"/>
        <bgColor rgb="FFEDEAF2"/>
      </patternFill>
    </fill>
    <fill>
      <patternFill patternType="solid">
        <fgColor theme="2" tint="-0.1"/>
        <bgColor rgb="FFD9D9D9"/>
      </patternFill>
    </fill>
    <fill>
      <patternFill patternType="solid">
        <fgColor theme="0" tint="-0.35"/>
        <bgColor rgb="FF969696"/>
      </patternFill>
    </fill>
    <fill>
      <patternFill patternType="solid">
        <fgColor theme="7" tint="0.5999"/>
        <bgColor rgb="FFC0C0C0"/>
      </patternFill>
    </fill>
    <fill>
      <patternFill patternType="solid">
        <fgColor rgb="FFDFF1F5"/>
        <bgColor rgb="FFDBEEF4"/>
      </patternFill>
    </fill>
    <fill>
      <patternFill patternType="solid">
        <fgColor rgb="FFEDEAF2"/>
        <bgColor rgb="FFEEECE1"/>
      </patternFill>
    </fill>
    <fill>
      <patternFill patternType="solid">
        <fgColor rgb="FFF6E7E6"/>
        <bgColor rgb="FFFDEADA"/>
      </patternFill>
    </fill>
    <fill>
      <patternFill patternType="solid">
        <fgColor rgb="FFE5FFE5"/>
        <bgColor rgb="FFEBF1DE"/>
      </patternFill>
    </fill>
    <fill>
      <patternFill patternType="solid">
        <fgColor rgb="FFFEF4EC"/>
        <bgColor rgb="FFF2F2F2"/>
      </patternFill>
    </fill>
    <fill>
      <patternFill patternType="solid">
        <fgColor theme="2"/>
        <bgColor rgb="FFEBF1DE"/>
      </patternFill>
    </fill>
    <fill>
      <patternFill patternType="solid">
        <fgColor theme="0" tint="-0.5"/>
        <bgColor rgb="FF7F7F7F"/>
      </patternFill>
    </fill>
  </fills>
  <borders count="151">
    <border diagonalUp="false" diagonalDown="false">
      <left/>
      <right/>
      <top/>
      <bottom/>
      <diagonal/>
    </border>
    <border diagonalUp="false" diagonalDown="false">
      <left style="thin"/>
      <right style="thin"/>
      <top style="thin"/>
      <bottom style="thin"/>
      <diagonal/>
    </border>
    <border diagonalUp="false" diagonalDown="false">
      <left/>
      <right/>
      <top/>
      <bottom style="thin"/>
      <diagonal/>
    </border>
    <border diagonalUp="false" diagonalDown="false">
      <left style="medium"/>
      <right style="medium"/>
      <top style="medium"/>
      <bottom style="medium"/>
      <diagonal/>
    </border>
    <border diagonalUp="false" diagonalDown="false">
      <left style="medium"/>
      <right/>
      <top style="medium"/>
      <bottom style="double"/>
      <diagonal/>
    </border>
    <border diagonalUp="false" diagonalDown="false">
      <left/>
      <right/>
      <top style="medium"/>
      <bottom style="double"/>
      <diagonal/>
    </border>
    <border diagonalUp="false" diagonalDown="false">
      <left/>
      <right/>
      <top/>
      <bottom style="medium"/>
      <diagonal/>
    </border>
    <border diagonalUp="false" diagonalDown="false">
      <left style="medium"/>
      <right/>
      <top/>
      <bottom/>
      <diagonal/>
    </border>
    <border diagonalUp="false" diagonalDown="false">
      <left/>
      <right style="medium"/>
      <top/>
      <bottom/>
      <diagonal/>
    </border>
    <border diagonalUp="false" diagonalDown="false">
      <left/>
      <right/>
      <top style="medium"/>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style="thin"/>
      <top/>
      <bottom/>
      <diagonal/>
    </border>
    <border diagonalUp="false" diagonalDown="false">
      <left style="thin"/>
      <right style="thin"/>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medium"/>
      <top/>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thin"/>
      <right style="medium"/>
      <top/>
      <bottom/>
      <diagonal/>
    </border>
    <border diagonalUp="false" diagonalDown="false">
      <left style="medium"/>
      <right style="thin"/>
      <top style="medium"/>
      <bottom style="mediu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medium"/>
      <top/>
      <bottom style="mediu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thin"/>
      <right style="medium"/>
      <top style="medium"/>
      <bottom/>
      <diagonal/>
    </border>
    <border diagonalUp="false" diagonalDown="false">
      <left style="thin"/>
      <right/>
      <top/>
      <bottom/>
      <diagonal/>
    </border>
    <border diagonalUp="false" diagonalDown="false">
      <left style="thin"/>
      <right/>
      <top/>
      <bottom style="medium"/>
      <diagonal/>
    </border>
    <border diagonalUp="false" diagonalDown="false">
      <left/>
      <right/>
      <top/>
      <bottom style="double"/>
      <diagonal/>
    </border>
    <border diagonalUp="false" diagonalDown="false">
      <left/>
      <right/>
      <top style="double"/>
      <bottom/>
      <diagonal/>
    </border>
    <border diagonalUp="false" diagonalDown="false">
      <left/>
      <right/>
      <top style="thin"/>
      <bottom/>
      <diagonal/>
    </border>
    <border diagonalUp="false" diagonalDown="false">
      <left/>
      <right style="thin"/>
      <top style="medium"/>
      <botto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bottom/>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top style="medium"/>
      <bottom style="thin">
        <color rgb="FFFF0000"/>
      </bottom>
      <diagonal/>
    </border>
    <border diagonalUp="false" diagonalDown="false">
      <left/>
      <right style="medium"/>
      <top style="medium"/>
      <bottom style="thin">
        <color rgb="FFFF0000"/>
      </bottom>
      <diagonal/>
    </border>
    <border diagonalUp="false" diagonalDown="false">
      <left/>
      <right style="medium"/>
      <top style="thin">
        <color rgb="FFFF0000"/>
      </top>
      <bottom style="thin">
        <color rgb="FFFF0000"/>
      </bottom>
      <diagonal/>
    </border>
    <border diagonalUp="false" diagonalDown="false">
      <left/>
      <right style="thin"/>
      <top/>
      <bottom style="medium"/>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medium"/>
      <top style="thin">
        <color rgb="FFFF0000"/>
      </top>
      <bottom style="medium"/>
      <diagonal/>
    </border>
    <border diagonalUp="false" diagonalDown="false">
      <left style="thin"/>
      <right style="thin"/>
      <top style="thin"/>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medium"/>
      <top style="thin"/>
      <bottom/>
      <diagonal/>
    </border>
    <border diagonalUp="false" diagonalDown="false">
      <left style="medium"/>
      <right/>
      <top/>
      <bottom style="double"/>
      <diagonal/>
    </border>
    <border diagonalUp="false" diagonalDown="false">
      <left style="thin"/>
      <right style="thin"/>
      <top/>
      <bottom style="double"/>
      <diagonal/>
    </border>
    <border diagonalUp="false" diagonalDown="false">
      <left/>
      <right style="medium"/>
      <top/>
      <bottom style="double"/>
      <diagonal/>
    </border>
    <border diagonalUp="false" diagonalDown="false">
      <left style="thin"/>
      <right style="medium"/>
      <top/>
      <bottom style="double"/>
      <diagonal/>
    </border>
    <border diagonalUp="false" diagonalDown="false">
      <left style="medium"/>
      <right style="medium"/>
      <top/>
      <bottom style="double"/>
      <diagonal/>
    </border>
    <border diagonalUp="false" diagonalDown="false">
      <left style="thin"/>
      <right style="thin"/>
      <top style="double"/>
      <bottom/>
      <diagonal/>
    </border>
    <border diagonalUp="false" diagonalDown="false">
      <left/>
      <right style="thin"/>
      <top style="double"/>
      <bottom/>
      <diagonal/>
    </border>
    <border diagonalUp="false" diagonalDown="false">
      <left/>
      <right style="thin"/>
      <top style="thin"/>
      <bottom/>
      <diagonal/>
    </border>
    <border diagonalUp="false" diagonalDown="false">
      <left style="thin"/>
      <right style="thin"/>
      <top/>
      <bottom style="thin"/>
      <diagonal/>
    </border>
    <border diagonalUp="false" diagonalDown="false">
      <left/>
      <right style="medium"/>
      <top/>
      <bottom style="thin"/>
      <diagonal/>
    </border>
    <border diagonalUp="false" diagonalDown="false">
      <left style="medium"/>
      <right/>
      <top/>
      <bottom style="thin"/>
      <diagonal/>
    </border>
    <border diagonalUp="false" diagonalDown="false">
      <left style="medium"/>
      <right style="medium"/>
      <top/>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top style="thin"/>
      <bottom/>
      <diagonal/>
    </border>
    <border diagonalUp="false" diagonalDown="false">
      <left style="thin"/>
      <right/>
      <top/>
      <bottom style="thin"/>
      <diagonal/>
    </border>
    <border diagonalUp="false" diagonalDown="false">
      <left style="medium"/>
      <right style="thin"/>
      <top/>
      <bottom style="thin"/>
      <diagonal/>
    </border>
    <border diagonalUp="false" diagonalDown="false">
      <left/>
      <right style="medium"/>
      <top style="thin"/>
      <bottom style="thin"/>
      <diagonal/>
    </border>
    <border diagonalUp="false" diagonalDown="false">
      <left/>
      <right style="thin"/>
      <top/>
      <bottom style="double"/>
      <diagonal/>
    </border>
    <border diagonalUp="false" diagonalDown="false">
      <left style="medium"/>
      <right style="thin"/>
      <top style="thin"/>
      <bottom style="double"/>
      <diagonal/>
    </border>
    <border diagonalUp="false" diagonalDown="false">
      <left/>
      <right style="medium"/>
      <top style="thin"/>
      <bottom style="double"/>
      <diagonal/>
    </border>
    <border diagonalUp="false" diagonalDown="false">
      <left style="thin"/>
      <right style="thin"/>
      <top style="double"/>
      <bottom style="thin"/>
      <diagonal/>
    </border>
    <border diagonalUp="false" diagonalDown="false">
      <left style="thin"/>
      <right/>
      <top style="double"/>
      <bottom style="thin"/>
      <diagonal/>
    </border>
    <border diagonalUp="false" diagonalDown="false">
      <left/>
      <right/>
      <top style="double"/>
      <bottom style="thin"/>
      <diagonal/>
    </border>
    <border diagonalUp="false" diagonalDown="false">
      <left/>
      <right style="medium"/>
      <top style="double"/>
      <bottom style="thin"/>
      <diagonal/>
    </border>
    <border diagonalUp="false" diagonalDown="false">
      <left style="medium"/>
      <right style="thin"/>
      <top style="double"/>
      <bottom style="thin"/>
      <diagonal/>
    </border>
    <border diagonalUp="false" diagonalDown="false">
      <left style="thin"/>
      <right/>
      <top/>
      <bottom style="double"/>
      <diagonal/>
    </border>
    <border diagonalUp="false" diagonalDown="false">
      <left style="medium"/>
      <right style="thin"/>
      <top/>
      <bottom style="double"/>
      <diagonal/>
    </border>
    <border diagonalUp="false" diagonalDown="false">
      <left/>
      <right/>
      <top style="double"/>
      <bottom style="double"/>
      <diagonal/>
    </border>
    <border diagonalUp="false" diagonalDown="false">
      <left/>
      <right style="thin"/>
      <top/>
      <bottom style="thin"/>
      <diagonal/>
    </border>
    <border diagonalUp="false" diagonalDown="false">
      <left style="thin"/>
      <right/>
      <top style="thin"/>
      <bottom style="double"/>
      <diagonal/>
    </border>
    <border diagonalUp="false" diagonalDown="false">
      <left style="thin"/>
      <right style="thin"/>
      <top style="thin"/>
      <bottom style="double"/>
      <diagonal/>
    </border>
    <border diagonalUp="false" diagonalDown="false">
      <left/>
      <right/>
      <top style="thin"/>
      <bottom style="double"/>
      <diagonal/>
    </border>
    <border diagonalUp="false" diagonalDown="false">
      <left/>
      <right style="medium"/>
      <top style="double"/>
      <bottom style="double"/>
      <diagonal/>
    </border>
    <border diagonalUp="false" diagonalDown="false">
      <left style="medium"/>
      <right/>
      <top style="thin"/>
      <bottom style="thin"/>
      <diagonal/>
    </border>
    <border diagonalUp="false" diagonalDown="false">
      <left style="medium"/>
      <right/>
      <top style="thin"/>
      <bottom style="medium"/>
      <diagonal/>
    </border>
    <border diagonalUp="false" diagonalDown="false">
      <left/>
      <right style="medium"/>
      <top style="thin"/>
      <bottom style="medium"/>
      <diagonal/>
    </border>
    <border diagonalUp="false" diagonalDown="false">
      <left style="medium"/>
      <right style="thin"/>
      <top style="medium"/>
      <bottom style="double"/>
      <diagonal/>
    </border>
    <border diagonalUp="false" diagonalDown="false">
      <left style="thin"/>
      <right style="thin"/>
      <top style="medium"/>
      <bottom style="double"/>
      <diagonal/>
    </border>
    <border diagonalUp="false" diagonalDown="false">
      <left style="thin"/>
      <right style="medium"/>
      <top style="medium"/>
      <bottom style="double"/>
      <diagonal/>
    </border>
    <border diagonalUp="false" diagonalDown="false">
      <left style="medium"/>
      <right style="medium"/>
      <top style="medium"/>
      <bottom style="double"/>
      <diagonal/>
    </border>
    <border diagonalUp="false" diagonalDown="false">
      <left/>
      <right style="thin"/>
      <top style="medium"/>
      <bottom style="double"/>
      <diagonal/>
    </border>
    <border diagonalUp="false" diagonalDown="false">
      <left/>
      <right style="medium"/>
      <top style="medium"/>
      <bottom style="double"/>
      <diagonal/>
    </border>
    <border diagonalUp="false" diagonalDown="false">
      <left/>
      <right style="thin"/>
      <top style="medium"/>
      <bottom style="medium"/>
      <diagonal/>
    </border>
    <border diagonalUp="false" diagonalDown="false">
      <left style="thin"/>
      <right/>
      <top style="medium"/>
      <bottom style="medium"/>
      <diagonal/>
    </border>
    <border diagonalUp="false" diagonalDown="false">
      <left style="medium"/>
      <right/>
      <top style="double"/>
      <bottom/>
      <diagonal/>
    </border>
    <border diagonalUp="false" diagonalDown="false">
      <left style="medium"/>
      <right style="medium"/>
      <top style="thin"/>
      <bottom style="double"/>
      <diagonal/>
    </border>
    <border diagonalUp="false" diagonalDown="false">
      <left style="thin"/>
      <right/>
      <top style="double"/>
      <bottom/>
      <diagonal/>
    </border>
    <border diagonalUp="false" diagonalDown="false">
      <left/>
      <right style="medium"/>
      <top style="double"/>
      <bottom/>
      <diagonal/>
    </border>
    <border diagonalUp="false" diagonalDown="false">
      <left style="thin"/>
      <right style="thin"/>
      <top style="medium"/>
      <bottom style="thin"/>
      <diagonal/>
    </border>
    <border diagonalUp="false" diagonalDown="false">
      <left style="thin"/>
      <right/>
      <top style="medium"/>
      <bottom/>
      <diagonal/>
    </border>
    <border diagonalUp="false" diagonalDown="false">
      <left style="medium"/>
      <right style="thin"/>
      <top style="thin"/>
      <bottom/>
      <diagonal/>
    </border>
    <border diagonalUp="false" diagonalDown="false">
      <left/>
      <right/>
      <top style="thick"/>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right style="thin"/>
      <top style="double"/>
      <bottom style="double"/>
      <diagonal/>
    </border>
    <border diagonalUp="false" diagonalDown="false">
      <left style="thin"/>
      <right style="thin"/>
      <top style="double"/>
      <bottom style="double"/>
      <diagonal/>
    </border>
    <border diagonalUp="false" diagonalDown="false">
      <left/>
      <right style="thin"/>
      <top style="double"/>
      <bottom style="medium"/>
      <diagonal/>
    </border>
    <border diagonalUp="false" diagonalDown="false">
      <left style="thin"/>
      <right/>
      <top style="double"/>
      <bottom style="medium"/>
      <diagonal/>
    </border>
    <border diagonalUp="false" diagonalDown="false">
      <left/>
      <right style="medium"/>
      <top style="double"/>
      <bottom style="medium"/>
      <diagonal/>
    </border>
    <border diagonalUp="false" diagonalDown="false">
      <left/>
      <right style="thin"/>
      <top style="thin"/>
      <bottom style="medium"/>
      <diagonal/>
    </border>
    <border diagonalUp="false" diagonalDown="false">
      <left/>
      <right style="thin"/>
      <top style="thin"/>
      <bottom style="double"/>
      <diagonal/>
    </border>
    <border diagonalUp="false" diagonalDown="false">
      <left/>
      <right style="medium"/>
      <top style="thin"/>
      <bottom/>
      <diagonal/>
    </border>
    <border diagonalUp="false" diagonalDown="false">
      <left style="thin"/>
      <right style="medium"/>
      <top/>
      <bottom style="thin"/>
      <diagonal/>
    </border>
    <border diagonalUp="false" diagonalDown="false">
      <left/>
      <right style="thin"/>
      <top style="medium"/>
      <bottom style="thin"/>
      <diagonal/>
    </border>
    <border diagonalUp="false" diagonalDown="false">
      <left style="medium"/>
      <right style="medium"/>
      <top style="thin"/>
      <bottom/>
      <diagonal/>
    </border>
    <border diagonalUp="false" diagonalDown="false">
      <left style="thin"/>
      <right/>
      <top style="double"/>
      <bottom style="double"/>
      <diagonal/>
    </border>
    <border diagonalUp="false" diagonalDown="false">
      <left/>
      <right/>
      <top style="double"/>
      <bottom style="medium"/>
      <diagonal/>
    </border>
    <border diagonalUp="false" diagonalDown="false">
      <left/>
      <right/>
      <top style="thin"/>
      <bottom style="medium"/>
      <diagonal/>
    </border>
    <border diagonalUp="false" diagonalDown="false">
      <left style="thin"/>
      <right/>
      <top style="medium"/>
      <bottom style="double"/>
      <diagonal/>
    </border>
    <border diagonalUp="false" diagonalDown="false">
      <left/>
      <right style="thin"/>
      <top style="thick"/>
      <bottom/>
      <diagonal/>
    </border>
    <border diagonalUp="false" diagonalDown="false">
      <left style="medium"/>
      <right/>
      <top style="thin"/>
      <bottom/>
      <diagonal/>
    </border>
    <border diagonalUp="false" diagonalDown="false">
      <left style="medium"/>
      <right style="medium"/>
      <top style="double"/>
      <bottom style="thin"/>
      <diagonal/>
    </border>
    <border diagonalUp="false" diagonalDown="false">
      <left style="medium"/>
      <right/>
      <top style="medium"/>
      <bottom style="hair"/>
      <diagonal/>
    </border>
    <border diagonalUp="false" diagonalDown="false">
      <left/>
      <right style="thin"/>
      <top style="medium"/>
      <bottom style="hair"/>
      <diagonal/>
    </border>
    <border diagonalUp="false" diagonalDown="false">
      <left style="thin"/>
      <right style="thin"/>
      <top style="medium"/>
      <bottom style="hair"/>
      <diagonal/>
    </border>
    <border diagonalUp="false" diagonalDown="false">
      <left style="thin"/>
      <right/>
      <top style="medium"/>
      <bottom style="hair"/>
      <diagonal/>
    </border>
    <border diagonalUp="false" diagonalDown="false">
      <left/>
      <right/>
      <top style="medium"/>
      <bottom style="hair"/>
      <diagonal/>
    </border>
    <border diagonalUp="false" diagonalDown="false">
      <left style="medium"/>
      <right/>
      <top style="hair"/>
      <bottom style="hair"/>
      <diagonal/>
    </border>
    <border diagonalUp="false" diagonalDown="false">
      <left/>
      <right style="thin"/>
      <top style="hair"/>
      <bottom style="hair"/>
      <diagonal/>
    </border>
    <border diagonalUp="false" diagonalDown="false">
      <left style="thin"/>
      <right style="thin"/>
      <top style="hair"/>
      <bottom style="hair"/>
      <diagonal/>
    </border>
    <border diagonalUp="false" diagonalDown="false">
      <left style="thin"/>
      <right/>
      <top style="hair"/>
      <bottom style="hair"/>
      <diagonal/>
    </border>
    <border diagonalUp="false" diagonalDown="false">
      <left/>
      <right/>
      <top style="hair"/>
      <bottom style="hair"/>
      <diagonal/>
    </border>
    <border diagonalUp="false" diagonalDown="false">
      <left style="medium"/>
      <right/>
      <top style="hair"/>
      <bottom style="medium"/>
      <diagonal/>
    </border>
    <border diagonalUp="false" diagonalDown="false">
      <left/>
      <right style="thin"/>
      <top style="hair"/>
      <bottom style="medium"/>
      <diagonal/>
    </border>
    <border diagonalUp="false" diagonalDown="false">
      <left style="thin"/>
      <right style="thin"/>
      <top style="hair"/>
      <bottom style="medium"/>
      <diagonal/>
    </border>
    <border diagonalUp="false" diagonalDown="false">
      <left style="thin"/>
      <right/>
      <top style="hair"/>
      <bottom style="medium"/>
      <diagonal/>
    </border>
    <border diagonalUp="false" diagonalDown="false">
      <left/>
      <right/>
      <top/>
      <bottom style="thick"/>
      <diagonal/>
    </border>
    <border diagonalUp="false" diagonalDown="false">
      <left style="medium"/>
      <right/>
      <top style="double"/>
      <bottom style="thin"/>
      <diagonal/>
    </border>
    <border diagonalUp="false" diagonalDown="false">
      <left/>
      <right style="thin"/>
      <top style="double"/>
      <bottom style="thin"/>
      <diagonal/>
    </border>
    <border diagonalUp="false" diagonalDown="false">
      <left style="medium"/>
      <right style="thin"/>
      <top style="double"/>
      <bottom/>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82"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183" fontId="0" fillId="0" borderId="0" applyFont="true" applyBorder="false" applyAlignment="true" applyProtection="false">
      <alignment horizontal="general" vertical="bottom" textRotation="0" wrapText="false" indent="0" shrinkToFit="false"/>
    </xf>
    <xf numFmtId="164" fontId="1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5" fontId="5" fillId="0" borderId="0" applyFont="true" applyBorder="true" applyAlignment="true" applyProtection="true">
      <alignment horizontal="general" vertical="bottom" textRotation="0" wrapText="false" indent="0" shrinkToFit="false"/>
      <protection locked="true" hidden="false"/>
    </xf>
    <xf numFmtId="164" fontId="80" fillId="2" borderId="0" applyFont="true" applyBorder="false" applyAlignment="true" applyProtection="false">
      <alignment horizontal="general" vertical="bottom" textRotation="0" wrapText="false" indent="0" shrinkToFit="false"/>
    </xf>
  </cellStyleXfs>
  <cellXfs count="322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6" fontId="0" fillId="0" borderId="0" xfId="0" applyFont="false" applyBorder="false" applyAlignment="true" applyProtection="false">
      <alignment horizontal="center"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4" fontId="4" fillId="3" borderId="0" xfId="0" applyFont="tru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center" vertical="bottom" textRotation="0" wrapText="false" indent="0" shrinkToFit="false"/>
      <protection locked="false" hidden="false"/>
    </xf>
    <xf numFmtId="167" fontId="0" fillId="3" borderId="1" xfId="0" applyFont="false" applyBorder="true" applyAlignment="true" applyProtection="true">
      <alignment horizontal="center" vertical="bottom" textRotation="0" wrapText="false" indent="0" shrinkToFit="false"/>
      <protection locked="fals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left" vertical="bottom" textRotation="0" wrapText="false" indent="0" shrinkToFit="false"/>
      <protection locked="true" hidden="false"/>
    </xf>
    <xf numFmtId="166" fontId="4" fillId="0" borderId="0" xfId="0" applyFont="true" applyBorder="false" applyAlignment="true" applyProtection="false">
      <alignment horizontal="center" vertical="bottom" textRotation="0" wrapText="false" indent="0" shrinkToFit="false"/>
      <protection locked="true" hidden="false"/>
    </xf>
    <xf numFmtId="166" fontId="4"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6" fontId="8" fillId="0" borderId="0" xfId="0" applyFont="true" applyBorder="false" applyAlignment="true" applyProtection="false">
      <alignment horizontal="center" vertical="bottom" textRotation="0" wrapText="false" indent="0" shrinkToFit="false"/>
      <protection locked="true" hidden="false"/>
    </xf>
    <xf numFmtId="164" fontId="9" fillId="0" borderId="0" xfId="20" applyFont="true" applyBorder="true" applyAlignment="true" applyProtection="true">
      <alignment horizontal="left" vertical="bottom" textRotation="0" wrapText="false" indent="0" shrinkToFit="false"/>
      <protection locked="true" hidden="false"/>
    </xf>
    <xf numFmtId="164" fontId="4" fillId="3" borderId="2" xfId="0" applyFont="true" applyBorder="true" applyAlignment="false" applyProtection="true">
      <alignment horizontal="general" vertical="bottom" textRotation="0" wrapText="false" indent="0" shrinkToFit="false"/>
      <protection locked="false" hidden="false"/>
    </xf>
    <xf numFmtId="164" fontId="11" fillId="0" borderId="0" xfId="0" applyFont="true" applyBorder="false" applyAlignment="true" applyProtection="false">
      <alignment horizontal="general" vertical="top" textRotation="0" wrapText="false" indent="0" shrinkToFit="false"/>
      <protection locked="true" hidden="false"/>
    </xf>
    <xf numFmtId="164" fontId="11" fillId="0" borderId="0" xfId="0" applyFont="true" applyBorder="false" applyAlignment="true" applyProtection="false">
      <alignment horizontal="center" vertical="top" textRotation="0" wrapText="false" indent="0" shrinkToFit="false"/>
      <protection locked="true" hidden="false"/>
    </xf>
    <xf numFmtId="166" fontId="8" fillId="0" borderId="0" xfId="0" applyFont="true" applyBorder="false" applyAlignment="false" applyProtection="false">
      <alignment horizontal="general" vertical="bottom" textRotation="0" wrapText="false" indent="0" shrinkToFit="false"/>
      <protection locked="true" hidden="false"/>
    </xf>
    <xf numFmtId="164" fontId="9" fillId="0" borderId="0" xfId="20" applyFont="true" applyBorder="true" applyAlignment="true" applyProtection="true">
      <alignment horizontal="general" vertical="top" textRotation="0" wrapText="false" indent="0" shrinkToFit="false"/>
      <protection locked="true" hidden="false"/>
    </xf>
    <xf numFmtId="167" fontId="0" fillId="3" borderId="0" xfId="0" applyFont="false" applyBorder="false" applyAlignment="true" applyProtection="true">
      <alignment horizontal="left" vertical="bottom" textRotation="0" wrapText="false" indent="0" shrinkToFit="false"/>
      <protection locked="false" hidden="false"/>
    </xf>
    <xf numFmtId="168" fontId="0" fillId="3" borderId="0" xfId="0" applyFont="fals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2" fillId="0" borderId="0" xfId="0" applyFont="true" applyBorder="false" applyAlignment="true" applyProtection="false">
      <alignment horizontal="right" vertical="bottom" textRotation="0" wrapText="false" indent="0" shrinkToFit="false"/>
      <protection locked="true" hidden="false"/>
    </xf>
    <xf numFmtId="164" fontId="6" fillId="4" borderId="3" xfId="0" applyFont="true" applyBorder="true" applyAlignment="true" applyProtection="false">
      <alignment horizontal="center" vertical="bottom" textRotation="0" wrapText="false" indent="0" shrinkToFit="false"/>
      <protection locked="true" hidden="false"/>
    </xf>
    <xf numFmtId="164" fontId="13" fillId="0" borderId="0" xfId="0" applyFont="true" applyBorder="false" applyAlignment="true" applyProtection="false">
      <alignment horizontal="center" vertical="bottom" textRotation="0" wrapText="false" indent="0" shrinkToFit="false"/>
      <protection locked="true" hidden="false"/>
    </xf>
    <xf numFmtId="164" fontId="14" fillId="0" borderId="0" xfId="0" applyFont="true" applyBorder="false" applyAlignment="true" applyProtection="false">
      <alignment horizontal="right" vertical="bottom" textRotation="0" wrapText="false" indent="0" shrinkToFit="false"/>
      <protection locked="true" hidden="false"/>
    </xf>
    <xf numFmtId="164" fontId="15" fillId="5" borderId="0" xfId="0" applyFont="tru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true">
      <alignment horizontal="general" vertical="bottom" textRotation="0" wrapText="false" indent="0" shrinkToFit="false"/>
      <protection locked="false" hidden="false"/>
    </xf>
    <xf numFmtId="167" fontId="4" fillId="3" borderId="1" xfId="0" applyFont="true" applyBorder="true" applyAlignment="false" applyProtection="true">
      <alignment horizontal="general" vertical="bottom" textRotation="0" wrapText="false" indent="0" shrinkToFit="false"/>
      <protection locked="false" hidden="false"/>
    </xf>
    <xf numFmtId="164" fontId="16" fillId="5" borderId="0" xfId="0" applyFont="true" applyBorder="false" applyAlignment="false" applyProtection="false">
      <alignment horizontal="general" vertical="bottom" textRotation="0" wrapText="false" indent="0" shrinkToFit="false"/>
      <protection locked="true" hidden="false"/>
    </xf>
    <xf numFmtId="166" fontId="15" fillId="5" borderId="0" xfId="0" applyFont="true" applyBorder="false" applyAlignment="true" applyProtection="false">
      <alignment horizontal="left" vertical="bottom" textRotation="0" wrapText="false" indent="0" shrinkToFit="false"/>
      <protection locked="true" hidden="false"/>
    </xf>
    <xf numFmtId="164" fontId="4" fillId="5" borderId="0" xfId="0" applyFont="true" applyBorder="false" applyAlignment="true" applyProtection="true">
      <alignment horizontal="right" vertical="bottom" textRotation="0" wrapText="false" indent="0" shrinkToFit="false"/>
      <protection locked="false" hidden="false"/>
    </xf>
    <xf numFmtId="164" fontId="4" fillId="0" borderId="0" xfId="0" applyFont="true" applyBorder="false" applyAlignment="true" applyProtection="false">
      <alignment horizontal="right"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10" fillId="5" borderId="0" xfId="20"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9" fillId="0" borderId="0" xfId="20" applyFont="true" applyBorder="true" applyAlignment="true" applyProtection="true">
      <alignment horizontal="general" vertical="bottom" textRotation="0" wrapText="false" indent="0" shrinkToFit="false"/>
      <protection locked="true" hidden="false"/>
    </xf>
    <xf numFmtId="167" fontId="0" fillId="3" borderId="1" xfId="0" applyFont="false" applyBorder="true" applyAlignment="false" applyProtection="true">
      <alignment horizontal="general" vertical="bottom" textRotation="0" wrapText="false" indent="0" shrinkToFit="false"/>
      <protection locked="false" hidden="false"/>
    </xf>
    <xf numFmtId="166" fontId="7"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left" vertical="bottom"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17" fillId="5" borderId="0" xfId="0" applyFont="true" applyBorder="false" applyAlignment="true" applyProtection="false">
      <alignment horizontal="left"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5" borderId="0" xfId="0" applyFont="true" applyBorder="tru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6" fontId="20" fillId="0" borderId="0" xfId="0" applyFont="true" applyBorder="false" applyAlignment="true" applyProtection="false">
      <alignment horizontal="center" vertical="bottom" textRotation="0" wrapText="false" indent="0" shrinkToFit="false"/>
      <protection locked="true" hidden="false"/>
    </xf>
    <xf numFmtId="164" fontId="21" fillId="0" borderId="0" xfId="20" applyFont="true" applyBorder="true" applyAlignment="true" applyProtection="true">
      <alignment horizontal="left" vertical="center" textRotation="0" wrapText="false" indent="0" shrinkToFit="false"/>
      <protection locked="true" hidden="false"/>
    </xf>
    <xf numFmtId="166" fontId="9" fillId="0" borderId="0" xfId="20" applyFont="true" applyBorder="true" applyAlignment="true" applyProtection="true">
      <alignment horizontal="left"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9" fontId="0" fillId="0" borderId="0" xfId="17" applyFont="true" applyBorder="true" applyAlignment="true" applyProtection="tru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1" fontId="4" fillId="0" borderId="4" xfId="0" applyFont="true" applyBorder="true" applyAlignment="true" applyProtection="false">
      <alignment horizontal="left" vertical="bottom" textRotation="0" wrapText="false" indent="0" shrinkToFit="false"/>
      <protection locked="true" hidden="false"/>
    </xf>
    <xf numFmtId="171" fontId="4" fillId="0" borderId="5"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right" vertical="bottom" textRotation="90" wrapText="false" indent="0" shrinkToFit="false"/>
      <protection locked="true" hidden="false"/>
    </xf>
    <xf numFmtId="171" fontId="4" fillId="0" borderId="5" xfId="0" applyFont="true" applyBorder="true" applyAlignment="true" applyProtection="false">
      <alignment horizontal="left" vertical="bottom" textRotation="90" wrapText="true" indent="0" shrinkToFit="false"/>
      <protection locked="true" hidden="false"/>
    </xf>
    <xf numFmtId="164" fontId="4" fillId="0" borderId="6" xfId="0" applyFont="true" applyBorder="true" applyAlignment="false" applyProtection="false">
      <alignment horizontal="general" vertical="bottom" textRotation="0" wrapText="false" indent="0" shrinkToFit="false"/>
      <protection locked="true" hidden="false"/>
    </xf>
    <xf numFmtId="164" fontId="4" fillId="6" borderId="7" xfId="0" applyFont="true" applyBorder="true" applyAlignment="true" applyProtection="false">
      <alignment horizontal="left" vertical="bottom" textRotation="0" wrapText="false" indent="0" shrinkToFit="false"/>
      <protection locked="true" hidden="false"/>
    </xf>
    <xf numFmtId="164" fontId="4" fillId="6" borderId="0" xfId="0" applyFont="true" applyBorder="false" applyAlignment="false" applyProtection="false">
      <alignment horizontal="general" vertical="bottom" textRotation="0" wrapText="false" indent="0" shrinkToFit="false"/>
      <protection locked="true" hidden="false"/>
    </xf>
    <xf numFmtId="171" fontId="4" fillId="6" borderId="0" xfId="0" applyFont="true" applyBorder="false" applyAlignment="false" applyProtection="false">
      <alignment horizontal="general" vertical="bottom" textRotation="0" wrapText="false" indent="0" shrinkToFit="false"/>
      <protection locked="true" hidden="false"/>
    </xf>
    <xf numFmtId="172" fontId="4" fillId="6" borderId="0" xfId="17" applyFont="true" applyBorder="true" applyAlignment="true" applyProtection="true">
      <alignment horizontal="general" vertical="bottom" textRotation="0" wrapText="false" indent="0" shrinkToFit="false"/>
      <protection locked="true" hidden="false"/>
    </xf>
    <xf numFmtId="172" fontId="4" fillId="6" borderId="8" xfId="17" applyFont="true" applyBorder="true" applyAlignment="true" applyProtection="true">
      <alignment horizontal="general" vertical="bottom" textRotation="0" wrapText="false" indent="0" shrinkToFit="false"/>
      <protection locked="true" hidden="false"/>
    </xf>
    <xf numFmtId="164" fontId="13" fillId="6" borderId="0" xfId="0" applyFont="true" applyBorder="false" applyAlignment="false" applyProtection="false">
      <alignment horizontal="general" vertical="bottom" textRotation="0" wrapText="false" indent="0" shrinkToFit="false"/>
      <protection locked="true" hidden="false"/>
    </xf>
    <xf numFmtId="171" fontId="13" fillId="6" borderId="9" xfId="0" applyFont="true" applyBorder="true" applyAlignment="false" applyProtection="false">
      <alignment horizontal="general" vertical="bottom" textRotation="0" wrapText="false" indent="0" shrinkToFit="false"/>
      <protection locked="true" hidden="false"/>
    </xf>
    <xf numFmtId="171" fontId="13" fillId="6" borderId="9" xfId="0" applyFont="true" applyBorder="true" applyAlignment="true" applyProtection="false">
      <alignment horizontal="center" vertical="bottom" textRotation="0" wrapText="false" indent="0" shrinkToFit="false"/>
      <protection locked="true" hidden="false"/>
    </xf>
    <xf numFmtId="171" fontId="13" fillId="6" borderId="0" xfId="0" applyFont="true" applyBorder="false" applyAlignment="false" applyProtection="false">
      <alignment horizontal="general" vertical="bottom" textRotation="0" wrapText="false" indent="0" shrinkToFit="false"/>
      <protection locked="true" hidden="false"/>
    </xf>
    <xf numFmtId="169" fontId="13" fillId="0" borderId="0" xfId="17"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false">
      <alignment horizontal="left" vertical="bottom" textRotation="0" wrapText="false" indent="0" shrinkToFit="false"/>
      <protection locked="true" hidden="false"/>
    </xf>
    <xf numFmtId="171" fontId="4" fillId="0" borderId="0" xfId="0" applyFont="true" applyBorder="false" applyAlignment="false" applyProtection="false">
      <alignment horizontal="general" vertical="bottom" textRotation="0" wrapText="false" indent="0" shrinkToFit="false"/>
      <protection locked="true" hidden="false"/>
    </xf>
    <xf numFmtId="173" fontId="4" fillId="0" borderId="0" xfId="0" applyFont="true" applyBorder="false" applyAlignment="false" applyProtection="false">
      <alignment horizontal="general" vertical="bottom" textRotation="0" wrapText="false" indent="0" shrinkToFit="false"/>
      <protection locked="true" hidden="false"/>
    </xf>
    <xf numFmtId="174" fontId="4" fillId="0" borderId="0" xfId="17" applyFont="true" applyBorder="true" applyAlignment="true" applyProtection="true">
      <alignment horizontal="general" vertical="bottom" textRotation="0" wrapText="false" indent="0" shrinkToFit="false"/>
      <protection locked="true" hidden="false"/>
    </xf>
    <xf numFmtId="174" fontId="4" fillId="0" borderId="8" xfId="17" applyFont="true" applyBorder="true" applyAlignment="true" applyProtection="true">
      <alignment horizontal="general" vertical="bottom" textRotation="0" wrapText="false" indent="0" shrinkToFit="false"/>
      <protection locked="true" hidden="false"/>
    </xf>
    <xf numFmtId="169" fontId="4" fillId="0" borderId="0" xfId="17" applyFont="true" applyBorder="true" applyAlignment="true" applyProtection="true">
      <alignment horizontal="general" vertical="bottom" textRotation="0" wrapText="fals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false" hidden="false"/>
    </xf>
    <xf numFmtId="175" fontId="4" fillId="5" borderId="10" xfId="0" applyFont="true" applyBorder="true" applyAlignment="true" applyProtection="false">
      <alignment horizontal="center" vertical="bottom" textRotation="0" wrapText="false" indent="0" shrinkToFit="false"/>
      <protection locked="true" hidden="false"/>
    </xf>
    <xf numFmtId="176" fontId="4" fillId="5" borderId="0" xfId="0" applyFont="true" applyBorder="false" applyAlignment="true" applyProtection="false">
      <alignment horizontal="center"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75" fontId="4" fillId="5" borderId="1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71" fontId="4" fillId="0" borderId="0" xfId="0" applyFont="true" applyBorder="false" applyAlignment="true" applyProtection="true">
      <alignment horizontal="left" vertical="bottom" textRotation="0" wrapText="false" indent="0" shrinkToFit="false"/>
      <protection locked="false" hidden="false"/>
    </xf>
    <xf numFmtId="177" fontId="4" fillId="5" borderId="11" xfId="0" applyFont="true" applyBorder="true" applyAlignment="true" applyProtection="false">
      <alignment horizontal="center" vertical="bottom" textRotation="0" wrapText="false" indent="0" shrinkToFit="false"/>
      <protection locked="true" hidden="false"/>
    </xf>
    <xf numFmtId="164" fontId="4" fillId="0" borderId="12" xfId="0" applyFont="true" applyBorder="true" applyAlignment="true" applyProtection="false">
      <alignment horizontal="left" vertical="bottom" textRotation="0" wrapText="false" indent="0" shrinkToFit="false"/>
      <protection locked="true" hidden="false"/>
    </xf>
    <xf numFmtId="164" fontId="4" fillId="0" borderId="6" xfId="0" applyFont="true" applyBorder="true" applyAlignment="true" applyProtection="false">
      <alignment horizontal="center" vertical="bottom" textRotation="0" wrapText="false" indent="0" shrinkToFit="false"/>
      <protection locked="true" hidden="false"/>
    </xf>
    <xf numFmtId="166" fontId="4" fillId="0" borderId="6" xfId="0" applyFont="true" applyBorder="true" applyAlignment="false" applyProtection="false">
      <alignment horizontal="general" vertical="bottom" textRotation="0" wrapText="false" indent="0" shrinkToFit="false"/>
      <protection locked="true" hidden="false"/>
    </xf>
    <xf numFmtId="173" fontId="4" fillId="0" borderId="6" xfId="0" applyFont="true" applyBorder="true" applyAlignment="false" applyProtection="false">
      <alignment horizontal="general" vertical="bottom" textRotation="0" wrapText="false" indent="0" shrinkToFit="false"/>
      <protection locked="true" hidden="false"/>
    </xf>
    <xf numFmtId="174" fontId="4" fillId="0" borderId="6" xfId="17" applyFont="true" applyBorder="true" applyAlignment="true" applyProtection="true">
      <alignment horizontal="general" vertical="bottom" textRotation="0" wrapText="false" indent="0" shrinkToFit="false"/>
      <protection locked="true" hidden="false"/>
    </xf>
    <xf numFmtId="174" fontId="4" fillId="0" borderId="13" xfId="17" applyFont="true" applyBorder="true" applyAlignment="true" applyProtection="true">
      <alignment horizontal="general" vertical="bottom" textRotation="0" wrapText="false" indent="0" shrinkToFit="false"/>
      <protection locked="true" hidden="false"/>
    </xf>
    <xf numFmtId="164" fontId="11" fillId="6" borderId="14" xfId="0" applyFont="true" applyBorder="true" applyAlignment="true" applyProtection="true">
      <alignment horizontal="left" vertical="bottom" textRotation="0" wrapText="false" indent="0" shrinkToFit="false"/>
      <protection locked="false" hidden="false"/>
    </xf>
    <xf numFmtId="164" fontId="11" fillId="6" borderId="15" xfId="0" applyFont="true" applyBorder="true" applyAlignment="true" applyProtection="true">
      <alignment horizontal="center" vertical="bottom" textRotation="0" wrapText="false" indent="0" shrinkToFit="false"/>
      <protection locked="false" hidden="false"/>
    </xf>
    <xf numFmtId="178" fontId="11" fillId="3" borderId="15" xfId="0" applyFont="true" applyBorder="true" applyAlignment="false" applyProtection="true">
      <alignment horizontal="general" vertical="bottom" textRotation="0" wrapText="false" indent="0" shrinkToFit="false"/>
      <protection locked="false" hidden="false"/>
    </xf>
    <xf numFmtId="164" fontId="4" fillId="6" borderId="8" xfId="0" applyFont="true" applyBorder="true" applyAlignment="false" applyProtection="false">
      <alignment horizontal="general" vertical="bottom" textRotation="0" wrapText="false" indent="0" shrinkToFit="false"/>
      <protection locked="true" hidden="false"/>
    </xf>
    <xf numFmtId="179" fontId="4" fillId="0" borderId="0" xfId="17" applyFont="true" applyBorder="true" applyAlignment="true" applyProtection="true">
      <alignment horizontal="general" vertical="bottom" textRotation="0" wrapText="false" indent="0" shrinkToFit="false"/>
      <protection locked="true" hidden="false"/>
    </xf>
    <xf numFmtId="164" fontId="8" fillId="6" borderId="16" xfId="0" applyFont="true" applyBorder="true" applyAlignment="true" applyProtection="false">
      <alignment horizontal="left" vertical="bottom" textRotation="0" wrapText="false" indent="0" shrinkToFit="false"/>
      <protection locked="true" hidden="false"/>
    </xf>
    <xf numFmtId="164" fontId="8" fillId="6" borderId="9" xfId="0" applyFont="true" applyBorder="true" applyAlignment="true" applyProtection="false">
      <alignment horizontal="center" vertical="bottom" textRotation="0" wrapText="false" indent="0" shrinkToFit="false"/>
      <protection locked="true" hidden="false"/>
    </xf>
    <xf numFmtId="164" fontId="8" fillId="6" borderId="17"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left" vertical="bottom" textRotation="0" wrapText="fals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8" fillId="0" borderId="1" xfId="0" applyFont="true" applyBorder="true" applyAlignment="true" applyProtection="false">
      <alignment horizontal="center" vertical="bottom" textRotation="0" wrapText="false" indent="0" shrinkToFit="false"/>
      <protection locked="true" hidden="false"/>
    </xf>
    <xf numFmtId="178" fontId="11" fillId="3" borderId="18" xfId="0" applyFont="true" applyBorder="true" applyAlignment="true" applyProtection="true">
      <alignment horizontal="left" vertical="bottom" textRotation="0" wrapText="false" indent="0" shrinkToFit="false"/>
      <protection locked="false" hidden="false"/>
    </xf>
    <xf numFmtId="178" fontId="11" fillId="3" borderId="19" xfId="0" applyFont="true" applyBorder="true" applyAlignment="false" applyProtection="true">
      <alignment horizontal="general" vertical="bottom" textRotation="0" wrapText="false" indent="0" shrinkToFit="false"/>
      <protection locked="false" hidden="false"/>
    </xf>
    <xf numFmtId="169" fontId="4" fillId="3" borderId="0" xfId="17" applyFont="true" applyBorder="true" applyAlignment="true" applyProtection="true">
      <alignment horizontal="general" vertical="bottom" textRotation="0" wrapText="false" indent="0" shrinkToFit="false"/>
      <protection locked="true" hidden="false"/>
    </xf>
    <xf numFmtId="178" fontId="11" fillId="3" borderId="20" xfId="0" applyFont="true" applyBorder="true" applyAlignment="false" applyProtection="true">
      <alignment horizontal="general" vertical="bottom" textRotation="0" wrapText="false" indent="0" shrinkToFit="false"/>
      <protection locked="false" hidden="false"/>
    </xf>
    <xf numFmtId="178" fontId="22" fillId="6" borderId="21" xfId="0" applyFont="true" applyBorder="true" applyAlignment="true" applyProtection="true">
      <alignment horizontal="left" vertical="bottom" textRotation="0" wrapText="false" indent="0" shrinkToFit="false"/>
      <protection locked="false" hidden="false"/>
    </xf>
    <xf numFmtId="178" fontId="22" fillId="6" borderId="22" xfId="0" applyFont="true" applyBorder="true" applyAlignment="true" applyProtection="true">
      <alignment horizontal="center" vertical="bottom" textRotation="0" wrapText="false" indent="0" shrinkToFit="false"/>
      <protection locked="false" hidden="false"/>
    </xf>
    <xf numFmtId="178" fontId="22" fillId="6" borderId="23" xfId="0" applyFont="true" applyBorder="true" applyAlignment="true" applyProtection="true">
      <alignment horizontal="center" vertical="bottom" textRotation="0" wrapText="false" indent="0" shrinkToFit="false"/>
      <protection locked="false" hidden="false"/>
    </xf>
    <xf numFmtId="177" fontId="4" fillId="5" borderId="0" xfId="0" applyFont="true" applyBorder="false" applyAlignment="true" applyProtection="false">
      <alignment horizontal="center" vertical="bottom" textRotation="0" wrapText="false" indent="0" shrinkToFit="false"/>
      <protection locked="true" hidden="false"/>
    </xf>
    <xf numFmtId="178" fontId="11" fillId="3" borderId="14" xfId="0" applyFont="true" applyBorder="true" applyAlignment="true" applyProtection="true">
      <alignment horizontal="left" vertical="bottom" textRotation="0" wrapText="false" indent="0" shrinkToFit="false"/>
      <protection locked="false" hidden="false"/>
    </xf>
    <xf numFmtId="169" fontId="4" fillId="3" borderId="15" xfId="17" applyFont="true" applyBorder="true" applyAlignment="true" applyProtection="true">
      <alignment horizontal="general" vertical="bottom" textRotation="0" wrapText="false" indent="0" shrinkToFit="false"/>
      <protection locked="true" hidden="false"/>
    </xf>
    <xf numFmtId="178" fontId="11" fillId="3" borderId="24" xfId="0" applyFont="true" applyBorder="true" applyAlignment="false" applyProtection="true">
      <alignment horizontal="general" vertical="bottom" textRotation="0" wrapText="false" indent="0" shrinkToFit="false"/>
      <protection locked="false" hidden="false"/>
    </xf>
    <xf numFmtId="164" fontId="13" fillId="6" borderId="25" xfId="0" applyFont="true" applyBorder="true" applyAlignment="true" applyProtection="false">
      <alignment horizontal="left" vertical="bottom" textRotation="0" wrapText="false" indent="0" shrinkToFit="false"/>
      <protection locked="true" hidden="false"/>
    </xf>
    <xf numFmtId="164" fontId="13" fillId="6" borderId="26" xfId="0" applyFont="true" applyBorder="true" applyAlignment="true" applyProtection="false">
      <alignment horizontal="center" vertical="bottom" textRotation="0" wrapText="false" indent="0" shrinkToFit="false"/>
      <protection locked="true" hidden="false"/>
    </xf>
    <xf numFmtId="164" fontId="13" fillId="6" borderId="27" xfId="0" applyFont="true" applyBorder="true" applyAlignment="true" applyProtection="false">
      <alignment horizontal="center" vertical="bottom" textRotation="0" wrapText="false" indent="0" shrinkToFit="false"/>
      <protection locked="true" hidden="false"/>
    </xf>
    <xf numFmtId="178" fontId="4" fillId="3" borderId="18" xfId="0" applyFont="true" applyBorder="true" applyAlignment="true" applyProtection="false">
      <alignment horizontal="left" vertical="bottom" textRotation="0" wrapText="false" indent="0" shrinkToFit="false"/>
      <protection locked="true" hidden="false"/>
    </xf>
    <xf numFmtId="178" fontId="4" fillId="3" borderId="19" xfId="0" applyFont="true" applyBorder="true" applyAlignment="false" applyProtection="false">
      <alignment horizontal="general" vertical="bottom" textRotation="0" wrapText="false" indent="0" shrinkToFit="false"/>
      <protection locked="true" hidden="false"/>
    </xf>
    <xf numFmtId="178" fontId="4" fillId="3" borderId="20" xfId="0" applyFont="true" applyBorder="tru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left" vertical="bottom" textRotation="0" wrapText="false" indent="0" shrinkToFit="false"/>
      <protection locked="true" hidden="false"/>
    </xf>
    <xf numFmtId="171" fontId="4" fillId="0" borderId="0" xfId="0" applyFont="true" applyBorder="false" applyAlignment="true" applyProtection="false">
      <alignment horizontal="left" vertical="bottom" textRotation="0" wrapText="false" indent="0" shrinkToFit="false"/>
      <protection locked="true" hidden="false"/>
    </xf>
    <xf numFmtId="164" fontId="13" fillId="0" borderId="16" xfId="0" applyFont="true" applyBorder="true" applyAlignment="true" applyProtection="false">
      <alignment horizontal="general" vertical="bottom" textRotation="0" wrapText="true" indent="0" shrinkToFit="false"/>
      <protection locked="true" hidden="false"/>
    </xf>
    <xf numFmtId="164" fontId="4" fillId="0" borderId="9" xfId="0" applyFont="true" applyBorder="true" applyAlignment="true" applyProtection="false">
      <alignment horizontal="general" vertical="bottom" textRotation="0" wrapText="true" indent="0" shrinkToFit="false"/>
      <protection locked="true" hidden="false"/>
    </xf>
    <xf numFmtId="164" fontId="4" fillId="0" borderId="17" xfId="0" applyFont="true" applyBorder="true" applyAlignment="true" applyProtection="false">
      <alignment horizontal="general" vertical="bottom" textRotation="0" wrapText="true" indent="0" shrinkToFit="false"/>
      <protection locked="true" hidden="false"/>
    </xf>
    <xf numFmtId="169" fontId="4" fillId="0" borderId="0" xfId="17"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71" fontId="13" fillId="6" borderId="0" xfId="0" applyFont="true" applyBorder="false" applyAlignment="true" applyProtection="false">
      <alignment horizontal="left" vertical="bottom" textRotation="0" wrapText="false" indent="0" shrinkToFit="false"/>
      <protection locked="true" hidden="false"/>
    </xf>
    <xf numFmtId="169" fontId="4" fillId="6" borderId="0" xfId="17" applyFont="true" applyBorder="true" applyAlignment="true" applyProtection="true">
      <alignment horizontal="left" vertical="bottom" textRotation="0" wrapText="false" indent="0" shrinkToFit="false"/>
      <protection locked="true" hidden="false"/>
    </xf>
    <xf numFmtId="164" fontId="4" fillId="0" borderId="28" xfId="0" applyFont="true" applyBorder="true" applyAlignment="true" applyProtection="false">
      <alignment horizontal="center" vertical="bottom" textRotation="0" wrapText="false" indent="0" shrinkToFit="false"/>
      <protection locked="true" hidden="false"/>
    </xf>
    <xf numFmtId="164" fontId="4" fillId="0" borderId="29" xfId="0" applyFont="true" applyBorder="true" applyAlignment="true" applyProtection="false">
      <alignment horizontal="center" vertical="bottom" textRotation="0" wrapText="false" indent="0" shrinkToFit="false"/>
      <protection locked="true" hidden="false"/>
    </xf>
    <xf numFmtId="164" fontId="4" fillId="0" borderId="30" xfId="0" applyFont="true" applyBorder="true" applyAlignment="true" applyProtection="false">
      <alignment horizontal="center" vertical="bottom" textRotation="0" wrapText="false" indent="0" shrinkToFit="false"/>
      <protection locked="true" hidden="false"/>
    </xf>
    <xf numFmtId="169" fontId="4" fillId="0" borderId="12" xfId="17" applyFont="true" applyBorder="true" applyAlignment="true" applyProtection="true">
      <alignment horizontal="general" vertical="bottom" textRotation="0" wrapText="false" indent="0" shrinkToFit="false"/>
      <protection locked="true" hidden="false"/>
    </xf>
    <xf numFmtId="169" fontId="4" fillId="0" borderId="6" xfId="17" applyFont="true" applyBorder="true" applyAlignment="true" applyProtection="true">
      <alignment horizontal="general" vertical="bottom" textRotation="0" wrapText="false" indent="0" shrinkToFit="false"/>
      <protection locked="true" hidden="false"/>
    </xf>
    <xf numFmtId="169" fontId="4" fillId="7" borderId="13" xfId="17" applyFont="true" applyBorder="true" applyAlignment="true" applyProtection="true">
      <alignment horizontal="general" vertical="bottom" textRotation="0" wrapText="false" indent="0" shrinkToFit="false"/>
      <protection locked="true" hidden="false"/>
    </xf>
    <xf numFmtId="170" fontId="4" fillId="0" borderId="0" xfId="0" applyFont="true" applyBorder="false" applyAlignment="false" applyProtection="false">
      <alignment horizontal="general" vertical="bottom" textRotation="0" wrapText="false" indent="0" shrinkToFit="false"/>
      <protection locked="true" hidden="false"/>
    </xf>
    <xf numFmtId="169" fontId="4" fillId="0" borderId="3" xfId="17" applyFont="true" applyBorder="true" applyAlignment="true" applyProtection="true">
      <alignment horizontal="center" vertical="bottom" textRotation="0" wrapText="true" indent="0" shrinkToFit="false"/>
      <protection locked="true" hidden="false"/>
    </xf>
    <xf numFmtId="169" fontId="23" fillId="5" borderId="3" xfId="17" applyFont="true" applyBorder="true" applyAlignment="true" applyProtection="true">
      <alignment horizontal="center" vertical="bottom" textRotation="0" wrapText="false" indent="0" shrinkToFit="false"/>
      <protection locked="true" hidden="false"/>
    </xf>
    <xf numFmtId="169" fontId="4" fillId="8" borderId="7" xfId="17" applyFont="true" applyBorder="true" applyAlignment="true" applyProtection="true">
      <alignment horizontal="center" vertical="bottom" textRotation="0" wrapText="false" indent="0" shrinkToFit="false"/>
      <protection locked="true" hidden="false"/>
    </xf>
    <xf numFmtId="169" fontId="4" fillId="6" borderId="0" xfId="17" applyFont="true" applyBorder="true" applyAlignment="true" applyProtection="true">
      <alignment horizontal="general" vertical="bottom" textRotation="0" wrapText="false" indent="0" shrinkToFit="false"/>
      <protection locked="true" hidden="false"/>
    </xf>
    <xf numFmtId="169" fontId="4" fillId="8" borderId="12" xfId="17" applyFont="true" applyBorder="true" applyAlignment="true" applyProtection="true">
      <alignment horizontal="center" vertical="bottom" textRotation="0" wrapText="false" indent="0" shrinkToFit="false"/>
      <protection locked="true" hidden="false"/>
    </xf>
    <xf numFmtId="169" fontId="4" fillId="8" borderId="6" xfId="17" applyFont="true" applyBorder="true" applyAlignment="true" applyProtection="true">
      <alignment horizontal="center" vertical="bottom"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71" fontId="4" fillId="0" borderId="0" xfId="0" applyFont="true" applyBorder="false" applyAlignment="false" applyProtection="true">
      <alignment horizontal="general" vertical="bottom" textRotation="0" wrapText="false" indent="0" shrinkToFit="false"/>
      <protection locked="false" hidden="false"/>
    </xf>
    <xf numFmtId="180" fontId="4" fillId="0" borderId="0" xfId="0" applyFont="true" applyBorder="false" applyAlignment="false" applyProtection="true">
      <alignment horizontal="general" vertical="bottom" textRotation="0" wrapText="false" indent="0" shrinkToFit="false"/>
      <protection locked="false" hidden="false"/>
    </xf>
    <xf numFmtId="164" fontId="4" fillId="0" borderId="3" xfId="0" applyFont="true" applyBorder="true" applyAlignment="true" applyProtection="false">
      <alignment horizontal="center" vertical="bottom" textRotation="0" wrapText="false" indent="0" shrinkToFit="false"/>
      <protection locked="true" hidden="false"/>
    </xf>
    <xf numFmtId="169" fontId="4" fillId="0" borderId="16" xfId="17" applyFont="true" applyBorder="true" applyAlignment="true" applyProtection="true">
      <alignment horizontal="center" vertical="bottom" textRotation="0" wrapText="false" indent="0" shrinkToFit="false"/>
      <protection locked="true" hidden="false"/>
    </xf>
    <xf numFmtId="164" fontId="8" fillId="9" borderId="31" xfId="0" applyFont="true" applyBorder="true" applyAlignment="false" applyProtection="false">
      <alignment horizontal="general" vertical="bottom" textRotation="0" wrapText="false" indent="0" shrinkToFit="false"/>
      <protection locked="true" hidden="false"/>
    </xf>
    <xf numFmtId="164" fontId="8" fillId="9" borderId="1" xfId="0" applyFont="true" applyBorder="true" applyAlignment="false" applyProtection="false">
      <alignment horizontal="general" vertical="bottom" textRotation="0" wrapText="false" indent="0" shrinkToFit="false"/>
      <protection locked="true" hidden="false"/>
    </xf>
    <xf numFmtId="164" fontId="0" fillId="9" borderId="1" xfId="0" applyFont="false" applyBorder="true" applyAlignment="false" applyProtection="false">
      <alignment horizontal="general" vertical="bottom" textRotation="0" wrapText="false" indent="0" shrinkToFit="false"/>
      <protection locked="true" hidden="false"/>
    </xf>
    <xf numFmtId="181" fontId="0" fillId="9" borderId="32" xfId="0" applyFont="false" applyBorder="true" applyAlignment="false" applyProtection="false">
      <alignment horizontal="general" vertical="bottom" textRotation="0" wrapText="false" indent="0" shrinkToFit="false"/>
      <protection locked="true" hidden="false"/>
    </xf>
    <xf numFmtId="164" fontId="13" fillId="6" borderId="0" xfId="0" applyFont="true" applyBorder="false" applyAlignment="true" applyProtection="false">
      <alignment horizontal="left" vertical="bottom" textRotation="0" wrapText="false" indent="0" shrinkToFit="false"/>
      <protection locked="true" hidden="false"/>
    </xf>
    <xf numFmtId="164" fontId="4" fillId="6" borderId="0" xfId="0" applyFont="true" applyBorder="false" applyAlignment="true" applyProtection="false">
      <alignment horizontal="center" vertical="bottom" textRotation="0" wrapText="false" indent="0" shrinkToFit="false"/>
      <protection locked="true" hidden="false"/>
    </xf>
    <xf numFmtId="169" fontId="4" fillId="6" borderId="0" xfId="17" applyFont="true" applyBorder="true" applyAlignment="true" applyProtection="true">
      <alignment horizontal="center" vertical="bottom" textRotation="0" wrapText="false" indent="0" shrinkToFit="false"/>
      <protection locked="true" hidden="false"/>
    </xf>
    <xf numFmtId="171" fontId="4" fillId="6" borderId="0" xfId="0" applyFont="true" applyBorder="false" applyAlignment="false" applyProtection="true">
      <alignment horizontal="general" vertical="bottom" textRotation="0" wrapText="false" indent="0" shrinkToFit="false"/>
      <protection locked="false" hidden="false"/>
    </xf>
    <xf numFmtId="180" fontId="4" fillId="6" borderId="0" xfId="0" applyFont="true" applyBorder="false" applyAlignment="false" applyProtection="true">
      <alignment horizontal="general" vertical="bottom" textRotation="0" wrapText="false" indent="0" shrinkToFit="false"/>
      <protection locked="false" hidden="false"/>
    </xf>
    <xf numFmtId="177" fontId="4" fillId="5" borderId="11" xfId="0" applyFont="true" applyBorder="true" applyAlignment="true" applyProtection="true">
      <alignment horizontal="center" vertical="bottom" textRotation="0" wrapText="false" indent="0" shrinkToFit="false"/>
      <protection locked="false" hidden="false"/>
    </xf>
    <xf numFmtId="177" fontId="4" fillId="5" borderId="0" xfId="0" applyFont="true" applyBorder="false" applyAlignment="true" applyProtection="true">
      <alignment horizontal="center" vertical="bottom" textRotation="0" wrapText="false" indent="0" shrinkToFit="false"/>
      <protection locked="false" hidden="false"/>
    </xf>
    <xf numFmtId="182" fontId="4" fillId="0" borderId="0" xfId="15" applyFont="true" applyBorder="true" applyAlignment="true" applyProtection="true">
      <alignment horizontal="general" vertical="bottom" textRotation="0" wrapText="false" indent="0" shrinkToFit="false"/>
      <protection locked="true" hidden="false"/>
    </xf>
    <xf numFmtId="184" fontId="4" fillId="0" borderId="0" xfId="19" applyFont="true" applyBorder="true" applyAlignment="true" applyProtection="true">
      <alignment horizontal="general" vertical="bottom" textRotation="0" wrapText="false" indent="0" shrinkToFit="false"/>
      <protection locked="true" hidden="false"/>
    </xf>
    <xf numFmtId="185" fontId="4" fillId="0" borderId="0" xfId="19" applyFont="true" applyBorder="true" applyAlignment="true" applyProtection="true">
      <alignment horizontal="general" vertical="bottom" textRotation="0" wrapText="fals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13" fillId="0" borderId="16" xfId="0" applyFont="true" applyBorder="true" applyAlignment="true" applyProtection="false">
      <alignment horizontal="left" vertical="bottom" textRotation="0" wrapText="false" indent="0" shrinkToFit="false"/>
      <protection locked="true" hidden="false"/>
    </xf>
    <xf numFmtId="164" fontId="4" fillId="0" borderId="9" xfId="0" applyFont="true" applyBorder="true" applyAlignment="false" applyProtection="false">
      <alignment horizontal="general" vertical="bottom" textRotation="0" wrapText="false" indent="0" shrinkToFit="false"/>
      <protection locked="true" hidden="false"/>
    </xf>
    <xf numFmtId="168" fontId="4" fillId="0" borderId="9"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77" fontId="0" fillId="5" borderId="11" xfId="0" applyFont="false" applyBorder="true" applyAlignment="true" applyProtection="false">
      <alignment horizontal="center" vertical="bottom" textRotation="0" wrapText="false" indent="0" shrinkToFit="false"/>
      <protection locked="true" hidden="false"/>
    </xf>
    <xf numFmtId="177" fontId="0" fillId="5" borderId="0" xfId="0" applyFont="false" applyBorder="false" applyAlignment="true" applyProtection="false">
      <alignment horizontal="center"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86" fontId="4" fillId="0" borderId="0" xfId="0" applyFont="true" applyBorder="false" applyAlignment="false" applyProtection="false">
      <alignment horizontal="general" vertical="bottom" textRotation="0" wrapText="false" indent="0" shrinkToFit="false"/>
      <protection locked="true" hidden="false"/>
    </xf>
    <xf numFmtId="186" fontId="4" fillId="0" borderId="8" xfId="0" applyFont="true" applyBorder="true" applyAlignment="false" applyProtection="false">
      <alignment horizontal="general" vertical="bottom" textRotation="0" wrapText="false" indent="0" shrinkToFit="false"/>
      <protection locked="true" hidden="false"/>
    </xf>
    <xf numFmtId="169" fontId="13" fillId="6" borderId="0" xfId="17" applyFont="true" applyBorder="true" applyAlignment="true" applyProtection="true">
      <alignment horizontal="general" vertical="bottom" textRotation="0" wrapText="false" indent="0" shrinkToFit="false"/>
      <protection locked="true" hidden="false"/>
    </xf>
    <xf numFmtId="164" fontId="25" fillId="0" borderId="16" xfId="0" applyFont="true" applyBorder="true" applyAlignment="false" applyProtection="false">
      <alignment horizontal="general"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26" fillId="0" borderId="7" xfId="0" applyFont="true" applyBorder="tru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left" vertical="bottom" textRotation="0" wrapText="false" indent="0" shrinkToFit="false"/>
      <protection locked="fals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75" fontId="0" fillId="5" borderId="11" xfId="0" applyFont="false" applyBorder="true" applyAlignment="true" applyProtection="false">
      <alignment horizontal="center"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9" fontId="4" fillId="0" borderId="0" xfId="17" applyFont="true" applyBorder="true" applyAlignment="true" applyProtection="true">
      <alignment horizontal="center" vertical="bottom" textRotation="0" wrapText="false" indent="0" shrinkToFit="false"/>
      <protection locked="true" hidden="false"/>
    </xf>
    <xf numFmtId="177" fontId="0" fillId="5" borderId="33" xfId="0" applyFont="false" applyBorder="true" applyAlignment="true" applyProtection="false">
      <alignment horizontal="center" vertical="bottom" textRotation="0" wrapText="false" indent="0" shrinkToFit="false"/>
      <protection locked="true" hidden="false"/>
    </xf>
    <xf numFmtId="164" fontId="28" fillId="0" borderId="7" xfId="0" applyFont="true" applyBorder="tru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8" fillId="0" borderId="2" xfId="0" applyFont="true" applyBorder="true" applyAlignment="false" applyProtection="false">
      <alignment horizontal="general" vertical="bottom" textRotation="0" wrapText="false" indent="0" shrinkToFit="false"/>
      <protection locked="true" hidden="false"/>
    </xf>
    <xf numFmtId="164" fontId="29" fillId="10" borderId="0" xfId="0" applyFont="true" applyBorder="true" applyAlignment="true" applyProtection="false">
      <alignment horizontal="center" vertical="bottom" textRotation="0" wrapText="false" indent="0" shrinkToFit="false"/>
      <protection locked="true" hidden="false"/>
    </xf>
    <xf numFmtId="164" fontId="30" fillId="11" borderId="0" xfId="0" applyFont="true" applyBorder="true" applyAlignment="true" applyProtection="false">
      <alignment horizontal="center" vertical="bottom" textRotation="0" wrapText="false" indent="0" shrinkToFit="false"/>
      <protection locked="true" hidden="false"/>
    </xf>
    <xf numFmtId="164" fontId="0" fillId="12" borderId="6"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10" fillId="0" borderId="9" xfId="20" applyFont="true" applyBorder="true" applyAlignment="true" applyProtection="true">
      <alignment horizontal="center" vertical="bottom" textRotation="0" wrapText="false" indent="0" shrinkToFit="false"/>
      <protection locked="true" hidden="false"/>
    </xf>
    <xf numFmtId="164" fontId="10" fillId="0" borderId="0" xfId="20" applyFont="true" applyBorder="true" applyAlignment="true" applyProtection="true">
      <alignment horizontal="center" vertical="bottom" textRotation="0" wrapText="false" indent="0" shrinkToFit="false"/>
      <protection locked="true" hidden="false"/>
    </xf>
    <xf numFmtId="164" fontId="0" fillId="0" borderId="9" xfId="0" applyFont="fals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4" fontId="0" fillId="13" borderId="0" xfId="0" applyFont="true" applyBorder="false" applyAlignment="true" applyProtection="false">
      <alignment horizontal="center" vertical="bottom" textRotation="0" wrapText="true" indent="0" shrinkToFit="false"/>
      <protection locked="true" hidden="false"/>
    </xf>
    <xf numFmtId="187" fontId="4" fillId="13" borderId="0" xfId="0" applyFont="true" applyBorder="false" applyAlignment="false" applyProtection="false">
      <alignment horizontal="general" vertical="bottom" textRotation="0" wrapText="false" indent="0" shrinkToFit="false"/>
      <protection locked="true" hidden="false"/>
    </xf>
    <xf numFmtId="169" fontId="4" fillId="13" borderId="3" xfId="17" applyFont="true" applyBorder="true" applyAlignment="true" applyProtection="true">
      <alignment horizontal="general" vertical="bottom" textRotation="0" wrapText="false" indent="0" shrinkToFit="false"/>
      <protection locked="true" hidden="false"/>
    </xf>
    <xf numFmtId="188" fontId="4" fillId="13" borderId="0" xfId="0" applyFont="true" applyBorder="false" applyAlignment="false" applyProtection="false">
      <alignment horizontal="general" vertical="bottom" textRotation="0" wrapText="false" indent="0" shrinkToFit="false"/>
      <protection locked="true" hidden="false"/>
    </xf>
    <xf numFmtId="169" fontId="4" fillId="13" borderId="11" xfId="17" applyFont="true" applyBorder="true" applyAlignment="true" applyProtection="true">
      <alignment horizontal="general" vertical="bottom" textRotation="0" wrapText="false" indent="0" shrinkToFit="false"/>
      <protection locked="true" hidden="false"/>
    </xf>
    <xf numFmtId="169" fontId="4" fillId="13" borderId="33" xfId="17" applyFont="true" applyBorder="true" applyAlignment="true" applyProtection="true">
      <alignment horizontal="general" vertical="bottom" textRotation="0" wrapText="false" indent="0" shrinkToFit="false"/>
      <protection locked="true" hidden="false"/>
    </xf>
    <xf numFmtId="164" fontId="4" fillId="13" borderId="0" xfId="0" applyFont="true" applyBorder="false" applyAlignment="false" applyProtection="false">
      <alignment horizontal="general" vertical="bottom" textRotation="0" wrapText="false" indent="0" shrinkToFit="false"/>
      <protection locked="true" hidden="false"/>
    </xf>
    <xf numFmtId="164" fontId="31" fillId="0" borderId="10"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1" fillId="0" borderId="21" xfId="0" applyFont="true" applyBorder="true" applyAlignment="true" applyProtection="false">
      <alignment horizontal="center" vertical="bottom" textRotation="0" wrapText="false" indent="0" shrinkToFit="false"/>
      <protection locked="true" hidden="false"/>
    </xf>
    <xf numFmtId="164" fontId="31" fillId="0" borderId="22" xfId="0" applyFont="true" applyBorder="true" applyAlignment="true" applyProtection="false">
      <alignment horizontal="center" vertical="bottom" textRotation="0" wrapText="false" indent="0" shrinkToFit="false"/>
      <protection locked="true" hidden="false"/>
    </xf>
    <xf numFmtId="164" fontId="31" fillId="0" borderId="23" xfId="0" applyFont="true" applyBorder="true" applyAlignment="true" applyProtection="false">
      <alignment horizontal="center" vertical="bottom" textRotation="0" wrapText="false" indent="0" shrinkToFit="false"/>
      <protection locked="true" hidden="false"/>
    </xf>
    <xf numFmtId="169" fontId="13" fillId="0" borderId="0" xfId="17" applyFont="true" applyBorder="true" applyAlignment="true" applyProtection="true">
      <alignment horizontal="center" vertical="bottom" textRotation="0" wrapText="false" indent="0" shrinkToFit="false"/>
      <protection locked="true" hidden="false"/>
    </xf>
    <xf numFmtId="164" fontId="31" fillId="0" borderId="21" xfId="0" applyFont="true" applyBorder="true" applyAlignment="true" applyProtection="false">
      <alignment horizontal="center" vertical="bottom" textRotation="0" wrapText="true" indent="0" shrinkToFit="false"/>
      <protection locked="true" hidden="false"/>
    </xf>
    <xf numFmtId="164" fontId="31" fillId="0" borderId="22" xfId="0" applyFont="true" applyBorder="true" applyAlignment="true" applyProtection="false">
      <alignment horizontal="center" vertical="bottom" textRotation="0" wrapText="true" indent="0" shrinkToFit="false"/>
      <protection locked="true" hidden="false"/>
    </xf>
    <xf numFmtId="164" fontId="31" fillId="0" borderId="3" xfId="0" applyFont="true" applyBorder="true" applyAlignment="true" applyProtection="false">
      <alignment horizontal="center" vertical="bottom" textRotation="0" wrapText="false" indent="0" shrinkToFit="false"/>
      <protection locked="true" hidden="false"/>
    </xf>
    <xf numFmtId="168" fontId="31" fillId="0" borderId="17" xfId="0" applyFont="true" applyBorder="true" applyAlignment="true" applyProtection="false">
      <alignment horizontal="center" vertical="bottom" textRotation="0" wrapText="true" indent="0" shrinkToFit="false"/>
      <protection locked="true" hidden="false"/>
    </xf>
    <xf numFmtId="164" fontId="31" fillId="0" borderId="3" xfId="0" applyFont="true" applyBorder="true" applyAlignment="true" applyProtection="false">
      <alignment horizontal="center" vertical="bottom" textRotation="0" wrapText="true" indent="0" shrinkToFit="false"/>
      <protection locked="true" hidden="false"/>
    </xf>
    <xf numFmtId="164" fontId="31" fillId="0" borderId="17" xfId="0" applyFont="true" applyBorder="true" applyAlignment="true" applyProtection="false">
      <alignment horizontal="center" vertical="bottom" textRotation="0" wrapText="true" indent="0" shrinkToFit="false"/>
      <protection locked="true" hidden="false"/>
    </xf>
    <xf numFmtId="169" fontId="13" fillId="0" borderId="17" xfId="17" applyFont="true" applyBorder="true" applyAlignment="true" applyProtection="true">
      <alignment horizontal="general" vertical="bottom" textRotation="0" wrapText="false" indent="0" shrinkToFit="false"/>
      <protection locked="true" hidden="false"/>
    </xf>
    <xf numFmtId="164" fontId="0" fillId="0" borderId="34" xfId="0" applyFont="false" applyBorder="true" applyAlignment="true" applyProtection="false">
      <alignment horizontal="center" vertical="bottom" textRotation="0" wrapText="false" indent="0" shrinkToFit="false"/>
      <protection locked="true" hidden="false"/>
    </xf>
    <xf numFmtId="164" fontId="0" fillId="0" borderId="35" xfId="0" applyFont="false" applyBorder="true" applyAlignment="true" applyProtection="false">
      <alignment horizontal="center" vertical="bottom" textRotation="0" wrapText="false" indent="0" shrinkToFit="false"/>
      <protection locked="true" hidden="false"/>
    </xf>
    <xf numFmtId="181" fontId="0" fillId="0" borderId="35" xfId="0" applyFont="false" applyBorder="true" applyAlignment="true" applyProtection="false">
      <alignment horizontal="center" vertical="bottom" textRotation="0" wrapText="false" indent="0" shrinkToFit="false"/>
      <protection locked="true" hidden="false"/>
    </xf>
    <xf numFmtId="164" fontId="4" fillId="0" borderId="36" xfId="0" applyFont="true" applyBorder="true" applyAlignment="false" applyProtection="false">
      <alignment horizontal="general" vertical="bottom" textRotation="0" wrapText="false" indent="0" shrinkToFit="false"/>
      <protection locked="true" hidden="false"/>
    </xf>
    <xf numFmtId="174" fontId="0" fillId="0" borderId="10" xfId="0" applyFont="false" applyBorder="true" applyAlignment="true" applyProtection="false">
      <alignment horizontal="center" vertical="bottom" textRotation="0" wrapText="false" indent="0" shrinkToFit="false"/>
      <protection locked="true" hidden="false"/>
    </xf>
    <xf numFmtId="174" fontId="13" fillId="0" borderId="8" xfId="0" applyFont="true" applyBorder="true" applyAlignment="false" applyProtection="false">
      <alignment horizontal="general" vertical="bottom" textRotation="0" wrapText="false" indent="0" shrinkToFit="false"/>
      <protection locked="true" hidden="false"/>
    </xf>
    <xf numFmtId="164" fontId="31" fillId="0" borderId="8" xfId="0" applyFont="true" applyBorder="true" applyAlignment="true" applyProtection="false">
      <alignment horizontal="right" vertical="bottom" textRotation="90" wrapText="false" indent="0" shrinkToFit="false"/>
      <protection locked="true" hidden="false"/>
    </xf>
    <xf numFmtId="164" fontId="4" fillId="0" borderId="14" xfId="21" applyFont="true" applyBorder="true" applyAlignment="true" applyProtection="false">
      <alignment horizontal="center" vertical="bottom" textRotation="0" wrapText="false" indent="0" shrinkToFit="false"/>
      <protection locked="true" hidden="false"/>
    </xf>
    <xf numFmtId="164" fontId="4" fillId="0" borderId="15" xfId="21" applyFont="true" applyBorder="true" applyAlignment="true" applyProtection="false">
      <alignment horizontal="center" vertical="bottom" textRotation="0" wrapText="false" indent="0" shrinkToFit="false"/>
      <protection locked="true" hidden="false"/>
    </xf>
    <xf numFmtId="181" fontId="4" fillId="0" borderId="15" xfId="21" applyFont="true" applyBorder="true" applyAlignment="true" applyProtection="false">
      <alignment horizontal="center" vertical="bottom" textRotation="0" wrapText="false" indent="0" shrinkToFit="false"/>
      <protection locked="true" hidden="false"/>
    </xf>
    <xf numFmtId="164" fontId="4" fillId="0" borderId="35" xfId="21" applyFont="true" applyBorder="true" applyAlignment="true" applyProtection="false">
      <alignment horizontal="center" vertical="bottom" textRotation="0" wrapText="false" indent="0" shrinkToFit="false"/>
      <protection locked="true" hidden="false"/>
    </xf>
    <xf numFmtId="174" fontId="4" fillId="0" borderId="10" xfId="21" applyFont="true" applyBorder="true" applyAlignment="true" applyProtection="false">
      <alignment horizontal="center" vertical="bottom" textRotation="0" wrapText="false" indent="0" shrinkToFit="false"/>
      <protection locked="true" hidden="false"/>
    </xf>
    <xf numFmtId="174" fontId="4" fillId="0" borderId="8" xfId="21" applyFont="true" applyBorder="true" applyAlignment="true" applyProtection="false">
      <alignment horizontal="center" vertical="bottom" textRotation="0" wrapText="false" indent="0" shrinkToFit="false"/>
      <protection locked="true" hidden="false"/>
    </xf>
    <xf numFmtId="174" fontId="13" fillId="0" borderId="8" xfId="17" applyFont="true" applyBorder="true" applyAlignment="true" applyProtection="true">
      <alignment horizontal="general" vertical="bottom" textRotation="0" wrapText="false" indent="0" shrinkToFit="false"/>
      <protection locked="true" hidden="false"/>
    </xf>
    <xf numFmtId="164" fontId="0" fillId="0" borderId="14" xfId="0" applyFont="false" applyBorder="true" applyAlignment="true" applyProtection="false">
      <alignment horizontal="center"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81" fontId="0" fillId="0" borderId="15" xfId="0" applyFont="false" applyBorder="true" applyAlignment="true" applyProtection="false">
      <alignment horizontal="center" vertical="bottom" textRotation="0" wrapText="false" indent="0" shrinkToFit="false"/>
      <protection locked="true" hidden="false"/>
    </xf>
    <xf numFmtId="164" fontId="4" fillId="0" borderId="24" xfId="0" applyFont="true" applyBorder="true" applyAlignment="false" applyProtection="false">
      <alignment horizontal="general" vertical="bottom" textRotation="0" wrapText="false" indent="0" shrinkToFit="false"/>
      <protection locked="true" hidden="false"/>
    </xf>
    <xf numFmtId="174" fontId="0" fillId="0" borderId="11" xfId="0" applyFont="false" applyBorder="true" applyAlignment="true" applyProtection="false">
      <alignment horizontal="center" vertical="bottom" textRotation="0" wrapText="false" indent="0" shrinkToFit="false"/>
      <protection locked="true" hidden="false"/>
    </xf>
    <xf numFmtId="164" fontId="4" fillId="0" borderId="0" xfId="21" applyFont="true" applyBorder="false" applyAlignment="true" applyProtection="false">
      <alignment horizontal="center" vertical="bottom" textRotation="0" wrapText="false" indent="0" shrinkToFit="false"/>
      <protection locked="true" hidden="false"/>
    </xf>
    <xf numFmtId="164" fontId="4" fillId="0" borderId="37" xfId="21" applyFont="true" applyBorder="true" applyAlignment="false" applyProtection="false">
      <alignment horizontal="general" vertical="bottom" textRotation="0" wrapText="false" indent="0" shrinkToFit="false"/>
      <protection locked="true" hidden="false"/>
    </xf>
    <xf numFmtId="174" fontId="4" fillId="0" borderId="11" xfId="21" applyFont="true" applyBorder="true" applyAlignment="true" applyProtection="false">
      <alignment horizontal="center" vertical="bottom" textRotation="0" wrapText="false" indent="0" shrinkToFit="false"/>
      <protection locked="true" hidden="false"/>
    </xf>
    <xf numFmtId="164" fontId="0" fillId="0" borderId="24" xfId="0" applyFont="true" applyBorder="true" applyAlignment="false" applyProtection="false">
      <alignment horizontal="general" vertical="bottom" textRotation="0" wrapText="false" indent="0" shrinkToFit="false"/>
      <protection locked="true" hidden="false"/>
    </xf>
    <xf numFmtId="164" fontId="31" fillId="0" borderId="11" xfId="0" applyFont="true" applyBorder="true" applyAlignment="true" applyProtection="false">
      <alignment horizontal="center" vertical="center" textRotation="90" wrapText="false" indent="0" shrinkToFit="false"/>
      <protection locked="true" hidden="false"/>
    </xf>
    <xf numFmtId="181" fontId="0" fillId="0" borderId="14" xfId="0" applyFont="false" applyBorder="true" applyAlignment="true" applyProtection="false">
      <alignment horizontal="center" vertical="bottom" textRotation="0" wrapText="false" indent="0" shrinkToFit="false"/>
      <protection locked="true" hidden="false"/>
    </xf>
    <xf numFmtId="174" fontId="0" fillId="0" borderId="8" xfId="0" applyFont="false" applyBorder="true" applyAlignment="true" applyProtection="false">
      <alignment horizontal="center" vertical="bottom" textRotation="0" wrapText="false" indent="0" shrinkToFit="false"/>
      <protection locked="true" hidden="false"/>
    </xf>
    <xf numFmtId="169" fontId="13" fillId="0" borderId="8" xfId="17" applyFont="true" applyBorder="true" applyAlignment="true" applyProtection="true">
      <alignment horizontal="general" vertical="bottom" textRotation="0" wrapText="false" indent="0" shrinkToFit="false"/>
      <protection locked="true" hidden="false"/>
    </xf>
    <xf numFmtId="164" fontId="0" fillId="0" borderId="18" xfId="0" applyFont="false" applyBorder="true" applyAlignment="true" applyProtection="false">
      <alignment horizontal="center" vertical="bottom" textRotation="0" wrapText="false" indent="0" shrinkToFit="false"/>
      <protection locked="true" hidden="false"/>
    </xf>
    <xf numFmtId="164" fontId="0" fillId="0" borderId="19" xfId="0" applyFont="false" applyBorder="true" applyAlignment="true" applyProtection="false">
      <alignment horizontal="center"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38" xfId="0" applyFont="false" applyBorder="true" applyAlignment="false" applyProtection="false">
      <alignment horizontal="general" vertical="bottom" textRotation="0" wrapText="false" indent="0" shrinkToFit="false"/>
      <protection locked="true" hidden="false"/>
    </xf>
    <xf numFmtId="174" fontId="0" fillId="0" borderId="33" xfId="0" applyFont="false" applyBorder="true" applyAlignment="true" applyProtection="false">
      <alignment horizontal="center" vertical="bottom" textRotation="0" wrapText="false" indent="0" shrinkToFit="false"/>
      <protection locked="true" hidden="false"/>
    </xf>
    <xf numFmtId="174" fontId="13" fillId="0" borderId="13" xfId="0" applyFont="true" applyBorder="true" applyAlignment="false" applyProtection="false">
      <alignment horizontal="general" vertical="bottom" textRotation="0" wrapText="false" indent="0" shrinkToFit="false"/>
      <protection locked="true" hidden="false"/>
    </xf>
    <xf numFmtId="181" fontId="0" fillId="0" borderId="19" xfId="0" applyFont="false" applyBorder="true" applyAlignment="true" applyProtection="false">
      <alignment horizontal="center" vertical="bottom" textRotation="0" wrapText="false" indent="0" shrinkToFit="false"/>
      <protection locked="true" hidden="false"/>
    </xf>
    <xf numFmtId="174" fontId="0" fillId="0" borderId="13" xfId="0" applyFont="false" applyBorder="true" applyAlignment="true" applyProtection="false">
      <alignment horizontal="center" vertical="bottom" textRotation="0" wrapText="false" indent="0" shrinkToFit="false"/>
      <protection locked="true" hidden="false"/>
    </xf>
    <xf numFmtId="169" fontId="13" fillId="0" borderId="13" xfId="17" applyFont="true" applyBorder="true" applyAlignment="true" applyProtection="true">
      <alignment horizontal="general" vertical="bottom" textRotation="0" wrapText="false" indent="0" shrinkToFit="false"/>
      <protection locked="true" hidden="false"/>
    </xf>
    <xf numFmtId="174" fontId="13" fillId="0" borderId="0" xfId="0" applyFont="true" applyBorder="false" applyAlignment="false" applyProtection="false">
      <alignment horizontal="general" vertical="bottom" textRotation="0" wrapText="false" indent="0" shrinkToFit="false"/>
      <protection locked="true" hidden="false"/>
    </xf>
    <xf numFmtId="164" fontId="31" fillId="0" borderId="25" xfId="0" applyFont="true" applyBorder="true" applyAlignment="true" applyProtection="false">
      <alignment horizontal="center" vertical="bottom" textRotation="0" wrapText="true" indent="0" shrinkToFit="false"/>
      <protection locked="true" hidden="false"/>
    </xf>
    <xf numFmtId="164" fontId="31" fillId="0" borderId="26" xfId="0" applyFont="true" applyBorder="true" applyAlignment="true" applyProtection="false">
      <alignment horizontal="center" vertical="bottom" textRotation="0" wrapText="tru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xf numFmtId="174" fontId="13" fillId="0" borderId="17" xfId="0" applyFont="true" applyBorder="true" applyAlignment="false" applyProtection="false">
      <alignment horizontal="general" vertical="bottom" textRotation="0" wrapText="false" indent="0" shrinkToFit="false"/>
      <protection locked="true" hidden="false"/>
    </xf>
    <xf numFmtId="164" fontId="31" fillId="0" borderId="17" xfId="0" applyFont="true" applyBorder="true" applyAlignment="true" applyProtection="false">
      <alignment horizontal="center" vertical="bottom" textRotation="0" wrapText="false" indent="0" shrinkToFit="false"/>
      <protection locked="true" hidden="false"/>
    </xf>
    <xf numFmtId="181" fontId="4" fillId="0" borderId="14" xfId="21" applyFont="true" applyBorder="true" applyAlignment="true" applyProtection="false">
      <alignment horizontal="center" vertical="bottom" textRotation="0" wrapText="false" indent="0" shrinkToFit="false"/>
      <protection locked="true" hidden="false"/>
    </xf>
    <xf numFmtId="164" fontId="4" fillId="0" borderId="24" xfId="21" applyFont="true" applyBorder="true" applyAlignment="false" applyProtection="false">
      <alignment horizontal="general" vertical="bottom" textRotation="0" wrapText="false" indent="0" shrinkToFit="false"/>
      <protection locked="true" hidden="false"/>
    </xf>
    <xf numFmtId="189" fontId="0" fillId="0" borderId="14" xfId="0" applyFont="false" applyBorder="true" applyAlignment="true" applyProtection="false">
      <alignment horizontal="center" vertical="bottom" textRotation="0" wrapText="false" indent="0" shrinkToFit="false"/>
      <protection locked="true" hidden="false"/>
    </xf>
    <xf numFmtId="164" fontId="13" fillId="0" borderId="8"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true" applyProtection="false">
      <alignment horizontal="center" vertical="bottom" textRotation="0" wrapText="false" indent="0" shrinkToFit="false"/>
      <protection locked="true" hidden="false"/>
    </xf>
    <xf numFmtId="164" fontId="32" fillId="0" borderId="39" xfId="0" applyFont="true" applyBorder="true" applyAlignment="true" applyProtection="false">
      <alignment horizontal="center" vertical="bottom" textRotation="0" wrapText="false" indent="0" shrinkToFit="false"/>
      <protection locked="true" hidden="false"/>
    </xf>
    <xf numFmtId="164" fontId="33" fillId="0" borderId="39" xfId="0" applyFont="true" applyBorder="true" applyAlignment="true" applyProtection="false">
      <alignment horizontal="center" vertical="bottom" textRotation="0" wrapText="false" indent="0" shrinkToFit="false"/>
      <protection locked="true" hidden="false"/>
    </xf>
    <xf numFmtId="190" fontId="34" fillId="0" borderId="39" xfId="0" applyFont="true" applyBorder="true" applyAlignment="true" applyProtection="false">
      <alignment horizontal="center" vertical="bottom" textRotation="0" wrapText="true" indent="0" shrinkToFit="false"/>
      <protection locked="true" hidden="false"/>
    </xf>
    <xf numFmtId="174" fontId="0" fillId="0" borderId="39" xfId="0" applyFont="false" applyBorder="tru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91" fontId="35" fillId="0" borderId="40" xfId="0" applyFont="true" applyBorder="true" applyAlignment="true" applyProtection="false">
      <alignment horizontal="center" vertical="bottom" textRotation="0" wrapText="false" indent="0" shrinkToFit="false"/>
      <protection locked="true" hidden="false"/>
    </xf>
    <xf numFmtId="164" fontId="36" fillId="0" borderId="0" xfId="0" applyFont="true" applyBorder="false" applyAlignment="true" applyProtection="false">
      <alignment horizontal="right" vertical="bottom" textRotation="0" wrapText="false" indent="0" shrinkToFit="false"/>
      <protection locked="true" hidden="false"/>
    </xf>
    <xf numFmtId="164" fontId="36" fillId="0" borderId="0" xfId="0" applyFont="true" applyBorder="false" applyAlignment="true" applyProtection="false">
      <alignment horizontal="left" vertical="bottom" textRotation="0" wrapText="false" indent="0" shrinkToFit="false"/>
      <protection locked="true" hidden="false"/>
    </xf>
    <xf numFmtId="164" fontId="13" fillId="0" borderId="0" xfId="0" applyFont="true" applyBorder="false" applyAlignment="true" applyProtection="false">
      <alignment horizontal="right"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73" fontId="35" fillId="0" borderId="0" xfId="0" applyFont="true" applyBorder="false" applyAlignment="true" applyProtection="false">
      <alignment horizontal="left"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true" applyProtection="false">
      <alignment horizontal="right" vertical="bottom" textRotation="0" wrapText="false" indent="0" shrinkToFit="false"/>
      <protection locked="true" hidden="false"/>
    </xf>
    <xf numFmtId="173" fontId="32" fillId="0" borderId="0" xfId="0" applyFont="true" applyBorder="false" applyAlignment="true" applyProtection="false">
      <alignment horizontal="left"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right" vertical="bottom" textRotation="0" wrapText="false" indent="0" shrinkToFit="false"/>
      <protection locked="true" hidden="false"/>
    </xf>
    <xf numFmtId="164" fontId="40"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true" applyProtection="false">
      <alignment horizontal="right" vertical="bottom" textRotation="0" wrapText="fals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79" fontId="35" fillId="0" borderId="0" xfId="17" applyFont="true" applyBorder="true" applyAlignment="true" applyProtection="true">
      <alignment horizontal="right" vertical="bottom" textRotation="0" wrapText="false" indent="0" shrinkToFit="false"/>
      <protection locked="true" hidden="false"/>
    </xf>
    <xf numFmtId="164" fontId="37" fillId="0" borderId="0" xfId="0" applyFont="true" applyBorder="false" applyAlignment="true" applyProtection="false">
      <alignment horizontal="general" vertical="center" textRotation="0" wrapText="false" indent="0" shrinkToFit="false"/>
      <protection locked="true" hidden="false"/>
    </xf>
    <xf numFmtId="179" fontId="0" fillId="0" borderId="0" xfId="17" applyFont="true" applyBorder="true" applyAlignment="true" applyProtection="true">
      <alignment horizontal="general" vertical="bottom" textRotation="0" wrapText="fals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86" fontId="35"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79" fontId="36" fillId="0" borderId="0" xfId="17" applyFont="true" applyBorder="true" applyAlignment="true" applyProtection="true">
      <alignment horizontal="general" vertical="bottom" textRotation="0" wrapText="false" indent="0" shrinkToFit="false"/>
      <protection locked="true" hidden="false"/>
    </xf>
    <xf numFmtId="186" fontId="36"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true" applyAlignment="true" applyProtection="false">
      <alignment horizontal="left" vertical="center" textRotation="0" wrapText="true" indent="0" shrinkToFit="false"/>
      <protection locked="true" hidden="false"/>
    </xf>
    <xf numFmtId="164" fontId="37" fillId="0" borderId="0" xfId="0" applyFont="true" applyBorder="false" applyAlignment="true" applyProtection="false">
      <alignment horizontal="general" vertical="center" textRotation="0" wrapText="true" indent="0" shrinkToFit="false"/>
      <protection locked="true" hidden="false"/>
    </xf>
    <xf numFmtId="164" fontId="37" fillId="0" borderId="0" xfId="0" applyFont="true" applyBorder="true" applyAlignment="true" applyProtection="false">
      <alignment horizontal="left" vertical="bottom" textRotation="0" wrapText="true" indent="0" shrinkToFit="false"/>
      <protection locked="true" hidden="false"/>
    </xf>
    <xf numFmtId="164" fontId="37" fillId="0" borderId="0" xfId="0" applyFont="true" applyBorder="true" applyAlignment="true" applyProtection="false">
      <alignment horizontal="general" vertical="center" textRotation="0" wrapText="false" indent="0" shrinkToFit="false"/>
      <protection locked="true" hidden="false"/>
    </xf>
    <xf numFmtId="179" fontId="35" fillId="0" borderId="0" xfId="17" applyFont="true" applyBorder="true" applyAlignment="true" applyProtection="true">
      <alignment horizontal="general" vertical="bottom" textRotation="0" wrapText="fals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79" fontId="36" fillId="0" borderId="0" xfId="17" applyFont="true" applyBorder="true" applyAlignment="true" applyProtection="true">
      <alignment horizontal="right" vertical="bottom" textRotation="0" wrapText="false" indent="0" shrinkToFit="false"/>
      <protection locked="true" hidden="false"/>
    </xf>
    <xf numFmtId="179" fontId="32" fillId="0" borderId="0" xfId="17" applyFont="true" applyBorder="true" applyAlignment="true" applyProtection="true">
      <alignment horizontal="left" vertical="bottom" textRotation="0" wrapText="false" indent="0" shrinkToFit="false"/>
      <protection locked="true" hidden="false"/>
    </xf>
    <xf numFmtId="164" fontId="35" fillId="0" borderId="0" xfId="0" applyFont="true" applyBorder="false" applyAlignment="true" applyProtection="false">
      <alignment horizontal="left" vertical="bottom" textRotation="0" wrapText="false" indent="0" shrinkToFit="false"/>
      <protection locked="true" hidden="false"/>
    </xf>
    <xf numFmtId="192" fontId="35" fillId="0" borderId="0" xfId="0" applyFont="true" applyBorder="false" applyAlignment="false" applyProtection="false">
      <alignment horizontal="general" vertical="bottom" textRotation="0" wrapText="false" indent="0" shrinkToFit="false"/>
      <protection locked="true" hidden="false"/>
    </xf>
    <xf numFmtId="179" fontId="35" fillId="0" borderId="2" xfId="17" applyFont="true" applyBorder="true" applyAlignment="true" applyProtection="true">
      <alignment horizontal="general" vertical="bottom" textRotation="0" wrapText="false" indent="0" shrinkToFit="false"/>
      <protection locked="true" hidden="false"/>
    </xf>
    <xf numFmtId="164" fontId="46" fillId="0" borderId="2" xfId="0" applyFont="true" applyBorder="true" applyAlignment="true" applyProtection="false">
      <alignment horizontal="right" vertical="bottom" textRotation="0" wrapText="false" indent="0" shrinkToFit="false"/>
      <protection locked="true" hidden="false"/>
    </xf>
    <xf numFmtId="192" fontId="47" fillId="0" borderId="2" xfId="0" applyFont="true" applyBorder="true" applyAlignment="false" applyProtection="false">
      <alignment horizontal="general" vertical="bottom" textRotation="0" wrapText="false" indent="0" shrinkToFit="false"/>
      <protection locked="true" hidden="false"/>
    </xf>
    <xf numFmtId="192" fontId="0" fillId="0" borderId="0" xfId="0" applyFont="false" applyBorder="false" applyAlignment="false" applyProtection="false">
      <alignment horizontal="general" vertical="bottom" textRotation="0" wrapText="false" indent="0" shrinkToFit="false"/>
      <protection locked="true" hidden="false"/>
    </xf>
    <xf numFmtId="173" fontId="35" fillId="0" borderId="0" xfId="0" applyFont="true" applyBorder="false" applyAlignment="true" applyProtection="false">
      <alignment horizontal="right" vertical="bottom" textRotation="0" wrapText="false" indent="0" shrinkToFit="false"/>
      <protection locked="true" hidden="false"/>
    </xf>
    <xf numFmtId="164" fontId="35" fillId="0" borderId="0" xfId="0" applyFont="true" applyBorder="false" applyAlignment="true" applyProtection="false">
      <alignment horizontal="center" vertical="bottom" textRotation="0" wrapText="false" indent="0" shrinkToFit="false"/>
      <protection locked="true" hidden="false"/>
    </xf>
    <xf numFmtId="174" fontId="35" fillId="0" borderId="0" xfId="0" applyFont="true" applyBorder="false" applyAlignment="false" applyProtection="false">
      <alignment horizontal="general" vertical="bottom" textRotation="0" wrapText="false" indent="0" shrinkToFit="false"/>
      <protection locked="true" hidden="false"/>
    </xf>
    <xf numFmtId="164" fontId="48" fillId="0" borderId="2" xfId="0" applyFont="true" applyBorder="true" applyAlignment="false" applyProtection="false">
      <alignment horizontal="general" vertical="bottom" textRotation="0" wrapText="false" indent="0" shrinkToFit="false"/>
      <protection locked="true" hidden="false"/>
    </xf>
    <xf numFmtId="179" fontId="36" fillId="0" borderId="2" xfId="17" applyFont="true" applyBorder="true" applyAlignment="true" applyProtection="true">
      <alignment horizontal="center" vertical="bottom" textRotation="0" wrapText="false" indent="0" shrinkToFit="false"/>
      <protection locked="true" hidden="false"/>
    </xf>
    <xf numFmtId="164" fontId="4"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right" vertical="bottom" textRotation="0" wrapText="false" indent="0" shrinkToFit="false"/>
      <protection locked="true" hidden="false"/>
    </xf>
    <xf numFmtId="164" fontId="49" fillId="0" borderId="0" xfId="0" applyFont="true" applyBorder="fals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center" vertical="bottom" textRotation="0" wrapText="false" indent="0" shrinkToFit="false"/>
      <protection locked="true" hidden="false"/>
    </xf>
    <xf numFmtId="174" fontId="50" fillId="0" borderId="0" xfId="0" applyFont="true" applyBorder="false" applyAlignment="true" applyProtection="false">
      <alignment horizontal="right"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93" fontId="35" fillId="0" borderId="0" xfId="0" applyFont="true" applyBorder="false" applyAlignment="true" applyProtection="false">
      <alignment horizontal="left" vertical="bottom" textRotation="0" wrapText="false" indent="0" shrinkToFit="false"/>
      <protection locked="true" hidden="false"/>
    </xf>
    <xf numFmtId="194" fontId="35" fillId="0" borderId="0" xfId="0" applyFont="true" applyBorder="false" applyAlignment="true" applyProtection="false">
      <alignment horizontal="right" vertical="bottom" textRotation="0" wrapText="false" indent="0" shrinkToFit="false"/>
      <protection locked="true" hidden="false"/>
    </xf>
    <xf numFmtId="195" fontId="35" fillId="0" borderId="0" xfId="0" applyFont="true" applyBorder="false" applyAlignment="true" applyProtection="false">
      <alignment horizontal="left" vertical="bottom" textRotation="0" wrapText="false" indent="0" shrinkToFit="false"/>
      <protection locked="true" hidden="false"/>
    </xf>
    <xf numFmtId="193" fontId="35" fillId="0" borderId="0" xfId="0" applyFont="true" applyBorder="false" applyAlignment="true" applyProtection="false">
      <alignment horizontal="center" vertical="bottom" textRotation="0" wrapText="false" indent="0" shrinkToFit="false"/>
      <protection locked="true" hidden="false"/>
    </xf>
    <xf numFmtId="196" fontId="35" fillId="0" borderId="0" xfId="0" applyFont="true" applyBorder="false" applyAlignment="false" applyProtection="false">
      <alignment horizontal="general" vertical="bottom" textRotation="0" wrapText="false" indent="0" shrinkToFit="false"/>
      <protection locked="true" hidden="false"/>
    </xf>
    <xf numFmtId="197" fontId="32" fillId="0" borderId="0" xfId="0" applyFont="true" applyBorder="false" applyAlignment="true" applyProtection="false">
      <alignment horizontal="left" vertical="bottom" textRotation="0" wrapText="false" indent="0" shrinkToFit="false"/>
      <protection locked="true" hidden="false"/>
    </xf>
    <xf numFmtId="169" fontId="35" fillId="0" borderId="0" xfId="0" applyFont="true" applyBorder="false" applyAlignment="true" applyProtection="false">
      <alignment horizontal="right" vertical="bottom" textRotation="0" wrapText="false" indent="0" shrinkToFit="false"/>
      <protection locked="true" hidden="false"/>
    </xf>
    <xf numFmtId="169" fontId="35" fillId="0" borderId="0" xfId="0" applyFont="true" applyBorder="false" applyAlignment="false" applyProtection="false">
      <alignment horizontal="general" vertical="bottom" textRotation="0" wrapText="false" indent="0" shrinkToFit="false"/>
      <protection locked="true" hidden="false"/>
    </xf>
    <xf numFmtId="198" fontId="35" fillId="0" borderId="41" xfId="0" applyFont="true" applyBorder="true" applyAlignment="true" applyProtection="false">
      <alignment horizontal="center" vertical="bottom" textRotation="0" wrapText="false" indent="0" shrinkToFit="false"/>
      <protection locked="true" hidden="false"/>
    </xf>
    <xf numFmtId="199" fontId="35" fillId="0" borderId="41" xfId="0" applyFont="true" applyBorder="true" applyAlignment="true" applyProtection="false">
      <alignment horizontal="center" vertical="bottom" textRotation="0" wrapText="false" indent="0" shrinkToFit="false"/>
      <protection locked="true" hidden="false"/>
    </xf>
    <xf numFmtId="193" fontId="35" fillId="0" borderId="0" xfId="0" applyFont="true" applyBorder="false" applyAlignment="true" applyProtection="false">
      <alignment horizontal="right" vertical="bottom" textRotation="0" wrapText="false" indent="0" shrinkToFit="false"/>
      <protection locked="true" hidden="false"/>
    </xf>
    <xf numFmtId="200" fontId="35" fillId="0" borderId="0" xfId="0" applyFont="true" applyBorder="false" applyAlignment="true" applyProtection="false">
      <alignment horizontal="center" vertical="bottom" textRotation="0" wrapText="false" indent="0" shrinkToFit="false"/>
      <protection locked="true" hidden="false"/>
    </xf>
    <xf numFmtId="169" fontId="4" fillId="0" borderId="0" xfId="0" applyFont="true" applyBorder="false" applyAlignment="false" applyProtection="false">
      <alignment horizontal="general" vertical="bottom" textRotation="0" wrapText="fals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74" fontId="51" fillId="0" borderId="0" xfId="0" applyFont="true" applyBorder="false" applyAlignment="false" applyProtection="false">
      <alignment horizontal="general" vertical="bottom" textRotation="0" wrapText="false" indent="0" shrinkToFit="false"/>
      <protection locked="true" hidden="false"/>
    </xf>
    <xf numFmtId="189" fontId="51" fillId="0" borderId="0" xfId="0" applyFont="true" applyBorder="false" applyAlignment="false" applyProtection="false">
      <alignment horizontal="general" vertical="bottom" textRotation="0" wrapText="false" indent="0" shrinkToFit="false"/>
      <protection locked="true" hidden="false"/>
    </xf>
    <xf numFmtId="189" fontId="35" fillId="0" borderId="0" xfId="0" applyFont="tru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false" applyProtection="false">
      <alignment horizontal="general" vertical="bottom" textRotation="0" wrapText="false" indent="0" shrinkToFit="false"/>
      <protection locked="true" hidden="false"/>
    </xf>
    <xf numFmtId="174" fontId="35" fillId="0" borderId="2" xfId="0" applyFont="true" applyBorder="true" applyAlignment="false" applyProtection="false">
      <alignment horizontal="general" vertical="bottom" textRotation="0" wrapText="false" indent="0" shrinkToFit="fals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92" fontId="36" fillId="0" borderId="0" xfId="0" applyFont="true" applyBorder="false" applyAlignment="true" applyProtection="false">
      <alignment horizontal="center" vertical="bottom" textRotation="0" wrapText="false" indent="0" shrinkToFit="false"/>
      <protection locked="true" hidden="false"/>
    </xf>
    <xf numFmtId="193" fontId="35" fillId="0" borderId="0" xfId="0" applyFont="true" applyBorder="false" applyAlignment="false" applyProtection="false">
      <alignment horizontal="general" vertical="bottom" textRotation="0" wrapText="false" indent="0" shrinkToFit="false"/>
      <protection locked="true" hidden="false"/>
    </xf>
    <xf numFmtId="189" fontId="35" fillId="0" borderId="0" xfId="0" applyFont="true" applyBorder="false" applyAlignment="true" applyProtection="false">
      <alignment horizontal="right" vertical="bottom" textRotation="0" wrapText="false" indent="0" shrinkToFit="false"/>
      <protection locked="true" hidden="false"/>
    </xf>
    <xf numFmtId="193" fontId="35" fillId="0" borderId="41" xfId="0" applyFont="true" applyBorder="true" applyAlignment="false" applyProtection="false">
      <alignment horizontal="general" vertical="bottom" textRotation="0" wrapText="false" indent="0" shrinkToFit="false"/>
      <protection locked="true" hidden="false"/>
    </xf>
    <xf numFmtId="174" fontId="36" fillId="0" borderId="0" xfId="0" applyFont="true" applyBorder="false" applyAlignment="true" applyProtection="false">
      <alignment horizontal="left" vertical="bottom" textRotation="0" wrapText="false" indent="0" shrinkToFit="false"/>
      <protection locked="true" hidden="false"/>
    </xf>
    <xf numFmtId="201" fontId="35" fillId="0" borderId="0" xfId="15" applyFont="true" applyBorder="true" applyAlignment="true" applyProtection="true">
      <alignment horizontal="general" vertical="bottom" textRotation="0" wrapText="false" indent="0" shrinkToFit="false"/>
      <protection locked="true" hidden="false"/>
    </xf>
    <xf numFmtId="174" fontId="36" fillId="0" borderId="0" xfId="0" applyFont="true" applyBorder="false" applyAlignment="false" applyProtection="false">
      <alignment horizontal="general" vertical="bottom"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64" fontId="35" fillId="0" borderId="2" xfId="0" applyFont="true" applyBorder="true" applyAlignment="false" applyProtection="false">
      <alignment horizontal="general" vertical="bottom" textRotation="0" wrapText="false" indent="0" shrinkToFit="false"/>
      <protection locked="true" hidden="false"/>
    </xf>
    <xf numFmtId="189" fontId="35" fillId="0" borderId="2" xfId="0" applyFont="true" applyBorder="true" applyAlignment="false" applyProtection="false">
      <alignment horizontal="general" vertical="bottom" textRotation="0" wrapText="false" indent="0" shrinkToFit="false"/>
      <protection locked="true" hidden="false"/>
    </xf>
    <xf numFmtId="201" fontId="35" fillId="0" borderId="0" xfId="0" applyFont="true" applyBorder="false" applyAlignment="false" applyProtection="false">
      <alignment horizontal="general" vertical="bottom" textRotation="0" wrapText="false" indent="0" shrinkToFit="false"/>
      <protection locked="true" hidden="false"/>
    </xf>
    <xf numFmtId="174" fontId="35" fillId="0" borderId="0" xfId="0" applyFont="true" applyBorder="false" applyAlignment="true" applyProtection="false">
      <alignment horizontal="right" vertical="bottom" textRotation="0" wrapText="false" indent="0" shrinkToFit="false"/>
      <protection locked="true" hidden="false"/>
    </xf>
    <xf numFmtId="201" fontId="0" fillId="0" borderId="0" xfId="0" applyFont="false" applyBorder="false" applyAlignment="false" applyProtection="false">
      <alignment horizontal="general" vertical="bottom" textRotation="0" wrapText="false" indent="0" shrinkToFit="false"/>
      <protection locked="true" hidden="false"/>
    </xf>
    <xf numFmtId="164" fontId="54" fillId="0" borderId="0" xfId="0" applyFont="true" applyBorder="false" applyAlignment="true" applyProtection="false">
      <alignment horizontal="right" vertical="bottom" textRotation="0" wrapText="false" indent="0" shrinkToFit="false"/>
      <protection locked="true" hidden="false"/>
    </xf>
    <xf numFmtId="174" fontId="55" fillId="0" borderId="0" xfId="0" applyFont="true" applyBorder="false" applyAlignment="false" applyProtection="false">
      <alignment horizontal="general" vertical="bottom" textRotation="0" wrapText="false" indent="0" shrinkToFit="false"/>
      <protection locked="true" hidden="false"/>
    </xf>
    <xf numFmtId="201" fontId="35" fillId="0" borderId="41" xfId="15" applyFont="true" applyBorder="true" applyAlignment="true" applyProtection="true">
      <alignment horizontal="general" vertical="bottom" textRotation="0" wrapText="false" indent="0" shrinkToFit="false"/>
      <protection locked="true" hidden="false"/>
    </xf>
    <xf numFmtId="201" fontId="0" fillId="0" borderId="0" xfId="15" applyFont="true" applyBorder="true" applyAlignment="true" applyProtection="true">
      <alignment horizontal="general" vertical="bottom" textRotation="0" wrapText="false" indent="0" shrinkToFit="false"/>
      <protection locked="true" hidden="false"/>
    </xf>
    <xf numFmtId="201" fontId="4" fillId="0" borderId="0" xfId="0" applyFont="true" applyBorder="false" applyAlignment="fals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left" vertical="bottom" textRotation="0" wrapText="false" indent="0" shrinkToFit="false"/>
      <protection locked="true" hidden="false"/>
    </xf>
    <xf numFmtId="193" fontId="13"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93" fontId="35" fillId="0" borderId="0" xfId="0" applyFont="true" applyBorder="false" applyAlignment="true" applyProtection="false">
      <alignment horizontal="left" vertical="bottom" textRotation="0" wrapText="true" indent="0" shrinkToFit="false"/>
      <protection locked="true" hidden="false"/>
    </xf>
    <xf numFmtId="164" fontId="35" fillId="0" borderId="0" xfId="0" applyFont="true" applyBorder="false" applyAlignment="true" applyProtection="false">
      <alignment horizontal="center" vertical="bottom" textRotation="0" wrapText="true" indent="0" shrinkToFit="false"/>
      <protection locked="true" hidden="false"/>
    </xf>
    <xf numFmtId="201" fontId="35" fillId="0" borderId="0" xfId="15" applyFont="true" applyBorder="true" applyAlignment="true" applyProtection="true">
      <alignment horizontal="right" vertical="bottom" textRotation="0" wrapText="true" indent="0" shrinkToFit="false"/>
      <protection locked="true" hidden="false"/>
    </xf>
    <xf numFmtId="193" fontId="36" fillId="0" borderId="0" xfId="0" applyFont="true" applyBorder="false" applyAlignment="true" applyProtection="false">
      <alignment horizontal="left" vertical="bottom" textRotation="0" wrapText="true" indent="0" shrinkToFit="false"/>
      <protection locked="true" hidden="false"/>
    </xf>
    <xf numFmtId="164" fontId="36" fillId="0" borderId="0" xfId="0" applyFont="true" applyBorder="false" applyAlignment="true" applyProtection="false">
      <alignment horizontal="center" vertical="bottom" textRotation="0" wrapText="true" indent="0" shrinkToFit="false"/>
      <protection locked="true" hidden="false"/>
    </xf>
    <xf numFmtId="193" fontId="36" fillId="0" borderId="0" xfId="0" applyFont="true" applyBorder="false" applyAlignment="true" applyProtection="false">
      <alignment horizontal="center" vertical="bottom" textRotation="0" wrapText="true" indent="0" shrinkToFit="false"/>
      <protection locked="true" hidden="false"/>
    </xf>
    <xf numFmtId="201" fontId="35" fillId="0" borderId="41" xfId="0" applyFont="true" applyBorder="true" applyAlignment="false" applyProtection="false">
      <alignment horizontal="general" vertical="bottom" textRotation="0" wrapText="false" indent="0" shrinkToFit="false"/>
      <protection locked="true" hidden="false"/>
    </xf>
    <xf numFmtId="169" fontId="35" fillId="0" borderId="0" xfId="0" applyFont="true" applyBorder="false" applyAlignment="true" applyProtection="false">
      <alignment horizontal="center"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79" fontId="4" fillId="0" borderId="0" xfId="0" applyFont="true" applyBorder="false" applyAlignment="false" applyProtection="false">
      <alignment horizontal="general" vertical="bottom" textRotation="0" wrapText="false" indent="0" shrinkToFit="false"/>
      <protection locked="true" hidden="false"/>
    </xf>
    <xf numFmtId="192" fontId="55" fillId="0" borderId="0" xfId="0" applyFont="true" applyBorder="false" applyAlignment="false" applyProtection="false">
      <alignment horizontal="general" vertical="bottom" textRotation="0" wrapText="false" indent="0" shrinkToFit="false"/>
      <protection locked="true" hidden="false"/>
    </xf>
    <xf numFmtId="179" fontId="35" fillId="0" borderId="0" xfId="17" applyFont="true" applyBorder="true" applyAlignment="true" applyProtection="true">
      <alignment horizontal="center" vertical="bottom" textRotation="0" wrapText="false" indent="0" shrinkToFit="false"/>
      <protection locked="true" hidden="false"/>
    </xf>
    <xf numFmtId="179" fontId="35" fillId="0" borderId="0" xfId="0" applyFont="true" applyBorder="false" applyAlignment="true" applyProtection="false">
      <alignment horizontal="center" vertical="bottom" textRotation="0" wrapText="false" indent="0" shrinkToFit="false"/>
      <protection locked="true" hidden="false"/>
    </xf>
    <xf numFmtId="179" fontId="35" fillId="0" borderId="0" xfId="0" applyFont="true" applyBorder="false" applyAlignment="false" applyProtection="false">
      <alignment horizontal="general" vertical="bottom" textRotation="0" wrapText="false" indent="0" shrinkToFit="false"/>
      <protection locked="true" hidden="false"/>
    </xf>
    <xf numFmtId="164" fontId="50" fillId="0" borderId="41" xfId="0" applyFont="true" applyBorder="true" applyAlignment="true" applyProtection="false">
      <alignment horizontal="center" vertical="bottom" textRotation="0" wrapText="false" indent="0" shrinkToFit="false"/>
      <protection locked="true" hidden="false"/>
    </xf>
    <xf numFmtId="174" fontId="35" fillId="0" borderId="41" xfId="0" applyFont="true" applyBorder="true" applyAlignment="false" applyProtection="false">
      <alignment horizontal="general" vertical="bottom" textRotation="0" wrapText="false" indent="0" shrinkToFit="false"/>
      <protection locked="true" hidden="false"/>
    </xf>
    <xf numFmtId="202" fontId="35" fillId="0" borderId="0" xfId="0" applyFont="true" applyBorder="false" applyAlignment="true" applyProtection="false">
      <alignment horizontal="center" vertical="bottom" textRotation="0" wrapText="false" indent="0" shrinkToFit="false"/>
      <protection locked="true" hidden="false"/>
    </xf>
    <xf numFmtId="201" fontId="35" fillId="0" borderId="0" xfId="15" applyFont="true" applyBorder="true" applyAlignment="true" applyProtection="true">
      <alignment horizontal="center" vertical="bottom" textRotation="0" wrapText="false" indent="0" shrinkToFit="false"/>
      <protection locked="true" hidden="false"/>
    </xf>
    <xf numFmtId="202" fontId="35" fillId="0" borderId="0" xfId="0" applyFont="true" applyBorder="false" applyAlignment="true" applyProtection="false">
      <alignment horizontal="left" vertical="bottom" textRotation="0" wrapText="false" indent="0" shrinkToFit="false"/>
      <protection locked="true" hidden="false"/>
    </xf>
    <xf numFmtId="203" fontId="35" fillId="0" borderId="0" xfId="0" applyFont="true" applyBorder="false" applyAlignment="false" applyProtection="false">
      <alignment horizontal="general" vertical="bottom" textRotation="0" wrapText="false" indent="0" shrinkToFit="false"/>
      <protection locked="true" hidden="false"/>
    </xf>
    <xf numFmtId="169" fontId="35" fillId="0" borderId="0" xfId="17" applyFont="true" applyBorder="true" applyAlignment="true" applyProtection="true">
      <alignment horizontal="center" vertical="bottom" textRotation="0" wrapText="false" indent="0" shrinkToFit="false"/>
      <protection locked="true" hidden="false"/>
    </xf>
    <xf numFmtId="174" fontId="35" fillId="0" borderId="0" xfId="0" applyFont="true" applyBorder="false" applyAlignment="true" applyProtection="false">
      <alignment horizontal="left" vertical="bottom"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64" fontId="50" fillId="0" borderId="2" xfId="0" applyFont="true" applyBorder="true" applyAlignment="true" applyProtection="false">
      <alignment horizontal="center" vertical="bottom" textRotation="0" wrapText="false" indent="0" shrinkToFit="false"/>
      <protection locked="true" hidden="false"/>
    </xf>
    <xf numFmtId="192" fontId="35" fillId="0" borderId="0" xfId="0" applyFont="true" applyBorder="false" applyAlignment="true" applyProtection="false">
      <alignment horizontal="center" vertical="bottom" textRotation="0" wrapText="false" indent="0" shrinkToFit="false"/>
      <protection locked="true" hidden="false"/>
    </xf>
    <xf numFmtId="174" fontId="35" fillId="0" borderId="0" xfId="0" applyFont="true" applyBorder="false" applyAlignment="true" applyProtection="false">
      <alignment horizontal="center" vertical="bottom" textRotation="0" wrapText="false" indent="0" shrinkToFit="false"/>
      <protection locked="true" hidden="false"/>
    </xf>
    <xf numFmtId="169" fontId="35" fillId="0" borderId="0" xfId="17" applyFont="true" applyBorder="true" applyAlignment="true" applyProtection="true">
      <alignment horizontal="left" vertical="bottom" textRotation="0" wrapText="false" indent="0" shrinkToFit="false"/>
      <protection locked="true" hidden="false"/>
    </xf>
    <xf numFmtId="204" fontId="0" fillId="0" borderId="0" xfId="0" applyFont="false" applyBorder="false" applyAlignment="false" applyProtection="false">
      <alignment horizontal="general" vertical="bottom" textRotation="0" wrapText="false" indent="0" shrinkToFit="false"/>
      <protection locked="true" hidden="false"/>
    </xf>
    <xf numFmtId="204" fontId="35" fillId="0" borderId="0" xfId="0" applyFont="true" applyBorder="false" applyAlignment="false" applyProtection="false">
      <alignment horizontal="general" vertical="bottom" textRotation="0" wrapText="false" indent="0" shrinkToFit="false"/>
      <protection locked="true" hidden="false"/>
    </xf>
    <xf numFmtId="192" fontId="35" fillId="0" borderId="2" xfId="0" applyFont="true" applyBorder="true" applyAlignment="false" applyProtection="false">
      <alignment horizontal="general" vertical="bottom" textRotation="0" wrapText="false" indent="0" shrinkToFit="false"/>
      <protection locked="true" hidden="false"/>
    </xf>
    <xf numFmtId="179" fontId="36" fillId="0" borderId="2" xfId="17" applyFont="true" applyBorder="true" applyAlignment="true" applyProtection="true">
      <alignment horizontal="general" vertical="bottom" textRotation="0" wrapText="false" indent="0" shrinkToFit="false"/>
      <protection locked="true" hidden="false"/>
    </xf>
    <xf numFmtId="164" fontId="35" fillId="0" borderId="39" xfId="0" applyFont="true" applyBorder="true" applyAlignment="false" applyProtection="false">
      <alignment horizontal="general" vertical="bottom" textRotation="0" wrapText="false" indent="0" shrinkToFit="false"/>
      <protection locked="true" hidden="false"/>
    </xf>
    <xf numFmtId="164" fontId="8" fillId="0" borderId="39" xfId="0" applyFont="true" applyBorder="true" applyAlignment="false" applyProtection="false">
      <alignment horizontal="general" vertical="bottom" textRotation="0" wrapText="false" indent="0" shrinkToFit="false"/>
      <protection locked="true" hidden="false"/>
    </xf>
    <xf numFmtId="189" fontId="56" fillId="0" borderId="39" xfId="0" applyFont="true" applyBorder="true" applyAlignment="true" applyProtection="false">
      <alignment horizontal="right" vertical="bottom" textRotation="0" wrapText="false" indent="0" shrinkToFit="false"/>
      <protection locked="true" hidden="false"/>
    </xf>
    <xf numFmtId="192" fontId="56" fillId="0" borderId="39" xfId="0" applyFont="true" applyBorder="true" applyAlignment="false" applyProtection="false">
      <alignment horizontal="general" vertical="bottom" textRotation="0" wrapText="false" indent="0" shrinkToFit="false"/>
      <protection locked="true" hidden="false"/>
    </xf>
    <xf numFmtId="172" fontId="35" fillId="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false" applyProtection="false">
      <alignment horizontal="general" vertical="bottom" textRotation="0" wrapText="false" indent="0" shrinkToFit="false"/>
      <protection locked="true" hidden="false"/>
    </xf>
    <xf numFmtId="164" fontId="58" fillId="0" borderId="0" xfId="0" applyFont="true" applyBorder="false" applyAlignment="true" applyProtection="false">
      <alignment horizontal="left" vertical="bottom" textRotation="0" wrapText="false" indent="2" shrinkToFit="false"/>
      <protection locked="true" hidden="false"/>
    </xf>
    <xf numFmtId="164" fontId="61" fillId="0" borderId="0" xfId="0" applyFont="true" applyBorder="false" applyAlignment="true" applyProtection="false">
      <alignment horizontal="left" vertical="bottom" textRotation="0" wrapText="false" indent="2" shrinkToFit="false"/>
      <protection locked="true" hidden="false"/>
    </xf>
    <xf numFmtId="205" fontId="36" fillId="0" borderId="0" xfId="17"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8" fillId="9" borderId="16" xfId="0" applyFont="true" applyBorder="true" applyAlignment="false" applyProtection="false">
      <alignment horizontal="general" vertical="bottom" textRotation="0" wrapText="false" indent="0" shrinkToFit="false"/>
      <protection locked="true" hidden="false"/>
    </xf>
    <xf numFmtId="164" fontId="6" fillId="9" borderId="9" xfId="0" applyFont="true" applyBorder="true" applyAlignment="true" applyProtection="false">
      <alignment horizontal="right" vertical="bottom" textRotation="0" wrapText="false" indent="0" shrinkToFit="false"/>
      <protection locked="true" hidden="false"/>
    </xf>
    <xf numFmtId="164" fontId="4" fillId="14" borderId="16" xfId="0" applyFont="true" applyBorder="true" applyAlignment="true" applyProtection="false">
      <alignment horizontal="left" vertical="bottom" textRotation="0" wrapText="false" indent="0" shrinkToFit="false"/>
      <protection locked="true" hidden="false"/>
    </xf>
    <xf numFmtId="164" fontId="13" fillId="14" borderId="9" xfId="0" applyFont="true" applyBorder="true" applyAlignment="true" applyProtection="false">
      <alignment horizontal="left" vertical="bottom" textRotation="0" wrapText="false" indent="0" shrinkToFit="false"/>
      <protection locked="true" hidden="false"/>
    </xf>
    <xf numFmtId="164" fontId="4" fillId="14" borderId="9" xfId="0" applyFont="true" applyBorder="true" applyAlignment="false" applyProtection="false">
      <alignment horizontal="general" vertical="bottom" textRotation="0" wrapText="false" indent="0" shrinkToFit="false"/>
      <protection locked="true" hidden="false"/>
    </xf>
    <xf numFmtId="164" fontId="4" fillId="14" borderId="17" xfId="0" applyFont="true" applyBorder="true" applyAlignment="false" applyProtection="false">
      <alignment horizontal="general" vertical="bottom" textRotation="0" wrapText="false" indent="0" shrinkToFit="false"/>
      <protection locked="true" hidden="false"/>
    </xf>
    <xf numFmtId="164" fontId="4" fillId="9" borderId="9" xfId="0" applyFont="true" applyBorder="true" applyAlignment="false" applyProtection="false">
      <alignment horizontal="general" vertical="bottom" textRotation="0" wrapText="false" indent="0" shrinkToFit="false"/>
      <protection locked="true" hidden="false"/>
    </xf>
    <xf numFmtId="164" fontId="4" fillId="9" borderId="16" xfId="0" applyFont="true" applyBorder="true" applyAlignment="false" applyProtection="false">
      <alignment horizontal="general" vertical="bottom" textRotation="0" wrapText="false" indent="0" shrinkToFit="false"/>
      <protection locked="true" hidden="false"/>
    </xf>
    <xf numFmtId="164" fontId="4" fillId="9" borderId="9" xfId="0" applyFont="true" applyBorder="true" applyAlignment="true" applyProtection="false">
      <alignment horizontal="right" vertical="bottom" textRotation="0" wrapText="false" indent="0" shrinkToFit="false"/>
      <protection locked="true" hidden="false"/>
    </xf>
    <xf numFmtId="164" fontId="13" fillId="9" borderId="9" xfId="0" applyFont="true" applyBorder="true" applyAlignment="true" applyProtection="false">
      <alignment horizontal="center" vertical="bottom" textRotation="0" wrapText="false" indent="0" shrinkToFit="false"/>
      <protection locked="true" hidden="false"/>
    </xf>
    <xf numFmtId="164" fontId="13" fillId="0" borderId="9" xfId="0" applyFont="true" applyBorder="true" applyAlignment="true" applyProtection="false">
      <alignment horizontal="center" vertical="bottom" textRotation="0" wrapText="false" indent="0" shrinkToFit="false"/>
      <protection locked="true" hidden="false"/>
    </xf>
    <xf numFmtId="164" fontId="13" fillId="0" borderId="17" xfId="0" applyFont="true" applyBorder="true" applyAlignment="true" applyProtection="false">
      <alignment horizontal="center" vertical="bottom" textRotation="0" wrapText="false" indent="0" shrinkToFit="false"/>
      <protection locked="true" hidden="false"/>
    </xf>
    <xf numFmtId="187" fontId="13" fillId="0" borderId="9" xfId="0" applyFont="true" applyBorder="true" applyAlignment="true" applyProtection="false">
      <alignment horizontal="left" vertical="bottom" textRotation="0" wrapText="false" indent="0" shrinkToFit="false"/>
      <protection locked="true" hidden="false"/>
    </xf>
    <xf numFmtId="164" fontId="65" fillId="9" borderId="17" xfId="0" applyFont="true" applyBorder="true" applyAlignment="true" applyProtection="false">
      <alignment horizontal="center" vertical="bottom" textRotation="0" wrapText="false" indent="0" shrinkToFit="false"/>
      <protection locked="true" hidden="false"/>
    </xf>
    <xf numFmtId="164" fontId="4" fillId="9" borderId="17"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false" applyProtection="false">
      <alignment horizontal="general" vertical="bottom" textRotation="0" wrapText="false" indent="0" shrinkToFit="false"/>
      <protection locked="true" hidden="false"/>
    </xf>
    <xf numFmtId="164" fontId="6" fillId="9" borderId="0" xfId="0" applyFont="true" applyBorder="false" applyAlignment="true" applyProtection="false">
      <alignment horizontal="right" vertical="bottom" textRotation="0" wrapText="false" indent="0" shrinkToFit="false"/>
      <protection locked="true" hidden="false"/>
    </xf>
    <xf numFmtId="193" fontId="13" fillId="14" borderId="7" xfId="0" applyFont="true" applyBorder="true" applyAlignment="true" applyProtection="false">
      <alignment horizontal="left" vertical="bottom" textRotation="0" wrapText="false" indent="0" shrinkToFit="false"/>
      <protection locked="true" hidden="false"/>
    </xf>
    <xf numFmtId="164" fontId="13" fillId="14" borderId="0" xfId="0" applyFont="true" applyBorder="false" applyAlignment="true" applyProtection="false">
      <alignment horizontal="left" vertical="bottom" textRotation="0" wrapText="false" indent="0" shrinkToFit="false"/>
      <protection locked="true" hidden="false"/>
    </xf>
    <xf numFmtId="164" fontId="4" fillId="14" borderId="0" xfId="0" applyFont="true" applyBorder="false" applyAlignment="false" applyProtection="false">
      <alignment horizontal="general" vertical="bottom" textRotation="0" wrapText="false" indent="0" shrinkToFit="false"/>
      <protection locked="true" hidden="false"/>
    </xf>
    <xf numFmtId="164" fontId="4" fillId="14" borderId="8" xfId="0" applyFont="true" applyBorder="true" applyAlignment="false" applyProtection="false">
      <alignment horizontal="general" vertical="bottom" textRotation="0" wrapText="false" indent="0" shrinkToFit="false"/>
      <protection locked="true" hidden="false"/>
    </xf>
    <xf numFmtId="164" fontId="4" fillId="9" borderId="0" xfId="0" applyFont="true" applyBorder="false" applyAlignment="false" applyProtection="false">
      <alignment horizontal="general" vertical="bottom" textRotation="0" wrapText="false" indent="0" shrinkToFit="false"/>
      <protection locked="true" hidden="false"/>
    </xf>
    <xf numFmtId="164" fontId="4" fillId="9" borderId="7" xfId="0" applyFont="true" applyBorder="true" applyAlignment="false" applyProtection="false">
      <alignment horizontal="general" vertical="bottom" textRotation="0" wrapText="false" indent="0" shrinkToFit="false"/>
      <protection locked="true" hidden="false"/>
    </xf>
    <xf numFmtId="164" fontId="4" fillId="9" borderId="0" xfId="0" applyFont="true" applyBorder="false" applyAlignment="true" applyProtection="false">
      <alignment horizontal="right" vertical="bottom" textRotation="0" wrapText="false" indent="0" shrinkToFit="false"/>
      <protection locked="true" hidden="false"/>
    </xf>
    <xf numFmtId="164" fontId="4" fillId="14" borderId="16" xfId="0" applyFont="true" applyBorder="true" applyAlignment="true" applyProtection="true">
      <alignment horizontal="left" vertical="bottom" textRotation="0" wrapText="false" indent="0" shrinkToFit="false"/>
      <protection locked="false" hidden="false"/>
    </xf>
    <xf numFmtId="164" fontId="4" fillId="14" borderId="9" xfId="0" applyFont="true" applyBorder="true" applyAlignment="true" applyProtection="true">
      <alignment horizontal="left" vertical="bottom" textRotation="0" wrapText="false" indent="0" shrinkToFit="false"/>
      <protection locked="false" hidden="false"/>
    </xf>
    <xf numFmtId="164" fontId="4" fillId="14" borderId="42" xfId="0" applyFont="true" applyBorder="true" applyAlignment="true" applyProtection="true">
      <alignment horizontal="left" vertical="bottom" textRotation="0" wrapText="false" indent="0" shrinkToFit="false"/>
      <protection locked="false" hidden="false"/>
    </xf>
    <xf numFmtId="168" fontId="4" fillId="14" borderId="43" xfId="0" applyFont="true" applyBorder="true" applyAlignment="true" applyProtection="true">
      <alignment horizontal="center" vertical="bottom" textRotation="0" wrapText="false" indent="0" shrinkToFit="false"/>
      <protection locked="false" hidden="false"/>
    </xf>
    <xf numFmtId="168" fontId="4" fillId="14" borderId="44" xfId="0" applyFont="true" applyBorder="true" applyAlignment="false" applyProtection="true">
      <alignment horizontal="general" vertical="bottom" textRotation="0" wrapText="false" indent="0" shrinkToFit="false"/>
      <protection locked="false" hidden="false"/>
    </xf>
    <xf numFmtId="164" fontId="65" fillId="9" borderId="8" xfId="0" applyFont="true" applyBorder="true" applyAlignment="true" applyProtection="false">
      <alignment horizontal="center" vertical="bottom" textRotation="0" wrapText="false" indent="0" shrinkToFit="false"/>
      <protection locked="true" hidden="false"/>
    </xf>
    <xf numFmtId="164" fontId="4" fillId="9" borderId="8" xfId="0" applyFont="true" applyBorder="true" applyAlignment="false" applyProtection="false">
      <alignment horizontal="general" vertical="bottom" textRotation="0" wrapText="false" indent="0" shrinkToFit="false"/>
      <protection locked="true" hidden="false"/>
    </xf>
    <xf numFmtId="164" fontId="4" fillId="14" borderId="12" xfId="0" applyFont="true" applyBorder="true" applyAlignment="true" applyProtection="false">
      <alignment horizontal="left" vertical="bottom" textRotation="0" wrapText="false" indent="0" shrinkToFit="false"/>
      <protection locked="true" hidden="false"/>
    </xf>
    <xf numFmtId="164" fontId="4" fillId="14" borderId="6" xfId="0" applyFont="true" applyBorder="true" applyAlignment="true" applyProtection="false">
      <alignment horizontal="left" vertical="bottom" textRotation="0" wrapText="false" indent="0" shrinkToFit="false"/>
      <protection locked="true" hidden="false"/>
    </xf>
    <xf numFmtId="164" fontId="13" fillId="14" borderId="6" xfId="0" applyFont="true" applyBorder="true" applyAlignment="true" applyProtection="false">
      <alignment horizontal="left" vertical="bottom" textRotation="0" wrapText="false" indent="0" shrinkToFit="false"/>
      <protection locked="true" hidden="false"/>
    </xf>
    <xf numFmtId="164" fontId="4" fillId="14" borderId="13" xfId="0" applyFont="true" applyBorder="true" applyAlignment="true" applyProtection="false">
      <alignment horizontal="left" vertical="bottom" textRotation="0" wrapText="false" indent="0" shrinkToFit="false"/>
      <protection locked="true" hidden="false"/>
    </xf>
    <xf numFmtId="164" fontId="4" fillId="14" borderId="7" xfId="0" applyFont="true" applyBorder="true" applyAlignment="true" applyProtection="true">
      <alignment horizontal="left" vertical="bottom" textRotation="0" wrapText="false" indent="0" shrinkToFit="false"/>
      <protection locked="false" hidden="false"/>
    </xf>
    <xf numFmtId="164" fontId="4" fillId="14" borderId="0" xfId="0" applyFont="true" applyBorder="false" applyAlignment="true" applyProtection="true">
      <alignment horizontal="left" vertical="bottom" textRotation="0" wrapText="false" indent="0" shrinkToFit="false"/>
      <protection locked="false" hidden="false"/>
    </xf>
    <xf numFmtId="164" fontId="4" fillId="14" borderId="45" xfId="0" applyFont="true" applyBorder="true" applyAlignment="true" applyProtection="true">
      <alignment horizontal="left" vertical="bottom" textRotation="0" wrapText="false" indent="0" shrinkToFit="false"/>
      <protection locked="false" hidden="false"/>
    </xf>
    <xf numFmtId="168" fontId="4" fillId="14" borderId="46" xfId="0" applyFont="true" applyBorder="true" applyAlignment="true" applyProtection="true">
      <alignment horizontal="center" vertical="bottom" textRotation="0" wrapText="false" indent="0" shrinkToFit="false"/>
      <protection locked="false" hidden="false"/>
    </xf>
    <xf numFmtId="168" fontId="4" fillId="14" borderId="47" xfId="0" applyFont="true" applyBorder="true" applyAlignment="false" applyProtection="true">
      <alignment horizontal="general" vertical="bottom" textRotation="0" wrapText="false" indent="0" shrinkToFit="false"/>
      <protection locked="false" hidden="false"/>
    </xf>
    <xf numFmtId="164" fontId="4" fillId="14" borderId="16" xfId="0" applyFont="true" applyBorder="true" applyAlignment="false" applyProtection="false">
      <alignment horizontal="general" vertical="bottom" textRotation="0" wrapText="false" indent="0" shrinkToFit="false"/>
      <protection locked="true" hidden="false"/>
    </xf>
    <xf numFmtId="164" fontId="4" fillId="14" borderId="48" xfId="0" applyFont="true" applyBorder="true" applyAlignment="true" applyProtection="true">
      <alignment horizontal="center" vertical="bottom" textRotation="0" wrapText="false" indent="0" shrinkToFit="false"/>
      <protection locked="false" hidden="false"/>
    </xf>
    <xf numFmtId="164" fontId="4" fillId="14" borderId="49" xfId="0" applyFont="true" applyBorder="true" applyAlignment="true" applyProtection="true">
      <alignment horizontal="center" vertical="bottom" textRotation="0" wrapText="false" indent="0" shrinkToFit="false"/>
      <protection locked="false" hidden="false"/>
    </xf>
    <xf numFmtId="164" fontId="4" fillId="3" borderId="7" xfId="0" applyFont="true" applyBorder="true" applyAlignment="true" applyProtection="true">
      <alignment horizontal="left" vertical="bottom" textRotation="0" wrapText="false" indent="0" shrinkToFit="false"/>
      <protection locked="false" hidden="false"/>
    </xf>
    <xf numFmtId="164" fontId="4" fillId="3" borderId="0" xfId="0" applyFont="true" applyBorder="false" applyAlignment="true" applyProtection="true">
      <alignment horizontal="left" vertical="bottom" textRotation="0" wrapText="false" indent="0" shrinkToFit="false"/>
      <protection locked="false" hidden="false"/>
    </xf>
    <xf numFmtId="164" fontId="4" fillId="3" borderId="45" xfId="0" applyFont="true" applyBorder="true" applyAlignment="true" applyProtection="true">
      <alignment horizontal="left" vertical="bottom" textRotation="0" wrapText="false" indent="0" shrinkToFit="false"/>
      <protection locked="false" hidden="false"/>
    </xf>
    <xf numFmtId="168" fontId="4" fillId="3" borderId="46" xfId="0" applyFont="true" applyBorder="true" applyAlignment="true" applyProtection="true">
      <alignment horizontal="center" vertical="bottom" textRotation="0" wrapText="false" indent="0" shrinkToFit="false"/>
      <protection locked="false" hidden="false"/>
    </xf>
    <xf numFmtId="168" fontId="4" fillId="3" borderId="47" xfId="0" applyFont="true" applyBorder="true" applyAlignment="false" applyProtection="true">
      <alignment horizontal="general" vertical="bottom" textRotation="0" wrapText="false" indent="0" shrinkToFit="false"/>
      <protection locked="false" hidden="false"/>
    </xf>
    <xf numFmtId="164" fontId="4" fillId="3" borderId="7" xfId="0" applyFont="true" applyBorder="tru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66" fillId="3" borderId="50" xfId="0" applyFont="true" applyBorder="true" applyAlignment="false" applyProtection="true">
      <alignment horizontal="general" vertical="bottom" textRotation="0" wrapText="false" indent="0" shrinkToFit="false"/>
      <protection locked="false" hidden="false"/>
    </xf>
    <xf numFmtId="164" fontId="4" fillId="3" borderId="1" xfId="0" applyFont="true" applyBorder="true" applyAlignment="false" applyProtection="true">
      <alignment horizontal="general" vertical="bottom" textRotation="0" wrapText="false" indent="0" shrinkToFit="false"/>
      <protection locked="false" hidden="false"/>
    </xf>
    <xf numFmtId="164" fontId="4" fillId="9" borderId="0" xfId="0" applyFont="true" applyBorder="false" applyAlignment="true" applyProtection="false">
      <alignment horizontal="left" vertical="bottom" textRotation="0" wrapText="false" indent="0" shrinkToFit="false"/>
      <protection locked="true" hidden="false"/>
    </xf>
    <xf numFmtId="168" fontId="4" fillId="3" borderId="1" xfId="0" applyFont="true" applyBorder="true" applyAlignment="false" applyProtection="true">
      <alignment horizontal="general" vertical="bottom" textRotation="0" wrapText="false" indent="0" shrinkToFit="false"/>
      <protection locked="false" hidden="false"/>
    </xf>
    <xf numFmtId="164" fontId="4" fillId="9" borderId="12"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true" applyProtection="false">
      <alignment horizontal="right" vertical="bottom" textRotation="0" wrapText="false" indent="0" shrinkToFit="false"/>
      <protection locked="true" hidden="false"/>
    </xf>
    <xf numFmtId="164" fontId="4" fillId="3" borderId="12" xfId="0" applyFont="true" applyBorder="true" applyAlignment="true" applyProtection="true">
      <alignment horizontal="left" vertical="bottom" textRotation="0" wrapText="false" indent="0" shrinkToFit="false"/>
      <protection locked="false" hidden="false"/>
    </xf>
    <xf numFmtId="164" fontId="4" fillId="3" borderId="6" xfId="0" applyFont="true" applyBorder="true" applyAlignment="true" applyProtection="true">
      <alignment horizontal="left" vertical="bottom" textRotation="0" wrapText="false" indent="0" shrinkToFit="false"/>
      <protection locked="false" hidden="false"/>
    </xf>
    <xf numFmtId="164" fontId="4" fillId="3" borderId="51" xfId="0" applyFont="true" applyBorder="true" applyAlignment="true" applyProtection="true">
      <alignment horizontal="left" vertical="bottom" textRotation="0" wrapText="false" indent="0" shrinkToFit="false"/>
      <protection locked="false" hidden="false"/>
    </xf>
    <xf numFmtId="168" fontId="4" fillId="3" borderId="52" xfId="0" applyFont="true" applyBorder="true" applyAlignment="true" applyProtection="true">
      <alignment horizontal="center" vertical="bottom" textRotation="0" wrapText="false" indent="0" shrinkToFit="false"/>
      <protection locked="false" hidden="false"/>
    </xf>
    <xf numFmtId="168" fontId="4" fillId="3" borderId="53" xfId="0" applyFont="true" applyBorder="true" applyAlignment="false" applyProtection="true">
      <alignment horizontal="general" vertical="bottom" textRotation="0" wrapText="false" indent="0" shrinkToFit="false"/>
      <protection locked="false" hidden="false"/>
    </xf>
    <xf numFmtId="164" fontId="4" fillId="3" borderId="12" xfId="0" applyFont="true" applyBorder="true" applyAlignment="false" applyProtection="false">
      <alignment horizontal="general" vertical="bottom" textRotation="0" wrapText="false" indent="0" shrinkToFit="false"/>
      <protection locked="true" hidden="false"/>
    </xf>
    <xf numFmtId="164" fontId="4" fillId="3" borderId="6" xfId="0" applyFont="true" applyBorder="true" applyAlignment="false" applyProtection="false">
      <alignment horizontal="general" vertical="bottom" textRotation="0" wrapText="false" indent="0" shrinkToFit="false"/>
      <protection locked="true" hidden="false"/>
    </xf>
    <xf numFmtId="164" fontId="4" fillId="3" borderId="6" xfId="0" applyFont="true" applyBorder="true" applyAlignment="false" applyProtection="true">
      <alignment horizontal="general" vertical="bottom" textRotation="0" wrapText="false" indent="0" shrinkToFit="false"/>
      <protection locked="false" hidden="false"/>
    </xf>
    <xf numFmtId="164" fontId="4" fillId="3" borderId="54" xfId="0" applyFont="true" applyBorder="true" applyAlignment="false" applyProtection="true">
      <alignment horizontal="general" vertical="bottom" textRotation="0" wrapText="false" indent="0" shrinkToFit="false"/>
      <protection locked="false" hidden="false"/>
    </xf>
    <xf numFmtId="164" fontId="4" fillId="3" borderId="55" xfId="0" applyFont="true" applyBorder="true" applyAlignment="false" applyProtection="true">
      <alignment horizontal="general" vertical="bottom" textRotation="0" wrapText="false" indent="0" shrinkToFit="false"/>
      <protection locked="false" hidden="false"/>
    </xf>
    <xf numFmtId="168" fontId="4" fillId="3" borderId="55" xfId="0" applyFont="true" applyBorder="true" applyAlignment="false" applyProtection="true">
      <alignment horizontal="general" vertical="bottom" textRotation="0" wrapText="false" indent="0" shrinkToFit="false"/>
      <protection locked="false" hidden="false"/>
    </xf>
    <xf numFmtId="164" fontId="13" fillId="9" borderId="0" xfId="0" applyFont="true" applyBorder="false" applyAlignment="true" applyProtection="false">
      <alignment horizontal="left" vertical="bottom" textRotation="0" wrapText="false" indent="0" shrinkToFit="false"/>
      <protection locked="true" hidden="false"/>
    </xf>
    <xf numFmtId="164" fontId="8" fillId="3" borderId="46" xfId="0" applyFont="true" applyBorder="true" applyAlignment="false" applyProtection="false">
      <alignment horizontal="general" vertical="bottom" textRotation="0" wrapText="false" indent="0" shrinkToFit="false"/>
      <protection locked="true" hidden="false"/>
    </xf>
    <xf numFmtId="164" fontId="31" fillId="3" borderId="56" xfId="0" applyFont="true" applyBorder="true" applyAlignment="true" applyProtection="false">
      <alignment horizontal="center" vertical="bottom" textRotation="0" wrapText="false" indent="0" shrinkToFit="false"/>
      <protection locked="true" hidden="false"/>
    </xf>
    <xf numFmtId="164" fontId="13" fillId="3" borderId="56" xfId="0" applyFont="true" applyBorder="true" applyAlignment="false" applyProtection="false">
      <alignment horizontal="general" vertical="bottom" textRotation="0" wrapText="false" indent="0" shrinkToFit="false"/>
      <protection locked="true" hidden="false"/>
    </xf>
    <xf numFmtId="164" fontId="31" fillId="3" borderId="56" xfId="0" applyFont="true" applyBorder="true" applyAlignment="true" applyProtection="false">
      <alignment horizontal="left" vertical="bottom" textRotation="0" wrapText="false" indent="0" shrinkToFit="false"/>
      <protection locked="true" hidden="false"/>
    </xf>
    <xf numFmtId="164" fontId="31" fillId="3" borderId="57" xfId="0" applyFont="true" applyBorder="true" applyAlignment="true" applyProtection="false">
      <alignment horizontal="left" vertical="bottom" textRotation="0" wrapText="false" indent="0" shrinkToFit="false"/>
      <protection locked="true" hidden="false"/>
    </xf>
    <xf numFmtId="164" fontId="4" fillId="14" borderId="16" xfId="0" applyFont="true" applyBorder="true" applyAlignment="true" applyProtection="false">
      <alignment horizontal="center" vertical="bottom" textRotation="0" wrapText="false" indent="0" shrinkToFit="false"/>
      <protection locked="true" hidden="false"/>
    </xf>
    <xf numFmtId="164" fontId="4" fillId="14" borderId="9" xfId="0" applyFont="true" applyBorder="true" applyAlignment="true" applyProtection="false">
      <alignment horizontal="center" vertical="bottom" textRotation="0" wrapText="true" indent="0" shrinkToFit="false"/>
      <protection locked="true" hidden="false"/>
    </xf>
    <xf numFmtId="164" fontId="4" fillId="14" borderId="9" xfId="0" applyFont="true" applyBorder="true" applyAlignment="true" applyProtection="false">
      <alignment horizontal="center" vertical="bottom" textRotation="0" wrapText="false" indent="0" shrinkToFit="false"/>
      <protection locked="true" hidden="false"/>
    </xf>
    <xf numFmtId="164" fontId="39" fillId="14" borderId="9" xfId="0" applyFont="true" applyBorder="true" applyAlignment="true" applyProtection="false">
      <alignment horizontal="center" vertical="bottom" textRotation="0" wrapText="true" indent="0" shrinkToFit="false"/>
      <protection locked="true" hidden="false"/>
    </xf>
    <xf numFmtId="164" fontId="13" fillId="14" borderId="17" xfId="0" applyFont="true" applyBorder="true" applyAlignment="true" applyProtection="false">
      <alignment horizontal="center" vertical="bottom" textRotation="0" wrapText="true" indent="0" shrinkToFit="false"/>
      <protection locked="true" hidden="false"/>
    </xf>
    <xf numFmtId="164" fontId="13" fillId="0" borderId="58" xfId="0" applyFont="true" applyBorder="true" applyAlignment="true" applyProtection="false">
      <alignment horizontal="center"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9" borderId="15" xfId="0" applyFont="true" applyBorder="true" applyAlignment="true" applyProtection="false">
      <alignment horizontal="left" vertical="bottom" textRotation="0" wrapText="false" indent="0" shrinkToFit="false"/>
      <protection locked="true" hidden="false"/>
    </xf>
    <xf numFmtId="164" fontId="4" fillId="0" borderId="15" xfId="0" applyFont="true" applyBorder="true" applyAlignment="true" applyProtection="false">
      <alignment horizontal="center" vertical="bottom" textRotation="0" wrapText="false" indent="0" shrinkToFit="false"/>
      <protection locked="true" hidden="false"/>
    </xf>
    <xf numFmtId="164" fontId="4" fillId="14" borderId="7" xfId="0" applyFont="true" applyBorder="true" applyAlignment="true" applyProtection="false">
      <alignment horizontal="center" vertical="bottom" textRotation="0" wrapText="false" indent="0" shrinkToFit="false"/>
      <protection locked="true" hidden="false"/>
    </xf>
    <xf numFmtId="164" fontId="4" fillId="14" borderId="0" xfId="0" applyFont="true" applyBorder="false" applyAlignment="true" applyProtection="false">
      <alignment horizontal="center" vertical="bottom" textRotation="0" wrapText="true" indent="0" shrinkToFit="false"/>
      <protection locked="true" hidden="false"/>
    </xf>
    <xf numFmtId="164" fontId="4" fillId="14" borderId="0" xfId="0" applyFont="true" applyBorder="false" applyAlignment="true" applyProtection="false">
      <alignment horizontal="center" vertical="bottom" textRotation="0" wrapText="false" indent="0" shrinkToFit="false"/>
      <protection locked="true" hidden="false"/>
    </xf>
    <xf numFmtId="164" fontId="39" fillId="14" borderId="0" xfId="0" applyFont="true" applyBorder="false" applyAlignment="true" applyProtection="false">
      <alignment horizontal="center" vertical="bottom" textRotation="0" wrapText="true" indent="0" shrinkToFit="false"/>
      <protection locked="true" hidden="false"/>
    </xf>
    <xf numFmtId="164" fontId="13" fillId="14" borderId="8" xfId="0" applyFont="true" applyBorder="true" applyAlignment="true" applyProtection="false">
      <alignment horizontal="center" vertical="bottom" textRotation="0" wrapText="true" indent="0" shrinkToFit="false"/>
      <protection locked="true" hidden="false"/>
    </xf>
    <xf numFmtId="164" fontId="13" fillId="0" borderId="24" xfId="0" applyFont="true" applyBorder="true" applyAlignment="true" applyProtection="false">
      <alignment horizontal="center" vertical="bottom" textRotation="0" wrapText="false" indent="0" shrinkToFit="false"/>
      <protection locked="true" hidden="false"/>
    </xf>
    <xf numFmtId="164" fontId="4" fillId="0" borderId="59" xfId="0" applyFont="true" applyBorder="true" applyAlignment="true" applyProtection="false">
      <alignment horizontal="center" vertical="bottom" textRotation="0" wrapText="false" indent="0" shrinkToFit="false"/>
      <protection locked="true" hidden="false"/>
    </xf>
    <xf numFmtId="164" fontId="4" fillId="0" borderId="39" xfId="0" applyFont="true" applyBorder="true" applyAlignment="true" applyProtection="false">
      <alignment horizontal="center" vertical="bottom" textRotation="0" wrapText="false" indent="0" shrinkToFit="false"/>
      <protection locked="true" hidden="false"/>
    </xf>
    <xf numFmtId="164" fontId="4" fillId="0" borderId="60" xfId="0" applyFont="true" applyBorder="true" applyAlignment="true" applyProtection="false">
      <alignment horizontal="center" vertical="bottom" textRotation="0" wrapText="false" indent="0" shrinkToFit="false"/>
      <protection locked="true" hidden="false"/>
    </xf>
    <xf numFmtId="164" fontId="65" fillId="0" borderId="60" xfId="0" applyFont="true" applyBorder="true" applyAlignment="true" applyProtection="false">
      <alignment horizontal="center" vertical="bottom" textRotation="0" wrapText="false" indent="0" shrinkToFit="false"/>
      <protection locked="true" hidden="false"/>
    </xf>
    <xf numFmtId="164" fontId="4" fillId="0" borderId="61" xfId="0" applyFont="true" applyBorder="true" applyAlignment="true" applyProtection="false">
      <alignment horizontal="center" vertical="bottom" textRotation="0" wrapText="false" indent="0" shrinkToFit="false"/>
      <protection locked="true" hidden="false"/>
    </xf>
    <xf numFmtId="164" fontId="4" fillId="14" borderId="59" xfId="0" applyFont="true" applyBorder="true" applyAlignment="true" applyProtection="false">
      <alignment horizontal="center" vertical="bottom" textRotation="0" wrapText="false" indent="0" shrinkToFit="false"/>
      <protection locked="true" hidden="false"/>
    </xf>
    <xf numFmtId="164" fontId="4" fillId="14" borderId="39" xfId="0" applyFont="true" applyBorder="true" applyAlignment="true" applyProtection="false">
      <alignment horizontal="center" vertical="bottom" textRotation="0" wrapText="true" indent="0" shrinkToFit="false"/>
      <protection locked="true" hidden="false"/>
    </xf>
    <xf numFmtId="164" fontId="4" fillId="14" borderId="39" xfId="0" applyFont="true" applyBorder="true" applyAlignment="true" applyProtection="false">
      <alignment horizontal="center" vertical="bottom" textRotation="0" wrapText="false" indent="0" shrinkToFit="false"/>
      <protection locked="true" hidden="false"/>
    </xf>
    <xf numFmtId="164" fontId="39" fillId="14" borderId="39" xfId="0" applyFont="true" applyBorder="true" applyAlignment="true" applyProtection="false">
      <alignment horizontal="center" vertical="bottom" textRotation="0" wrapText="true" indent="0" shrinkToFit="false"/>
      <protection locked="true" hidden="false"/>
    </xf>
    <xf numFmtId="164" fontId="13" fillId="14" borderId="61" xfId="0" applyFont="true" applyBorder="true" applyAlignment="true" applyProtection="false">
      <alignment horizontal="center" vertical="bottom" textRotation="0" wrapText="true" indent="0" shrinkToFit="false"/>
      <protection locked="true" hidden="false"/>
    </xf>
    <xf numFmtId="164" fontId="13" fillId="0" borderId="62" xfId="0" applyFont="true" applyBorder="true" applyAlignment="true" applyProtection="false">
      <alignment horizontal="center" vertical="bottom" textRotation="0" wrapText="false" indent="0" shrinkToFit="false"/>
      <protection locked="true" hidden="false"/>
    </xf>
    <xf numFmtId="164" fontId="4" fillId="0" borderId="63" xfId="0" applyFont="true" applyBorder="true" applyAlignment="true" applyProtection="false">
      <alignment horizontal="center" vertical="bottom" textRotation="0" wrapText="false" indent="0" shrinkToFit="false"/>
      <protection locked="true" hidden="false"/>
    </xf>
    <xf numFmtId="179" fontId="8" fillId="0" borderId="0" xfId="17" applyFont="true" applyBorder="true" applyAlignment="true" applyProtection="true">
      <alignment horizontal="general" vertical="bottom" textRotation="0" wrapText="false" indent="0" shrinkToFit="false"/>
      <protection locked="true" hidden="false"/>
    </xf>
    <xf numFmtId="164" fontId="8" fillId="0" borderId="7" xfId="0" applyFont="true" applyBorder="true" applyAlignment="true" applyProtection="true">
      <alignment horizontal="left" vertical="bottom" textRotation="0" wrapText="false" indent="0" shrinkToFit="false"/>
      <protection locked="false" hidden="false"/>
    </xf>
    <xf numFmtId="164" fontId="4" fillId="0" borderId="2" xfId="0" applyFont="true" applyBorder="true" applyAlignment="true" applyProtection="false">
      <alignment horizontal="left" vertical="bottom" textRotation="0" wrapText="false" indent="0" shrinkToFit="false"/>
      <protection locked="true" hidden="false"/>
    </xf>
    <xf numFmtId="164" fontId="4" fillId="0" borderId="64" xfId="0" applyFont="true" applyBorder="true" applyAlignment="false" applyProtection="false">
      <alignment horizontal="general" vertical="bottom" textRotation="0" wrapText="false" indent="0" shrinkToFit="false"/>
      <protection locked="true" hidden="false"/>
    </xf>
    <xf numFmtId="197" fontId="4" fillId="0" borderId="0" xfId="0" applyFont="true" applyBorder="false" applyAlignment="false" applyProtection="false">
      <alignment horizontal="general" vertical="bottom" textRotation="0" wrapText="false" indent="0" shrinkToFit="false"/>
      <protection locked="true" hidden="false"/>
    </xf>
    <xf numFmtId="201" fontId="4" fillId="0" borderId="65" xfId="15" applyFont="true" applyBorder="true" applyAlignment="true" applyProtection="true">
      <alignment horizontal="general" vertical="bottom" textRotation="0" wrapText="false" indent="0" shrinkToFit="false"/>
      <protection locked="true" hidden="false"/>
    </xf>
    <xf numFmtId="164" fontId="13" fillId="0" borderId="8" xfId="0" applyFont="true" applyBorder="true" applyAlignment="true" applyProtection="false">
      <alignment horizontal="center"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true">
      <alignment horizontal="left" vertical="bottom" textRotation="0" wrapText="false" indent="0" shrinkToFit="false"/>
      <protection locked="false" hidden="false"/>
    </xf>
    <xf numFmtId="164" fontId="4" fillId="0" borderId="0" xfId="0" applyFont="true" applyBorder="false" applyAlignment="true" applyProtection="true">
      <alignment horizontal="left" vertical="bottom" textRotation="0" wrapText="false" indent="0" shrinkToFit="false"/>
      <protection locked="false" hidden="false"/>
    </xf>
    <xf numFmtId="193" fontId="4" fillId="0" borderId="0" xfId="15" applyFont="true" applyBorder="true" applyAlignment="true" applyProtection="true">
      <alignment horizontal="general" vertical="bottom" textRotation="0" wrapText="false" indent="0" shrinkToFit="false"/>
      <protection locked="true" hidden="false"/>
    </xf>
    <xf numFmtId="164" fontId="4" fillId="6" borderId="46" xfId="0" applyFont="true" applyBorder="true" applyAlignment="false" applyProtection="false">
      <alignment horizontal="general" vertical="bottom" textRotation="0" wrapText="false" indent="0" shrinkToFit="false"/>
      <protection locked="true" hidden="false"/>
    </xf>
    <xf numFmtId="179" fontId="4" fillId="0" borderId="15" xfId="17" applyFont="true" applyBorder="true" applyAlignment="true" applyProtection="true">
      <alignment horizontal="right" vertical="bottom" textRotation="0" wrapText="false" indent="0" shrinkToFit="false"/>
      <protection locked="true" hidden="false"/>
    </xf>
    <xf numFmtId="179" fontId="39" fillId="15" borderId="1" xfId="17" applyFont="true" applyBorder="true" applyAlignment="true" applyProtection="true">
      <alignment horizontal="center" vertical="bottom" textRotation="0" wrapText="false" indent="0" shrinkToFit="false"/>
      <protection locked="true" hidden="false"/>
    </xf>
    <xf numFmtId="179" fontId="14" fillId="0" borderId="0" xfId="17" applyFont="true" applyBorder="true" applyAlignment="true" applyProtection="true">
      <alignment horizontal="general" vertical="bottom" textRotation="0" wrapText="false" indent="0" shrinkToFit="false"/>
      <protection locked="true" hidden="false"/>
    </xf>
    <xf numFmtId="179" fontId="14" fillId="0" borderId="0" xfId="17" applyFont="true" applyBorder="true" applyAlignment="true" applyProtection="true">
      <alignment horizontal="right" vertical="bottom" textRotation="0" wrapText="false" indent="0" shrinkToFit="false"/>
      <protection locked="true" hidden="false"/>
    </xf>
    <xf numFmtId="179" fontId="14" fillId="0" borderId="45" xfId="17" applyFont="true" applyBorder="true" applyAlignment="true" applyProtection="true">
      <alignment horizontal="general" vertical="bottom" textRotation="0" wrapText="false" indent="0" shrinkToFit="false"/>
      <protection locked="true" hidden="false"/>
    </xf>
    <xf numFmtId="184" fontId="13" fillId="0" borderId="8" xfId="19" applyFont="true" applyBorder="true" applyAlignment="true" applyProtection="true">
      <alignment horizontal="center" vertical="bottom" textRotation="0" wrapText="false" indent="0" shrinkToFit="false"/>
      <protection locked="true" hidden="false"/>
    </xf>
    <xf numFmtId="193" fontId="4" fillId="0" borderId="11" xfId="0" applyFont="true" applyBorder="true" applyAlignment="false" applyProtection="false">
      <alignment horizontal="general" vertical="bottom" textRotation="0" wrapText="false" indent="0" shrinkToFit="false"/>
      <protection locked="true" hidden="false"/>
    </xf>
    <xf numFmtId="179" fontId="8" fillId="0" borderId="0" xfId="0" applyFont="true" applyBorder="false" applyAlignment="false" applyProtection="false">
      <alignment horizontal="general" vertical="bottom" textRotation="0" wrapText="false" indent="0" shrinkToFit="false"/>
      <protection locked="true" hidden="false"/>
    </xf>
    <xf numFmtId="193" fontId="4" fillId="0" borderId="0" xfId="0" applyFont="true" applyBorder="false" applyAlignment="false" applyProtection="false">
      <alignment horizontal="general" vertical="bottom" textRotation="0" wrapText="false" indent="0" shrinkToFit="false"/>
      <protection locked="true" hidden="false"/>
    </xf>
    <xf numFmtId="169" fontId="39" fillId="15" borderId="1" xfId="17"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true">
      <alignment horizontal="center" vertical="bottom" textRotation="0" wrapText="false" indent="0" shrinkToFit="false"/>
      <protection locked="false" hidden="false"/>
    </xf>
    <xf numFmtId="178" fontId="39" fillId="0" borderId="1" xfId="0" applyFont="true" applyBorder="true" applyAlignment="true" applyProtection="false">
      <alignment horizontal="center" vertical="bottom" textRotation="0" wrapText="false" indent="0" shrinkToFit="false"/>
      <protection locked="true" hidden="false"/>
    </xf>
    <xf numFmtId="164" fontId="4" fillId="9" borderId="57" xfId="0" applyFont="true" applyBorder="true" applyAlignment="false" applyProtection="false">
      <alignment horizontal="general" vertical="bottom" textRotation="0" wrapText="false" indent="0" shrinkToFit="false"/>
      <protection locked="true" hidden="false"/>
    </xf>
    <xf numFmtId="201" fontId="4" fillId="0" borderId="0" xfId="15" applyFont="true" applyBorder="true" applyAlignment="true" applyProtection="true">
      <alignment horizontal="general" vertical="bottom" textRotation="0" wrapText="false" indent="0" shrinkToFit="false"/>
      <protection locked="true" hidden="false"/>
    </xf>
    <xf numFmtId="169" fontId="4" fillId="15" borderId="1" xfId="17" applyFont="true" applyBorder="true" applyAlignment="true" applyProtection="true">
      <alignment horizontal="general" vertical="bottom" textRotation="0" wrapText="false" indent="0" shrinkToFit="false"/>
      <protection locked="true" hidden="false"/>
    </xf>
    <xf numFmtId="169" fontId="39" fillId="0" borderId="1" xfId="17" applyFont="true" applyBorder="true" applyAlignment="true" applyProtection="true">
      <alignment horizontal="right" vertical="bottom" textRotation="0" wrapText="false" indent="0" shrinkToFit="false"/>
      <protection locked="true" hidden="false"/>
    </xf>
    <xf numFmtId="169" fontId="4" fillId="6" borderId="0" xfId="17" applyFont="true" applyBorder="true" applyAlignment="true" applyProtection="true">
      <alignment horizontal="right" vertical="bottom" textRotation="0" wrapText="false" indent="0" shrinkToFit="false"/>
      <protection locked="true" hidden="false"/>
    </xf>
    <xf numFmtId="169" fontId="4" fillId="6" borderId="45" xfId="17" applyFont="true" applyBorder="true" applyAlignment="true" applyProtection="true">
      <alignment horizontal="right" vertical="bottom" textRotation="0" wrapText="false" indent="0" shrinkToFit="false"/>
      <protection locked="true" hidden="false"/>
    </xf>
    <xf numFmtId="179" fontId="4" fillId="6" borderId="0" xfId="17" applyFont="true" applyBorder="true" applyAlignment="true" applyProtection="true">
      <alignment horizontal="center" vertical="bottom" textRotation="0" wrapText="false" indent="0" shrinkToFit="false"/>
      <protection locked="true" hidden="false"/>
    </xf>
    <xf numFmtId="179" fontId="4" fillId="6" borderId="0" xfId="17" applyFont="true" applyBorder="true" applyAlignment="true" applyProtection="true">
      <alignment horizontal="right" vertical="bottom" textRotation="0" wrapText="false" indent="0" shrinkToFit="false"/>
      <protection locked="true" hidden="false"/>
    </xf>
    <xf numFmtId="179" fontId="4" fillId="6" borderId="45" xfId="17" applyFont="true" applyBorder="true" applyAlignment="true" applyProtection="true">
      <alignment horizontal="right" vertical="bottom" textRotation="0" wrapText="false" indent="0" shrinkToFit="false"/>
      <protection locked="true" hidden="false"/>
    </xf>
    <xf numFmtId="179" fontId="4" fillId="0" borderId="15" xfId="17" applyFont="true" applyBorder="true" applyAlignment="true" applyProtection="true">
      <alignment horizontal="center" vertical="center" textRotation="0" wrapText="false" indent="0" shrinkToFit="false"/>
      <protection locked="true" hidden="false"/>
    </xf>
    <xf numFmtId="169" fontId="39" fillId="15" borderId="1"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false" hidden="false"/>
    </xf>
    <xf numFmtId="193" fontId="4" fillId="0" borderId="0" xfId="15" applyFont="true" applyBorder="true" applyAlignment="true" applyProtection="true">
      <alignment horizontal="right" vertical="bottom" textRotation="0" wrapText="false" indent="0" shrinkToFit="false"/>
      <protection locked="true" hidden="false"/>
    </xf>
    <xf numFmtId="164" fontId="4" fillId="0" borderId="46" xfId="0" applyFont="true" applyBorder="true" applyAlignment="false" applyProtection="false">
      <alignment horizontal="general" vertical="bottom" textRotation="0" wrapText="false" indent="0" shrinkToFit="false"/>
      <protection locked="true" hidden="false"/>
    </xf>
    <xf numFmtId="169" fontId="39" fillId="0" borderId="1" xfId="0" applyFont="true" applyBorder="true" applyAlignment="true" applyProtection="false">
      <alignment horizontal="center" vertical="bottom" textRotation="0" wrapText="false" indent="0" shrinkToFit="false"/>
      <protection locked="true" hidden="false"/>
    </xf>
    <xf numFmtId="179" fontId="14" fillId="0" borderId="45" xfId="17" applyFont="true" applyBorder="true" applyAlignment="true" applyProtection="true">
      <alignment horizontal="right" vertical="bottom" textRotation="0" wrapText="false" indent="0" shrinkToFit="false"/>
      <protection locked="true" hidden="false"/>
    </xf>
    <xf numFmtId="179" fontId="67" fillId="0" borderId="0" xfId="17" applyFont="true" applyBorder="true" applyAlignment="true" applyProtection="true">
      <alignment horizontal="general" vertical="bottom" textRotation="0" wrapText="false" indent="0" shrinkToFit="false"/>
      <protection locked="true" hidden="false"/>
    </xf>
    <xf numFmtId="179" fontId="67" fillId="0" borderId="0" xfId="17" applyFont="true" applyBorder="true" applyAlignment="true" applyProtection="true">
      <alignment horizontal="right" vertical="bottom" textRotation="0" wrapText="false" indent="0" shrinkToFit="false"/>
      <protection locked="true" hidden="false"/>
    </xf>
    <xf numFmtId="164" fontId="4" fillId="9" borderId="41" xfId="0" applyFont="true" applyBorder="true" applyAlignment="false" applyProtection="false">
      <alignment horizontal="general" vertical="bottom" textRotation="0" wrapText="false" indent="0" shrinkToFit="false"/>
      <protection locked="true" hidden="false"/>
    </xf>
    <xf numFmtId="179" fontId="4" fillId="0" borderId="45" xfId="17" applyFont="true" applyBorder="true" applyAlignment="true" applyProtection="true">
      <alignment horizontal="right" vertical="bottom" textRotation="0" wrapText="false" indent="0" shrinkToFit="false"/>
      <protection locked="false" hidden="false"/>
    </xf>
    <xf numFmtId="169" fontId="39" fillId="9" borderId="1" xfId="17" applyFont="true" applyBorder="true" applyAlignment="true" applyProtection="true">
      <alignment horizontal="center" vertical="bottom" textRotation="0" wrapText="false" indent="0" shrinkToFit="false"/>
      <protection locked="true" hidden="false"/>
    </xf>
    <xf numFmtId="179" fontId="68" fillId="6" borderId="0" xfId="17" applyFont="true" applyBorder="true" applyAlignment="true" applyProtection="true">
      <alignment horizontal="right" vertical="bottom" textRotation="0" wrapText="false" indent="0" shrinkToFit="false"/>
      <protection locked="true" hidden="false"/>
    </xf>
    <xf numFmtId="201" fontId="4" fillId="0" borderId="0" xfId="15" applyFont="true" applyBorder="true" applyAlignment="true" applyProtection="true">
      <alignment horizontal="right" vertical="bottom" textRotation="0" wrapText="false" indent="0" shrinkToFit="false"/>
      <protection locked="true" hidden="false"/>
    </xf>
    <xf numFmtId="179" fontId="4" fillId="15" borderId="1" xfId="17" applyFont="true" applyBorder="true" applyAlignment="true" applyProtection="true">
      <alignment horizontal="general" vertical="bottom" textRotation="0" wrapText="false" indent="0" shrinkToFit="false"/>
      <protection locked="true" hidden="false"/>
    </xf>
    <xf numFmtId="179" fontId="39" fillId="0" borderId="0" xfId="0" applyFont="true" applyBorder="false" applyAlignment="false" applyProtection="false">
      <alignment horizontal="general" vertical="bottom" textRotation="0" wrapText="false" indent="0" shrinkToFit="false"/>
      <protection locked="true" hidden="false"/>
    </xf>
    <xf numFmtId="201" fontId="14" fillId="0" borderId="0" xfId="15" applyFont="true" applyBorder="true" applyAlignment="true" applyProtection="true">
      <alignment horizontal="general" vertical="bottom" textRotation="0" wrapText="false" indent="0" shrinkToFit="false"/>
      <protection locked="true" hidden="false"/>
    </xf>
    <xf numFmtId="169" fontId="14" fillId="0" borderId="0" xfId="17" applyFont="true" applyBorder="true" applyAlignment="true" applyProtection="true">
      <alignment horizontal="right" vertical="bottom" textRotation="0" wrapText="false" indent="0" shrinkToFit="false"/>
      <protection locked="true" hidden="false"/>
    </xf>
    <xf numFmtId="201" fontId="14" fillId="0" borderId="45" xfId="15" applyFont="true" applyBorder="true" applyAlignment="true" applyProtection="true">
      <alignment horizontal="general" vertical="bottom" textRotation="0" wrapText="false" indent="0" shrinkToFit="false"/>
      <protection locked="true" hidden="false"/>
    </xf>
    <xf numFmtId="178" fontId="8" fillId="0" borderId="7" xfId="0" applyFont="true" applyBorder="true" applyAlignment="true" applyProtection="true">
      <alignment horizontal="left" vertical="bottom" textRotation="0" wrapText="false" indent="0" shrinkToFit="false"/>
      <protection locked="false" hidden="false"/>
    </xf>
    <xf numFmtId="178" fontId="8" fillId="0" borderId="0" xfId="0" applyFont="true" applyBorder="false" applyAlignment="true" applyProtection="true">
      <alignment horizontal="center" vertical="bottom" textRotation="0" wrapText="false" indent="0" shrinkToFit="false"/>
      <protection locked="false" hidden="false"/>
    </xf>
    <xf numFmtId="169" fontId="39" fillId="0" borderId="1" xfId="17" applyFont="true" applyBorder="true" applyAlignment="true" applyProtection="true">
      <alignment horizontal="center" vertical="bottom" textRotation="0" wrapText="false" indent="0" shrinkToFit="false"/>
      <protection locked="true" hidden="false"/>
    </xf>
    <xf numFmtId="169" fontId="4" fillId="6" borderId="45" xfId="17" applyFont="true" applyBorder="tru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false">
      <alignment horizontal="left" vertical="bottom" textRotation="0" wrapText="false" indent="0" shrinkToFit="false"/>
      <protection locked="true" hidden="false"/>
    </xf>
    <xf numFmtId="204" fontId="14" fillId="9" borderId="0" xfId="17" applyFont="true" applyBorder="true" applyAlignment="true" applyProtection="true">
      <alignment horizontal="left" vertical="bottom" textRotation="0" wrapText="false" indent="0" shrinkToFit="false"/>
      <protection locked="true" hidden="false"/>
    </xf>
    <xf numFmtId="169" fontId="14" fillId="9" borderId="0" xfId="17" applyFont="true" applyBorder="true" applyAlignment="true" applyProtection="true">
      <alignment horizontal="right" vertical="bottom" textRotation="0" wrapText="false" indent="0" shrinkToFit="false"/>
      <protection locked="true" hidden="false"/>
    </xf>
    <xf numFmtId="204" fontId="14" fillId="9" borderId="0" xfId="17" applyFont="true" applyBorder="true" applyAlignment="true" applyProtection="true">
      <alignment horizontal="right" vertical="bottom" textRotation="0" wrapText="false" indent="0" shrinkToFit="false"/>
      <protection locked="true" hidden="false"/>
    </xf>
    <xf numFmtId="164" fontId="8" fillId="0" borderId="45" xfId="0" applyFont="true" applyBorder="true" applyAlignment="true" applyProtection="false">
      <alignment horizontal="left" vertical="bottom" textRotation="0" wrapText="false" indent="0" shrinkToFit="false"/>
      <protection locked="true" hidden="false"/>
    </xf>
    <xf numFmtId="179" fontId="4" fillId="9" borderId="0" xfId="17" applyFont="true" applyBorder="true" applyAlignment="true" applyProtection="true">
      <alignment horizontal="right" vertical="bottom" textRotation="0" wrapText="false" indent="0" shrinkToFit="false"/>
      <protection locked="true" hidden="false"/>
    </xf>
    <xf numFmtId="169" fontId="39" fillId="9" borderId="0" xfId="17" applyFont="true" applyBorder="true" applyAlignment="true" applyProtection="true">
      <alignment horizontal="center" vertical="bottom" textRotation="0" wrapText="false" indent="0" shrinkToFit="false"/>
      <protection locked="true" hidden="false"/>
    </xf>
    <xf numFmtId="201" fontId="14" fillId="0" borderId="0" xfId="15" applyFont="true" applyBorder="true" applyAlignment="true" applyProtection="true">
      <alignment horizontal="right" vertical="bottom" textRotation="0" wrapText="false" indent="0" shrinkToFit="false"/>
      <protection locked="true" hidden="false"/>
    </xf>
    <xf numFmtId="201" fontId="14" fillId="0" borderId="45" xfId="15" applyFont="true" applyBorder="true" applyAlignment="true" applyProtection="true">
      <alignment horizontal="right" vertical="bottom" textRotation="0" wrapText="false" indent="0" shrinkToFit="false"/>
      <protection locked="true" hidden="false"/>
    </xf>
    <xf numFmtId="164" fontId="4" fillId="9" borderId="37" xfId="0" applyFont="true" applyBorder="true" applyAlignment="false" applyProtection="false">
      <alignment horizontal="general" vertical="bottom" textRotation="0" wrapText="false" indent="0" shrinkToFit="false"/>
      <protection locked="true" hidden="false"/>
    </xf>
    <xf numFmtId="179" fontId="4" fillId="0" borderId="0" xfId="17" applyFont="true" applyBorder="true" applyAlignment="true" applyProtection="true">
      <alignment horizontal="right" vertical="bottom" textRotation="0" wrapText="false" indent="0" shrinkToFit="false"/>
      <protection locked="true" hidden="false"/>
    </xf>
    <xf numFmtId="182" fontId="4" fillId="0" borderId="11" xfId="0" applyFont="true" applyBorder="true" applyAlignment="false" applyProtection="false">
      <alignment horizontal="general" vertical="bottom"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false" hidden="false"/>
    </xf>
    <xf numFmtId="164" fontId="13" fillId="0" borderId="0" xfId="0" applyFont="true" applyBorder="false" applyAlignment="true" applyProtection="true">
      <alignment horizontal="center" vertical="bottom" textRotation="0" wrapText="false" indent="0" shrinkToFit="false"/>
      <protection locked="false" hidden="false"/>
    </xf>
    <xf numFmtId="178" fontId="39" fillId="0" borderId="0" xfId="0" applyFont="true" applyBorder="false" applyAlignment="true" applyProtection="false">
      <alignment horizontal="center" vertical="bottom" textRotation="0" wrapText="false" indent="0" shrinkToFit="false"/>
      <protection locked="true" hidden="false"/>
    </xf>
    <xf numFmtId="164" fontId="4" fillId="0" borderId="66" xfId="0" applyFont="true" applyBorder="true" applyAlignment="false" applyProtection="false">
      <alignment horizontal="general" vertical="bottom" textRotation="0" wrapText="false" indent="0" shrinkToFit="false"/>
      <protection locked="true" hidden="false"/>
    </xf>
    <xf numFmtId="169" fontId="4" fillId="0" borderId="1" xfId="17" applyFont="true" applyBorder="true" applyAlignment="true" applyProtection="true">
      <alignment horizontal="general" vertical="bottom" textRotation="0" wrapText="false" indent="0" shrinkToFit="false"/>
      <protection locked="true" hidden="false"/>
    </xf>
    <xf numFmtId="179" fontId="4" fillId="5" borderId="0" xfId="17" applyFont="true" applyBorder="true" applyAlignment="true" applyProtection="true">
      <alignment horizontal="general" vertical="bottom" textRotation="0" wrapText="false" indent="0" shrinkToFit="false"/>
      <protection locked="true" hidden="false"/>
    </xf>
    <xf numFmtId="179" fontId="4" fillId="5" borderId="45" xfId="17" applyFont="true" applyBorder="true" applyAlignment="true" applyProtection="true">
      <alignment horizontal="general" vertical="bottom" textRotation="0" wrapText="false" indent="0" shrinkToFit="false"/>
      <protection locked="true" hidden="false"/>
    </xf>
    <xf numFmtId="169" fontId="14" fillId="0" borderId="0" xfId="17" applyFont="true" applyBorder="true" applyAlignment="true" applyProtection="true">
      <alignment horizontal="general" vertical="bottom" textRotation="0" wrapText="false" indent="0" shrinkToFit="false"/>
      <protection locked="true" hidden="false"/>
    </xf>
    <xf numFmtId="182" fontId="14" fillId="0" borderId="0" xfId="15" applyFont="true" applyBorder="true" applyAlignment="true" applyProtection="true">
      <alignment horizontal="right" vertical="bottom" textRotation="0" wrapText="false" indent="0" shrinkToFit="false"/>
      <protection locked="true" hidden="false"/>
    </xf>
    <xf numFmtId="182" fontId="14" fillId="0" borderId="45" xfId="15" applyFont="true" applyBorder="true" applyAlignment="true" applyProtection="true">
      <alignment horizontal="right" vertical="bottom" textRotation="0" wrapText="false" indent="0" shrinkToFit="false"/>
      <protection locked="true" hidden="false"/>
    </xf>
    <xf numFmtId="169" fontId="4" fillId="0" borderId="15" xfId="17" applyFont="true" applyBorder="true" applyAlignment="true" applyProtection="true">
      <alignment horizontal="right" vertical="bottom" textRotation="0" wrapText="false" indent="0" shrinkToFit="false"/>
      <protection locked="true" hidden="false"/>
    </xf>
    <xf numFmtId="183" fontId="13" fillId="0" borderId="8" xfId="19" applyFont="true" applyBorder="true" applyAlignment="true" applyProtection="true">
      <alignment horizontal="center" vertical="bottom" textRotation="0" wrapText="false" indent="0" shrinkToFit="false"/>
      <protection locked="true" hidden="false"/>
    </xf>
    <xf numFmtId="201" fontId="39" fillId="0" borderId="0" xfId="15" applyFont="true" applyBorder="true" applyAlignment="true" applyProtection="true">
      <alignment horizontal="right" vertical="bottom" textRotation="0" wrapText="false" indent="0" shrinkToFit="false"/>
      <protection locked="true" hidden="false"/>
    </xf>
    <xf numFmtId="179" fontId="4" fillId="0" borderId="45" xfId="17" applyFont="true" applyBorder="true" applyAlignment="true" applyProtection="true">
      <alignment horizontal="general" vertical="bottom" textRotation="0" wrapText="false" indent="0" shrinkToFit="false"/>
      <protection locked="true" hidden="false"/>
    </xf>
    <xf numFmtId="201" fontId="4" fillId="6" borderId="0" xfId="15" applyFont="true" applyBorder="true" applyAlignment="true" applyProtection="true">
      <alignment horizontal="general" vertical="bottom" textRotation="0" wrapText="false" indent="0" shrinkToFit="false"/>
      <protection locked="true" hidden="false"/>
    </xf>
    <xf numFmtId="201" fontId="4" fillId="6" borderId="0" xfId="15" applyFont="true" applyBorder="true" applyAlignment="true" applyProtection="true">
      <alignment horizontal="center" vertical="bottom" textRotation="0" wrapText="false" indent="0" shrinkToFit="false"/>
      <protection locked="true" hidden="false"/>
    </xf>
    <xf numFmtId="201" fontId="65" fillId="6" borderId="0" xfId="15" applyFont="true" applyBorder="true" applyAlignment="true" applyProtection="true">
      <alignment horizontal="right" vertical="bottom" textRotation="0" wrapText="false" indent="0" shrinkToFit="false"/>
      <protection locked="true" hidden="false"/>
    </xf>
    <xf numFmtId="179" fontId="4" fillId="6" borderId="45" xfId="17" applyFont="true" applyBorder="true" applyAlignment="true" applyProtection="true">
      <alignment horizontal="general" vertical="bottom" textRotation="0" wrapText="false" indent="0" shrinkToFit="false"/>
      <protection locked="true" hidden="false"/>
    </xf>
    <xf numFmtId="164" fontId="8" fillId="0" borderId="21" xfId="0" applyFont="true" applyBorder="true" applyAlignment="false" applyProtection="false">
      <alignment horizontal="general" vertical="bottom" textRotation="0" wrapText="false" indent="0" shrinkToFit="false"/>
      <protection locked="true" hidden="false"/>
    </xf>
    <xf numFmtId="164" fontId="8" fillId="0" borderId="22" xfId="0" applyFont="true" applyBorder="true" applyAlignment="false" applyProtection="false">
      <alignment horizontal="general" vertical="bottom" textRotation="0" wrapText="false" indent="0" shrinkToFit="false"/>
      <protection locked="true" hidden="false"/>
    </xf>
    <xf numFmtId="164" fontId="8" fillId="0" borderId="23" xfId="0" applyFont="true" applyBorder="true" applyAlignment="false" applyProtection="false">
      <alignment horizontal="general" vertical="bottom" textRotation="0" wrapText="false" indent="0" shrinkToFit="false"/>
      <protection locked="true" hidden="false"/>
    </xf>
    <xf numFmtId="164" fontId="8" fillId="0" borderId="7" xfId="0" applyFont="true" applyBorder="true" applyAlignment="true" applyProtection="true">
      <alignment horizontal="center" vertical="bottom" textRotation="0" wrapText="false" indent="0" shrinkToFit="false"/>
      <protection locked="false" hidden="false"/>
    </xf>
    <xf numFmtId="201" fontId="4" fillId="0" borderId="0" xfId="15" applyFont="true" applyBorder="true" applyAlignment="true" applyProtection="true">
      <alignment horizontal="center" vertical="bottom" textRotation="0" wrapText="false" indent="0" shrinkToFit="false"/>
      <protection locked="true" hidden="false"/>
    </xf>
    <xf numFmtId="193" fontId="4" fillId="0" borderId="0" xfId="15" applyFont="true" applyBorder="true" applyAlignment="true" applyProtection="true">
      <alignment horizontal="center" vertical="bottom" textRotation="0" wrapText="false" indent="0" shrinkToFit="false"/>
      <protection locked="true" hidden="false"/>
    </xf>
    <xf numFmtId="179" fontId="24" fillId="0" borderId="45" xfId="17" applyFont="true" applyBorder="true" applyAlignment="true" applyProtection="true">
      <alignment horizontal="general" vertical="bottom" textRotation="0" wrapText="false" indent="0" shrinkToFit="false"/>
      <protection locked="true" hidden="false"/>
    </xf>
    <xf numFmtId="164" fontId="8" fillId="0" borderId="7" xfId="0" applyFont="true" applyBorder="true" applyAlignment="false" applyProtection="false">
      <alignment horizontal="general" vertical="bottom" textRotation="0" wrapText="false" indent="0" shrinkToFit="false"/>
      <protection locked="true" hidden="false"/>
    </xf>
    <xf numFmtId="201" fontId="8" fillId="0" borderId="0" xfId="0" applyFont="true" applyBorder="false" applyAlignment="false" applyProtection="false">
      <alignment horizontal="general" vertical="bottom" textRotation="0" wrapText="false" indent="0" shrinkToFit="false"/>
      <protection locked="true" hidden="false"/>
    </xf>
    <xf numFmtId="201" fontId="8" fillId="0" borderId="8" xfId="0" applyFont="true" applyBorder="true" applyAlignment="false" applyProtection="false">
      <alignment horizontal="general" vertical="bottom" textRotation="0" wrapText="false" indent="0" shrinkToFit="false"/>
      <protection locked="true" hidden="false"/>
    </xf>
    <xf numFmtId="164" fontId="8" fillId="0" borderId="12" xfId="0" applyFont="true" applyBorder="true" applyAlignment="false" applyProtection="false">
      <alignment horizontal="general" vertical="bottom" textRotation="0" wrapText="false" indent="0" shrinkToFit="false"/>
      <protection locked="true" hidden="false"/>
    </xf>
    <xf numFmtId="164" fontId="13" fillId="0" borderId="6" xfId="0" applyFont="true" applyBorder="true" applyAlignment="false" applyProtection="false">
      <alignment horizontal="general" vertical="bottom" textRotation="0" wrapText="false" indent="0" shrinkToFit="false"/>
      <protection locked="true" hidden="false"/>
    </xf>
    <xf numFmtId="201" fontId="13" fillId="0" borderId="6" xfId="15" applyFont="true" applyBorder="true" applyAlignment="true" applyProtection="true">
      <alignment horizontal="general" vertical="bottom" textRotation="0" wrapText="false" indent="0" shrinkToFit="false"/>
      <protection locked="true" hidden="false"/>
    </xf>
    <xf numFmtId="201" fontId="13" fillId="0" borderId="6" xfId="15" applyFont="true" applyBorder="true" applyAlignment="true" applyProtection="true">
      <alignment horizontal="left" vertical="bottom" textRotation="0" wrapText="false" indent="0" shrinkToFit="false"/>
      <protection locked="true" hidden="false"/>
    </xf>
    <xf numFmtId="192" fontId="13" fillId="0" borderId="19" xfId="15" applyFont="true" applyBorder="true" applyAlignment="true" applyProtection="true">
      <alignment horizontal="right" vertical="bottom" textRotation="0" wrapText="false" indent="0" shrinkToFit="false"/>
      <protection locked="true" hidden="false"/>
    </xf>
    <xf numFmtId="193" fontId="4" fillId="0" borderId="6" xfId="0" applyFont="true" applyBorder="true" applyAlignment="false" applyProtection="false">
      <alignment horizontal="general" vertical="bottom" textRotation="0" wrapText="false" indent="0" shrinkToFit="false"/>
      <protection locked="true" hidden="false"/>
    </xf>
    <xf numFmtId="192" fontId="24" fillId="3" borderId="6" xfId="15" applyFont="true" applyBorder="true" applyAlignment="true" applyProtection="true">
      <alignment horizontal="general" vertical="bottom" textRotation="0" wrapText="false" indent="0" shrinkToFit="false"/>
      <protection locked="true" hidden="false"/>
    </xf>
    <xf numFmtId="192" fontId="4" fillId="3" borderId="6" xfId="15" applyFont="true" applyBorder="true" applyAlignment="true" applyProtection="true">
      <alignment horizontal="general" vertical="bottom" textRotation="0" wrapText="false" indent="0" shrinkToFit="false"/>
      <protection locked="true" hidden="false"/>
    </xf>
    <xf numFmtId="179" fontId="13" fillId="3" borderId="51" xfId="17" applyFont="true" applyBorder="true" applyAlignment="true" applyProtection="true">
      <alignment horizontal="general" vertical="bottom" textRotation="0" wrapText="false" indent="0" shrinkToFit="false"/>
      <protection locked="true" hidden="false"/>
    </xf>
    <xf numFmtId="164" fontId="65" fillId="0" borderId="13" xfId="0" applyFont="true" applyBorder="true" applyAlignment="true" applyProtection="false">
      <alignment horizontal="center" vertical="bottom" textRotation="0" wrapText="false" indent="0" shrinkToFit="false"/>
      <protection locked="true" hidden="false"/>
    </xf>
    <xf numFmtId="193" fontId="4" fillId="0" borderId="33" xfId="0" applyFont="true" applyBorder="true" applyAlignment="false" applyProtection="false">
      <alignment horizontal="general" vertical="bottom" textRotation="0" wrapText="false" indent="0" shrinkToFit="false"/>
      <protection locked="true" hidden="false"/>
    </xf>
    <xf numFmtId="192" fontId="4" fillId="0" borderId="0" xfId="0" applyFont="true" applyBorder="false" applyAlignment="false" applyProtection="false">
      <alignment horizontal="general" vertical="bottom" textRotation="0" wrapText="false" indent="0" shrinkToFit="false"/>
      <protection locked="true" hidden="false"/>
    </xf>
    <xf numFmtId="164" fontId="8" fillId="9" borderId="9" xfId="0" applyFont="true" applyBorder="true" applyAlignment="false" applyProtection="false">
      <alignment horizontal="general" vertical="bottom" textRotation="0" wrapText="false" indent="0" shrinkToFit="false"/>
      <protection locked="true" hidden="false"/>
    </xf>
    <xf numFmtId="164" fontId="6" fillId="9" borderId="9" xfId="0" applyFont="true" applyBorder="true" applyAlignment="false" applyProtection="false">
      <alignment horizontal="general" vertical="bottom" textRotation="0" wrapText="false" indent="0" shrinkToFit="false"/>
      <protection locked="true" hidden="false"/>
    </xf>
    <xf numFmtId="164" fontId="13" fillId="9" borderId="0" xfId="0" applyFont="true" applyBorder="false" applyAlignment="false" applyProtection="false">
      <alignment horizontal="general" vertical="bottom" textRotation="0" wrapText="false" indent="0" shrinkToFit="false"/>
      <protection locked="true" hidden="false"/>
    </xf>
    <xf numFmtId="179" fontId="13" fillId="9" borderId="0" xfId="17" applyFont="true" applyBorder="true" applyAlignment="true" applyProtection="true">
      <alignment horizontal="center" vertical="bottom" textRotation="0" wrapText="false" indent="0" shrinkToFit="false"/>
      <protection locked="true" hidden="false"/>
    </xf>
    <xf numFmtId="183" fontId="4" fillId="9" borderId="0" xfId="0" applyFont="true" applyBorder="false" applyAlignment="false" applyProtection="false">
      <alignment horizontal="general" vertical="bottom" textRotation="0" wrapText="false" indent="0" shrinkToFit="false"/>
      <protection locked="true" hidden="false"/>
    </xf>
    <xf numFmtId="183" fontId="4" fillId="9" borderId="0" xfId="0" applyFont="true" applyBorder="false" applyAlignment="true" applyProtection="false">
      <alignment horizontal="right" vertical="bottom" textRotation="0" wrapText="false" indent="0" shrinkToFit="false"/>
      <protection locked="true" hidden="false"/>
    </xf>
    <xf numFmtId="185" fontId="4" fillId="9" borderId="0" xfId="0" applyFont="true" applyBorder="false" applyAlignment="true" applyProtection="false">
      <alignment horizontal="right" vertical="bottom" textRotation="0" wrapText="false" indent="0" shrinkToFit="false"/>
      <protection locked="true" hidden="false"/>
    </xf>
    <xf numFmtId="164" fontId="65" fillId="0" borderId="0" xfId="0" applyFont="true" applyBorder="false" applyAlignment="true" applyProtection="false">
      <alignment horizontal="center" vertical="bottom" textRotation="0" wrapText="false" indent="0" shrinkToFit="false"/>
      <protection locked="true" hidden="false"/>
    </xf>
    <xf numFmtId="174" fontId="13" fillId="0" borderId="8" xfId="0" applyFont="true" applyBorder="true" applyAlignment="true" applyProtection="false">
      <alignment horizontal="right" vertical="bottom" textRotation="0" wrapText="false" indent="0" shrinkToFit="false"/>
      <protection locked="true" hidden="false"/>
    </xf>
    <xf numFmtId="164" fontId="6" fillId="9" borderId="21" xfId="0" applyFont="true" applyBorder="true" applyAlignment="true" applyProtection="false">
      <alignment horizontal="left" vertical="bottom" textRotation="0" wrapText="false" indent="0" shrinkToFit="false"/>
      <protection locked="true" hidden="false"/>
    </xf>
    <xf numFmtId="164" fontId="6" fillId="9" borderId="22" xfId="0" applyFont="true" applyBorder="true" applyAlignment="true" applyProtection="false">
      <alignment horizontal="right" vertical="bottom" textRotation="0" wrapText="false" indent="0" shrinkToFit="false"/>
      <protection locked="true" hidden="false"/>
    </xf>
    <xf numFmtId="201" fontId="6" fillId="9" borderId="23" xfId="15" applyFont="true" applyBorder="true" applyAlignment="true" applyProtection="true">
      <alignment horizontal="right" vertical="bottom" textRotation="0" wrapText="false" indent="0" shrinkToFit="false"/>
      <protection locked="true" hidden="false"/>
    </xf>
    <xf numFmtId="179" fontId="13" fillId="9" borderId="0" xfId="0" applyFont="true" applyBorder="true" applyAlignment="true" applyProtection="false">
      <alignment horizontal="center" vertical="bottom" textRotation="0" wrapText="false" indent="0" shrinkToFit="false"/>
      <protection locked="true" hidden="false"/>
    </xf>
    <xf numFmtId="179" fontId="4" fillId="9" borderId="0" xfId="17" applyFont="true" applyBorder="true" applyAlignment="true" applyProtection="true">
      <alignment horizontal="general" vertical="bottom" textRotation="0" wrapText="false" indent="0" shrinkToFit="false"/>
      <protection locked="true" hidden="false"/>
    </xf>
    <xf numFmtId="164" fontId="13" fillId="9" borderId="0" xfId="0" applyFont="true" applyBorder="false" applyAlignment="true" applyProtection="false">
      <alignment horizontal="center" vertical="bottom" textRotation="0" wrapText="false" indent="0" shrinkToFit="false"/>
      <protection locked="true" hidden="false"/>
    </xf>
    <xf numFmtId="179" fontId="4" fillId="9" borderId="0" xfId="0" applyFont="true" applyBorder="false" applyAlignment="true" applyProtection="false">
      <alignment horizontal="center" vertical="bottom" textRotation="0" wrapText="false" indent="0" shrinkToFit="false"/>
      <protection locked="true" hidden="false"/>
    </xf>
    <xf numFmtId="183" fontId="4" fillId="3" borderId="1" xfId="0" applyFont="true" applyBorder="true" applyAlignment="true" applyProtection="false">
      <alignment horizontal="center" vertical="bottom" textRotation="0" wrapText="false" indent="0" shrinkToFit="false"/>
      <protection locked="true" hidden="false"/>
    </xf>
    <xf numFmtId="164" fontId="6" fillId="9" borderId="0" xfId="0" applyFont="true" applyBorder="false" applyAlignment="false" applyProtection="false">
      <alignment horizontal="general" vertical="bottom" textRotation="0" wrapText="false" indent="0" shrinkToFit="false"/>
      <protection locked="true" hidden="false"/>
    </xf>
    <xf numFmtId="179" fontId="8" fillId="9" borderId="0" xfId="0" applyFont="true" applyBorder="true" applyAlignment="true" applyProtection="false">
      <alignment horizontal="center" vertical="bottom" textRotation="0" wrapText="false" indent="0" shrinkToFit="false"/>
      <protection locked="true" hidden="false"/>
    </xf>
    <xf numFmtId="179" fontId="8" fillId="9" borderId="0" xfId="0" applyFont="true" applyBorder="false" applyAlignment="true" applyProtection="false">
      <alignment horizontal="center" vertical="bottom" textRotation="0" wrapText="false" indent="0" shrinkToFit="false"/>
      <protection locked="true" hidden="false"/>
    </xf>
    <xf numFmtId="179" fontId="69" fillId="9" borderId="0" xfId="17" applyFont="true" applyBorder="true" applyAlignment="true" applyProtection="true">
      <alignment horizontal="general" vertical="bottom" textRotation="0" wrapText="false" indent="0" shrinkToFit="false"/>
      <protection locked="true" hidden="false"/>
    </xf>
    <xf numFmtId="183" fontId="24" fillId="9" borderId="0" xfId="0" applyFont="true" applyBorder="false" applyAlignment="true" applyProtection="false">
      <alignment horizontal="right" vertical="bottom" textRotation="0" wrapText="false" indent="0" shrinkToFit="false"/>
      <protection locked="true" hidden="false"/>
    </xf>
    <xf numFmtId="193" fontId="4" fillId="10" borderId="21" xfId="0" applyFont="true" applyBorder="true" applyAlignment="false" applyProtection="false">
      <alignment horizontal="general" vertical="bottom" textRotation="0" wrapText="false" indent="0" shrinkToFit="false"/>
      <protection locked="true" hidden="false"/>
    </xf>
    <xf numFmtId="193" fontId="4" fillId="10" borderId="22" xfId="0" applyFont="true" applyBorder="true" applyAlignment="false" applyProtection="false">
      <alignment horizontal="general" vertical="bottom" textRotation="0" wrapText="false" indent="0" shrinkToFit="false"/>
      <protection locked="true" hidden="false"/>
    </xf>
    <xf numFmtId="179" fontId="4" fillId="10" borderId="3" xfId="17" applyFont="true" applyBorder="true" applyAlignment="true" applyProtection="true">
      <alignment horizontal="general" vertical="bottom" textRotation="0" wrapText="false" indent="0" shrinkToFit="false"/>
      <protection locked="true" hidden="false"/>
    </xf>
    <xf numFmtId="184" fontId="4" fillId="10" borderId="23" xfId="0" applyFont="true" applyBorder="true" applyAlignment="false" applyProtection="false">
      <alignment horizontal="general" vertical="bottom" textRotation="0" wrapText="false" indent="0" shrinkToFit="false"/>
      <protection locked="true" hidden="false"/>
    </xf>
    <xf numFmtId="183" fontId="13" fillId="9" borderId="0" xfId="0" applyFont="true" applyBorder="false" applyAlignment="true" applyProtection="false">
      <alignment horizontal="left" vertical="bottom" textRotation="0" wrapText="false" indent="0" shrinkToFit="false"/>
      <protection locked="true" hidden="false"/>
    </xf>
    <xf numFmtId="179" fontId="13" fillId="9" borderId="0" xfId="17" applyFont="true" applyBorder="true" applyAlignment="true" applyProtection="true">
      <alignment horizontal="right" vertical="bottom" textRotation="0" wrapText="false" indent="0" shrinkToFit="false"/>
      <protection locked="true" hidden="false"/>
    </xf>
    <xf numFmtId="179" fontId="8" fillId="9" borderId="7" xfId="17" applyFont="true" applyBorder="true" applyAlignment="true" applyProtection="true">
      <alignment horizontal="center" vertical="bottom" textRotation="0" wrapText="false" indent="0" shrinkToFit="false"/>
      <protection locked="true" hidden="false"/>
    </xf>
    <xf numFmtId="179" fontId="8" fillId="9" borderId="0" xfId="17" applyFont="true" applyBorder="true" applyAlignment="true" applyProtection="true">
      <alignment horizontal="center" vertical="bottom" textRotation="0" wrapText="false" indent="0" shrinkToFit="false"/>
      <protection locked="true" hidden="false"/>
    </xf>
    <xf numFmtId="169" fontId="4" fillId="9" borderId="0" xfId="17" applyFont="true" applyBorder="true" applyAlignment="true" applyProtection="true">
      <alignment horizontal="general" vertical="bottom" textRotation="0" wrapText="false" indent="0" shrinkToFit="false"/>
      <protection locked="true" hidden="false"/>
    </xf>
    <xf numFmtId="193" fontId="4" fillId="9" borderId="0" xfId="0" applyFont="true" applyBorder="false" applyAlignment="false" applyProtection="false">
      <alignment horizontal="general" vertical="bottom" textRotation="0" wrapText="false" indent="0" shrinkToFit="false"/>
      <protection locked="true" hidden="false"/>
    </xf>
    <xf numFmtId="184" fontId="4" fillId="9" borderId="0" xfId="19" applyFont="true" applyBorder="true" applyAlignment="true" applyProtection="true">
      <alignment horizontal="general" vertical="bottom" textRotation="0" wrapText="false" indent="0" shrinkToFit="false"/>
      <protection locked="true" hidden="false"/>
    </xf>
    <xf numFmtId="193" fontId="4" fillId="0" borderId="16" xfId="0" applyFont="true" applyBorder="true" applyAlignment="false" applyProtection="false">
      <alignment horizontal="general" vertical="bottom" textRotation="0" wrapText="false" indent="0" shrinkToFit="false"/>
      <protection locked="true" hidden="false"/>
    </xf>
    <xf numFmtId="193" fontId="4" fillId="0" borderId="9" xfId="0" applyFont="true" applyBorder="true" applyAlignment="false" applyProtection="false">
      <alignment horizontal="general" vertical="bottom" textRotation="0" wrapText="false" indent="0" shrinkToFit="false"/>
      <protection locked="true" hidden="false"/>
    </xf>
    <xf numFmtId="179" fontId="4" fillId="0" borderId="10" xfId="17" applyFont="true" applyBorder="true" applyAlignment="true" applyProtection="true">
      <alignment horizontal="general" vertical="bottom" textRotation="0" wrapText="false" indent="0" shrinkToFit="false"/>
      <protection locked="true" hidden="false"/>
    </xf>
    <xf numFmtId="183" fontId="4" fillId="0" borderId="17" xfId="0" applyFont="true" applyBorder="true" applyAlignment="false" applyProtection="false">
      <alignment horizontal="general" vertical="bottom" textRotation="0" wrapText="false" indent="0" shrinkToFit="false"/>
      <protection locked="true" hidden="false"/>
    </xf>
    <xf numFmtId="193" fontId="4" fillId="9" borderId="0" xfId="0" applyFont="true" applyBorder="false" applyAlignment="true" applyProtection="false">
      <alignment horizontal="center" vertical="bottom" textRotation="0" wrapText="false" indent="0" shrinkToFit="false"/>
      <protection locked="true" hidden="false"/>
    </xf>
    <xf numFmtId="193" fontId="4" fillId="9" borderId="0" xfId="0" applyFont="true" applyBorder="false" applyAlignment="true" applyProtection="false">
      <alignment horizontal="right" vertical="bottom" textRotation="0" wrapText="false" indent="0" shrinkToFit="false"/>
      <protection locked="true" hidden="false"/>
    </xf>
    <xf numFmtId="164" fontId="65" fillId="9" borderId="0" xfId="0" applyFont="true" applyBorder="false" applyAlignment="true" applyProtection="false">
      <alignment horizontal="center" vertical="bottom" textRotation="0" wrapText="false" indent="0" shrinkToFit="false"/>
      <protection locked="true" hidden="false"/>
    </xf>
    <xf numFmtId="164" fontId="8" fillId="9" borderId="0" xfId="0" applyFont="true" applyBorder="false" applyAlignment="false" applyProtection="false">
      <alignment horizontal="general" vertical="bottom" textRotation="0" wrapText="false" indent="0" shrinkToFit="false"/>
      <protection locked="true" hidden="false"/>
    </xf>
    <xf numFmtId="164" fontId="8" fillId="9" borderId="0" xfId="0" applyFont="true" applyBorder="true" applyAlignment="true" applyProtection="false">
      <alignment horizontal="center" vertical="bottom" textRotation="0" wrapText="false" indent="0" shrinkToFit="false"/>
      <protection locked="true" hidden="false"/>
    </xf>
    <xf numFmtId="179" fontId="8" fillId="9" borderId="0" xfId="0" applyFont="true" applyBorder="false" applyAlignment="false" applyProtection="false">
      <alignment horizontal="general" vertical="bottom" textRotation="0" wrapText="false" indent="0" shrinkToFit="false"/>
      <protection locked="true" hidden="false"/>
    </xf>
    <xf numFmtId="193" fontId="4" fillId="0" borderId="7" xfId="0" applyFont="true" applyBorder="true" applyAlignment="false" applyProtection="false">
      <alignment horizontal="general" vertical="bottom" textRotation="0" wrapText="false" indent="0" shrinkToFit="false"/>
      <protection locked="true" hidden="false"/>
    </xf>
    <xf numFmtId="179" fontId="4" fillId="0" borderId="11" xfId="17" applyFont="true" applyBorder="true" applyAlignment="true" applyProtection="true">
      <alignment horizontal="general" vertical="bottom" textRotation="0" wrapText="false" indent="0" shrinkToFit="false"/>
      <protection locked="true" hidden="false"/>
    </xf>
    <xf numFmtId="183" fontId="4" fillId="0" borderId="8" xfId="0" applyFont="true" applyBorder="true" applyAlignment="false" applyProtection="false">
      <alignment horizontal="general" vertical="bottom" textRotation="0" wrapText="false" indent="0" shrinkToFit="false"/>
      <protection locked="true" hidden="false"/>
    </xf>
    <xf numFmtId="193" fontId="4" fillId="6" borderId="34" xfId="0" applyFont="true" applyBorder="true" applyAlignment="false" applyProtection="false">
      <alignment horizontal="general" vertical="bottom" textRotation="0" wrapText="false" indent="0" shrinkToFit="false"/>
      <protection locked="true" hidden="false"/>
    </xf>
    <xf numFmtId="183" fontId="4" fillId="6" borderId="42" xfId="19" applyFont="true" applyBorder="true" applyAlignment="true" applyProtection="true">
      <alignment horizontal="general" vertical="bottom" textRotation="0" wrapText="false" indent="0" shrinkToFit="false"/>
      <protection locked="false" hidden="false"/>
    </xf>
    <xf numFmtId="169" fontId="4" fillId="6" borderId="36" xfId="17" applyFont="true" applyBorder="true" applyAlignment="true" applyProtection="true">
      <alignment horizontal="center" vertical="bottom" textRotation="0" wrapText="false" indent="0" shrinkToFit="false"/>
      <protection locked="true" hidden="false"/>
    </xf>
    <xf numFmtId="164" fontId="6" fillId="16" borderId="1" xfId="0" applyFont="true" applyBorder="true" applyAlignment="true" applyProtection="false">
      <alignment horizontal="center" vertical="bottom" textRotation="0" wrapText="false" indent="0" shrinkToFit="false"/>
      <protection locked="true" hidden="false"/>
    </xf>
    <xf numFmtId="169" fontId="8" fillId="9" borderId="0" xfId="17" applyFont="true" applyBorder="true" applyAlignment="true" applyProtection="true">
      <alignment horizontal="general" vertical="bottom" textRotation="0" wrapText="false" indent="0" shrinkToFit="false"/>
      <protection locked="true" hidden="false"/>
    </xf>
    <xf numFmtId="169" fontId="8" fillId="9" borderId="0" xfId="0" applyFont="true" applyBorder="false" applyAlignment="false" applyProtection="false">
      <alignment horizontal="general" vertical="bottom" textRotation="0" wrapText="false" indent="0" shrinkToFit="false"/>
      <protection locked="true" hidden="false"/>
    </xf>
    <xf numFmtId="193" fontId="4" fillId="6" borderId="14" xfId="0" applyFont="true" applyBorder="true" applyAlignment="false" applyProtection="false">
      <alignment horizontal="general" vertical="bottom" textRotation="0" wrapText="false" indent="0" shrinkToFit="false"/>
      <protection locked="true" hidden="false"/>
    </xf>
    <xf numFmtId="183" fontId="4" fillId="6" borderId="45" xfId="19" applyFont="true" applyBorder="true" applyAlignment="true" applyProtection="true">
      <alignment horizontal="general" vertical="bottom" textRotation="0" wrapText="false" indent="0" shrinkToFit="false"/>
      <protection locked="false" hidden="false"/>
    </xf>
    <xf numFmtId="179" fontId="4" fillId="6" borderId="24" xfId="17" applyFont="true" applyBorder="true" applyAlignment="true" applyProtection="true">
      <alignment horizontal="center" vertical="bottom" textRotation="0" wrapText="false" indent="0" shrinkToFit="false"/>
      <protection locked="true" hidden="false"/>
    </xf>
    <xf numFmtId="193" fontId="13" fillId="9" borderId="1" xfId="0" applyFont="true" applyBorder="true" applyAlignment="false" applyProtection="false">
      <alignment horizontal="general" vertical="bottom" textRotation="0" wrapText="false" indent="0" shrinkToFit="false"/>
      <protection locked="true" hidden="false"/>
    </xf>
    <xf numFmtId="193" fontId="41" fillId="9" borderId="1" xfId="0" applyFont="true" applyBorder="true" applyAlignment="true" applyProtection="false">
      <alignment horizontal="center" vertical="bottom" textRotation="0" wrapText="false" indent="0" shrinkToFit="false"/>
      <protection locked="true" hidden="false"/>
    </xf>
    <xf numFmtId="183" fontId="4" fillId="9" borderId="0" xfId="19" applyFont="true" applyBorder="true" applyAlignment="true" applyProtection="true">
      <alignment horizontal="general" vertical="bottom" textRotation="0" wrapText="false" indent="0" shrinkToFit="false"/>
      <protection locked="true" hidden="false"/>
    </xf>
    <xf numFmtId="193" fontId="24" fillId="3" borderId="7" xfId="0" applyFont="true" applyBorder="true" applyAlignment="false" applyProtection="false">
      <alignment horizontal="general" vertical="bottom" textRotation="0" wrapText="false" indent="0" shrinkToFit="false"/>
      <protection locked="true" hidden="false"/>
    </xf>
    <xf numFmtId="183" fontId="24" fillId="3" borderId="67" xfId="19" applyFont="true" applyBorder="true" applyAlignment="true" applyProtection="true">
      <alignment horizontal="general" vertical="bottom" textRotation="0" wrapText="false" indent="0" shrinkToFit="false"/>
      <protection locked="true" hidden="false"/>
    </xf>
    <xf numFmtId="179" fontId="24" fillId="3" borderId="68" xfId="17" applyFont="true" applyBorder="true" applyAlignment="true" applyProtection="true">
      <alignment horizontal="center" vertical="bottom" textRotation="0" wrapText="false" indent="0" shrinkToFit="false"/>
      <protection locked="true" hidden="false"/>
    </xf>
    <xf numFmtId="179" fontId="24" fillId="3" borderId="0" xfId="17" applyFont="true" applyBorder="true" applyAlignment="true" applyProtection="true">
      <alignment horizontal="center" vertical="bottom" textRotation="0" wrapText="false" indent="0" shrinkToFit="false"/>
      <protection locked="true" hidden="false"/>
    </xf>
    <xf numFmtId="183" fontId="13" fillId="0" borderId="69" xfId="0" applyFont="true" applyBorder="true" applyAlignment="true" applyProtection="false">
      <alignment horizontal="left" vertical="bottom" textRotation="0" wrapText="false" indent="0" shrinkToFit="false"/>
      <protection locked="true" hidden="false"/>
    </xf>
    <xf numFmtId="183" fontId="4" fillId="0" borderId="2" xfId="0" applyFont="true" applyBorder="true" applyAlignment="true" applyProtection="false">
      <alignment horizontal="right" vertical="bottom" textRotation="0" wrapText="false" indent="0" shrinkToFit="false"/>
      <protection locked="true" hidden="false"/>
    </xf>
    <xf numFmtId="179" fontId="4" fillId="0" borderId="70" xfId="17" applyFont="true" applyBorder="true" applyAlignment="true" applyProtection="true">
      <alignment horizontal="right" vertical="bottom" textRotation="0" wrapText="false" indent="0" shrinkToFit="false"/>
      <protection locked="true" hidden="false"/>
    </xf>
    <xf numFmtId="184" fontId="4" fillId="0" borderId="8" xfId="0" applyFont="true" applyBorder="true" applyAlignment="true" applyProtection="false">
      <alignment horizontal="right" vertical="bottom" textRotation="0" wrapText="false" indent="0" shrinkToFit="false"/>
      <protection locked="true" hidden="false"/>
    </xf>
    <xf numFmtId="193" fontId="4" fillId="6" borderId="71" xfId="0" applyFont="true" applyBorder="true" applyAlignment="false" applyProtection="false">
      <alignment horizontal="general" vertical="bottom" textRotation="0" wrapText="false" indent="0" shrinkToFit="false"/>
      <protection locked="true" hidden="false"/>
    </xf>
    <xf numFmtId="193" fontId="4" fillId="8" borderId="72" xfId="0" applyFont="true" applyBorder="true" applyAlignment="true" applyProtection="false">
      <alignment horizontal="center" vertical="bottom" textRotation="0" wrapText="false" indent="0" shrinkToFit="false"/>
      <protection locked="true" hidden="false"/>
    </xf>
    <xf numFmtId="193" fontId="4" fillId="9" borderId="72" xfId="0" applyFont="true" applyBorder="true" applyAlignment="false" applyProtection="false">
      <alignment horizontal="general" vertical="bottom" textRotation="0" wrapText="false" indent="0" shrinkToFit="false"/>
      <protection locked="true" hidden="false"/>
    </xf>
    <xf numFmtId="184" fontId="4" fillId="8" borderId="73" xfId="19" applyFont="true" applyBorder="true" applyAlignment="true" applyProtection="true">
      <alignment horizontal="general" vertical="bottom" textRotation="0" wrapText="false" indent="0" shrinkToFit="false"/>
      <protection locked="true" hidden="false"/>
    </xf>
    <xf numFmtId="184" fontId="4" fillId="8" borderId="0" xfId="19" applyFont="true" applyBorder="true" applyAlignment="true" applyProtection="true">
      <alignment horizontal="general" vertical="bottom" textRotation="0" wrapText="false" indent="0" shrinkToFit="false"/>
      <protection locked="true" hidden="false"/>
    </xf>
    <xf numFmtId="164" fontId="8" fillId="9" borderId="12"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false" applyProtection="false">
      <alignment horizontal="general" vertical="bottom" textRotation="0" wrapText="false" indent="0" shrinkToFit="false"/>
      <protection locked="true" hidden="false"/>
    </xf>
    <xf numFmtId="164" fontId="4" fillId="9" borderId="6" xfId="0" applyFont="true" applyBorder="true" applyAlignment="true" applyProtection="false">
      <alignment horizontal="left" vertical="bottom" textRotation="0" wrapText="false" indent="0" shrinkToFit="false"/>
      <protection locked="true" hidden="false"/>
    </xf>
    <xf numFmtId="193" fontId="4" fillId="9" borderId="6" xfId="0" applyFont="true" applyBorder="true" applyAlignment="false" applyProtection="false">
      <alignment horizontal="general" vertical="bottom" textRotation="0" wrapText="false" indent="0" shrinkToFit="false"/>
      <protection locked="true" hidden="false"/>
    </xf>
    <xf numFmtId="193" fontId="13" fillId="0" borderId="21" xfId="0" applyFont="true" applyBorder="true" applyAlignment="false" applyProtection="false">
      <alignment horizontal="general" vertical="bottom" textRotation="0" wrapText="false" indent="0" shrinkToFit="false"/>
      <protection locked="true" hidden="false"/>
    </xf>
    <xf numFmtId="193" fontId="4" fillId="0" borderId="22" xfId="0" applyFont="true" applyBorder="true" applyAlignment="false" applyProtection="false">
      <alignment horizontal="general" vertical="bottom" textRotation="0" wrapText="false" indent="0" shrinkToFit="false"/>
      <protection locked="true" hidden="false"/>
    </xf>
    <xf numFmtId="192" fontId="70" fillId="0" borderId="3" xfId="15" applyFont="true" applyBorder="true" applyAlignment="true" applyProtection="true">
      <alignment horizontal="general" vertical="bottom" textRotation="0" wrapText="false" indent="0" shrinkToFit="false"/>
      <protection locked="true" hidden="false"/>
    </xf>
    <xf numFmtId="185" fontId="0" fillId="17" borderId="13" xfId="19" applyFont="true" applyBorder="true" applyAlignment="true" applyProtection="true">
      <alignment horizontal="general" vertical="bottom" textRotation="0" wrapText="false" indent="0" shrinkToFit="false"/>
      <protection locked="true" hidden="false"/>
    </xf>
    <xf numFmtId="169" fontId="4" fillId="9" borderId="6" xfId="17" applyFont="true" applyBorder="true" applyAlignment="true" applyProtection="true">
      <alignment horizontal="center" vertical="bottom" textRotation="0" wrapText="false" indent="0" shrinkToFit="false"/>
      <protection locked="true" hidden="false"/>
    </xf>
    <xf numFmtId="164" fontId="65" fillId="9" borderId="6" xfId="0" applyFont="true" applyBorder="true" applyAlignment="true" applyProtection="false">
      <alignment horizontal="center" vertical="bottom" textRotation="0" wrapText="false" indent="0" shrinkToFit="false"/>
      <protection locked="true" hidden="false"/>
    </xf>
    <xf numFmtId="164" fontId="8" fillId="0" borderId="9" xfId="0" applyFont="true" applyBorder="true" applyAlignment="true" applyProtection="false">
      <alignment horizontal="center" vertical="bottom" textRotation="0" wrapText="false" indent="0" shrinkToFit="false"/>
      <protection locked="true" hidden="false"/>
    </xf>
    <xf numFmtId="201" fontId="8" fillId="0" borderId="6" xfId="0" applyFont="true" applyBorder="true" applyAlignment="false" applyProtection="false">
      <alignment horizontal="general" vertical="bottom" textRotation="0" wrapText="false" indent="0" shrinkToFit="false"/>
      <protection locked="true" hidden="false"/>
    </xf>
    <xf numFmtId="201" fontId="8" fillId="0" borderId="13" xfId="0" applyFont="true" applyBorder="true" applyAlignment="false" applyProtection="false">
      <alignment horizontal="general" vertical="bottom" textRotation="0" wrapText="false" indent="0" shrinkToFit="false"/>
      <protection locked="true" hidden="false"/>
    </xf>
    <xf numFmtId="206" fontId="4" fillId="9" borderId="0" xfId="0" applyFont="true" applyBorder="false" applyAlignment="false" applyProtection="false">
      <alignment horizontal="general" vertical="bottom" textRotation="0" wrapText="false" indent="0" shrinkToFit="false"/>
      <protection locked="true" hidden="false"/>
    </xf>
    <xf numFmtId="164" fontId="65" fillId="0" borderId="1" xfId="0" applyFont="true" applyBorder="true" applyAlignment="true" applyProtection="false">
      <alignment horizontal="right" vertical="bottom" textRotation="0" wrapText="false" indent="0" shrinkToFit="false"/>
      <protection locked="true" hidden="false"/>
    </xf>
    <xf numFmtId="164" fontId="4" fillId="0" borderId="46" xfId="0" applyFont="true" applyBorder="true" applyAlignment="true" applyProtection="false">
      <alignment horizontal="left" vertical="bottom" textRotation="0" wrapText="false" indent="0" shrinkToFit="false"/>
      <protection locked="true" hidden="false"/>
    </xf>
    <xf numFmtId="164" fontId="4" fillId="0" borderId="56" xfId="0" applyFont="true" applyBorder="true" applyAlignment="false" applyProtection="false">
      <alignment horizontal="general" vertical="bottom" textRotation="0" wrapText="false" indent="0" shrinkToFit="false"/>
      <protection locked="true" hidden="false"/>
    </xf>
    <xf numFmtId="164" fontId="8" fillId="0" borderId="56" xfId="0" applyFont="true" applyBorder="true" applyAlignment="false" applyProtection="false">
      <alignment horizontal="general" vertical="bottom" textRotation="0" wrapText="false" indent="0" shrinkToFit="false"/>
      <protection locked="true" hidden="false"/>
    </xf>
    <xf numFmtId="164" fontId="4" fillId="0" borderId="57" xfId="0" applyFont="true" applyBorder="true" applyAlignment="true" applyProtection="false">
      <alignment horizontal="left" vertical="bottom" textRotation="0" wrapText="false" indent="0" shrinkToFit="false"/>
      <protection locked="true" hidden="false"/>
    </xf>
    <xf numFmtId="164" fontId="65" fillId="0" borderId="55" xfId="0" applyFont="true" applyBorder="true" applyAlignment="true" applyProtection="false">
      <alignment horizontal="right" vertical="bottom" textRotation="0" wrapText="false" indent="0" shrinkToFit="false"/>
      <protection locked="true" hidden="false"/>
    </xf>
    <xf numFmtId="164" fontId="4" fillId="0" borderId="74" xfId="0" applyFont="true" applyBorder="true" applyAlignment="true" applyProtection="false">
      <alignment horizontal="left" vertical="bottom" textRotation="0" wrapText="false" indent="0" shrinkToFit="false"/>
      <protection locked="true" hidden="false"/>
    </xf>
    <xf numFmtId="164" fontId="4" fillId="0" borderId="66" xfId="0" applyFont="true" applyBorder="true" applyAlignment="true" applyProtection="false">
      <alignment horizontal="left" vertical="bottom" textRotation="0" wrapText="false" indent="0" shrinkToFit="false"/>
      <protection locked="true" hidden="false"/>
    </xf>
    <xf numFmtId="164" fontId="12" fillId="0" borderId="16" xfId="0" applyFont="true" applyBorder="true" applyAlignment="true" applyProtection="false">
      <alignment horizontal="center" vertical="bottom" textRotation="0" wrapText="false" indent="0" shrinkToFit="false"/>
      <protection locked="true" hidden="false"/>
    </xf>
    <xf numFmtId="164" fontId="71" fillId="0" borderId="9" xfId="0" applyFont="true" applyBorder="true" applyAlignment="false" applyProtection="false">
      <alignment horizontal="general" vertical="bottom" textRotation="0" wrapText="false" indent="0" shrinkToFit="false"/>
      <protection locked="true" hidden="false"/>
    </xf>
    <xf numFmtId="179" fontId="24" fillId="0" borderId="17" xfId="0" applyFont="true" applyBorder="true" applyAlignment="true" applyProtection="false">
      <alignment horizontal="center" vertical="bottom" textRotation="0" wrapText="false" indent="0" shrinkToFit="false"/>
      <protection locked="true" hidden="false"/>
    </xf>
    <xf numFmtId="164" fontId="6" fillId="0" borderId="16" xfId="0" applyFont="true" applyBorder="true" applyAlignment="false" applyProtection="false">
      <alignment horizontal="general" vertical="bottom" textRotation="0" wrapText="false" indent="0" shrinkToFit="false"/>
      <protection locked="true" hidden="false"/>
    </xf>
    <xf numFmtId="164" fontId="72" fillId="0" borderId="9" xfId="0" applyFont="true" applyBorder="true" applyAlignment="false" applyProtection="false">
      <alignment horizontal="general" vertical="bottom" textRotation="0" wrapText="false" indent="0" shrinkToFit="false"/>
      <protection locked="true" hidden="false"/>
    </xf>
    <xf numFmtId="179" fontId="24" fillId="0" borderId="17" xfId="17" applyFont="true" applyBorder="true" applyAlignment="true" applyProtection="true">
      <alignment horizontal="general" vertical="bottom" textRotation="0" wrapText="false" indent="0" shrinkToFit="false"/>
      <protection locked="true" hidden="false"/>
    </xf>
    <xf numFmtId="193" fontId="8" fillId="9" borderId="16" xfId="0" applyFont="true" applyBorder="true" applyAlignment="true" applyProtection="false">
      <alignment horizontal="center" vertical="bottom" textRotation="0" wrapText="false" indent="0" shrinkToFit="false"/>
      <protection locked="true" hidden="false"/>
    </xf>
    <xf numFmtId="164" fontId="72" fillId="9" borderId="9" xfId="0" applyFont="true" applyBorder="true" applyAlignment="true" applyProtection="false">
      <alignment horizontal="left" vertical="bottom" textRotation="0" wrapText="false" indent="0" shrinkToFit="false"/>
      <protection locked="true" hidden="false"/>
    </xf>
    <xf numFmtId="179" fontId="4" fillId="0" borderId="17" xfId="0" applyFont="true" applyBorder="true" applyAlignment="false" applyProtection="false">
      <alignment horizontal="general" vertical="bottom" textRotation="0" wrapText="false" indent="0" shrinkToFit="false"/>
      <protection locked="true" hidden="false"/>
    </xf>
    <xf numFmtId="164" fontId="72" fillId="9" borderId="9" xfId="0" applyFont="true" applyBorder="true" applyAlignment="true" applyProtection="false">
      <alignment horizontal="center" vertical="bottom" textRotation="0" wrapText="false" indent="0" shrinkToFit="false"/>
      <protection locked="true" hidden="false"/>
    </xf>
    <xf numFmtId="193" fontId="6" fillId="9" borderId="16" xfId="0" applyFont="true" applyBorder="true" applyAlignment="true" applyProtection="false">
      <alignment horizontal="center" vertical="bottom" textRotation="0" wrapText="false" indent="0" shrinkToFit="false"/>
      <protection locked="true" hidden="false"/>
    </xf>
    <xf numFmtId="193" fontId="23" fillId="9" borderId="9" xfId="0" applyFont="true" applyBorder="true" applyAlignment="true" applyProtection="false">
      <alignment horizontal="left" vertical="bottom" textRotation="0" wrapText="false" indent="0" shrinkToFit="false"/>
      <protection locked="true" hidden="false"/>
    </xf>
    <xf numFmtId="193" fontId="8" fillId="9" borderId="9" xfId="0" applyFont="true" applyBorder="true" applyAlignment="true" applyProtection="false">
      <alignment horizontal="center" vertical="bottom" textRotation="0" wrapText="false" indent="0" shrinkToFit="false"/>
      <protection locked="true" hidden="false"/>
    </xf>
    <xf numFmtId="179" fontId="73" fillId="9" borderId="17" xfId="17" applyFont="true" applyBorder="true" applyAlignment="true" applyProtection="true">
      <alignment horizontal="center" vertical="bottom" textRotation="0" wrapText="false" indent="0" shrinkToFit="false"/>
      <protection locked="true" hidden="false"/>
    </xf>
    <xf numFmtId="193" fontId="72" fillId="9" borderId="9" xfId="0" applyFont="true" applyBorder="true" applyAlignment="true" applyProtection="false">
      <alignment horizontal="left" vertical="bottom" textRotation="0" wrapText="false" indent="0" shrinkToFit="false"/>
      <protection locked="true" hidden="false"/>
    </xf>
    <xf numFmtId="179" fontId="24" fillId="9" borderId="17" xfId="17" applyFont="true" applyBorder="true" applyAlignment="true" applyProtection="true">
      <alignment horizontal="center" vertical="bottom" textRotation="0" wrapText="false" indent="0" shrinkToFit="false"/>
      <protection locked="true" hidden="false"/>
    </xf>
    <xf numFmtId="179" fontId="24" fillId="0" borderId="17" xfId="0" applyFont="true" applyBorder="true" applyAlignment="false" applyProtection="false">
      <alignment horizontal="general" vertical="bottom" textRotation="0" wrapText="false" indent="0" shrinkToFit="false"/>
      <protection locked="true" hidden="false"/>
    </xf>
    <xf numFmtId="164" fontId="6" fillId="0" borderId="16" xfId="0" applyFont="true" applyBorder="true" applyAlignment="true" applyProtection="false">
      <alignment horizontal="center" vertical="bottom" textRotation="0" wrapText="false" indent="0" shrinkToFit="false"/>
      <protection locked="true" hidden="false"/>
    </xf>
    <xf numFmtId="164" fontId="8" fillId="9" borderId="9" xfId="0" applyFont="true" applyBorder="true" applyAlignment="true" applyProtection="false">
      <alignment horizontal="left" vertical="bottom" textRotation="0" wrapText="false" indent="0" shrinkToFit="false"/>
      <protection locked="true" hidden="false"/>
    </xf>
    <xf numFmtId="164" fontId="8" fillId="9" borderId="6" xfId="0" applyFont="true" applyBorder="true" applyAlignment="false" applyProtection="false">
      <alignment horizontal="general" vertical="bottom" textRotation="0" wrapText="false" indent="0" shrinkToFit="false"/>
      <protection locked="true" hidden="false"/>
    </xf>
    <xf numFmtId="164" fontId="4" fillId="9" borderId="13" xfId="0" applyFont="true" applyBorder="true" applyAlignment="false" applyProtection="false">
      <alignment horizontal="general" vertical="bottom" textRotation="0" wrapText="false" indent="0" shrinkToFit="false"/>
      <protection locked="true" hidden="false"/>
    </xf>
    <xf numFmtId="164" fontId="23" fillId="0" borderId="12" xfId="0" applyFont="true" applyBorder="true" applyAlignment="true" applyProtection="false">
      <alignment horizontal="center" vertical="bottom" textRotation="0" wrapText="false" indent="0" shrinkToFit="false"/>
      <protection locked="true" hidden="false"/>
    </xf>
    <xf numFmtId="164" fontId="23" fillId="0" borderId="6" xfId="0" applyFont="true" applyBorder="true" applyAlignment="true" applyProtection="false">
      <alignment horizontal="left" vertical="bottom" textRotation="0" wrapText="false" indent="0" shrinkToFit="false"/>
      <protection locked="true" hidden="false"/>
    </xf>
    <xf numFmtId="179" fontId="8" fillId="0" borderId="13" xfId="17" applyFont="true" applyBorder="true" applyAlignment="true" applyProtection="true">
      <alignment horizontal="center" vertical="bottom" textRotation="0" wrapText="false" indent="0" shrinkToFit="false"/>
      <protection locked="true" hidden="false"/>
    </xf>
    <xf numFmtId="164" fontId="8" fillId="0" borderId="12" xfId="0" applyFont="true" applyBorder="true" applyAlignment="true" applyProtection="false">
      <alignment horizontal="center" vertical="bottom" textRotation="0" wrapText="false" indent="0" shrinkToFit="false"/>
      <protection locked="true" hidden="false"/>
    </xf>
    <xf numFmtId="179" fontId="0" fillId="0" borderId="13" xfId="0" applyFont="false" applyBorder="true" applyAlignment="false" applyProtection="false">
      <alignment horizontal="general" vertical="bottom" textRotation="0" wrapText="false" indent="0" shrinkToFit="false"/>
      <protection locked="true" hidden="false"/>
    </xf>
    <xf numFmtId="193" fontId="8" fillId="9" borderId="12" xfId="0" applyFont="true" applyBorder="true" applyAlignment="true" applyProtection="false">
      <alignment horizontal="center" vertical="bottom" textRotation="0" wrapText="false" indent="0" shrinkToFit="false"/>
      <protection locked="true" hidden="false"/>
    </xf>
    <xf numFmtId="193" fontId="14" fillId="9" borderId="12" xfId="0" applyFont="true" applyBorder="true" applyAlignment="true" applyProtection="false">
      <alignment horizontal="center" vertical="bottom" textRotation="0" wrapText="false" indent="0" shrinkToFit="false"/>
      <protection locked="true" hidden="false"/>
    </xf>
    <xf numFmtId="193" fontId="8" fillId="9" borderId="6" xfId="0" applyFont="true" applyBorder="true" applyAlignment="true" applyProtection="false">
      <alignment horizontal="center" vertical="bottom" textRotation="0" wrapText="false" indent="0" shrinkToFit="false"/>
      <protection locked="true" hidden="false"/>
    </xf>
    <xf numFmtId="179" fontId="8" fillId="9" borderId="13" xfId="17" applyFont="true" applyBorder="true" applyAlignment="true" applyProtection="true">
      <alignment horizontal="center" vertical="bottom" textRotation="0" wrapText="false" indent="0" shrinkToFit="false"/>
      <protection locked="true" hidden="false"/>
    </xf>
    <xf numFmtId="164" fontId="74" fillId="9" borderId="5" xfId="0" applyFont="true" applyBorder="true" applyAlignment="true" applyProtection="false">
      <alignment horizontal="center" vertical="center" textRotation="180" wrapText="false" indent="0" shrinkToFit="false"/>
      <protection locked="true" hidden="false"/>
    </xf>
    <xf numFmtId="164" fontId="4" fillId="9" borderId="45" xfId="0" applyFont="true" applyBorder="true" applyAlignment="false" applyProtection="false">
      <alignment horizontal="general" vertical="bottom" textRotation="0" wrapText="false" indent="0" shrinkToFit="false"/>
      <protection locked="true" hidden="false"/>
    </xf>
    <xf numFmtId="207" fontId="14" fillId="6" borderId="67" xfId="0" applyFont="true" applyBorder="true" applyAlignment="true" applyProtection="false">
      <alignment horizontal="right" vertical="bottom" textRotation="0" wrapText="false" indent="0" shrinkToFit="false"/>
      <protection locked="true" hidden="false"/>
    </xf>
    <xf numFmtId="164" fontId="4" fillId="0" borderId="67" xfId="0" applyFont="true" applyBorder="true" applyAlignment="false" applyProtection="false">
      <alignment horizontal="general" vertical="bottom" textRotation="0" wrapText="false" indent="0" shrinkToFit="false"/>
      <protection locked="true" hidden="false"/>
    </xf>
    <xf numFmtId="164" fontId="4" fillId="0" borderId="75" xfId="0" applyFont="true" applyBorder="true" applyAlignment="false" applyProtection="false">
      <alignment horizontal="general" vertical="bottom" textRotation="0" wrapText="false" indent="0" shrinkToFit="false"/>
      <protection locked="true" hidden="false"/>
    </xf>
    <xf numFmtId="179" fontId="0" fillId="0" borderId="68" xfId="17" applyFont="true" applyBorder="true" applyAlignment="true" applyProtection="true">
      <alignment horizontal="center" vertical="bottom" textRotation="0" wrapText="false" indent="0" shrinkToFit="false"/>
      <protection locked="true" hidden="false"/>
    </xf>
    <xf numFmtId="208" fontId="14" fillId="6" borderId="67" xfId="0" applyFont="true" applyBorder="true" applyAlignment="true" applyProtection="false">
      <alignment horizontal="right" vertical="bottom" textRotation="0" wrapText="false" indent="0" shrinkToFit="false"/>
      <protection locked="true" hidden="false"/>
    </xf>
    <xf numFmtId="179" fontId="0" fillId="18" borderId="68" xfId="17" applyFont="true" applyBorder="true" applyAlignment="true" applyProtection="true">
      <alignment horizontal="center" vertical="bottom" textRotation="0" wrapText="false" indent="0" shrinkToFit="false"/>
      <protection locked="true" hidden="false"/>
    </xf>
    <xf numFmtId="208" fontId="14" fillId="6" borderId="31" xfId="0" applyFont="true" applyBorder="true" applyAlignment="true" applyProtection="false">
      <alignment horizontal="right" vertical="bottom" textRotation="0" wrapText="false" indent="0" shrinkToFit="false"/>
      <protection locked="true" hidden="false"/>
    </xf>
    <xf numFmtId="208" fontId="14" fillId="6" borderId="1" xfId="0" applyFont="true" applyBorder="true" applyAlignment="true" applyProtection="false">
      <alignment horizontal="right" vertical="bottom" textRotation="0" wrapText="false" indent="0" shrinkToFit="false"/>
      <protection locked="true" hidden="false"/>
    </xf>
    <xf numFmtId="208" fontId="14" fillId="6" borderId="76" xfId="0" applyFont="true" applyBorder="true" applyAlignment="true" applyProtection="false">
      <alignment horizontal="right" vertical="bottom" textRotation="0" wrapText="false" indent="0" shrinkToFit="false"/>
      <protection locked="true" hidden="false"/>
    </xf>
    <xf numFmtId="207" fontId="14" fillId="6" borderId="1" xfId="0" applyFont="true" applyBorder="true" applyAlignment="true" applyProtection="false">
      <alignment horizontal="right" vertical="bottom" textRotation="0" wrapText="false" indent="0" shrinkToFit="false"/>
      <protection locked="true" hidden="false"/>
    </xf>
    <xf numFmtId="164" fontId="0" fillId="0" borderId="56" xfId="0" applyFont="false" applyBorder="true" applyAlignment="false" applyProtection="false">
      <alignment horizontal="general" vertical="bottom" textRotation="0" wrapText="false" indent="0" shrinkToFit="false"/>
      <protection locked="true" hidden="false"/>
    </xf>
    <xf numFmtId="208" fontId="14" fillId="6" borderId="57" xfId="0" applyFont="true" applyBorder="true" applyAlignment="true" applyProtection="false">
      <alignment horizontal="right" vertical="bottom" textRotation="0" wrapText="false" indent="0" shrinkToFit="false"/>
      <protection locked="true" hidden="false"/>
    </xf>
    <xf numFmtId="179" fontId="0" fillId="0" borderId="77" xfId="17" applyFont="true" applyBorder="true" applyAlignment="true" applyProtection="true">
      <alignment horizontal="center" vertical="bottom" textRotation="0" wrapText="false" indent="0" shrinkToFit="false"/>
      <protection locked="true" hidden="false"/>
    </xf>
    <xf numFmtId="179" fontId="0" fillId="18" borderId="77" xfId="17" applyFont="true" applyBorder="true" applyAlignment="true" applyProtection="true">
      <alignment horizontal="center" vertical="bottom" textRotation="0" wrapText="false" indent="0" shrinkToFit="false"/>
      <protection locked="true" hidden="false"/>
    </xf>
    <xf numFmtId="164" fontId="4" fillId="9" borderId="78" xfId="0" applyFont="true" applyBorder="true" applyAlignment="false" applyProtection="false">
      <alignment horizontal="general" vertical="bottom" textRotation="0" wrapText="false" indent="0" shrinkToFit="false"/>
      <protection locked="true" hidden="false"/>
    </xf>
    <xf numFmtId="208" fontId="14" fillId="6" borderId="79" xfId="0" applyFont="true" applyBorder="true" applyAlignment="true" applyProtection="false">
      <alignment horizontal="right" vertical="bottom" textRotation="0" wrapText="false" indent="0" shrinkToFit="false"/>
      <protection locked="true" hidden="false"/>
    </xf>
    <xf numFmtId="164" fontId="0" fillId="0" borderId="80" xfId="0" applyFont="false" applyBorder="true" applyAlignment="false" applyProtection="false">
      <alignment horizontal="general" vertical="bottom" textRotation="0" wrapText="false" indent="0" shrinkToFit="false"/>
      <protection locked="true" hidden="false"/>
    </xf>
    <xf numFmtId="179" fontId="0" fillId="0" borderId="80" xfId="17" applyFont="true" applyBorder="tru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false">
      <alignment horizontal="left" vertical="center" textRotation="180" wrapText="false" indent="0" shrinkToFit="false"/>
      <protection locked="true" hidden="false"/>
    </xf>
    <xf numFmtId="207" fontId="14" fillId="6" borderId="81" xfId="0" applyFont="true" applyBorder="true" applyAlignment="true" applyProtection="false">
      <alignment horizontal="right" vertical="bottom" textRotation="0" wrapText="false" indent="0" shrinkToFit="false"/>
      <protection locked="true" hidden="false"/>
    </xf>
    <xf numFmtId="164" fontId="4" fillId="0" borderId="82" xfId="0" applyFont="true" applyBorder="true" applyAlignment="false" applyProtection="false">
      <alignment horizontal="general" vertical="bottom" textRotation="0" wrapText="false" indent="0" shrinkToFit="false"/>
      <protection locked="true" hidden="false"/>
    </xf>
    <xf numFmtId="164" fontId="0" fillId="0" borderId="83" xfId="0" applyFont="false" applyBorder="true" applyAlignment="false" applyProtection="false">
      <alignment horizontal="general" vertical="bottom" textRotation="0" wrapText="false" indent="0" shrinkToFit="false"/>
      <protection locked="true" hidden="false"/>
    </xf>
    <xf numFmtId="208" fontId="14" fillId="6" borderId="81" xfId="0" applyFont="true" applyBorder="true" applyAlignment="true" applyProtection="false">
      <alignment horizontal="right" vertical="bottom" textRotation="0" wrapText="false" indent="0" shrinkToFit="false"/>
      <protection locked="true" hidden="false"/>
    </xf>
    <xf numFmtId="179" fontId="0" fillId="0" borderId="84" xfId="17" applyFont="true" applyBorder="true" applyAlignment="true" applyProtection="true">
      <alignment horizontal="center" vertical="bottom" textRotation="0" wrapText="false" indent="0" shrinkToFit="false"/>
      <protection locked="true" hidden="false"/>
    </xf>
    <xf numFmtId="208" fontId="14" fillId="6" borderId="85" xfId="0" applyFont="true" applyBorder="true" applyAlignment="true" applyProtection="false">
      <alignment horizontal="right" vertical="bottom" textRotation="0" wrapText="false" indent="0" shrinkToFit="false"/>
      <protection locked="true" hidden="false"/>
    </xf>
    <xf numFmtId="208" fontId="14" fillId="0" borderId="83" xfId="0" applyFont="true" applyBorder="true" applyAlignment="false" applyProtection="false">
      <alignment horizontal="general" vertical="bottom" textRotation="0" wrapText="false" indent="0" shrinkToFit="false"/>
      <protection locked="true" hidden="false"/>
    </xf>
    <xf numFmtId="164" fontId="8" fillId="0" borderId="83" xfId="0" applyFont="true" applyBorder="true" applyAlignment="false" applyProtection="false">
      <alignment horizontal="general" vertical="bottom" textRotation="0" wrapText="false" indent="0" shrinkToFit="false"/>
      <protection locked="true" hidden="false"/>
    </xf>
    <xf numFmtId="169" fontId="8" fillId="0" borderId="83" xfId="17" applyFont="true" applyBorder="true" applyAlignment="true" applyProtection="true">
      <alignment horizontal="general" vertical="bottom" textRotation="0" wrapText="false" indent="0" shrinkToFit="false"/>
      <protection locked="true" hidden="false"/>
    </xf>
    <xf numFmtId="164" fontId="6" fillId="9" borderId="39" xfId="0" applyFont="true" applyBorder="true" applyAlignment="true" applyProtection="false">
      <alignment horizontal="general" vertical="center" textRotation="0" wrapText="false" indent="0" shrinkToFit="false"/>
      <protection locked="true" hidden="false"/>
    </xf>
    <xf numFmtId="164" fontId="4" fillId="9" borderId="39" xfId="0" applyFont="true" applyBorder="true" applyAlignment="false" applyProtection="false">
      <alignment horizontal="general" vertical="bottom" textRotation="0" wrapText="false" indent="0" shrinkToFit="false"/>
      <protection locked="true" hidden="false"/>
    </xf>
    <xf numFmtId="207" fontId="14" fillId="6" borderId="60" xfId="0" applyFont="true" applyBorder="true" applyAlignment="true" applyProtection="false">
      <alignment horizontal="right" vertical="bottom" textRotation="0" wrapText="false" indent="0" shrinkToFit="false"/>
      <protection locked="true" hidden="false"/>
    </xf>
    <xf numFmtId="164" fontId="4" fillId="0" borderId="86" xfId="0" applyFont="true" applyBorder="true" applyAlignment="false" applyProtection="false">
      <alignment horizontal="general" vertical="bottom" textRotation="0" wrapText="false" indent="0" shrinkToFit="false"/>
      <protection locked="true" hidden="false"/>
    </xf>
    <xf numFmtId="208" fontId="14" fillId="6" borderId="87" xfId="0" applyFont="true" applyBorder="true" applyAlignment="true" applyProtection="false">
      <alignment horizontal="right" vertical="bottom" textRotation="0" wrapText="false" indent="0" shrinkToFit="false"/>
      <protection locked="true" hidden="false"/>
    </xf>
    <xf numFmtId="179" fontId="0" fillId="0" borderId="61" xfId="17" applyFont="true" applyBorder="true" applyAlignment="true" applyProtection="true">
      <alignment horizontal="center" vertical="bottom" textRotation="0" wrapText="false" indent="0" shrinkToFit="false"/>
      <protection locked="true" hidden="false"/>
    </xf>
    <xf numFmtId="208" fontId="14" fillId="6" borderId="60" xfId="0" applyFont="true" applyBorder="true" applyAlignment="true" applyProtection="false">
      <alignment horizontal="right" vertical="bottom" textRotation="0" wrapText="false" indent="0" shrinkToFit="false"/>
      <protection locked="true" hidden="false"/>
    </xf>
    <xf numFmtId="179" fontId="0" fillId="18" borderId="61" xfId="17" applyFont="true" applyBorder="true" applyAlignment="true" applyProtection="true">
      <alignment horizontal="center" vertical="bottom" textRotation="0" wrapText="false" indent="0" shrinkToFit="false"/>
      <protection locked="true" hidden="false"/>
    </xf>
    <xf numFmtId="164" fontId="12" fillId="9" borderId="88" xfId="0" applyFont="true" applyBorder="true" applyAlignment="true" applyProtection="false">
      <alignment horizontal="center" vertical="center" textRotation="180" wrapText="false" indent="0" shrinkToFit="false"/>
      <protection locked="true" hidden="false"/>
    </xf>
    <xf numFmtId="164" fontId="8" fillId="9" borderId="65" xfId="0" applyFont="true" applyBorder="true" applyAlignment="false" applyProtection="false">
      <alignment horizontal="general" vertical="bottom" textRotation="0" wrapText="false" indent="0" shrinkToFit="false"/>
      <protection locked="true" hidden="false"/>
    </xf>
    <xf numFmtId="208" fontId="14" fillId="6" borderId="89" xfId="0" applyFont="true" applyBorder="true" applyAlignment="true" applyProtection="false">
      <alignment horizontal="right" vertical="bottom" textRotation="0" wrapText="false" indent="0" shrinkToFit="false"/>
      <protection locked="true" hidden="false"/>
    </xf>
    <xf numFmtId="164" fontId="8" fillId="9" borderId="45" xfId="0" applyFont="true" applyBorder="true" applyAlignment="false" applyProtection="false">
      <alignment horizontal="general" vertical="bottom" textRotation="0" wrapText="false" indent="0" shrinkToFit="false"/>
      <protection locked="true" hidden="false"/>
    </xf>
    <xf numFmtId="193" fontId="4" fillId="9" borderId="46" xfId="0" applyFont="true" applyBorder="true" applyAlignment="false" applyProtection="false">
      <alignment horizontal="general" vertical="bottom" textRotation="0" wrapText="false" indent="0" shrinkToFit="false"/>
      <protection locked="true" hidden="false"/>
    </xf>
    <xf numFmtId="193" fontId="4" fillId="9" borderId="2" xfId="0" applyFont="true" applyBorder="true" applyAlignment="false" applyProtection="false">
      <alignment horizontal="general" vertical="bottom" textRotation="0" wrapText="false" indent="0" shrinkToFit="false"/>
      <protection locked="true" hidden="false"/>
    </xf>
    <xf numFmtId="164" fontId="8" fillId="0" borderId="75" xfId="0" applyFont="tru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false" applyProtection="false">
      <alignment horizontal="general" vertical="bottom" textRotation="0" wrapText="false" indent="0" shrinkToFit="false"/>
      <protection locked="true" hidden="false"/>
    </xf>
    <xf numFmtId="164" fontId="8" fillId="9" borderId="46" xfId="0" applyFont="true" applyBorder="true" applyAlignment="false" applyProtection="false">
      <alignment horizontal="general" vertical="bottom" textRotation="0" wrapText="false" indent="0" shrinkToFit="false"/>
      <protection locked="true" hidden="false"/>
    </xf>
    <xf numFmtId="164" fontId="8" fillId="9" borderId="2" xfId="0" applyFont="true" applyBorder="true" applyAlignment="false" applyProtection="false">
      <alignment horizontal="general" vertical="bottom" textRotation="0" wrapText="false" indent="0" shrinkToFit="false"/>
      <protection locked="true" hidden="false"/>
    </xf>
    <xf numFmtId="164" fontId="8" fillId="9" borderId="75" xfId="0" applyFont="true" applyBorder="true" applyAlignment="false" applyProtection="false">
      <alignment horizontal="general" vertical="bottom" textRotation="0" wrapText="false" indent="0" shrinkToFit="false"/>
      <protection locked="true" hidden="false"/>
    </xf>
    <xf numFmtId="164" fontId="8" fillId="0" borderId="46" xfId="0" applyFont="true" applyBorder="true" applyAlignment="false" applyProtection="false">
      <alignment horizontal="general" vertical="bottom" textRotation="0" wrapText="false" indent="0" shrinkToFit="false"/>
      <protection locked="true" hidden="false"/>
    </xf>
    <xf numFmtId="207" fontId="14" fillId="6" borderId="15" xfId="0" applyFont="true" applyBorder="true" applyAlignment="true" applyProtection="false">
      <alignment horizontal="right" vertical="bottom" textRotation="0" wrapText="false" indent="0" shrinkToFit="false"/>
      <protection locked="true" hidden="false"/>
    </xf>
    <xf numFmtId="164" fontId="4" fillId="0" borderId="90" xfId="0" applyFont="true" applyBorder="true" applyAlignment="false" applyProtection="false">
      <alignment horizontal="general" vertical="bottom" textRotation="0" wrapText="false" indent="0" shrinkToFit="false"/>
      <protection locked="true" hidden="false"/>
    </xf>
    <xf numFmtId="208" fontId="14" fillId="6" borderId="45" xfId="0" applyFont="true" applyBorder="true" applyAlignment="true" applyProtection="false">
      <alignment horizontal="right" vertical="bottom" textRotation="0" wrapText="false" indent="0" shrinkToFit="false"/>
      <protection locked="true" hidden="false"/>
    </xf>
    <xf numFmtId="164" fontId="4" fillId="0" borderId="37" xfId="0" applyFont="true" applyBorder="true" applyAlignment="false" applyProtection="false">
      <alignment horizontal="general" vertical="bottom" textRotation="0" wrapText="false" indent="0" shrinkToFit="false"/>
      <protection locked="true" hidden="false"/>
    </xf>
    <xf numFmtId="208" fontId="14" fillId="6" borderId="15" xfId="0" applyFont="true" applyBorder="true" applyAlignment="true" applyProtection="false">
      <alignment horizontal="right" vertical="bottom" textRotation="0" wrapText="false" indent="0" shrinkToFit="false"/>
      <protection locked="true" hidden="false"/>
    </xf>
    <xf numFmtId="179" fontId="0" fillId="0" borderId="8" xfId="17" applyFont="true" applyBorder="true" applyAlignment="true" applyProtection="true">
      <alignment horizontal="center" vertical="bottom" textRotation="0" wrapText="false" indent="0" shrinkToFit="false"/>
      <protection locked="true" hidden="false"/>
    </xf>
    <xf numFmtId="179" fontId="0" fillId="18" borderId="80" xfId="17" applyFont="true" applyBorder="true" applyAlignment="true" applyProtection="true">
      <alignment horizontal="center" vertical="bottom" textRotation="0" wrapText="false" indent="0" shrinkToFit="false"/>
      <protection locked="true" hidden="false"/>
    </xf>
    <xf numFmtId="179" fontId="0" fillId="18" borderId="8" xfId="17" applyFont="true" applyBorder="true" applyAlignment="true" applyProtection="true">
      <alignment horizontal="center" vertical="bottom" textRotation="0" wrapText="false" indent="0" shrinkToFit="false"/>
      <protection locked="true" hidden="false"/>
    </xf>
    <xf numFmtId="164" fontId="4" fillId="9" borderId="65" xfId="0" applyFont="true" applyBorder="true" applyAlignment="false" applyProtection="false">
      <alignment horizontal="general" vertical="bottom" textRotation="0" wrapText="false" indent="0" shrinkToFit="false"/>
      <protection locked="true" hidden="false"/>
    </xf>
    <xf numFmtId="179" fontId="0" fillId="18" borderId="84" xfId="17" applyFont="true" applyBorder="true" applyAlignment="true" applyProtection="true">
      <alignment horizontal="center" vertical="bottom" textRotation="0" wrapText="false" indent="0" shrinkToFit="false"/>
      <protection locked="true" hidden="false"/>
    </xf>
    <xf numFmtId="207" fontId="14" fillId="6" borderId="2" xfId="0" applyFont="true" applyBorder="true" applyAlignment="true" applyProtection="false">
      <alignment horizontal="right" vertical="bottom" textRotation="0" wrapText="false" indent="0" shrinkToFit="false"/>
      <protection locked="true" hidden="false"/>
    </xf>
    <xf numFmtId="207" fontId="14" fillId="6" borderId="56" xfId="0" applyFont="true" applyBorder="true" applyAlignment="true" applyProtection="false">
      <alignment horizontal="right" vertical="bottom" textRotation="0" wrapText="false" indent="0" shrinkToFit="false"/>
      <protection locked="true" hidden="false"/>
    </xf>
    <xf numFmtId="207" fontId="14" fillId="6" borderId="91" xfId="0" applyFont="true" applyBorder="true" applyAlignment="true" applyProtection="false">
      <alignment horizontal="right" vertical="bottom" textRotation="0" wrapText="false" indent="0" shrinkToFit="false"/>
      <protection locked="true" hidden="false"/>
    </xf>
    <xf numFmtId="164" fontId="0" fillId="0" borderId="92" xfId="0" applyFont="false" applyBorder="true" applyAlignment="false" applyProtection="false">
      <alignment horizontal="general" vertical="bottom" textRotation="0" wrapText="false" indent="0" shrinkToFit="false"/>
      <protection locked="true" hidden="false"/>
    </xf>
    <xf numFmtId="208" fontId="14" fillId="6" borderId="91" xfId="0" applyFont="true" applyBorder="true" applyAlignment="true" applyProtection="false">
      <alignment horizontal="right" vertical="bottom" textRotation="0" wrapText="false" indent="0" shrinkToFit="false"/>
      <protection locked="true" hidden="false"/>
    </xf>
    <xf numFmtId="164" fontId="24" fillId="9" borderId="65" xfId="0" applyFont="true" applyBorder="true" applyAlignment="false" applyProtection="false">
      <alignment horizontal="general" vertical="bottom" textRotation="0" wrapText="false" indent="0" shrinkToFit="false"/>
      <protection locked="true" hidden="false"/>
    </xf>
    <xf numFmtId="207" fontId="75" fillId="6" borderId="67" xfId="0" applyFont="true" applyBorder="true" applyAlignment="true" applyProtection="false">
      <alignment horizontal="right" vertical="bottom" textRotation="0" wrapText="false" indent="0" shrinkToFit="false"/>
      <protection locked="true" hidden="false"/>
    </xf>
    <xf numFmtId="164" fontId="24" fillId="0" borderId="2" xfId="0" applyFont="true" applyBorder="true" applyAlignment="false" applyProtection="false">
      <alignment horizontal="general" vertical="bottom" textRotation="0" wrapText="false" indent="0" shrinkToFit="false"/>
      <protection locked="true" hidden="false"/>
    </xf>
    <xf numFmtId="164" fontId="24" fillId="0" borderId="75" xfId="0" applyFont="true" applyBorder="true" applyAlignment="false" applyProtection="false">
      <alignment horizontal="general" vertical="bottom" textRotation="0" wrapText="false" indent="0" shrinkToFit="false"/>
      <protection locked="true" hidden="false"/>
    </xf>
    <xf numFmtId="208" fontId="75" fillId="6" borderId="67" xfId="0" applyFont="true" applyBorder="true" applyAlignment="true" applyProtection="false">
      <alignment horizontal="right" vertical="bottom" textRotation="0" wrapText="false" indent="0" shrinkToFit="false"/>
      <protection locked="true" hidden="false"/>
    </xf>
    <xf numFmtId="179" fontId="24" fillId="0" borderId="68" xfId="17" applyFont="true" applyBorder="true" applyAlignment="true" applyProtection="true">
      <alignment horizontal="center" vertical="bottom" textRotation="0" wrapText="false" indent="0" shrinkToFit="false"/>
      <protection locked="true" hidden="false"/>
    </xf>
    <xf numFmtId="179" fontId="24" fillId="18" borderId="68" xfId="17" applyFont="true" applyBorder="true" applyAlignment="true" applyProtection="true">
      <alignment horizontal="center" vertical="bottom" textRotation="0" wrapText="false" indent="0"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207" fontId="14" fillId="0" borderId="1" xfId="21" applyFont="true" applyBorder="true" applyAlignment="true" applyProtection="false">
      <alignment horizontal="right" vertical="bottom" textRotation="0" wrapText="false" indent="0" shrinkToFit="false"/>
      <protection locked="true" hidden="false"/>
    </xf>
    <xf numFmtId="207" fontId="14" fillId="0" borderId="91" xfId="21" applyFont="true" applyBorder="true" applyAlignment="true" applyProtection="false">
      <alignment horizontal="right" vertical="bottom" textRotation="0" wrapText="false" indent="0" shrinkToFit="false"/>
      <protection locked="true" hidden="false"/>
    </xf>
    <xf numFmtId="164" fontId="4" fillId="0" borderId="92" xfId="0" applyFont="true" applyBorder="true" applyAlignment="false" applyProtection="false">
      <alignment horizontal="general" vertical="bottom" textRotation="0" wrapText="false" indent="0" shrinkToFit="false"/>
      <protection locked="true" hidden="false"/>
    </xf>
    <xf numFmtId="179" fontId="0" fillId="0" borderId="92" xfId="0" applyFont="false" applyBorder="true" applyAlignment="false" applyProtection="false">
      <alignment horizontal="general" vertical="bottom" textRotation="0" wrapText="false" indent="0" shrinkToFit="false"/>
      <protection locked="true" hidden="false"/>
    </xf>
    <xf numFmtId="164" fontId="4" fillId="0" borderId="39" xfId="0" applyFont="true" applyBorder="true" applyAlignment="false" applyProtection="false">
      <alignment horizontal="general" vertical="bottom" textRotation="0" wrapText="false" indent="0" shrinkToFit="false"/>
      <protection locked="true" hidden="false"/>
    </xf>
    <xf numFmtId="208" fontId="14" fillId="0" borderId="60" xfId="21" applyFont="true" applyBorder="true" applyAlignment="false" applyProtection="false">
      <alignment horizontal="general" vertical="bottom" textRotation="0" wrapText="false" indent="0" shrinkToFit="false"/>
      <protection locked="true" hidden="false"/>
    </xf>
    <xf numFmtId="179" fontId="0" fillId="0" borderId="93" xfId="17" applyFont="true" applyBorder="true" applyAlignment="true" applyProtection="true">
      <alignment horizontal="center" vertical="bottom" textRotation="0" wrapText="false" indent="0" shrinkToFit="false"/>
      <protection locked="true" hidden="false"/>
    </xf>
    <xf numFmtId="164" fontId="6" fillId="0" borderId="88" xfId="0" applyFont="true" applyBorder="true" applyAlignment="true" applyProtection="false">
      <alignment horizontal="center" vertical="center" textRotation="180" wrapText="false" indent="0" shrinkToFit="false"/>
      <protection locked="true" hidden="false"/>
    </xf>
    <xf numFmtId="164" fontId="24" fillId="0" borderId="65" xfId="0" applyFont="true" applyBorder="true" applyAlignment="false" applyProtection="false">
      <alignment horizontal="general" vertical="bottom" textRotation="0" wrapText="false" indent="0" shrinkToFit="false"/>
      <protection locked="true" hidden="false"/>
    </xf>
    <xf numFmtId="207" fontId="75" fillId="19" borderId="67" xfId="21" applyFont="true" applyBorder="true" applyAlignment="true" applyProtection="false">
      <alignment horizontal="right" vertical="bottom" textRotation="0" wrapText="false" indent="0" shrinkToFit="false"/>
      <protection locked="true" hidden="false"/>
    </xf>
    <xf numFmtId="164" fontId="24" fillId="19" borderId="2" xfId="0" applyFont="true" applyBorder="true" applyAlignment="false" applyProtection="false">
      <alignment horizontal="general" vertical="bottom" textRotation="0" wrapText="false" indent="0" shrinkToFit="false"/>
      <protection locked="true" hidden="false"/>
    </xf>
    <xf numFmtId="208" fontId="75" fillId="6" borderId="76" xfId="0" applyFont="true" applyBorder="true" applyAlignment="true" applyProtection="false">
      <alignment horizontal="right" vertical="bottom" textRotation="0" wrapText="false" indent="0" shrinkToFit="false"/>
      <protection locked="true" hidden="false"/>
    </xf>
    <xf numFmtId="207" fontId="14" fillId="0" borderId="67" xfId="21" applyFont="true" applyBorder="true" applyAlignment="true" applyProtection="false">
      <alignment horizontal="right" vertical="bottom"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180" wrapText="false" indent="0" shrinkToFit="false"/>
      <protection locked="true" hidden="false"/>
    </xf>
    <xf numFmtId="164" fontId="14" fillId="0" borderId="0" xfId="21" applyFont="true" applyBorder="false" applyAlignment="false" applyProtection="false">
      <alignment horizontal="general" vertical="bottom" textRotation="0" wrapText="false" indent="0" shrinkToFit="false"/>
      <protection locked="true" hidden="false"/>
    </xf>
    <xf numFmtId="181" fontId="4" fillId="0" borderId="0" xfId="15" applyFont="true" applyBorder="true" applyAlignment="true" applyProtection="true">
      <alignment horizontal="left"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8"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6" xfId="0" applyFont="true" applyBorder="true" applyAlignment="true" applyProtection="false">
      <alignment horizontal="right" vertical="bottom" textRotation="0" wrapText="false" indent="0" shrinkToFit="false"/>
      <protection locked="true" hidden="false"/>
    </xf>
    <xf numFmtId="187" fontId="6" fillId="0" borderId="6" xfId="0" applyFont="true" applyBorder="true" applyAlignment="true" applyProtection="false">
      <alignment horizontal="center" vertical="bottom" textRotation="0" wrapText="false" indent="0" shrinkToFit="false"/>
      <protection locked="true" hidden="false"/>
    </xf>
    <xf numFmtId="164" fontId="8" fillId="14" borderId="10" xfId="0" applyFont="true" applyBorder="true" applyAlignment="true" applyProtection="false">
      <alignment horizontal="left" vertical="bottom" textRotation="0" wrapText="false" indent="0" shrinkToFit="false"/>
      <protection locked="true" hidden="false"/>
    </xf>
    <xf numFmtId="164" fontId="8" fillId="0" borderId="0" xfId="0" applyFont="true" applyBorder="false" applyAlignment="true" applyProtection="false">
      <alignment horizontal="right"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4" fontId="8" fillId="0" borderId="16" xfId="0" applyFont="true" applyBorder="true" applyAlignment="false" applyProtection="false">
      <alignment horizontal="general" vertical="bottom" textRotation="0" wrapText="false" indent="0" shrinkToFit="false"/>
      <protection locked="true" hidden="false"/>
    </xf>
    <xf numFmtId="164" fontId="8" fillId="0" borderId="29" xfId="0" applyFont="true" applyBorder="true" applyAlignment="true" applyProtection="false">
      <alignment horizontal="center" vertical="bottom" textRotation="0" wrapText="false" indent="0" shrinkToFit="false"/>
      <protection locked="true" hidden="false"/>
    </xf>
    <xf numFmtId="164" fontId="8" fillId="0" borderId="30" xfId="0" applyFont="true" applyBorder="true" applyAlignment="true" applyProtection="false">
      <alignment horizontal="center" vertical="bottom" textRotation="0" wrapText="false" indent="0" shrinkToFit="false"/>
      <protection locked="true" hidden="false"/>
    </xf>
    <xf numFmtId="164" fontId="8" fillId="14" borderId="11" xfId="0" applyFont="true" applyBorder="true" applyAlignment="true" applyProtection="false">
      <alignment horizontal="left" vertical="bottom" textRotation="0" wrapText="false" indent="0" shrinkToFit="false"/>
      <protection locked="true" hidden="false"/>
    </xf>
    <xf numFmtId="164" fontId="8" fillId="14" borderId="28" xfId="0" applyFont="true" applyBorder="true" applyAlignment="true" applyProtection="true">
      <alignment horizontal="left" vertical="bottom" textRotation="0" wrapText="false" indent="0" shrinkToFit="false"/>
      <protection locked="false" hidden="false"/>
    </xf>
    <xf numFmtId="168" fontId="8" fillId="14" borderId="44" xfId="0" applyFont="true" applyBorder="true" applyAlignment="true" applyProtection="true">
      <alignment horizontal="center" vertical="bottom" textRotation="0" wrapText="false" indent="0" shrinkToFit="false"/>
      <protection locked="false" hidden="false"/>
    </xf>
    <xf numFmtId="168" fontId="8" fillId="14" borderId="30" xfId="0" applyFont="true" applyBorder="true" applyAlignment="true" applyProtection="false">
      <alignment horizontal="center" vertical="bottom" textRotation="0" wrapText="false" indent="0" shrinkToFit="false"/>
      <protection locked="true" hidden="false"/>
    </xf>
    <xf numFmtId="164" fontId="8" fillId="0" borderId="8" xfId="0" applyFont="true" applyBorder="true" applyAlignment="false" applyProtection="false">
      <alignment horizontal="general" vertical="bottom" textRotation="0" wrapText="false" indent="0" shrinkToFit="false"/>
      <protection locked="true" hidden="false"/>
    </xf>
    <xf numFmtId="164" fontId="8" fillId="14" borderId="33" xfId="0" applyFont="true" applyBorder="true" applyAlignment="true" applyProtection="false">
      <alignment horizontal="left" vertical="bottom" textRotation="0" wrapText="false" indent="0" shrinkToFit="false"/>
      <protection locked="true" hidden="false"/>
    </xf>
    <xf numFmtId="164" fontId="8" fillId="14" borderId="94" xfId="0" applyFont="true" applyBorder="true" applyAlignment="true" applyProtection="true">
      <alignment horizontal="left" vertical="bottom" textRotation="0" wrapText="false" indent="0" shrinkToFit="false"/>
      <protection locked="false" hidden="false"/>
    </xf>
    <xf numFmtId="168" fontId="8" fillId="14" borderId="47" xfId="0" applyFont="true" applyBorder="true" applyAlignment="true" applyProtection="true">
      <alignment horizontal="center" vertical="bottom" textRotation="0" wrapText="false" indent="0" shrinkToFit="false"/>
      <protection locked="false" hidden="false"/>
    </xf>
    <xf numFmtId="168" fontId="8" fillId="14" borderId="77" xfId="0" applyFont="true" applyBorder="true" applyAlignment="true" applyProtection="false">
      <alignment horizontal="center" vertical="bottom" textRotation="0" wrapText="false" indent="0" shrinkToFit="false"/>
      <protection locked="true" hidden="false"/>
    </xf>
    <xf numFmtId="164" fontId="8" fillId="0" borderId="2" xfId="0" applyFont="true" applyBorder="true" applyAlignment="true" applyProtection="false">
      <alignment horizontal="center" vertical="bottom" textRotation="0" wrapText="false" indent="0" shrinkToFit="false"/>
      <protection locked="true" hidden="false"/>
    </xf>
    <xf numFmtId="164" fontId="8" fillId="0" borderId="68" xfId="0" applyFont="true" applyBorder="true" applyAlignment="true" applyProtection="false">
      <alignment horizontal="center" vertical="bottom" textRotation="0" wrapText="false" indent="0" shrinkToFit="false"/>
      <protection locked="true" hidden="false"/>
    </xf>
    <xf numFmtId="164" fontId="8" fillId="3" borderId="55" xfId="0" applyFont="true" applyBorder="true" applyAlignment="false" applyProtection="true">
      <alignment horizontal="general" vertical="bottom" textRotation="0" wrapText="false" indent="0" shrinkToFit="false"/>
      <protection locked="false" hidden="false"/>
    </xf>
    <xf numFmtId="168" fontId="8" fillId="3" borderId="55" xfId="0" applyFont="true" applyBorder="true" applyAlignment="true" applyProtection="true">
      <alignment horizontal="center" vertical="bottom" textRotation="0" wrapText="false" indent="0" shrinkToFit="false"/>
      <protection locked="false" hidden="false"/>
    </xf>
    <xf numFmtId="164" fontId="8" fillId="14" borderId="95" xfId="0" applyFont="true" applyBorder="true" applyAlignment="true" applyProtection="true">
      <alignment horizontal="left" vertical="bottom" textRotation="0" wrapText="false" indent="0" shrinkToFit="false"/>
      <protection locked="false" hidden="false"/>
    </xf>
    <xf numFmtId="168" fontId="8" fillId="14" borderId="53" xfId="0" applyFont="true" applyBorder="true" applyAlignment="true" applyProtection="true">
      <alignment horizontal="center" vertical="bottom" textRotation="0" wrapText="false" indent="0" shrinkToFit="false"/>
      <protection locked="false" hidden="false"/>
    </xf>
    <xf numFmtId="168" fontId="8" fillId="14" borderId="96" xfId="0" applyFont="true" applyBorder="true" applyAlignment="true" applyProtection="false">
      <alignment horizontal="center" vertical="bottom" textRotation="0" wrapText="false" indent="0" shrinkToFit="false"/>
      <protection locked="true" hidden="false"/>
    </xf>
    <xf numFmtId="164" fontId="8" fillId="0" borderId="6" xfId="0" applyFont="true" applyBorder="true" applyAlignment="true" applyProtection="false">
      <alignment horizontal="center" vertical="bottom" textRotation="0" wrapText="false" indent="0" shrinkToFit="false"/>
      <protection locked="true" hidden="false"/>
    </xf>
    <xf numFmtId="164" fontId="8" fillId="0" borderId="13" xfId="0" applyFont="true" applyBorder="true" applyAlignment="true" applyProtection="false">
      <alignment horizontal="center" vertical="bottom" textRotation="0" wrapText="false" indent="0" shrinkToFit="false"/>
      <protection locked="true" hidden="false"/>
    </xf>
    <xf numFmtId="164" fontId="8" fillId="3" borderId="1" xfId="0" applyFont="true" applyBorder="true" applyAlignment="false" applyProtection="true">
      <alignment horizontal="general" vertical="bottom" textRotation="0" wrapText="false" indent="0" shrinkToFit="false"/>
      <protection locked="false" hidden="false"/>
    </xf>
    <xf numFmtId="168" fontId="8" fillId="3" borderId="67" xfId="0" applyFont="true" applyBorder="true" applyAlignment="true" applyProtection="true">
      <alignment horizontal="center" vertical="bottom" textRotation="0" wrapText="false" indent="0" shrinkToFit="false"/>
      <protection locked="false" hidden="false"/>
    </xf>
    <xf numFmtId="164" fontId="8" fillId="9" borderId="37"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bottom" textRotation="0" wrapText="false" indent="0" shrinkToFit="false"/>
      <protection locked="true" hidden="false"/>
    </xf>
    <xf numFmtId="164" fontId="6" fillId="3" borderId="3" xfId="0" applyFont="true" applyBorder="true" applyAlignment="true" applyProtection="false">
      <alignment horizontal="center" vertical="bottom" textRotation="0" wrapText="false" indent="0" shrinkToFit="false"/>
      <protection locked="true" hidden="false"/>
    </xf>
    <xf numFmtId="164" fontId="77" fillId="3" borderId="42" xfId="0" applyFont="true" applyBorder="true" applyAlignment="true" applyProtection="false">
      <alignment horizontal="center" vertical="bottom" textRotation="0" wrapText="true" indent="0" shrinkToFit="false"/>
      <protection locked="true" hidden="false"/>
    </xf>
    <xf numFmtId="164" fontId="6" fillId="3" borderId="42" xfId="0" applyFont="true" applyBorder="true" applyAlignment="true" applyProtection="false">
      <alignment horizontal="center" vertical="bottom" textRotation="0" wrapText="false" indent="0" shrinkToFit="false"/>
      <protection locked="true" hidden="false"/>
    </xf>
    <xf numFmtId="164" fontId="6" fillId="3" borderId="36" xfId="0" applyFont="true" applyBorder="true" applyAlignment="true" applyProtection="false">
      <alignment horizontal="center" vertical="bottom" textRotation="0" wrapText="false" indent="0" shrinkToFit="false"/>
      <protection locked="true" hidden="false"/>
    </xf>
    <xf numFmtId="164" fontId="6" fillId="0" borderId="17" xfId="0" applyFont="true" applyBorder="true" applyAlignment="true" applyProtection="false">
      <alignment horizontal="center" vertical="bottom" textRotation="0" wrapText="false" indent="0" shrinkToFit="false"/>
      <protection locked="true" hidden="false"/>
    </xf>
    <xf numFmtId="164" fontId="8" fillId="0" borderId="3" xfId="0" applyFont="true" applyBorder="true" applyAlignment="true" applyProtection="false">
      <alignment horizontal="center" vertical="bottom" textRotation="0" wrapText="false" indent="0" shrinkToFit="false"/>
      <protection locked="true" hidden="false"/>
    </xf>
    <xf numFmtId="164" fontId="4" fillId="0" borderId="10" xfId="0" applyFont="true" applyBorder="true" applyAlignment="true" applyProtection="false">
      <alignment horizontal="center"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4" fontId="0" fillId="0" borderId="46" xfId="0" applyFont="true" applyBorder="true" applyAlignment="false" applyProtection="false">
      <alignment horizontal="general" vertical="bottom" textRotation="0" wrapText="false" indent="0" shrinkToFit="false"/>
      <protection locked="true" hidden="false"/>
    </xf>
    <xf numFmtId="164" fontId="0" fillId="0" borderId="57" xfId="0" applyFont="true" applyBorder="tru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64" fontId="6" fillId="0" borderId="97" xfId="0" applyFont="true" applyBorder="true" applyAlignment="true" applyProtection="false">
      <alignment horizontal="center" vertical="center" textRotation="0" wrapText="false" indent="0" shrinkToFit="false"/>
      <protection locked="true" hidden="false"/>
    </xf>
    <xf numFmtId="164" fontId="8" fillId="0" borderId="98" xfId="0" applyFont="true" applyBorder="true" applyAlignment="true" applyProtection="false">
      <alignment horizontal="center" vertical="bottom" textRotation="0" wrapText="true" indent="0" shrinkToFit="false"/>
      <protection locked="true" hidden="false"/>
    </xf>
    <xf numFmtId="164" fontId="8" fillId="0" borderId="99" xfId="0" applyFont="true" applyBorder="true" applyAlignment="true" applyProtection="false">
      <alignment horizontal="center" vertical="bottom" textRotation="0" wrapText="true" indent="0" shrinkToFit="false"/>
      <protection locked="true" hidden="false"/>
    </xf>
    <xf numFmtId="164" fontId="8" fillId="0" borderId="100" xfId="0" applyFont="true" applyBorder="true" applyAlignment="true" applyProtection="false">
      <alignment horizontal="center" vertical="bottom" textRotation="0" wrapText="true" indent="0" shrinkToFit="false"/>
      <protection locked="true" hidden="false"/>
    </xf>
    <xf numFmtId="164" fontId="8" fillId="0" borderId="97" xfId="0" applyFont="true" applyBorder="true" applyAlignment="true" applyProtection="false">
      <alignment horizontal="center" vertical="bottom" textRotation="0" wrapText="true" indent="0" shrinkToFit="false"/>
      <protection locked="true" hidden="false"/>
    </xf>
    <xf numFmtId="164" fontId="8" fillId="0" borderId="101" xfId="0" applyFont="true" applyBorder="true" applyAlignment="true" applyProtection="false">
      <alignment horizontal="center" vertical="bottom" textRotation="0" wrapText="true" indent="0" shrinkToFit="false"/>
      <protection locked="true" hidden="false"/>
    </xf>
    <xf numFmtId="164" fontId="8" fillId="0" borderId="5" xfId="0" applyFont="true" applyBorder="true" applyAlignment="true" applyProtection="false">
      <alignment horizontal="center" vertical="bottom" textRotation="0" wrapText="false" indent="0" shrinkToFit="false"/>
      <protection locked="true" hidden="false"/>
    </xf>
    <xf numFmtId="164" fontId="8" fillId="0" borderId="102" xfId="0" applyFont="true" applyBorder="true" applyAlignment="true" applyProtection="false">
      <alignment horizontal="center" vertical="bottom" textRotation="0" wrapText="true" indent="0" shrinkToFit="false"/>
      <protection locked="true" hidden="false"/>
    </xf>
    <xf numFmtId="164" fontId="8" fillId="6" borderId="5" xfId="0" applyFont="true" applyBorder="true" applyAlignment="true" applyProtection="false">
      <alignment horizontal="center" vertical="bottom" textRotation="0" wrapText="true" indent="0" shrinkToFit="false"/>
      <protection locked="true" hidden="false"/>
    </xf>
    <xf numFmtId="164" fontId="8" fillId="6" borderId="98" xfId="0" applyFont="true" applyBorder="true" applyAlignment="true" applyProtection="false">
      <alignment horizontal="center" vertical="bottom" textRotation="0" wrapText="true" indent="0" shrinkToFit="false"/>
      <protection locked="true" hidden="false"/>
    </xf>
    <xf numFmtId="164" fontId="8" fillId="6" borderId="102" xfId="0" applyFont="true" applyBorder="true" applyAlignment="true" applyProtection="false">
      <alignment horizontal="general" vertical="bottom" textRotation="0" wrapText="true" indent="0" shrinkToFit="false"/>
      <protection locked="true" hidden="false"/>
    </xf>
    <xf numFmtId="201" fontId="8" fillId="0" borderId="97" xfId="15" applyFont="true" applyBorder="true" applyAlignment="true" applyProtection="true">
      <alignment horizontal="center" vertical="bottom" textRotation="0" wrapText="true" indent="0" shrinkToFit="false"/>
      <protection locked="true" hidden="false"/>
    </xf>
    <xf numFmtId="164" fontId="4" fillId="0" borderId="12" xfId="0" applyFont="true" applyBorder="true" applyAlignment="false" applyProtection="false">
      <alignment horizontal="general" vertical="bottom" textRotation="0" wrapText="false" indent="0" shrinkToFit="false"/>
      <protection locked="true" hidden="false"/>
    </xf>
    <xf numFmtId="164" fontId="0" fillId="0" borderId="75" xfId="0" applyFont="false" applyBorder="true" applyAlignment="false" applyProtection="false">
      <alignment horizontal="general" vertical="bottom" textRotation="0" wrapText="false" indent="0" shrinkToFit="false"/>
      <protection locked="true" hidden="false"/>
    </xf>
    <xf numFmtId="164" fontId="0" fillId="0" borderId="89" xfId="0" applyFont="true" applyBorder="true" applyAlignment="false" applyProtection="false">
      <alignment horizontal="general" vertical="bottom" textRotation="0" wrapText="false" indent="0" shrinkToFit="false"/>
      <protection locked="true" hidden="false"/>
    </xf>
    <xf numFmtId="164" fontId="4" fillId="0" borderId="46" xfId="0" applyFont="true" applyBorder="true" applyAlignment="true" applyProtection="false">
      <alignment horizontal="center" vertical="bottom" textRotation="0" wrapText="true" indent="0" shrinkToFit="false"/>
      <protection locked="true" hidden="false"/>
    </xf>
    <xf numFmtId="164" fontId="4" fillId="0" borderId="56" xfId="0" applyFont="true" applyBorder="true" applyAlignment="true" applyProtection="false">
      <alignment horizontal="center" vertical="bottom" textRotation="0" wrapText="true" indent="0" shrinkToFit="false"/>
      <protection locked="true" hidden="false"/>
    </xf>
    <xf numFmtId="164" fontId="4" fillId="0" borderId="57" xfId="0" applyFont="true" applyBorder="true" applyAlignment="true" applyProtection="false">
      <alignment horizontal="center"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55"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8" fillId="0" borderId="37" xfId="0" applyFont="true" applyBorder="true" applyAlignment="true" applyProtection="false">
      <alignment horizontal="left" vertical="bottom" textRotation="0" wrapText="false" indent="0" shrinkToFit="false"/>
      <protection locked="true" hidden="false"/>
    </xf>
    <xf numFmtId="164" fontId="8" fillId="0" borderId="45" xfId="0" applyFont="true" applyBorder="true" applyAlignment="true" applyProtection="true">
      <alignment horizontal="center" vertical="bottom" textRotation="0" wrapText="false" indent="0" shrinkToFit="false"/>
      <protection locked="false" hidden="false"/>
    </xf>
    <xf numFmtId="193" fontId="78" fillId="3" borderId="67" xfId="22" applyFont="true" applyBorder="true" applyAlignment="true" applyProtection="false">
      <alignment horizontal="center" vertical="bottom" textRotation="0" wrapText="false" indent="0" shrinkToFit="false"/>
      <protection locked="true" hidden="false"/>
    </xf>
    <xf numFmtId="164" fontId="78" fillId="0" borderId="0" xfId="22" applyFont="true" applyBorder="false" applyAlignment="false" applyProtection="true">
      <alignment horizontal="general" vertical="bottom" textRotation="0" wrapText="false" indent="0" shrinkToFit="false"/>
      <protection locked="false" hidden="false"/>
    </xf>
    <xf numFmtId="164" fontId="8" fillId="0" borderId="8" xfId="0" applyFont="true" applyBorder="true" applyAlignment="false" applyProtection="true">
      <alignment horizontal="general" vertical="bottom" textRotation="0" wrapText="false" indent="0" shrinkToFit="false"/>
      <protection locked="false" hidden="false"/>
    </xf>
    <xf numFmtId="196" fontId="8" fillId="6" borderId="11" xfId="0" applyFont="true" applyBorder="true" applyAlignment="false" applyProtection="false">
      <alignment horizontal="general" vertical="bottom" textRotation="0" wrapText="false" indent="0" shrinkToFit="false"/>
      <protection locked="true" hidden="false"/>
    </xf>
    <xf numFmtId="164" fontId="8" fillId="0" borderId="45" xfId="0" applyFont="true" applyBorder="true" applyAlignment="false" applyProtection="true">
      <alignment horizontal="general" vertical="bottom" textRotation="0" wrapText="false" indent="0" shrinkToFit="false"/>
      <protection locked="false" hidden="false"/>
    </xf>
    <xf numFmtId="164" fontId="8" fillId="0" borderId="37" xfId="0" applyFont="true" applyBorder="true" applyAlignment="false" applyProtection="true">
      <alignment horizontal="general" vertical="bottom" textRotation="0" wrapText="false" indent="0" shrinkToFit="false"/>
      <protection locked="false" hidden="false"/>
    </xf>
    <xf numFmtId="196" fontId="8" fillId="6" borderId="0" xfId="15" applyFont="true" applyBorder="true" applyAlignment="true" applyProtection="true">
      <alignment horizontal="general" vertical="bottom" textRotation="0" wrapText="false" indent="0" shrinkToFit="false"/>
      <protection locked="true" hidden="false"/>
    </xf>
    <xf numFmtId="179" fontId="8" fillId="6" borderId="0" xfId="17" applyFont="true" applyBorder="true" applyAlignment="true" applyProtection="true">
      <alignment horizontal="general" vertical="bottom" textRotation="0" wrapText="false" indent="0" shrinkToFit="false"/>
      <protection locked="true" hidden="false"/>
    </xf>
    <xf numFmtId="169" fontId="8" fillId="0" borderId="7" xfId="17" applyFont="true" applyBorder="true" applyAlignment="true" applyProtection="true">
      <alignment horizontal="general" vertical="bottom" textRotation="0" wrapText="false" indent="0" shrinkToFit="false"/>
      <protection locked="true" hidden="false"/>
    </xf>
    <xf numFmtId="169" fontId="8" fillId="0" borderId="0" xfId="0" applyFont="true" applyBorder="false" applyAlignment="false" applyProtection="false">
      <alignment horizontal="general" vertical="bottom" textRotation="0" wrapText="false" indent="0" shrinkToFit="false"/>
      <protection locked="true" hidden="false"/>
    </xf>
    <xf numFmtId="169" fontId="8" fillId="0" borderId="8" xfId="17" applyFont="true" applyBorder="true" applyAlignment="true" applyProtection="true">
      <alignment horizontal="general" vertical="bottom" textRotation="0" wrapText="false" indent="0" shrinkToFit="false"/>
      <protection locked="true" hidden="false"/>
    </xf>
    <xf numFmtId="193" fontId="0" fillId="0" borderId="7" xfId="0" applyFont="false" applyBorder="true" applyAlignment="false" applyProtection="false">
      <alignment horizontal="general" vertical="bottom" textRotation="0" wrapText="false" indent="0" shrinkToFit="false"/>
      <protection locked="true" hidden="false"/>
    </xf>
    <xf numFmtId="196" fontId="0" fillId="0" borderId="0" xfId="0" applyFont="false" applyBorder="false" applyAlignment="false" applyProtection="false">
      <alignment horizontal="general" vertical="bottom" textRotation="0" wrapText="false" indent="0" shrinkToFit="false"/>
      <protection locked="true" hidden="false"/>
    </xf>
    <xf numFmtId="193" fontId="0" fillId="0" borderId="8" xfId="0" applyFont="false" applyBorder="tru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79" fontId="0" fillId="0" borderId="7" xfId="17" applyFont="true" applyBorder="true" applyAlignment="true" applyProtection="true">
      <alignment horizontal="general" vertical="bottom" textRotation="0" wrapText="false" indent="0" shrinkToFit="false"/>
      <protection locked="true" hidden="false"/>
    </xf>
    <xf numFmtId="179" fontId="0" fillId="0" borderId="74" xfId="17" applyFont="true" applyBorder="true" applyAlignment="true" applyProtection="true">
      <alignment horizontal="general" vertical="bottom" textRotation="0" wrapText="false" indent="0" shrinkToFit="false"/>
      <protection locked="true" hidden="false"/>
    </xf>
    <xf numFmtId="179" fontId="0" fillId="0" borderId="41" xfId="17" applyFont="true" applyBorder="true" applyAlignment="true" applyProtection="true">
      <alignment horizontal="general" vertical="bottom" textRotation="0" wrapText="false" indent="0" shrinkToFit="false"/>
      <protection locked="true" hidden="false"/>
    </xf>
    <xf numFmtId="179" fontId="0" fillId="0" borderId="66" xfId="17" applyFont="true" applyBorder="true" applyAlignment="true" applyProtection="true">
      <alignment horizontal="general" vertical="bottom" textRotation="0" wrapText="false" indent="0" shrinkToFit="false"/>
      <protection locked="true" hidden="false"/>
    </xf>
    <xf numFmtId="179" fontId="0" fillId="0" borderId="37" xfId="17" applyFont="true" applyBorder="true" applyAlignment="true" applyProtection="true">
      <alignment horizontal="general" vertical="bottom" textRotation="0" wrapText="false" indent="0" shrinkToFit="false"/>
      <protection locked="true" hidden="false"/>
    </xf>
    <xf numFmtId="179" fontId="0" fillId="0" borderId="45" xfId="17" applyFont="true" applyBorder="true" applyAlignment="true" applyProtection="true">
      <alignment horizontal="general" vertical="bottom" textRotation="0" wrapText="false" indent="0" shrinkToFit="false"/>
      <protection locked="true" hidden="false"/>
    </xf>
    <xf numFmtId="169" fontId="0" fillId="0" borderId="45" xfId="17" applyFont="true" applyBorder="true" applyAlignment="true" applyProtection="true">
      <alignment horizontal="general" vertical="bottom" textRotation="0" wrapText="false" indent="0" shrinkToFit="false"/>
      <protection locked="true" hidden="false"/>
    </xf>
    <xf numFmtId="179" fontId="0" fillId="0" borderId="15" xfId="17" applyFont="true" applyBorder="true" applyAlignment="true" applyProtection="true">
      <alignment horizontal="general" vertical="bottom" textRotation="0" wrapText="false" indent="0" shrinkToFit="false"/>
      <protection locked="true" hidden="false"/>
    </xf>
    <xf numFmtId="179" fontId="0" fillId="0" borderId="8" xfId="17" applyFont="true" applyBorder="true" applyAlignment="true" applyProtection="true">
      <alignment horizontal="general" vertical="bottom" textRotation="0" wrapText="false" indent="0" shrinkToFit="false"/>
      <protection locked="true" hidden="false"/>
    </xf>
    <xf numFmtId="164" fontId="8" fillId="0" borderId="7" xfId="0" applyFont="true" applyBorder="true" applyAlignment="false" applyProtection="true">
      <alignment horizontal="general" vertical="bottom" textRotation="0" wrapText="false" indent="0" shrinkToFit="false"/>
      <protection locked="false" hidden="false"/>
    </xf>
    <xf numFmtId="179" fontId="8" fillId="6" borderId="13" xfId="17" applyFont="true" applyBorder="true" applyAlignment="true" applyProtection="true">
      <alignment horizontal="general" vertical="bottom" textRotation="0" wrapText="false" indent="0" shrinkToFit="false"/>
      <protection locked="true" hidden="false"/>
    </xf>
    <xf numFmtId="169" fontId="8" fillId="0" borderId="0" xfId="17" applyFont="true" applyBorder="true" applyAlignment="true" applyProtection="true">
      <alignment horizontal="general" vertical="bottom" textRotation="0" wrapText="false" indent="0" shrinkToFit="false"/>
      <protection locked="true" hidden="false"/>
    </xf>
    <xf numFmtId="193" fontId="0" fillId="0" borderId="12" xfId="0" applyFont="false" applyBorder="true" applyAlignment="false" applyProtection="false">
      <alignment horizontal="general" vertical="bottom" textRotation="0" wrapText="false" indent="0" shrinkToFit="false"/>
      <protection locked="true" hidden="false"/>
    </xf>
    <xf numFmtId="196" fontId="0" fillId="0" borderId="6" xfId="0" applyFont="false" applyBorder="true" applyAlignment="false" applyProtection="false">
      <alignment horizontal="general" vertical="bottom" textRotation="0" wrapText="false" indent="0" shrinkToFit="false"/>
      <protection locked="true" hidden="false"/>
    </xf>
    <xf numFmtId="193" fontId="0" fillId="0" borderId="13" xfId="0" applyFont="false" applyBorder="true" applyAlignment="false" applyProtection="false">
      <alignment horizontal="general" vertical="bottom" textRotation="0" wrapText="false" indent="0" shrinkToFit="false"/>
      <protection locked="true" hidden="false"/>
    </xf>
    <xf numFmtId="179" fontId="0" fillId="0" borderId="69" xfId="17" applyFont="true" applyBorder="true" applyAlignment="true" applyProtection="true">
      <alignment horizontal="general" vertical="bottom" textRotation="0" wrapText="false" indent="0" shrinkToFit="false"/>
      <protection locked="true" hidden="false"/>
    </xf>
    <xf numFmtId="179" fontId="0" fillId="0" borderId="75" xfId="17" applyFont="true" applyBorder="true" applyAlignment="true" applyProtection="true">
      <alignment horizontal="general" vertical="bottom" textRotation="0" wrapText="false" indent="0" shrinkToFit="false"/>
      <protection locked="true" hidden="false"/>
    </xf>
    <xf numFmtId="179" fontId="0" fillId="0" borderId="2" xfId="17" applyFont="true" applyBorder="true" applyAlignment="true" applyProtection="true">
      <alignment horizontal="general" vertical="bottom" textRotation="0" wrapText="false" indent="0" shrinkToFit="false"/>
      <protection locked="true" hidden="false"/>
    </xf>
    <xf numFmtId="179" fontId="0" fillId="0" borderId="89" xfId="17" applyFont="true" applyBorder="true" applyAlignment="true" applyProtection="true">
      <alignment horizontal="general" vertical="bottom" textRotation="0" wrapText="false" indent="0" shrinkToFit="false"/>
      <protection locked="true" hidden="false"/>
    </xf>
    <xf numFmtId="164" fontId="6" fillId="0" borderId="21" xfId="0" applyFont="true" applyBorder="true" applyAlignment="false" applyProtection="false">
      <alignment horizontal="general" vertical="bottom" textRotation="0" wrapText="false" indent="0" shrinkToFit="false"/>
      <protection locked="true" hidden="false"/>
    </xf>
    <xf numFmtId="164" fontId="8" fillId="9" borderId="22" xfId="0" applyFont="true" applyBorder="true" applyAlignment="false" applyProtection="false">
      <alignment horizontal="general" vertical="bottom" textRotation="0" wrapText="false" indent="0" shrinkToFit="false"/>
      <protection locked="true" hidden="false"/>
    </xf>
    <xf numFmtId="193" fontId="8" fillId="0" borderId="22" xfId="0" applyFont="true" applyBorder="true" applyAlignment="false" applyProtection="false">
      <alignment horizontal="general" vertical="bottom" textRotation="0" wrapText="false" indent="0" shrinkToFit="false"/>
      <protection locked="true" hidden="false"/>
    </xf>
    <xf numFmtId="164" fontId="8" fillId="0" borderId="22" xfId="0" applyFont="true" applyBorder="true" applyAlignment="true" applyProtection="false">
      <alignment horizontal="left" vertical="bottom" textRotation="0" wrapText="false" indent="0" shrinkToFit="false"/>
      <protection locked="true" hidden="false"/>
    </xf>
    <xf numFmtId="164" fontId="8" fillId="9" borderId="22" xfId="0" applyFont="true" applyBorder="true" applyAlignment="true" applyProtection="false">
      <alignment horizontal="left" vertical="bottom" textRotation="0" wrapText="false" indent="0" shrinkToFit="false"/>
      <protection locked="true" hidden="false"/>
    </xf>
    <xf numFmtId="164" fontId="8" fillId="9" borderId="23" xfId="0" applyFont="true" applyBorder="true" applyAlignment="false" applyProtection="false">
      <alignment horizontal="general" vertical="bottom" textRotation="0" wrapText="false" indent="0" shrinkToFit="false"/>
      <protection locked="true" hidden="false"/>
    </xf>
    <xf numFmtId="164" fontId="8" fillId="0" borderId="3" xfId="0" applyFont="true" applyBorder="true" applyAlignment="false" applyProtection="false">
      <alignment horizontal="general" vertical="bottom" textRotation="0" wrapText="false" indent="0" shrinkToFit="false"/>
      <protection locked="true" hidden="false"/>
    </xf>
    <xf numFmtId="164" fontId="8" fillId="9" borderId="103" xfId="0" applyFont="true" applyBorder="true" applyAlignment="false" applyProtection="false">
      <alignment horizontal="general" vertical="bottom" textRotation="0" wrapText="false" indent="0" shrinkToFit="false"/>
      <protection locked="true" hidden="false"/>
    </xf>
    <xf numFmtId="164" fontId="8" fillId="9" borderId="104" xfId="0" applyFont="true" applyBorder="true" applyAlignment="false" applyProtection="false">
      <alignment horizontal="general" vertical="bottom" textRotation="0" wrapText="false" indent="0" shrinkToFit="false"/>
      <protection locked="true" hidden="false"/>
    </xf>
    <xf numFmtId="171" fontId="8" fillId="0" borderId="22" xfId="0" applyFont="true" applyBorder="true" applyAlignment="false" applyProtection="false">
      <alignment horizontal="general" vertical="bottom" textRotation="0" wrapText="false" indent="0" shrinkToFit="false"/>
      <protection locked="true" hidden="false"/>
    </xf>
    <xf numFmtId="209" fontId="8" fillId="0" borderId="22" xfId="0" applyFont="true" applyBorder="true" applyAlignment="false" applyProtection="false">
      <alignment horizontal="general" vertical="bottom" textRotation="0" wrapText="false" indent="0" shrinkToFit="false"/>
      <protection locked="true" hidden="false"/>
    </xf>
    <xf numFmtId="201" fontId="8" fillId="0" borderId="23" xfId="0" applyFont="true" applyBorder="true" applyAlignment="false" applyProtection="false">
      <alignment horizontal="general" vertical="bottom" textRotation="0" wrapText="false" indent="0" shrinkToFit="false"/>
      <protection locked="true" hidden="false"/>
    </xf>
    <xf numFmtId="201" fontId="8" fillId="0" borderId="21" xfId="15" applyFont="true" applyBorder="true" applyAlignment="true" applyProtection="true">
      <alignment horizontal="general" vertical="bottom" textRotation="0" wrapText="false" indent="0" shrinkToFit="false"/>
      <protection locked="true" hidden="false"/>
    </xf>
    <xf numFmtId="169" fontId="8" fillId="0" borderId="22" xfId="0" applyFont="true" applyBorder="true" applyAlignment="false" applyProtection="false">
      <alignment horizontal="general" vertical="bottom" textRotation="0" wrapText="false" indent="0" shrinkToFit="false"/>
      <protection locked="true" hidden="false"/>
    </xf>
    <xf numFmtId="183" fontId="8" fillId="3" borderId="3" xfId="19" applyFont="true" applyBorder="true" applyAlignment="true" applyProtection="true">
      <alignment horizontal="center" vertical="bottom" textRotation="0" wrapText="false" indent="0" shrinkToFit="false"/>
      <protection locked="true" hidden="false"/>
    </xf>
    <xf numFmtId="179" fontId="0" fillId="0" borderId="12" xfId="17" applyFont="true" applyBorder="true" applyAlignment="true" applyProtection="true">
      <alignment horizontal="general" vertical="bottom" textRotation="0" wrapText="false" indent="0" shrinkToFit="false"/>
      <protection locked="true" hidden="false"/>
    </xf>
    <xf numFmtId="179" fontId="0" fillId="0" borderId="6" xfId="17" applyFont="true" applyBorder="true" applyAlignment="true" applyProtection="true">
      <alignment horizontal="general" vertical="bottom" textRotation="0" wrapText="false" indent="0" shrinkToFit="false"/>
      <protection locked="true" hidden="false"/>
    </xf>
    <xf numFmtId="179" fontId="0" fillId="0" borderId="67" xfId="17" applyFont="true" applyBorder="true" applyAlignment="true" applyProtection="true">
      <alignment horizontal="general" vertical="bottom" textRotation="0" wrapText="false" indent="0" shrinkToFit="false"/>
      <protection locked="true" hidden="false"/>
    </xf>
    <xf numFmtId="179" fontId="0" fillId="0" borderId="13" xfId="17" applyFont="true" applyBorder="true" applyAlignment="true" applyProtection="true">
      <alignment horizontal="general" vertical="bottom" textRotation="0" wrapText="false" indent="0" shrinkToFit="false"/>
      <protection locked="true" hidden="false"/>
    </xf>
    <xf numFmtId="164" fontId="8" fillId="14" borderId="16" xfId="0" applyFont="true" applyBorder="true" applyAlignment="false" applyProtection="true">
      <alignment horizontal="general" vertical="bottom" textRotation="0" wrapText="false" indent="0" shrinkToFit="false"/>
      <protection locked="false" hidden="false"/>
    </xf>
    <xf numFmtId="164" fontId="8" fillId="14" borderId="9" xfId="0" applyFont="true" applyBorder="true" applyAlignment="false" applyProtection="true">
      <alignment horizontal="general" vertical="bottom" textRotation="0" wrapText="false" indent="0" shrinkToFit="false"/>
      <protection locked="false" hidden="false"/>
    </xf>
    <xf numFmtId="164" fontId="69" fillId="14" borderId="9" xfId="0" applyFont="true" applyBorder="true" applyAlignment="true" applyProtection="true">
      <alignment horizontal="right" vertical="bottom" textRotation="0" wrapText="false" indent="0" shrinkToFit="false"/>
      <protection locked="false" hidden="false"/>
    </xf>
    <xf numFmtId="179" fontId="8" fillId="4" borderId="3" xfId="17" applyFont="true" applyBorder="true" applyAlignment="true" applyProtection="true">
      <alignment horizontal="center" vertical="bottom" textRotation="0" wrapText="false" indent="0" shrinkToFit="false"/>
      <protection locked="false" hidden="false"/>
    </xf>
    <xf numFmtId="179" fontId="8" fillId="14" borderId="22" xfId="0" applyFont="true" applyBorder="true" applyAlignment="true" applyProtection="true">
      <alignment horizontal="center" vertical="bottom" textRotation="0" wrapText="false" indent="0" shrinkToFit="false"/>
      <protection locked="false" hidden="false"/>
    </xf>
    <xf numFmtId="164" fontId="8" fillId="14" borderId="9" xfId="0" applyFont="true" applyBorder="true" applyAlignment="true" applyProtection="true">
      <alignment horizontal="center" vertical="bottom" textRotation="0" wrapText="false" indent="0" shrinkToFit="false"/>
      <protection locked="false" hidden="false"/>
    </xf>
    <xf numFmtId="164" fontId="8" fillId="14" borderId="9" xfId="0" applyFont="true" applyBorder="true" applyAlignment="false" applyProtection="false">
      <alignment horizontal="general" vertical="bottom" textRotation="0" wrapText="false" indent="0" shrinkToFit="false"/>
      <protection locked="true" hidden="false"/>
    </xf>
    <xf numFmtId="204" fontId="8" fillId="14" borderId="9" xfId="0" applyFont="true" applyBorder="true" applyAlignment="false" applyProtection="false">
      <alignment horizontal="general" vertical="bottom" textRotation="0" wrapText="false" indent="0" shrinkToFit="false"/>
      <protection locked="true" hidden="false"/>
    </xf>
    <xf numFmtId="179" fontId="8" fillId="14" borderId="17" xfId="17" applyFont="true" applyBorder="true" applyAlignment="true" applyProtection="true">
      <alignment horizontal="center" vertical="bottom" textRotation="0" wrapText="false" indent="0" shrinkToFit="false"/>
      <protection locked="true" hidden="false"/>
    </xf>
    <xf numFmtId="164" fontId="6" fillId="9" borderId="10" xfId="0" applyFont="true" applyBorder="true" applyAlignment="true" applyProtection="true">
      <alignment horizontal="center" vertical="bottom" textRotation="0" wrapText="false" indent="0" shrinkToFit="false"/>
      <protection locked="false" hidden="false"/>
    </xf>
    <xf numFmtId="164" fontId="6" fillId="9" borderId="10" xfId="0" applyFont="true" applyBorder="true" applyAlignment="true" applyProtection="false">
      <alignment horizontal="center" vertical="bottom" textRotation="0" wrapText="true" indent="0" shrinkToFit="false"/>
      <protection locked="true" hidden="false"/>
    </xf>
    <xf numFmtId="164" fontId="8" fillId="0" borderId="10" xfId="0" applyFont="true" applyBorder="true" applyAlignment="true" applyProtection="false">
      <alignment horizontal="left" vertical="bottom" textRotation="0" wrapText="false" indent="0" shrinkToFit="false"/>
      <protection locked="true" hidden="false"/>
    </xf>
    <xf numFmtId="164" fontId="8" fillId="14" borderId="0" xfId="0" applyFont="true" applyBorder="false" applyAlignment="false" applyProtection="false">
      <alignment horizontal="general" vertical="bottom" textRotation="0" wrapText="false" indent="0" shrinkToFit="false"/>
      <protection locked="true" hidden="false"/>
    </xf>
    <xf numFmtId="193" fontId="8" fillId="3" borderId="1" xfId="0" applyFont="true" applyBorder="true" applyAlignment="true" applyProtection="true">
      <alignment horizontal="center" vertical="bottom" textRotation="0" wrapText="false" indent="0" shrinkToFit="false"/>
      <protection locked="false" hidden="false"/>
    </xf>
    <xf numFmtId="184" fontId="8" fillId="3" borderId="1" xfId="19" applyFont="true" applyBorder="true" applyAlignment="true" applyProtection="true">
      <alignment horizontal="general" vertical="bottom" textRotation="0" wrapText="false" indent="0" shrinkToFit="false"/>
      <protection locked="true" hidden="false"/>
    </xf>
    <xf numFmtId="164" fontId="8" fillId="14" borderId="8" xfId="0" applyFont="true" applyBorder="true" applyAlignment="false" applyProtection="false">
      <alignment horizontal="general" vertical="bottom" textRotation="0" wrapText="false" indent="0" shrinkToFit="false"/>
      <protection locked="true" hidden="false"/>
    </xf>
    <xf numFmtId="164" fontId="6" fillId="9" borderId="12" xfId="0" applyFont="true" applyBorder="true" applyAlignment="false" applyProtection="true">
      <alignment horizontal="general" vertical="bottom" textRotation="0" wrapText="false" indent="0" shrinkToFit="false"/>
      <protection locked="false" hidden="false"/>
    </xf>
    <xf numFmtId="169" fontId="8" fillId="0" borderId="13" xfId="17" applyFont="true" applyBorder="true" applyAlignment="true" applyProtection="true">
      <alignment horizontal="center" vertical="bottom" textRotation="0" wrapText="false" indent="0" shrinkToFit="false"/>
      <protection locked="false" hidden="false"/>
    </xf>
    <xf numFmtId="179" fontId="8" fillId="9" borderId="33" xfId="17" applyFont="true" applyBorder="true" applyAlignment="true" applyProtection="true">
      <alignment horizontal="center" vertical="bottom" textRotation="0" wrapText="false" indent="0" shrinkToFit="false"/>
      <protection locked="false" hidden="false"/>
    </xf>
    <xf numFmtId="185" fontId="6" fillId="9" borderId="12" xfId="19" applyFont="true" applyBorder="true" applyAlignment="true" applyProtection="true">
      <alignment horizontal="center" vertical="bottom" textRotation="0" wrapText="false" indent="0" shrinkToFit="false"/>
      <protection locked="true" hidden="false"/>
    </xf>
    <xf numFmtId="183" fontId="8" fillId="3" borderId="33" xfId="19" applyFont="true" applyBorder="true" applyAlignment="true" applyProtection="true">
      <alignment horizontal="center" vertical="bottom" textRotation="0" wrapText="false" indent="0" shrinkToFit="false"/>
      <protection locked="false" hidden="false"/>
    </xf>
    <xf numFmtId="164" fontId="6" fillId="0" borderId="7" xfId="0" applyFont="true" applyBorder="true" applyAlignment="false" applyProtection="false">
      <alignment horizontal="general" vertical="bottom" textRotation="0" wrapText="false" indent="0" shrinkToFit="false"/>
      <protection locked="true" hidden="false"/>
    </xf>
    <xf numFmtId="179" fontId="6" fillId="0" borderId="0" xfId="0" applyFont="true" applyBorder="true" applyAlignment="true" applyProtection="false">
      <alignment horizontal="center" vertical="bottom" textRotation="0" wrapText="false" indent="0" shrinkToFit="false"/>
      <protection locked="true" hidden="false"/>
    </xf>
    <xf numFmtId="164" fontId="8" fillId="14" borderId="12" xfId="0" applyFont="true" applyBorder="true" applyAlignment="false" applyProtection="false">
      <alignment horizontal="general" vertical="bottom" textRotation="0" wrapText="false" indent="0" shrinkToFit="false"/>
      <protection locked="true" hidden="false"/>
    </xf>
    <xf numFmtId="164" fontId="8" fillId="14" borderId="6" xfId="0" applyFont="true" applyBorder="true" applyAlignment="false" applyProtection="false">
      <alignment horizontal="general" vertical="bottom" textRotation="0" wrapText="false" indent="0" shrinkToFit="false"/>
      <protection locked="true" hidden="false"/>
    </xf>
    <xf numFmtId="164" fontId="69" fillId="14" borderId="6" xfId="0" applyFont="true" applyBorder="true" applyAlignment="true" applyProtection="false">
      <alignment horizontal="right" vertical="bottom" textRotation="0" wrapText="false" indent="0" shrinkToFit="false"/>
      <protection locked="true" hidden="false"/>
    </xf>
    <xf numFmtId="179" fontId="8" fillId="14" borderId="3" xfId="17" applyFont="true" applyBorder="true" applyAlignment="true" applyProtection="true">
      <alignment horizontal="center" vertical="bottom" textRotation="0" wrapText="false" indent="0" shrinkToFit="false"/>
      <protection locked="true" hidden="false"/>
    </xf>
    <xf numFmtId="164" fontId="8" fillId="15" borderId="22" xfId="0" applyFont="true" applyBorder="true" applyAlignment="false" applyProtection="false">
      <alignment horizontal="general" vertical="bottom" textRotation="0" wrapText="false" indent="0" shrinkToFit="false"/>
      <protection locked="true" hidden="false"/>
    </xf>
    <xf numFmtId="164" fontId="8" fillId="15" borderId="23" xfId="0" applyFont="true" applyBorder="true" applyAlignment="false" applyProtection="false">
      <alignment horizontal="general" vertical="bottom" textRotation="0" wrapText="false" indent="0" shrinkToFit="false"/>
      <protection locked="true" hidden="false"/>
    </xf>
    <xf numFmtId="164" fontId="8" fillId="15" borderId="3" xfId="0" applyFont="true" applyBorder="true" applyAlignment="true" applyProtection="false">
      <alignment horizontal="center" vertical="bottom" textRotation="0" wrapText="false" indent="0" shrinkToFit="false"/>
      <protection locked="true" hidden="false"/>
    </xf>
    <xf numFmtId="164" fontId="8" fillId="14" borderId="21" xfId="0" applyFont="true" applyBorder="true" applyAlignment="false" applyProtection="false">
      <alignment horizontal="general" vertical="bottom" textRotation="0" wrapText="false" indent="0" shrinkToFit="false"/>
      <protection locked="true" hidden="false"/>
    </xf>
    <xf numFmtId="201" fontId="8" fillId="14" borderId="22" xfId="0" applyFont="true" applyBorder="true" applyAlignment="true" applyProtection="false">
      <alignment horizontal="center" vertical="bottom" textRotation="0" wrapText="false" indent="0" shrinkToFit="false"/>
      <protection locked="true" hidden="false"/>
    </xf>
    <xf numFmtId="179" fontId="8" fillId="14" borderId="6" xfId="17" applyFont="true" applyBorder="true" applyAlignment="true" applyProtection="true">
      <alignment horizontal="center" vertical="bottom" textRotation="0" wrapText="false" indent="0" shrinkToFit="false"/>
      <protection locked="false" hidden="false"/>
    </xf>
    <xf numFmtId="164" fontId="6" fillId="14" borderId="6" xfId="0" applyFont="true" applyBorder="true" applyAlignment="false" applyProtection="false">
      <alignment horizontal="general" vertical="bottom" textRotation="0" wrapText="false" indent="0" shrinkToFit="false"/>
      <protection locked="true" hidden="false"/>
    </xf>
    <xf numFmtId="179" fontId="79" fillId="14" borderId="6" xfId="0" applyFont="true" applyBorder="true" applyAlignment="true" applyProtection="false">
      <alignment horizontal="center" vertical="bottom" textRotation="0" wrapText="false" indent="0" shrinkToFit="false"/>
      <protection locked="true" hidden="false"/>
    </xf>
    <xf numFmtId="164" fontId="8" fillId="14" borderId="13" xfId="0" applyFont="true" applyBorder="true" applyAlignment="false" applyProtection="false">
      <alignment horizontal="general" vertical="bottom" textRotation="0" wrapText="false" indent="0" shrinkToFit="false"/>
      <protection locked="true" hidden="false"/>
    </xf>
    <xf numFmtId="193" fontId="8" fillId="3" borderId="0" xfId="0" applyFont="true" applyBorder="false" applyAlignment="true" applyProtection="false">
      <alignment horizontal="left" vertical="bottom" textRotation="0" wrapText="false" indent="0" shrinkToFit="false"/>
      <protection locked="true" hidden="false"/>
    </xf>
    <xf numFmtId="169" fontId="8" fillId="3" borderId="9" xfId="17" applyFont="true" applyBorder="true" applyAlignment="true" applyProtection="true">
      <alignment horizontal="center" vertical="bottom" textRotation="0" wrapText="false" indent="0" shrinkToFit="false"/>
      <protection locked="true" hidden="false"/>
    </xf>
    <xf numFmtId="179" fontId="8" fillId="3" borderId="9" xfId="17" applyFont="true" applyBorder="true" applyAlignment="true" applyProtection="true">
      <alignment horizontal="center" vertical="bottom" textRotation="0" wrapText="false" indent="0" shrinkToFit="false"/>
      <protection locked="true" hidden="false"/>
    </xf>
    <xf numFmtId="164" fontId="8" fillId="3" borderId="0" xfId="0" applyFont="true" applyBorder="false" applyAlignment="true" applyProtection="false">
      <alignment horizontal="center" vertical="bottom" textRotation="0" wrapText="false" indent="0" shrinkToFit="false"/>
      <protection locked="true" hidden="false"/>
    </xf>
    <xf numFmtId="196" fontId="8" fillId="3" borderId="9" xfId="0" applyFont="true" applyBorder="true" applyAlignment="true" applyProtection="false">
      <alignment horizontal="center" vertical="bottom" textRotation="0" wrapText="false" indent="0" shrinkToFit="false"/>
      <protection locked="true" hidden="false"/>
    </xf>
    <xf numFmtId="171" fontId="8" fillId="20" borderId="3" xfId="0" applyFont="true" applyBorder="true" applyAlignment="true" applyProtection="false">
      <alignment horizontal="center" vertical="bottom" textRotation="0" wrapText="false" indent="0" shrinkToFit="false"/>
      <protection locked="true" hidden="false"/>
    </xf>
    <xf numFmtId="209" fontId="8" fillId="20" borderId="3" xfId="0" applyFont="true" applyBorder="true" applyAlignment="true" applyProtection="false">
      <alignment horizontal="center" vertical="bottom" textRotation="0" wrapText="false" indent="0" shrinkToFit="false"/>
      <protection locked="true" hidden="false"/>
    </xf>
    <xf numFmtId="209" fontId="8" fillId="9" borderId="0" xfId="0" applyFont="true" applyBorder="false" applyAlignment="false" applyProtection="false">
      <alignment horizontal="general" vertical="bottom" textRotation="0" wrapText="false" indent="0" shrinkToFit="false"/>
      <protection locked="true" hidden="false"/>
    </xf>
    <xf numFmtId="179" fontId="76" fillId="9"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9" fontId="8" fillId="3" borderId="0" xfId="17" applyFont="true" applyBorder="true" applyAlignment="true" applyProtection="true">
      <alignment horizontal="center" vertical="bottom" textRotation="0" wrapText="false" indent="0" shrinkToFit="false"/>
      <protection locked="true" hidden="false"/>
    </xf>
    <xf numFmtId="164" fontId="8" fillId="3" borderId="0" xfId="15" applyFont="true" applyBorder="true" applyAlignment="true" applyProtection="true">
      <alignment horizontal="center" vertical="bottom" textRotation="0" wrapText="false" indent="0" shrinkToFit="false"/>
      <protection locked="true" hidden="false"/>
    </xf>
    <xf numFmtId="169" fontId="8" fillId="3" borderId="0" xfId="15" applyFont="true" applyBorder="true" applyAlignment="true" applyProtection="true">
      <alignment horizontal="center" vertical="bottom" textRotation="0" wrapText="false" indent="0" shrinkToFit="false"/>
      <protection locked="true" hidden="false"/>
    </xf>
    <xf numFmtId="196" fontId="8" fillId="3" borderId="0" xfId="15" applyFont="true" applyBorder="true" applyAlignment="true" applyProtection="true">
      <alignment horizontal="center" vertical="bottom" textRotation="0" wrapText="false" indent="0" shrinkToFit="false"/>
      <protection locked="true" hidden="false"/>
    </xf>
    <xf numFmtId="179" fontId="8" fillId="3" borderId="0" xfId="17" applyFont="true" applyBorder="true" applyAlignment="true" applyProtection="true">
      <alignment horizontal="center" vertical="bottom" textRotation="0" wrapText="false" indent="0" shrinkToFit="false"/>
      <protection locked="true" hidden="false"/>
    </xf>
    <xf numFmtId="171" fontId="8" fillId="20" borderId="10" xfId="0" applyFont="true" applyBorder="true" applyAlignment="true" applyProtection="false">
      <alignment horizontal="center" vertical="bottom" textRotation="0" wrapText="false" indent="0" shrinkToFit="false"/>
      <protection locked="true" hidden="false"/>
    </xf>
    <xf numFmtId="201" fontId="8" fillId="20" borderId="10" xfId="15" applyFont="true" applyBorder="true" applyAlignment="true" applyProtection="true">
      <alignment horizontal="general" vertical="bottom" textRotation="0" wrapText="false" indent="0" shrinkToFit="false"/>
      <protection locked="true" hidden="false"/>
    </xf>
    <xf numFmtId="179" fontId="8" fillId="20" borderId="11" xfId="17" applyFont="true" applyBorder="true" applyAlignment="true" applyProtection="true">
      <alignment horizontal="general" vertical="bottom" textRotation="0" wrapText="false" indent="0" shrinkToFit="false"/>
      <protection locked="true" hidden="false"/>
    </xf>
    <xf numFmtId="179" fontId="8" fillId="9" borderId="0" xfId="17" applyFont="true" applyBorder="true" applyAlignment="true" applyProtection="true">
      <alignment horizontal="general" vertical="bottom" textRotation="0" wrapText="false" indent="0" shrinkToFit="false"/>
      <protection locked="true" hidden="false"/>
    </xf>
    <xf numFmtId="164" fontId="8" fillId="9" borderId="0" xfId="0" applyFont="true" applyBorder="false" applyAlignment="true" applyProtection="false">
      <alignment horizontal="right" vertical="bottom" textRotation="0" wrapText="false" indent="0" shrinkToFit="false"/>
      <protection locked="true" hidden="false"/>
    </xf>
    <xf numFmtId="184" fontId="8" fillId="9" borderId="0" xfId="19" applyFont="true" applyBorder="true" applyAlignment="true" applyProtection="tru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193" fontId="8" fillId="3" borderId="0" xfId="15" applyFont="true" applyBorder="true" applyAlignment="true" applyProtection="true">
      <alignment horizontal="center" vertical="bottom" textRotation="0" wrapText="false" indent="0" shrinkToFit="false"/>
      <protection locked="true" hidden="false"/>
    </xf>
    <xf numFmtId="171" fontId="8" fillId="20" borderId="33" xfId="0" applyFont="true" applyBorder="true" applyAlignment="true" applyProtection="false">
      <alignment horizontal="center" vertical="bottom" textRotation="0" wrapText="false" indent="0" shrinkToFit="false"/>
      <protection locked="true" hidden="false"/>
    </xf>
    <xf numFmtId="201" fontId="8" fillId="20" borderId="33" xfId="15" applyFont="true" applyBorder="true" applyAlignment="true" applyProtection="true">
      <alignment horizontal="general" vertical="bottom" textRotation="0" wrapText="false" indent="0" shrinkToFit="false"/>
      <protection locked="true" hidden="false"/>
    </xf>
    <xf numFmtId="179" fontId="8" fillId="20" borderId="33" xfId="17" applyFont="true" applyBorder="true" applyAlignment="true" applyProtection="true">
      <alignment horizontal="general" vertical="bottom" textRotation="0" wrapText="false" indent="0" shrinkToFit="false"/>
      <protection locked="true" hidden="false"/>
    </xf>
    <xf numFmtId="164" fontId="80" fillId="2" borderId="0" xfId="23" applyFont="true" applyBorder="true" applyAlignment="true" applyProtection="true">
      <alignment horizontal="general" vertical="bottom" textRotation="0" wrapText="false" indent="0" shrinkToFit="false"/>
      <protection locked="true" hidden="false"/>
    </xf>
    <xf numFmtId="179" fontId="8" fillId="3" borderId="0" xfId="15" applyFont="true" applyBorder="true" applyAlignment="true" applyProtection="true">
      <alignment horizontal="center" vertical="bottom" textRotation="0" wrapText="false" indent="0" shrinkToFit="false"/>
      <protection locked="true" hidden="false"/>
    </xf>
    <xf numFmtId="193" fontId="6" fillId="3" borderId="0" xfId="15" applyFont="true" applyBorder="true" applyAlignment="true" applyProtection="true">
      <alignment horizontal="center" vertical="bottom" textRotation="0" wrapText="false" indent="0" shrinkToFit="false"/>
      <protection locked="true" hidden="false"/>
    </xf>
    <xf numFmtId="179" fontId="8" fillId="9" borderId="6" xfId="17" applyFont="true" applyBorder="true" applyAlignment="true" applyProtection="true">
      <alignment horizontal="general" vertical="bottom" textRotation="0" wrapText="false" indent="0" shrinkToFit="false"/>
      <protection locked="true" hidden="false"/>
    </xf>
    <xf numFmtId="179" fontId="8" fillId="9" borderId="6" xfId="17" applyFont="true" applyBorder="true" applyAlignment="true" applyProtection="true">
      <alignment horizontal="right" vertical="bottom" textRotation="0" wrapText="false" indent="0" shrinkToFit="false"/>
      <protection locked="true" hidden="false"/>
    </xf>
    <xf numFmtId="183" fontId="8" fillId="9" borderId="0" xfId="19" applyFont="true" applyBorder="true" applyAlignment="true" applyProtection="true">
      <alignment horizontal="general" vertical="bottom" textRotation="0" wrapText="false" indent="0" shrinkToFit="false"/>
      <protection locked="true" hidden="false"/>
    </xf>
    <xf numFmtId="164" fontId="8" fillId="6" borderId="100" xfId="0" applyFont="true" applyBorder="true" applyAlignment="true" applyProtection="false">
      <alignment horizontal="center" vertical="bottom" textRotation="0" wrapText="false" indent="0" shrinkToFit="false"/>
      <protection locked="true" hidden="false"/>
    </xf>
    <xf numFmtId="164" fontId="6" fillId="6" borderId="4" xfId="0" applyFont="true" applyBorder="true" applyAlignment="true" applyProtection="false">
      <alignment horizontal="center" vertical="bottom" textRotation="0" wrapText="false" indent="0" shrinkToFit="false"/>
      <protection locked="true" hidden="false"/>
    </xf>
    <xf numFmtId="164" fontId="6" fillId="6" borderId="5" xfId="0" applyFont="true" applyBorder="true" applyAlignment="true" applyProtection="false">
      <alignment horizontal="center" vertical="bottom" textRotation="0" wrapText="false" indent="0" shrinkToFit="false"/>
      <protection locked="true" hidden="false"/>
    </xf>
    <xf numFmtId="164" fontId="6" fillId="6" borderId="5" xfId="0" applyFont="true" applyBorder="true" applyAlignment="true" applyProtection="false">
      <alignment horizontal="center" vertical="bottom" textRotation="0" wrapText="true" indent="0" shrinkToFit="false"/>
      <protection locked="true" hidden="false"/>
    </xf>
    <xf numFmtId="164" fontId="6" fillId="6" borderId="102" xfId="0" applyFont="true" applyBorder="true" applyAlignment="true" applyProtection="false">
      <alignment horizontal="center" vertical="bottom" textRotation="0" wrapText="false" indent="0" shrinkToFit="false"/>
      <protection locked="true" hidden="false"/>
    </xf>
    <xf numFmtId="164" fontId="8" fillId="0" borderId="4" xfId="0" applyFont="true" applyBorder="true" applyAlignment="true" applyProtection="false">
      <alignment horizontal="center" vertical="bottom" textRotation="0" wrapText="true" indent="0" shrinkToFit="false"/>
      <protection locked="true" hidden="false"/>
    </xf>
    <xf numFmtId="164" fontId="8" fillId="0" borderId="5" xfId="0" applyFont="true" applyBorder="true" applyAlignment="false" applyProtection="false">
      <alignment horizontal="general" vertical="bottom"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102" xfId="0" applyFont="true" applyBorder="true" applyAlignment="true" applyProtection="false">
      <alignment horizontal="center" vertical="bottom" textRotation="0" wrapText="false" indent="0" shrinkToFit="false"/>
      <protection locked="true" hidden="false"/>
    </xf>
    <xf numFmtId="164" fontId="4" fillId="21" borderId="0" xfId="0" applyFont="true" applyBorder="false" applyAlignment="false" applyProtection="false">
      <alignment horizontal="general" vertical="bottom" textRotation="0" wrapText="false" indent="0" shrinkToFit="false"/>
      <protection locked="true" hidden="false"/>
    </xf>
    <xf numFmtId="164" fontId="8" fillId="0" borderId="70" xfId="0" applyFont="true" applyBorder="true" applyAlignment="true" applyProtection="false">
      <alignment horizontal="center" vertical="bottom" textRotation="0" wrapText="false" indent="0" shrinkToFit="false"/>
      <protection locked="true" hidden="false"/>
    </xf>
    <xf numFmtId="164" fontId="8" fillId="0" borderId="105" xfId="0" applyFont="true" applyBorder="true" applyAlignment="false" applyProtection="false">
      <alignment horizontal="general" vertical="bottom" textRotation="0" wrapText="false" indent="0" shrinkToFit="false"/>
      <protection locked="true" hidden="false"/>
    </xf>
    <xf numFmtId="169" fontId="81" fillId="15" borderId="67" xfId="17" applyFont="true" applyBorder="true" applyAlignment="true" applyProtection="true">
      <alignment horizontal="center" vertical="bottom" textRotation="0" wrapText="false" indent="0" shrinkToFit="false"/>
      <protection locked="false" hidden="false"/>
    </xf>
    <xf numFmtId="183" fontId="8" fillId="0" borderId="78" xfId="19" applyFont="true" applyBorder="true" applyAlignment="true" applyProtection="true">
      <alignment horizontal="center" vertical="center" textRotation="0" wrapText="true" indent="0" shrinkToFit="false"/>
      <protection locked="false" hidden="false"/>
    </xf>
    <xf numFmtId="183" fontId="8" fillId="3" borderId="60" xfId="19" applyFont="true" applyBorder="true" applyAlignment="true" applyProtection="true">
      <alignment horizontal="center" vertical="center" textRotation="0" wrapText="false" indent="0" shrinkToFit="false"/>
      <protection locked="false" hidden="false"/>
    </xf>
    <xf numFmtId="201" fontId="8" fillId="0" borderId="37" xfId="15" applyFont="true" applyBorder="true" applyAlignment="true" applyProtection="true">
      <alignment horizontal="general" vertical="bottom" textRotation="0" wrapText="false" indent="0" shrinkToFit="false"/>
      <protection locked="true" hidden="false"/>
    </xf>
    <xf numFmtId="201" fontId="8" fillId="0" borderId="0" xfId="15" applyFont="true" applyBorder="true" applyAlignment="true" applyProtection="true">
      <alignment horizontal="general" vertical="bottom" textRotation="0" wrapText="false" indent="0" shrinkToFit="false"/>
      <protection locked="true" hidden="false"/>
    </xf>
    <xf numFmtId="164" fontId="8" fillId="0" borderId="40" xfId="0" applyFont="true" applyBorder="true" applyAlignment="true" applyProtection="false">
      <alignment horizontal="left" vertical="bottom" textRotation="0" wrapText="false" indent="0" shrinkToFit="false"/>
      <protection locked="true" hidden="false"/>
    </xf>
    <xf numFmtId="179" fontId="8" fillId="9" borderId="8" xfId="0" applyFont="true" applyBorder="true" applyAlignment="true" applyProtection="false">
      <alignment horizontal="center" vertical="bottom" textRotation="0" wrapText="false" indent="0" shrinkToFit="false"/>
      <protection locked="true" hidden="false"/>
    </xf>
    <xf numFmtId="164" fontId="8" fillId="0" borderId="105" xfId="0" applyFont="true" applyBorder="true" applyAlignment="true" applyProtection="false">
      <alignment horizontal="left" vertical="bottom" textRotation="0" wrapText="false" indent="0" shrinkToFit="false"/>
      <protection locked="true" hidden="false"/>
    </xf>
    <xf numFmtId="193" fontId="8" fillId="0" borderId="0" xfId="0" applyFont="true" applyBorder="false" applyAlignment="false" applyProtection="false">
      <alignment horizontal="general" vertical="bottom" textRotation="0" wrapText="false" indent="0" shrinkToFit="false"/>
      <protection locked="true" hidden="false"/>
    </xf>
    <xf numFmtId="179" fontId="8" fillId="9" borderId="8" xfId="17" applyFont="true" applyBorder="true" applyAlignment="true" applyProtection="true">
      <alignment horizontal="center" vertical="bottom" textRotation="0" wrapText="false" indent="0" shrinkToFit="false"/>
      <protection locked="true" hidden="false"/>
    </xf>
    <xf numFmtId="164" fontId="4" fillId="21" borderId="0" xfId="0" applyFont="true" applyBorder="false" applyAlignment="true" applyProtection="false">
      <alignment horizontal="center" vertical="bottom" textRotation="0" wrapText="false" indent="0" shrinkToFit="false"/>
      <protection locked="true" hidden="false"/>
    </xf>
    <xf numFmtId="164" fontId="8" fillId="0" borderId="47" xfId="0" applyFont="true" applyBorder="true" applyAlignment="true" applyProtection="false">
      <alignment horizontal="center" vertical="bottom" textRotation="0" wrapText="false" indent="0" shrinkToFit="false"/>
      <protection locked="true" hidden="false"/>
    </xf>
    <xf numFmtId="164" fontId="8" fillId="0" borderId="7" xfId="0" applyFont="true" applyBorder="true" applyAlignment="true" applyProtection="false">
      <alignment horizontal="left" vertical="bottom" textRotation="0" wrapText="false" indent="0" shrinkToFit="false"/>
      <protection locked="true" hidden="false"/>
    </xf>
    <xf numFmtId="201" fontId="8" fillId="0" borderId="0" xfId="15" applyFont="true" applyBorder="true" applyAlignment="true" applyProtection="true">
      <alignment horizontal="center" vertical="bottom" textRotation="0" wrapText="false" indent="0" shrinkToFit="false"/>
      <protection locked="true" hidden="false"/>
    </xf>
    <xf numFmtId="164" fontId="8" fillId="0" borderId="106" xfId="0" applyFont="true" applyBorder="true" applyAlignment="true" applyProtection="false">
      <alignment horizontal="center" vertical="bottom" textRotation="0" wrapText="false" indent="0" shrinkToFit="false"/>
      <protection locked="true" hidden="false"/>
    </xf>
    <xf numFmtId="164" fontId="8" fillId="0" borderId="59" xfId="0" applyFont="true" applyBorder="true" applyAlignment="false" applyProtection="false">
      <alignment horizontal="general" vertical="bottom" textRotation="0" wrapText="false" indent="0" shrinkToFit="false"/>
      <protection locked="true" hidden="false"/>
    </xf>
    <xf numFmtId="169" fontId="81" fillId="15" borderId="60" xfId="17" applyFont="true" applyBorder="true" applyAlignment="true" applyProtection="true">
      <alignment horizontal="center" vertical="bottom" textRotation="0" wrapText="false" indent="0" shrinkToFit="false"/>
      <protection locked="false" hidden="false"/>
    </xf>
    <xf numFmtId="164" fontId="8" fillId="0" borderId="39" xfId="0" applyFont="true" applyBorder="true" applyAlignment="true" applyProtection="false">
      <alignment horizontal="left" vertical="bottom" textRotation="0" wrapText="false" indent="0" shrinkToFit="false"/>
      <protection locked="true" hidden="false"/>
    </xf>
    <xf numFmtId="193" fontId="69" fillId="0" borderId="11" xfId="0" applyFont="true" applyBorder="true" applyAlignment="false" applyProtection="false">
      <alignment horizontal="general" vertical="bottom" textRotation="0" wrapText="false" indent="0" shrinkToFit="false"/>
      <protection locked="true" hidden="false"/>
    </xf>
    <xf numFmtId="169" fontId="8" fillId="15" borderId="67" xfId="17" applyFont="true" applyBorder="true" applyAlignment="true" applyProtection="true">
      <alignment horizontal="center" vertical="bottom" textRotation="0" wrapText="false" indent="0" shrinkToFit="false"/>
      <protection locked="false" hidden="false"/>
    </xf>
    <xf numFmtId="164" fontId="8" fillId="0" borderId="65" xfId="0" applyFont="true" applyBorder="true" applyAlignment="true" applyProtection="false">
      <alignment horizontal="center" vertical="bottom" textRotation="0" wrapText="false" indent="0" shrinkToFit="false"/>
      <protection locked="true" hidden="false"/>
    </xf>
    <xf numFmtId="183" fontId="8" fillId="3" borderId="1" xfId="19" applyFont="true" applyBorder="true" applyAlignment="true" applyProtection="true">
      <alignment horizontal="general" vertical="bottom" textRotation="0" wrapText="false" indent="0" shrinkToFit="false"/>
      <protection locked="false" hidden="false"/>
    </xf>
    <xf numFmtId="201" fontId="8" fillId="0" borderId="107" xfId="15" applyFont="true" applyBorder="true" applyAlignment="true" applyProtection="true">
      <alignment horizontal="center" vertical="bottom" textRotation="0" wrapText="false" indent="0" shrinkToFit="false"/>
      <protection locked="true" hidden="false"/>
    </xf>
    <xf numFmtId="179" fontId="8" fillId="9" borderId="108" xfId="0" applyFont="true" applyBorder="true" applyAlignment="true" applyProtection="false">
      <alignment horizontal="center" vertical="bottom" textRotation="0" wrapText="false" indent="0" shrinkToFit="false"/>
      <protection locked="true" hidden="false"/>
    </xf>
    <xf numFmtId="164" fontId="8" fillId="0" borderId="39" xfId="0" applyFont="true" applyBorder="true" applyAlignment="true" applyProtection="true">
      <alignment horizontal="center" vertical="bottom" textRotation="0" wrapText="false" indent="0" shrinkToFit="false"/>
      <protection locked="false" hidden="false"/>
    </xf>
    <xf numFmtId="179" fontId="8" fillId="3" borderId="91" xfId="17" applyFont="true" applyBorder="true" applyAlignment="true" applyProtection="true">
      <alignment horizontal="center" vertical="bottom" textRotation="0" wrapText="false" indent="0" shrinkToFit="false"/>
      <protection locked="false" hidden="false"/>
    </xf>
    <xf numFmtId="201" fontId="8" fillId="0" borderId="39" xfId="15" applyFont="true" applyBorder="true" applyAlignment="true" applyProtection="true">
      <alignment horizontal="center" vertical="bottom" textRotation="0" wrapText="false" indent="0" shrinkToFit="false"/>
      <protection locked="true" hidden="false"/>
    </xf>
    <xf numFmtId="179" fontId="8" fillId="9" borderId="61" xfId="17" applyFont="true" applyBorder="true" applyAlignment="true" applyProtection="true">
      <alignment horizontal="center" vertical="bottom" textRotation="0" wrapText="false" indent="0" shrinkToFit="false"/>
      <protection locked="true" hidden="false"/>
    </xf>
    <xf numFmtId="164" fontId="8" fillId="0" borderId="33"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false" applyProtection="false">
      <alignment horizontal="general" vertical="bottom" textRotation="0" wrapText="false" indent="0" shrinkToFit="false"/>
      <protection locked="true" hidden="false"/>
    </xf>
    <xf numFmtId="169" fontId="8" fillId="15" borderId="19" xfId="17" applyFont="true" applyBorder="true" applyAlignment="true" applyProtection="true">
      <alignment horizontal="general" vertical="bottom" textRotation="0" wrapText="false" indent="0" shrinkToFit="false"/>
      <protection locked="false" hidden="false"/>
    </xf>
    <xf numFmtId="183" fontId="8" fillId="3" borderId="19" xfId="19" applyFont="true" applyBorder="true" applyAlignment="true" applyProtection="true">
      <alignment horizontal="general" vertical="bottom" textRotation="0" wrapText="false" indent="0" shrinkToFit="false"/>
      <protection locked="false" hidden="false"/>
    </xf>
    <xf numFmtId="201" fontId="8" fillId="0" borderId="38" xfId="15" applyFont="true" applyBorder="true" applyAlignment="true" applyProtection="true">
      <alignment horizontal="center" vertical="bottom" textRotation="0" wrapText="false" indent="0" shrinkToFit="false"/>
      <protection locked="true" hidden="false"/>
    </xf>
    <xf numFmtId="164" fontId="6" fillId="6" borderId="7" xfId="0" applyFont="true" applyBorder="true" applyAlignment="true" applyProtection="false">
      <alignment horizontal="left" vertical="bottom" textRotation="0" wrapText="false" indent="0" shrinkToFit="false"/>
      <protection locked="true" hidden="false"/>
    </xf>
    <xf numFmtId="164" fontId="6" fillId="6" borderId="0" xfId="0" applyFont="true" applyBorder="false" applyAlignment="true" applyProtection="false">
      <alignment horizontal="center" vertical="bottom" textRotation="0" wrapText="false" indent="0" shrinkToFit="false"/>
      <protection locked="true" hidden="false"/>
    </xf>
    <xf numFmtId="164" fontId="13" fillId="6" borderId="0" xfId="0" applyFont="true" applyBorder="false" applyAlignment="true" applyProtection="false">
      <alignment horizontal="center" vertical="bottom" textRotation="0" wrapText="false" indent="0" shrinkToFit="false"/>
      <protection locked="true" hidden="false"/>
    </xf>
    <xf numFmtId="164" fontId="6" fillId="6" borderId="0" xfId="0" applyFont="true" applyBorder="true" applyAlignment="true" applyProtection="false">
      <alignment horizontal="center" vertical="bottom" textRotation="0" wrapText="false" indent="0" shrinkToFit="false"/>
      <protection locked="true" hidden="false"/>
    </xf>
    <xf numFmtId="164" fontId="8" fillId="0" borderId="109" xfId="0" applyFont="true" applyBorder="true" applyAlignment="true" applyProtection="true">
      <alignment horizontal="center" vertical="bottom" textRotation="0" wrapText="false" indent="0" shrinkToFit="false"/>
      <protection locked="false" hidden="false"/>
    </xf>
    <xf numFmtId="169" fontId="8" fillId="3" borderId="110" xfId="17" applyFont="true" applyBorder="true" applyAlignment="true" applyProtection="true">
      <alignment horizontal="center" vertical="bottom" textRotation="0" wrapText="false" indent="0" shrinkToFit="false"/>
      <protection locked="false" hidden="false"/>
    </xf>
    <xf numFmtId="164" fontId="8" fillId="0" borderId="9" xfId="0" applyFont="true" applyBorder="true" applyAlignment="false" applyProtection="false">
      <alignment horizontal="general" vertical="bottom" textRotation="0" wrapText="false" indent="0" shrinkToFit="false"/>
      <protection locked="true" hidden="false"/>
    </xf>
    <xf numFmtId="169" fontId="8" fillId="6" borderId="42" xfId="17" applyFont="true" applyBorder="true" applyAlignment="true" applyProtection="true">
      <alignment horizontal="center" vertical="center" textRotation="0" wrapText="false" indent="0" shrinkToFit="false"/>
      <protection locked="true" hidden="false"/>
    </xf>
    <xf numFmtId="193" fontId="8" fillId="6" borderId="109" xfId="0" applyFont="true" applyBorder="true" applyAlignment="true" applyProtection="false">
      <alignment horizontal="center" vertical="center" textRotation="0" wrapText="false" indent="0" shrinkToFit="false"/>
      <protection locked="true" hidden="false"/>
    </xf>
    <xf numFmtId="164" fontId="8" fillId="0" borderId="110" xfId="0" applyFont="true" applyBorder="true" applyAlignment="true" applyProtection="false">
      <alignment horizontal="center" vertical="center" textRotation="0" wrapText="false" indent="0" shrinkToFit="false"/>
      <protection locked="true" hidden="false"/>
    </xf>
    <xf numFmtId="179" fontId="8" fillId="0" borderId="9" xfId="17" applyFont="true" applyBorder="true" applyAlignment="true" applyProtection="true">
      <alignment horizontal="center" vertical="bottom" textRotation="0" wrapText="false" indent="0" shrinkToFit="false"/>
      <protection locked="true" hidden="false"/>
    </xf>
    <xf numFmtId="179" fontId="0" fillId="9" borderId="17" xfId="17" applyFont="true" applyBorder="true" applyAlignment="true" applyProtection="true">
      <alignment horizontal="center" vertical="bottom" textRotation="0" wrapText="false" indent="0" shrinkToFit="false"/>
      <protection locked="true" hidden="false"/>
    </xf>
    <xf numFmtId="164" fontId="8" fillId="0" borderId="1" xfId="0" applyFont="true" applyBorder="true" applyAlignment="true" applyProtection="true">
      <alignment horizontal="center" vertical="bottom" textRotation="0" wrapText="false" indent="0" shrinkToFit="false"/>
      <protection locked="false" hidden="false"/>
    </xf>
    <xf numFmtId="169" fontId="8" fillId="3" borderId="37" xfId="17" applyFont="true" applyBorder="true" applyAlignment="true" applyProtection="true">
      <alignment horizontal="center" vertical="bottom" textRotation="0" wrapText="false" indent="0" shrinkToFit="false"/>
      <protection locked="false" hidden="false"/>
    </xf>
    <xf numFmtId="179" fontId="8" fillId="0" borderId="0" xfId="17" applyFont="true" applyBorder="true" applyAlignment="true" applyProtection="true">
      <alignment horizontal="center" vertical="bottom" textRotation="0" wrapText="false" indent="0" shrinkToFit="false"/>
      <protection locked="true" hidden="false"/>
    </xf>
    <xf numFmtId="179" fontId="0" fillId="9" borderId="8" xfId="17" applyFont="true" applyBorder="true" applyAlignment="true" applyProtection="true">
      <alignment horizontal="center" vertical="bottom" textRotation="0" wrapText="false" indent="0" shrinkToFit="false"/>
      <protection locked="true" hidden="false"/>
    </xf>
    <xf numFmtId="169" fontId="8" fillId="0" borderId="0" xfId="17" applyFont="true" applyBorder="true" applyAlignment="true" applyProtection="true">
      <alignment horizontal="center" vertical="center" textRotation="0" wrapText="false" indent="0" shrinkToFit="false"/>
      <protection locked="true" hidden="false"/>
    </xf>
    <xf numFmtId="201" fontId="8" fillId="6" borderId="41" xfId="0" applyFont="true" applyBorder="tru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59" xfId="0" applyFont="true" applyBorder="true" applyAlignment="true" applyProtection="false">
      <alignment horizontal="left" vertical="bottom" textRotation="0" wrapText="false" indent="0" shrinkToFit="false"/>
      <protection locked="true" hidden="false"/>
    </xf>
    <xf numFmtId="164" fontId="8" fillId="0" borderId="39" xfId="0" applyFont="true" applyBorder="true" applyAlignment="true" applyProtection="false">
      <alignment horizontal="center" vertical="bottom" textRotation="0" wrapText="false" indent="0" shrinkToFit="false"/>
      <protection locked="true" hidden="false"/>
    </xf>
    <xf numFmtId="164" fontId="8" fillId="0" borderId="91" xfId="0" applyFont="true" applyBorder="true" applyAlignment="true" applyProtection="true">
      <alignment horizontal="center" vertical="bottom" textRotation="0" wrapText="false" indent="0" shrinkToFit="false"/>
      <protection locked="false" hidden="false"/>
    </xf>
    <xf numFmtId="169" fontId="8" fillId="3" borderId="86" xfId="17" applyFont="true" applyBorder="true" applyAlignment="true" applyProtection="true">
      <alignment horizontal="center" vertical="bottom" textRotation="0" wrapText="false" indent="0" shrinkToFit="false"/>
      <protection locked="false" hidden="false"/>
    </xf>
    <xf numFmtId="179" fontId="8" fillId="0" borderId="39" xfId="17" applyFont="true" applyBorder="true" applyAlignment="true" applyProtection="true">
      <alignment horizontal="center" vertical="bottom" textRotation="0" wrapText="false" indent="0" shrinkToFit="false"/>
      <protection locked="true" hidden="false"/>
    </xf>
    <xf numFmtId="179" fontId="0" fillId="9" borderId="61" xfId="17" applyFont="true" applyBorder="true" applyAlignment="true" applyProtection="true">
      <alignment horizontal="center" vertical="bottom" textRotation="0" wrapText="false" indent="0" shrinkToFit="false"/>
      <protection locked="true" hidden="false"/>
    </xf>
    <xf numFmtId="164" fontId="6" fillId="0" borderId="12" xfId="0" applyFont="true" applyBorder="true" applyAlignment="true" applyProtection="false">
      <alignment horizontal="left" vertical="bottom" textRotation="0" wrapText="false" indent="0" shrinkToFit="false"/>
      <protection locked="true" hidden="false"/>
    </xf>
    <xf numFmtId="164" fontId="6" fillId="0" borderId="6" xfId="0" applyFont="true" applyBorder="true" applyAlignment="true" applyProtection="false">
      <alignment horizontal="center" vertical="bottom" textRotation="0" wrapText="false" indent="0" shrinkToFit="false"/>
      <protection locked="true" hidden="false"/>
    </xf>
    <xf numFmtId="164" fontId="6" fillId="0" borderId="51" xfId="0" applyFont="true" applyBorder="true" applyAlignment="true" applyProtection="false">
      <alignment horizontal="center" vertical="bottom" textRotation="0" wrapText="false" indent="0" shrinkToFit="false"/>
      <protection locked="true" hidden="false"/>
    </xf>
    <xf numFmtId="169" fontId="8" fillId="6" borderId="38" xfId="17" applyFont="true" applyBorder="true" applyAlignment="true" applyProtection="true">
      <alignment horizontal="center" vertical="bottom" textRotation="0" wrapText="false" indent="0" shrinkToFit="false"/>
      <protection locked="false" hidden="false"/>
    </xf>
    <xf numFmtId="179" fontId="6" fillId="0" borderId="6" xfId="17" applyFont="true" applyBorder="true" applyAlignment="true" applyProtection="true">
      <alignment horizontal="center" vertical="bottom" textRotation="0" wrapText="false" indent="0" shrinkToFit="false"/>
      <protection locked="true" hidden="false"/>
    </xf>
    <xf numFmtId="179" fontId="0" fillId="9" borderId="13" xfId="17" applyFont="true" applyBorder="true" applyAlignment="true" applyProtection="true">
      <alignment horizontal="center" vertical="bottom" textRotation="0" wrapText="false" indent="0" shrinkToFit="false"/>
      <protection locked="true" hidden="false"/>
    </xf>
    <xf numFmtId="164" fontId="13" fillId="6" borderId="21" xfId="0" applyFont="true" applyBorder="true" applyAlignment="true" applyProtection="false">
      <alignment horizontal="left" vertical="bottom" textRotation="0" wrapText="false" indent="0" shrinkToFit="false"/>
      <protection locked="true" hidden="false"/>
    </xf>
    <xf numFmtId="164" fontId="13" fillId="6" borderId="22" xfId="0" applyFont="true" applyBorder="true" applyAlignment="true" applyProtection="false">
      <alignment horizontal="left" vertical="bottom" textRotation="0" wrapText="false" indent="0" shrinkToFit="false"/>
      <protection locked="true" hidden="false"/>
    </xf>
    <xf numFmtId="164" fontId="13" fillId="6" borderId="23" xfId="0" applyFont="true" applyBorder="true" applyAlignment="true" applyProtection="false">
      <alignment horizontal="left" vertical="bottom" textRotation="0" wrapText="false" indent="0" shrinkToFit="false"/>
      <protection locked="true" hidden="false"/>
    </xf>
    <xf numFmtId="164" fontId="8" fillId="0" borderId="16" xfId="0" applyFont="true" applyBorder="true" applyAlignment="true" applyProtection="false">
      <alignment horizontal="left" vertical="bottom" textRotation="0" wrapText="false" indent="0" shrinkToFit="false"/>
      <protection locked="true" hidden="false"/>
    </xf>
    <xf numFmtId="193" fontId="8" fillId="0" borderId="9" xfId="0" applyFont="true" applyBorder="true" applyAlignment="false" applyProtection="true">
      <alignment horizontal="general" vertical="bottom" textRotation="0" wrapText="false" indent="0" shrinkToFit="false"/>
      <protection locked="false" hidden="false"/>
    </xf>
    <xf numFmtId="193" fontId="8" fillId="3" borderId="109" xfId="0" applyFont="true" applyBorder="true" applyAlignment="false" applyProtection="true">
      <alignment horizontal="general" vertical="bottom" textRotation="0" wrapText="false" indent="0" shrinkToFit="false"/>
      <protection locked="false" hidden="false"/>
    </xf>
    <xf numFmtId="179" fontId="8" fillId="15" borderId="109" xfId="17" applyFont="true" applyBorder="true" applyAlignment="true" applyProtection="true">
      <alignment horizontal="general" vertical="bottom" textRotation="0" wrapText="false" indent="0" shrinkToFit="false"/>
      <protection locked="false" hidden="false"/>
    </xf>
    <xf numFmtId="171" fontId="8" fillId="0" borderId="9" xfId="0" applyFont="true" applyBorder="true" applyAlignment="false" applyProtection="false">
      <alignment horizontal="general" vertical="bottom" textRotation="0" wrapText="false" indent="0" shrinkToFit="false"/>
      <protection locked="true" hidden="false"/>
    </xf>
    <xf numFmtId="183" fontId="8" fillId="22" borderId="35" xfId="19" applyFont="true" applyBorder="true" applyAlignment="true" applyProtection="true">
      <alignment horizontal="center" vertical="bottom" textRotation="0" wrapText="false" indent="0" shrinkToFit="false"/>
      <protection locked="true" hidden="false"/>
    </xf>
    <xf numFmtId="179" fontId="8" fillId="9" borderId="17" xfId="17" applyFont="true" applyBorder="true" applyAlignment="true" applyProtection="true">
      <alignment horizontal="center" vertical="bottom" textRotation="0" wrapText="false" indent="0" shrinkToFit="false"/>
      <protection locked="true" hidden="false"/>
    </xf>
    <xf numFmtId="193" fontId="8" fillId="3" borderId="1" xfId="0" applyFont="true" applyBorder="true" applyAlignment="false" applyProtection="true">
      <alignment horizontal="general" vertical="bottom" textRotation="0" wrapText="false" indent="0" shrinkToFit="false"/>
      <protection locked="false" hidden="false"/>
    </xf>
    <xf numFmtId="164" fontId="8" fillId="0" borderId="67" xfId="0" applyFont="true" applyBorder="true" applyAlignment="false" applyProtection="false">
      <alignment horizontal="general" vertical="bottom" textRotation="0" wrapText="false" indent="0" shrinkToFit="false"/>
      <protection locked="true" hidden="false"/>
    </xf>
    <xf numFmtId="179" fontId="8" fillId="15" borderId="1" xfId="17" applyFont="true" applyBorder="true" applyAlignment="true" applyProtection="true">
      <alignment horizontal="general" vertical="bottom" textRotation="0" wrapText="false" indent="0" shrinkToFit="false"/>
      <protection locked="false" hidden="false"/>
    </xf>
    <xf numFmtId="179" fontId="8" fillId="0" borderId="67" xfId="0" applyFont="true" applyBorder="true" applyAlignment="true" applyProtection="false">
      <alignment horizontal="center" vertical="bottom" textRotation="0" wrapText="false" indent="0" shrinkToFit="false"/>
      <protection locked="true" hidden="false"/>
    </xf>
    <xf numFmtId="193" fontId="8" fillId="0" borderId="39" xfId="0" applyFont="true" applyBorder="true" applyAlignment="false" applyProtection="false">
      <alignment horizontal="general" vertical="bottom" textRotation="0" wrapText="false" indent="0" shrinkToFit="false"/>
      <protection locked="true" hidden="false"/>
    </xf>
    <xf numFmtId="169" fontId="8" fillId="0" borderId="39" xfId="17" applyFont="true" applyBorder="true" applyAlignment="true" applyProtection="true">
      <alignment horizontal="general" vertical="bottom" textRotation="0" wrapText="false" indent="0" shrinkToFit="false"/>
      <protection locked="true" hidden="false"/>
    </xf>
    <xf numFmtId="164" fontId="8" fillId="0" borderId="12" xfId="0" applyFont="true" applyBorder="true" applyAlignment="true" applyProtection="false">
      <alignment horizontal="left" vertical="bottom" textRotation="0" wrapText="false" indent="0" shrinkToFit="false"/>
      <protection locked="true" hidden="false"/>
    </xf>
    <xf numFmtId="193" fontId="8" fillId="3" borderId="72" xfId="0" applyFont="true" applyBorder="true" applyAlignment="false" applyProtection="true">
      <alignment horizontal="general" vertical="bottom" textRotation="0" wrapText="false" indent="0" shrinkToFit="false"/>
      <protection locked="false" hidden="false"/>
    </xf>
    <xf numFmtId="164" fontId="82" fillId="0" borderId="0" xfId="0" applyFont="true" applyBorder="false" applyAlignment="false" applyProtection="false">
      <alignment horizontal="general" vertical="bottom" textRotation="0" wrapText="false" indent="0" shrinkToFit="false"/>
      <protection locked="true" hidden="false"/>
    </xf>
    <xf numFmtId="169" fontId="8" fillId="15" borderId="72" xfId="17" applyFont="true" applyBorder="true" applyAlignment="true" applyProtection="true">
      <alignment horizontal="general" vertical="bottom" textRotation="0" wrapText="false" indent="0" shrinkToFit="false"/>
      <protection locked="false" hidden="false"/>
    </xf>
    <xf numFmtId="183" fontId="8" fillId="23" borderId="6" xfId="19" applyFont="true" applyBorder="true" applyAlignment="true" applyProtection="true">
      <alignment horizontal="center" vertical="bottom" textRotation="0" wrapText="false" indent="0" shrinkToFit="false"/>
      <protection locked="true" hidden="false"/>
    </xf>
    <xf numFmtId="164" fontId="8" fillId="0" borderId="42" xfId="0" applyFont="true" applyBorder="true" applyAlignment="false" applyProtection="false">
      <alignment horizontal="general" vertical="bottom" textRotation="0" wrapText="false" indent="0" shrinkToFit="false"/>
      <protection locked="true" hidden="false"/>
    </xf>
    <xf numFmtId="193" fontId="8" fillId="3" borderId="67" xfId="0" applyFont="true" applyBorder="true" applyAlignment="false" applyProtection="true">
      <alignment horizontal="general" vertical="bottom" textRotation="0" wrapText="false" indent="0" shrinkToFit="false"/>
      <protection locked="false" hidden="false"/>
    </xf>
    <xf numFmtId="164" fontId="8" fillId="0" borderId="45" xfId="0" applyFont="true" applyBorder="true" applyAlignment="false" applyProtection="false">
      <alignment horizontal="general" vertical="bottom" textRotation="0" wrapText="false" indent="0" shrinkToFit="false"/>
      <protection locked="true" hidden="false"/>
    </xf>
    <xf numFmtId="179" fontId="8" fillId="15" borderId="67" xfId="17" applyFont="true" applyBorder="true" applyAlignment="true" applyProtection="true">
      <alignment horizontal="general" vertical="bottom" textRotation="0" wrapText="false" indent="0" shrinkToFit="false"/>
      <protection locked="false" hidden="false"/>
    </xf>
    <xf numFmtId="164" fontId="6" fillId="0" borderId="91" xfId="0" applyFont="true" applyBorder="true" applyAlignment="true" applyProtection="false">
      <alignment horizontal="center" vertical="bottom" textRotation="0" wrapText="false" indent="0" shrinkToFit="false"/>
      <protection locked="true" hidden="false"/>
    </xf>
    <xf numFmtId="183" fontId="8" fillId="22" borderId="55" xfId="19" applyFont="true" applyBorder="true" applyAlignment="true" applyProtection="true">
      <alignment horizontal="center" vertical="bottom" textRotation="0" wrapText="false" indent="0" shrinkToFit="false"/>
      <protection locked="true" hidden="false"/>
    </xf>
    <xf numFmtId="164" fontId="4" fillId="0" borderId="59" xfId="0" applyFont="true" applyBorder="true" applyAlignment="false" applyProtection="false">
      <alignment horizontal="general" vertical="bottom" textRotation="0" wrapText="false" indent="0" shrinkToFit="false"/>
      <protection locked="true" hidden="false"/>
    </xf>
    <xf numFmtId="169" fontId="8" fillId="9" borderId="61" xfId="17" applyFont="true" applyBorder="true" applyAlignment="true" applyProtection="true">
      <alignment horizontal="general" vertical="bottom" textRotation="0" wrapText="false" indent="0" shrinkToFit="false"/>
      <protection locked="true" hidden="false"/>
    </xf>
    <xf numFmtId="183" fontId="8" fillId="15" borderId="67" xfId="19" applyFont="true" applyBorder="true" applyAlignment="true" applyProtection="true">
      <alignment horizontal="center" vertical="bottom" textRotation="0" wrapText="false" indent="0" shrinkToFit="false"/>
      <protection locked="false" hidden="false"/>
    </xf>
    <xf numFmtId="210" fontId="8" fillId="9" borderId="8" xfId="17" applyFont="true" applyBorder="true" applyAlignment="true" applyProtection="true">
      <alignment horizontal="center" vertical="bottom" textRotation="0" wrapText="false" indent="0" shrinkToFit="false"/>
      <protection locked="true" hidden="false"/>
    </xf>
    <xf numFmtId="210" fontId="8" fillId="9" borderId="61" xfId="17" applyFont="true" applyBorder="true" applyAlignment="true" applyProtection="true">
      <alignment horizontal="center" vertical="bottom" textRotation="0" wrapText="false" indent="0" shrinkToFit="false"/>
      <protection locked="true" hidden="false"/>
    </xf>
    <xf numFmtId="164" fontId="8" fillId="0" borderId="51" xfId="0" applyFont="true" applyBorder="true" applyAlignment="false" applyProtection="false">
      <alignment horizontal="general" vertical="bottom" textRotation="0" wrapText="false" indent="0" shrinkToFit="false"/>
      <protection locked="true" hidden="false"/>
    </xf>
    <xf numFmtId="179" fontId="8" fillId="15" borderId="72" xfId="17" applyFont="true" applyBorder="true" applyAlignment="true" applyProtection="true">
      <alignment horizontal="general" vertical="bottom" textRotation="0" wrapText="false" indent="0" shrinkToFit="false"/>
      <protection locked="false" hidden="false"/>
    </xf>
    <xf numFmtId="179" fontId="8" fillId="0" borderId="6" xfId="0" applyFont="true" applyBorder="true" applyAlignment="false" applyProtection="false">
      <alignment horizontal="general" vertical="bottom" textRotation="0" wrapText="false" indent="0" shrinkToFit="false"/>
      <protection locked="true" hidden="false"/>
    </xf>
    <xf numFmtId="164" fontId="13" fillId="6" borderId="16" xfId="0" applyFont="true" applyBorder="true" applyAlignment="true" applyProtection="false">
      <alignment horizontal="left" vertical="bottom" textRotation="0" wrapText="false" indent="0" shrinkToFit="false"/>
      <protection locked="true" hidden="false"/>
    </xf>
    <xf numFmtId="164" fontId="13" fillId="6" borderId="9" xfId="0" applyFont="true" applyBorder="true" applyAlignment="true" applyProtection="false">
      <alignment horizontal="left" vertical="bottom" textRotation="0" wrapText="false" indent="0" shrinkToFit="false"/>
      <protection locked="true" hidden="false"/>
    </xf>
    <xf numFmtId="164" fontId="13" fillId="6" borderId="17" xfId="0" applyFont="true" applyBorder="true" applyAlignment="true" applyProtection="false">
      <alignment horizontal="left" vertical="bottom" textRotation="0" wrapText="false" indent="0" shrinkToFit="false"/>
      <protection locked="true" hidden="false"/>
    </xf>
    <xf numFmtId="164" fontId="8" fillId="24" borderId="109" xfId="0" applyFont="true" applyBorder="true" applyAlignment="true" applyProtection="false">
      <alignment horizontal="center" vertical="bottom" textRotation="0" wrapText="false" indent="0" shrinkToFit="false"/>
      <protection locked="true" hidden="false"/>
    </xf>
    <xf numFmtId="169" fontId="8" fillId="3" borderId="109" xfId="17" applyFont="true" applyBorder="true" applyAlignment="true" applyProtection="true">
      <alignment horizontal="left" vertical="bottom" textRotation="0" wrapText="false" indent="0" shrinkToFit="false"/>
      <protection locked="false" hidden="false"/>
    </xf>
    <xf numFmtId="164" fontId="8" fillId="0" borderId="9" xfId="0" applyFont="true" applyBorder="true" applyAlignment="true" applyProtection="false">
      <alignment horizontal="left" vertical="bottom" textRotation="0" wrapText="false" indent="0" shrinkToFit="false"/>
      <protection locked="true" hidden="false"/>
    </xf>
    <xf numFmtId="201" fontId="8" fillId="3" borderId="35" xfId="15" applyFont="true" applyBorder="true" applyAlignment="true" applyProtection="true">
      <alignment horizontal="center" vertical="bottom" textRotation="0" wrapText="false" indent="0" shrinkToFit="false"/>
      <protection locked="false" hidden="false"/>
    </xf>
    <xf numFmtId="211" fontId="76" fillId="0" borderId="9" xfId="0" applyFont="true" applyBorder="true" applyAlignment="false" applyProtection="false">
      <alignment horizontal="general" vertical="bottom" textRotation="0" wrapText="false" indent="0" shrinkToFit="false"/>
      <protection locked="true" hidden="false"/>
    </xf>
    <xf numFmtId="169" fontId="8" fillId="3" borderId="1" xfId="17" applyFont="true" applyBorder="true" applyAlignment="true" applyProtection="true">
      <alignment horizontal="general" vertical="bottom" textRotation="0" wrapText="false" indent="0" shrinkToFit="false"/>
      <protection locked="false" hidden="false"/>
    </xf>
    <xf numFmtId="201" fontId="8" fillId="3" borderId="1" xfId="15" applyFont="true" applyBorder="true" applyAlignment="true" applyProtection="true">
      <alignment horizontal="center" vertical="bottom" textRotation="0" wrapText="false" indent="0" shrinkToFit="false"/>
      <protection locked="false" hidden="false"/>
    </xf>
    <xf numFmtId="211" fontId="76" fillId="0" borderId="0" xfId="0" applyFont="true" applyBorder="false" applyAlignment="false" applyProtection="false">
      <alignment horizontal="general" vertical="bottom" textRotation="0" wrapText="false" indent="0" shrinkToFit="false"/>
      <protection locked="true" hidden="false"/>
    </xf>
    <xf numFmtId="179" fontId="8" fillId="9" borderId="108" xfId="17" applyFont="true" applyBorder="true" applyAlignment="true" applyProtection="true">
      <alignment horizontal="center" vertical="bottom" textRotation="0" wrapText="false" indent="0" shrinkToFit="false"/>
      <protection locked="true" hidden="false"/>
    </xf>
    <xf numFmtId="164" fontId="8" fillId="24" borderId="1" xfId="0" applyFont="true" applyBorder="true" applyAlignment="true" applyProtection="false">
      <alignment horizontal="center" vertical="bottom" textRotation="0" wrapText="false" indent="0" shrinkToFit="false"/>
      <protection locked="true" hidden="false"/>
    </xf>
    <xf numFmtId="169" fontId="8" fillId="3" borderId="55" xfId="17" applyFont="true" applyBorder="true" applyAlignment="true" applyProtection="true">
      <alignment horizontal="general" vertical="bottom" textRotation="0" wrapText="false" indent="0" shrinkToFit="false"/>
      <protection locked="false" hidden="false"/>
    </xf>
    <xf numFmtId="164" fontId="8" fillId="0" borderId="37" xfId="0" applyFont="true" applyBorder="true" applyAlignment="false" applyProtection="false">
      <alignment horizontal="general" vertical="bottom" textRotation="0" wrapText="false" indent="0" shrinkToFit="false"/>
      <protection locked="true" hidden="false"/>
    </xf>
    <xf numFmtId="201" fontId="8" fillId="6" borderId="1" xfId="15" applyFont="true" applyBorder="true" applyAlignment="true" applyProtection="true">
      <alignment horizontal="center" vertical="bottom" textRotation="0" wrapText="false" indent="0" shrinkToFit="false"/>
      <protection locked="false" hidden="false"/>
    </xf>
    <xf numFmtId="193" fontId="8" fillId="3" borderId="1" xfId="17" applyFont="true" applyBorder="true" applyAlignment="true" applyProtection="true">
      <alignment horizontal="general" vertical="bottom" textRotation="0" wrapText="false" indent="0" shrinkToFit="false"/>
      <protection locked="false" hidden="false"/>
    </xf>
    <xf numFmtId="179" fontId="8" fillId="15" borderId="15" xfId="17" applyFont="true" applyBorder="true" applyAlignment="true" applyProtection="true">
      <alignment horizontal="center" vertical="bottom" textRotation="0" wrapText="false" indent="0" shrinkToFit="false"/>
      <protection locked="false" hidden="false"/>
    </xf>
    <xf numFmtId="179" fontId="8" fillId="25" borderId="108" xfId="17" applyFont="true" applyBorder="true" applyAlignment="true" applyProtection="true">
      <alignment horizontal="center" vertical="bottom" textRotation="0" wrapText="false" indent="0" shrinkToFit="false"/>
      <protection locked="true" hidden="false"/>
    </xf>
    <xf numFmtId="164" fontId="0" fillId="21" borderId="0" xfId="0" applyFont="false" applyBorder="false" applyAlignment="true" applyProtection="false">
      <alignment horizontal="center" vertical="bottom" textRotation="0" wrapText="false" indent="0" shrinkToFit="false"/>
      <protection locked="true" hidden="false"/>
    </xf>
    <xf numFmtId="164" fontId="8" fillId="3" borderId="91" xfId="0" applyFont="true" applyBorder="true" applyAlignment="false" applyProtection="true">
      <alignment horizontal="general" vertical="bottom" textRotation="0" wrapText="false" indent="0" shrinkToFit="false"/>
      <protection locked="false" hidden="false"/>
    </xf>
    <xf numFmtId="179" fontId="8" fillId="15" borderId="60" xfId="17" applyFont="true" applyBorder="true" applyAlignment="true" applyProtection="true">
      <alignment horizontal="center" vertical="bottom" textRotation="0" wrapText="false" indent="0" shrinkToFit="false"/>
      <protection locked="false" hidden="false"/>
    </xf>
    <xf numFmtId="164" fontId="76" fillId="0" borderId="39" xfId="0" applyFont="true" applyBorder="true" applyAlignment="false" applyProtection="false">
      <alignment horizontal="general" vertical="bottom" textRotation="0" wrapText="false" indent="0" shrinkToFit="false"/>
      <protection locked="true" hidden="false"/>
    </xf>
    <xf numFmtId="164" fontId="6" fillId="0" borderId="7" xfId="0" applyFont="true" applyBorder="true" applyAlignment="true" applyProtection="false">
      <alignment horizontal="right" vertical="bottom" textRotation="0" wrapText="false" indent="0" shrinkToFit="false"/>
      <protection locked="true" hidden="false"/>
    </xf>
    <xf numFmtId="179" fontId="8" fillId="25" borderId="8" xfId="0" applyFont="true" applyBorder="true" applyAlignment="true" applyProtection="false">
      <alignment horizontal="center" vertical="bottom" textRotation="0" wrapText="false" indent="0" shrinkToFit="false"/>
      <protection locked="true" hidden="false"/>
    </xf>
    <xf numFmtId="164" fontId="83" fillId="26" borderId="12" xfId="0" applyFont="true" applyBorder="true" applyAlignment="true" applyProtection="false">
      <alignment horizontal="left" vertical="bottom" textRotation="0" wrapText="false" indent="0" shrinkToFit="false"/>
      <protection locked="true" hidden="false"/>
    </xf>
    <xf numFmtId="164" fontId="84" fillId="26" borderId="6" xfId="0" applyFont="true" applyBorder="true" applyAlignment="true" applyProtection="false">
      <alignment horizontal="left" vertical="bottom" textRotation="0" wrapText="false" indent="0" shrinkToFit="false"/>
      <protection locked="true" hidden="false"/>
    </xf>
    <xf numFmtId="164" fontId="6" fillId="26" borderId="6" xfId="0" applyFont="true" applyBorder="true" applyAlignment="true" applyProtection="false">
      <alignment horizontal="left" vertical="bottom" textRotation="0" wrapText="false" indent="0" shrinkToFit="false"/>
      <protection locked="true" hidden="false"/>
    </xf>
    <xf numFmtId="184" fontId="6" fillId="26" borderId="19" xfId="19" applyFont="true" applyBorder="true" applyAlignment="true" applyProtection="true">
      <alignment horizontal="center" vertical="bottom" textRotation="0" wrapText="false" indent="0" shrinkToFit="false"/>
      <protection locked="false" hidden="false"/>
    </xf>
    <xf numFmtId="164" fontId="6" fillId="26" borderId="6" xfId="0" applyFont="true" applyBorder="true" applyAlignment="false" applyProtection="false">
      <alignment horizontal="general" vertical="bottom" textRotation="0" wrapText="false" indent="0" shrinkToFit="false"/>
      <protection locked="true" hidden="false"/>
    </xf>
    <xf numFmtId="179" fontId="6" fillId="26" borderId="19" xfId="17" applyFont="true" applyBorder="true" applyAlignment="true" applyProtection="true">
      <alignment horizontal="center" vertical="bottom" textRotation="0" wrapText="false" indent="0" shrinkToFit="false"/>
      <protection locked="false" hidden="false"/>
    </xf>
    <xf numFmtId="164" fontId="6" fillId="27" borderId="6" xfId="0" applyFont="true" applyBorder="true" applyAlignment="false" applyProtection="false">
      <alignment horizontal="general" vertical="bottom" textRotation="0" wrapText="false" indent="0" shrinkToFit="false"/>
      <protection locked="true" hidden="false"/>
    </xf>
    <xf numFmtId="164" fontId="69" fillId="27" borderId="6" xfId="0" applyFont="true" applyBorder="true" applyAlignment="false" applyProtection="false">
      <alignment horizontal="general" vertical="bottom" textRotation="0" wrapText="false" indent="0" shrinkToFit="false"/>
      <protection locked="true" hidden="false"/>
    </xf>
    <xf numFmtId="179" fontId="6" fillId="27" borderId="13" xfId="17" applyFont="true" applyBorder="true" applyAlignment="true" applyProtection="true">
      <alignment horizontal="center" vertical="bottom" textRotation="0" wrapText="false" indent="0" shrinkToFit="false"/>
      <protection locked="true" hidden="false"/>
    </xf>
    <xf numFmtId="169" fontId="8" fillId="0" borderId="6" xfId="0" applyFont="true" applyBorder="true" applyAlignment="true" applyProtection="false">
      <alignment horizontal="center" vertical="bottom" textRotation="0" wrapText="false" indent="0" shrinkToFit="false"/>
      <protection locked="true" hidden="false"/>
    </xf>
    <xf numFmtId="185" fontId="8" fillId="9" borderId="0" xfId="19" applyFont="true" applyBorder="true" applyAlignment="true" applyProtection="true">
      <alignment horizontal="general" vertical="bottom" textRotation="0" wrapText="false" indent="0" shrinkToFit="false"/>
      <protection locked="true" hidden="false"/>
    </xf>
    <xf numFmtId="179" fontId="8" fillId="22" borderId="10" xfId="0" applyFont="true" applyBorder="true" applyAlignment="true" applyProtection="false">
      <alignment horizontal="center" vertical="bottom" textRotation="0" wrapText="false" indent="0" shrinkToFit="false"/>
      <protection locked="true" hidden="false"/>
    </xf>
    <xf numFmtId="164" fontId="8" fillId="14" borderId="17" xfId="0" applyFont="true" applyBorder="true" applyAlignment="false" applyProtection="true">
      <alignment horizontal="general" vertical="bottom" textRotation="0" wrapText="false" indent="0" shrinkToFit="false"/>
      <protection locked="false" hidden="false"/>
    </xf>
    <xf numFmtId="164" fontId="6" fillId="9" borderId="10" xfId="0" applyFont="true" applyBorder="true" applyAlignment="true" applyProtection="false">
      <alignment horizontal="center" vertical="bottom" textRotation="0" wrapText="false" indent="0" shrinkToFit="false"/>
      <protection locked="true" hidden="false"/>
    </xf>
    <xf numFmtId="164" fontId="6" fillId="9" borderId="16" xfId="0" applyFont="true" applyBorder="true" applyAlignment="true" applyProtection="false">
      <alignment horizontal="center" vertical="bottom" textRotation="0" wrapText="true" indent="0" shrinkToFit="false"/>
      <protection locked="true" hidden="false"/>
    </xf>
    <xf numFmtId="164" fontId="6" fillId="9" borderId="9" xfId="0" applyFont="true" applyBorder="true" applyAlignment="true" applyProtection="false">
      <alignment horizontal="center" vertical="bottom" textRotation="0" wrapText="true" indent="0" shrinkToFit="false"/>
      <protection locked="true" hidden="false"/>
    </xf>
    <xf numFmtId="164" fontId="6" fillId="9" borderId="17" xfId="0" applyFont="true" applyBorder="true" applyAlignment="true" applyProtection="false">
      <alignment horizontal="center" vertical="bottom" textRotation="0" wrapText="true" indent="0" shrinkToFit="false"/>
      <protection locked="true" hidden="false"/>
    </xf>
    <xf numFmtId="164" fontId="6" fillId="9" borderId="16" xfId="0" applyFont="true" applyBorder="true" applyAlignment="true" applyProtection="false">
      <alignment horizontal="center" vertical="bottom" textRotation="0" wrapText="false" indent="0" shrinkToFit="false"/>
      <protection locked="true" hidden="false"/>
    </xf>
    <xf numFmtId="164" fontId="6" fillId="9" borderId="9" xfId="0" applyFont="true" applyBorder="true" applyAlignment="true" applyProtection="false">
      <alignment horizontal="center" vertical="bottom" textRotation="0" wrapText="false" indent="0" shrinkToFit="false"/>
      <protection locked="true" hidden="false"/>
    </xf>
    <xf numFmtId="164" fontId="6" fillId="9" borderId="17" xfId="0" applyFont="true" applyBorder="true" applyAlignment="true" applyProtection="false">
      <alignment horizontal="center" vertical="bottom" textRotation="0" wrapText="false" indent="0" shrinkToFit="false"/>
      <protection locked="true" hidden="false"/>
    </xf>
    <xf numFmtId="164" fontId="8" fillId="3" borderId="1" xfId="0" applyFont="true" applyBorder="true" applyAlignment="true" applyProtection="false">
      <alignment horizontal="center" vertical="bottom" textRotation="0" wrapText="false" indent="0" shrinkToFit="false"/>
      <protection locked="true" hidden="false"/>
    </xf>
    <xf numFmtId="183" fontId="8" fillId="3" borderId="32" xfId="19" applyFont="true" applyBorder="true" applyAlignment="true" applyProtection="true">
      <alignment horizontal="general" vertical="bottom" textRotation="0" wrapText="false" indent="0" shrinkToFit="false"/>
      <protection locked="true" hidden="false"/>
    </xf>
    <xf numFmtId="164" fontId="6" fillId="9" borderId="12" xfId="0" applyFont="true" applyBorder="true" applyAlignment="false" applyProtection="false">
      <alignment horizontal="general" vertical="bottom" textRotation="0" wrapText="false" indent="0" shrinkToFit="false"/>
      <protection locked="true" hidden="false"/>
    </xf>
    <xf numFmtId="169" fontId="8" fillId="0" borderId="13" xfId="17" applyFont="true" applyBorder="true" applyAlignment="true" applyProtection="true">
      <alignment horizontal="center" vertical="bottom" textRotation="0" wrapText="false" indent="0" shrinkToFit="false"/>
      <protection locked="true" hidden="false"/>
    </xf>
    <xf numFmtId="179" fontId="8" fillId="9" borderId="33" xfId="17" applyFont="true" applyBorder="true" applyAlignment="true" applyProtection="true">
      <alignment horizontal="center" vertical="bottom" textRotation="0" wrapText="false" indent="0" shrinkToFit="false"/>
      <protection locked="true" hidden="false"/>
    </xf>
    <xf numFmtId="169" fontId="8" fillId="9" borderId="33" xfId="17" applyFont="true" applyBorder="true" applyAlignment="true" applyProtection="true">
      <alignment horizontal="center" vertical="bottom" textRotation="0" wrapText="false" indent="0" shrinkToFit="false"/>
      <protection locked="true" hidden="false"/>
    </xf>
    <xf numFmtId="184" fontId="8" fillId="3" borderId="12" xfId="19" applyFont="true" applyBorder="true" applyAlignment="true" applyProtection="true">
      <alignment horizontal="center" vertical="bottom" textRotation="0" wrapText="false" indent="0" shrinkToFit="false"/>
      <protection locked="true" hidden="false"/>
    </xf>
    <xf numFmtId="184" fontId="8" fillId="3" borderId="6" xfId="19" applyFont="true" applyBorder="true" applyAlignment="true" applyProtection="true">
      <alignment horizontal="center" vertical="bottom" textRotation="0" wrapText="false" indent="0" shrinkToFit="false"/>
      <protection locked="true" hidden="false"/>
    </xf>
    <xf numFmtId="184" fontId="8" fillId="3" borderId="13" xfId="19" applyFont="true" applyBorder="true" applyAlignment="true" applyProtection="true">
      <alignment horizontal="center" vertical="bottom" textRotation="0" wrapText="false" indent="0" shrinkToFit="false"/>
      <protection locked="true" hidden="false"/>
    </xf>
    <xf numFmtId="179" fontId="8" fillId="14" borderId="0" xfId="17" applyFont="true" applyBorder="true" applyAlignment="true" applyProtection="true">
      <alignment horizontal="center" vertical="bottom" textRotation="0" wrapText="false" indent="0" shrinkToFit="false"/>
      <protection locked="true" hidden="false"/>
    </xf>
    <xf numFmtId="179" fontId="76" fillId="0" borderId="17" xfId="0" applyFont="true" applyBorder="true" applyAlignment="false" applyProtection="false">
      <alignment horizontal="general" vertical="bottom" textRotation="0" wrapText="false" indent="0" shrinkToFit="false"/>
      <protection locked="true" hidden="false"/>
    </xf>
    <xf numFmtId="164" fontId="8" fillId="0" borderId="7" xfId="0" applyFont="true" applyBorder="true" applyAlignment="true" applyProtection="false">
      <alignment horizontal="center" vertical="bottom" textRotation="0" wrapText="false" indent="0" shrinkToFit="false"/>
      <protection locked="true" hidden="false"/>
    </xf>
    <xf numFmtId="179" fontId="8" fillId="0" borderId="13" xfId="0" applyFont="true" applyBorder="true" applyAlignment="false" applyProtection="false">
      <alignment horizontal="general" vertical="bottom" textRotation="0" wrapText="false" indent="0" shrinkToFit="false"/>
      <protection locked="true" hidden="false"/>
    </xf>
    <xf numFmtId="208" fontId="8" fillId="6" borderId="1" xfId="0" applyFont="true" applyBorder="true" applyAlignment="true" applyProtection="false">
      <alignment horizontal="right" vertical="bottom" textRotation="0" wrapText="false" indent="0" shrinkToFit="false"/>
      <protection locked="true" hidden="false"/>
    </xf>
    <xf numFmtId="179" fontId="8" fillId="0" borderId="68" xfId="17" applyFont="true" applyBorder="true" applyAlignment="true" applyProtection="true">
      <alignment horizontal="center" vertical="bottom" textRotation="0" wrapText="false" indent="0" shrinkToFit="false"/>
      <protection locked="true" hidden="false"/>
    </xf>
    <xf numFmtId="179" fontId="8" fillId="0" borderId="77" xfId="17" applyFont="true" applyBorder="true" applyAlignment="true" applyProtection="true">
      <alignment horizontal="center" vertical="bottom" textRotation="0" wrapText="false" indent="0" shrinkToFit="false"/>
      <protection locked="true" hidden="false"/>
    </xf>
    <xf numFmtId="208" fontId="8" fillId="6" borderId="91" xfId="0" applyFont="true" applyBorder="true" applyAlignment="true" applyProtection="false">
      <alignment horizontal="right" vertical="bottom" textRotation="0" wrapText="false" indent="0" shrinkToFit="false"/>
      <protection locked="true" hidden="false"/>
    </xf>
    <xf numFmtId="164" fontId="8" fillId="0" borderId="90" xfId="0" applyFont="true" applyBorder="true" applyAlignment="false" applyProtection="false">
      <alignment horizontal="general" vertical="bottom" textRotation="0" wrapText="false" indent="0" shrinkToFit="false"/>
      <protection locked="true" hidden="false"/>
    </xf>
    <xf numFmtId="164" fontId="8" fillId="0" borderId="92" xfId="0" applyFont="true" applyBorder="true" applyAlignment="false" applyProtection="false">
      <alignment horizontal="general" vertical="bottom" textRotation="0" wrapText="false" indent="0" shrinkToFit="false"/>
      <protection locked="true" hidden="false"/>
    </xf>
    <xf numFmtId="179" fontId="8" fillId="0" borderId="80" xfId="17" applyFont="true" applyBorder="true" applyAlignment="true" applyProtection="true">
      <alignment horizontal="center" vertical="bottom" textRotation="0" wrapText="false" indent="0" shrinkToFit="false"/>
      <protection locked="true" hidden="false"/>
    </xf>
    <xf numFmtId="208" fontId="76" fillId="6" borderId="60" xfId="0" applyFont="true" applyBorder="true" applyAlignment="true" applyProtection="false">
      <alignment horizontal="right" vertical="bottom" textRotation="0" wrapText="false" indent="0" shrinkToFit="false"/>
      <protection locked="true" hidden="false"/>
    </xf>
    <xf numFmtId="164" fontId="76" fillId="0" borderId="86" xfId="0" applyFont="true" applyBorder="true" applyAlignment="false" applyProtection="false">
      <alignment horizontal="general" vertical="bottom" textRotation="0" wrapText="false" indent="0" shrinkToFit="false"/>
      <protection locked="true" hidden="false"/>
    </xf>
    <xf numFmtId="179" fontId="76" fillId="0" borderId="61" xfId="17" applyFont="true" applyBorder="true" applyAlignment="true" applyProtection="true">
      <alignment horizontal="center" vertical="bottom" textRotation="0" wrapText="false" indent="0" shrinkToFit="false"/>
      <protection locked="true" hidden="false"/>
    </xf>
    <xf numFmtId="208" fontId="8" fillId="6" borderId="67" xfId="0" applyFont="true" applyBorder="true" applyAlignment="true" applyProtection="false">
      <alignment horizontal="right" vertical="bottom" textRotation="0" wrapText="false" indent="0" shrinkToFit="false"/>
      <protection locked="true" hidden="false"/>
    </xf>
    <xf numFmtId="164" fontId="6" fillId="0" borderId="22" xfId="0" applyFont="true" applyBorder="true" applyAlignment="true" applyProtection="false">
      <alignment horizontal="right" vertical="bottom" textRotation="0" wrapText="false" indent="0" shrinkToFit="false"/>
      <protection locked="true" hidden="false"/>
    </xf>
    <xf numFmtId="187" fontId="6" fillId="0" borderId="17" xfId="0" applyFont="true" applyBorder="true" applyAlignment="true" applyProtection="false">
      <alignment horizontal="center" vertical="bottom" textRotation="0" wrapText="false" indent="0" shrinkToFit="false"/>
      <protection locked="true" hidden="false"/>
    </xf>
    <xf numFmtId="164" fontId="0" fillId="9" borderId="0" xfId="0" applyFont="false" applyBorder="false" applyAlignment="true" applyProtection="false">
      <alignment horizontal="center" vertical="bottom" textRotation="0" wrapText="false" indent="0" shrinkToFit="false"/>
      <protection locked="true" hidden="false"/>
    </xf>
    <xf numFmtId="164" fontId="8" fillId="14" borderId="44" xfId="0" applyFont="true" applyBorder="true" applyAlignment="true" applyProtection="false">
      <alignment horizontal="left" vertical="bottom" textRotation="0" wrapText="false" indent="0" shrinkToFit="false"/>
      <protection locked="true" hidden="false"/>
    </xf>
    <xf numFmtId="164" fontId="8" fillId="9" borderId="16" xfId="0" applyFont="true" applyBorder="true" applyAlignment="true" applyProtection="false">
      <alignment horizontal="left" vertical="bottom" textRotation="0" wrapText="false" indent="0" shrinkToFit="false"/>
      <protection locked="true" hidden="false"/>
    </xf>
    <xf numFmtId="164" fontId="6" fillId="0" borderId="9" xfId="0" applyFont="true" applyBorder="true" applyAlignment="true" applyProtection="false">
      <alignment horizontal="center" vertical="bottom" textRotation="0" wrapText="false" indent="0" shrinkToFit="false"/>
      <protection locked="true" hidden="false"/>
    </xf>
    <xf numFmtId="164" fontId="6" fillId="0" borderId="23" xfId="0" applyFont="true" applyBorder="true" applyAlignment="true" applyProtection="false">
      <alignment horizontal="center" vertical="bottom" textRotation="0" wrapText="false" indent="0" shrinkToFit="false"/>
      <protection locked="true" hidden="false"/>
    </xf>
    <xf numFmtId="164" fontId="8" fillId="14" borderId="47" xfId="0" applyFont="true" applyBorder="true" applyAlignment="true" applyProtection="false">
      <alignment horizontal="left" vertical="bottom" textRotation="0" wrapText="false" indent="0" shrinkToFit="false"/>
      <protection locked="true" hidden="false"/>
    </xf>
    <xf numFmtId="164" fontId="8" fillId="0" borderId="11"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right" vertical="bottom" textRotation="0" wrapText="false" indent="0" shrinkToFit="false"/>
      <protection locked="true" hidden="false"/>
    </xf>
    <xf numFmtId="164" fontId="8" fillId="14" borderId="17" xfId="0" applyFont="true" applyBorder="true" applyAlignment="true" applyProtection="false">
      <alignment horizontal="center" vertical="bottom" textRotation="0" wrapText="false" indent="0" shrinkToFit="false"/>
      <protection locked="true" hidden="false"/>
    </xf>
    <xf numFmtId="164" fontId="8" fillId="14" borderId="53" xfId="0" applyFont="true" applyBorder="true" applyAlignment="true" applyProtection="false">
      <alignment horizontal="left" vertical="bottom" textRotation="0" wrapText="false" indent="0" shrinkToFit="false"/>
      <protection locked="true" hidden="false"/>
    </xf>
    <xf numFmtId="164" fontId="8" fillId="14" borderId="8" xfId="0" applyFont="true" applyBorder="true" applyAlignment="true" applyProtection="false">
      <alignment horizontal="center" vertical="bottom" textRotation="0" wrapText="false" indent="0" shrinkToFit="false"/>
      <protection locked="true" hidden="false"/>
    </xf>
    <xf numFmtId="164" fontId="8" fillId="3" borderId="8" xfId="0" applyFont="true" applyBorder="true" applyAlignment="true" applyProtection="false">
      <alignment horizontal="center" vertical="bottom" textRotation="0" wrapText="false" indent="0" shrinkToFit="false"/>
      <protection locked="true" hidden="false"/>
    </xf>
    <xf numFmtId="164" fontId="8" fillId="3" borderId="31" xfId="0" applyFont="true" applyBorder="true" applyAlignment="false" applyProtection="true">
      <alignment horizontal="general" vertical="bottom" textRotation="0" wrapText="false" indent="0" shrinkToFit="false"/>
      <protection locked="false" hidden="false"/>
    </xf>
    <xf numFmtId="164" fontId="8" fillId="9" borderId="6" xfId="0" applyFont="true" applyBorder="true" applyAlignment="true" applyProtection="false">
      <alignment horizontal="right" vertical="bottom" textRotation="0" wrapText="false" indent="0" shrinkToFit="false"/>
      <protection locked="true" hidden="false"/>
    </xf>
    <xf numFmtId="164" fontId="8" fillId="3" borderId="13" xfId="0" applyFont="true" applyBorder="true" applyAlignment="true" applyProtection="false">
      <alignment horizontal="center" vertical="bottom" textRotation="0" wrapText="false" indent="0" shrinkToFit="false"/>
      <protection locked="true" hidden="false"/>
    </xf>
    <xf numFmtId="164" fontId="8" fillId="3" borderId="111" xfId="0" applyFont="true" applyBorder="true" applyAlignment="false" applyProtection="true">
      <alignment horizontal="general" vertical="bottom" textRotation="0" wrapText="false" indent="0" shrinkToFit="false"/>
      <protection locked="false" hidden="false"/>
    </xf>
    <xf numFmtId="168" fontId="8" fillId="3" borderId="19" xfId="0" applyFont="true" applyBorder="true" applyAlignment="true" applyProtection="true">
      <alignment horizontal="center" vertical="bottom" textRotation="0" wrapText="false" indent="0" shrinkToFit="false"/>
      <protection locked="false" hidden="false"/>
    </xf>
    <xf numFmtId="164" fontId="8" fillId="9" borderId="0" xfId="0" applyFont="true" applyBorder="true" applyAlignment="true" applyProtection="false">
      <alignment horizontal="right" vertical="bottom" textRotation="0" wrapText="false" indent="0" shrinkToFit="false"/>
      <protection locked="true" hidden="false"/>
    </xf>
    <xf numFmtId="164" fontId="8" fillId="9" borderId="0" xfId="0" applyFont="true" applyBorder="true" applyAlignment="true" applyProtection="false">
      <alignment horizontal="left" vertical="bottom" textRotation="0" wrapText="false" indent="0" shrinkToFit="false"/>
      <protection locked="true" hidden="false"/>
    </xf>
    <xf numFmtId="164" fontId="8" fillId="9" borderId="8" xfId="0" applyFont="true" applyBorder="true" applyAlignment="false" applyProtection="false">
      <alignment horizontal="general" vertical="bottom" textRotation="0" wrapText="false" indent="0" shrinkToFit="false"/>
      <protection locked="true" hidden="false"/>
    </xf>
    <xf numFmtId="164" fontId="8" fillId="3" borderId="16" xfId="0" applyFont="true" applyBorder="true" applyAlignment="false" applyProtection="false">
      <alignment horizontal="general" vertical="bottom" textRotation="0" wrapText="false" indent="0" shrinkToFit="false"/>
      <protection locked="true" hidden="false"/>
    </xf>
    <xf numFmtId="164" fontId="8" fillId="3" borderId="9" xfId="0" applyFont="true" applyBorder="true" applyAlignment="false" applyProtection="false">
      <alignment horizontal="general" vertical="bottom" textRotation="0" wrapText="false" indent="0" shrinkToFit="false"/>
      <protection locked="true" hidden="false"/>
    </xf>
    <xf numFmtId="164" fontId="6" fillId="3" borderId="101" xfId="0" applyFont="true" applyBorder="true" applyAlignment="true" applyProtection="false">
      <alignment horizontal="center" vertical="bottom" textRotation="0" wrapText="true" indent="0" shrinkToFit="false"/>
      <protection locked="true" hidden="false"/>
    </xf>
    <xf numFmtId="164" fontId="6" fillId="3" borderId="35" xfId="0" applyFont="true" applyBorder="true" applyAlignment="true" applyProtection="false">
      <alignment horizontal="center" vertical="bottom" textRotation="0" wrapText="false" indent="0" shrinkToFit="false"/>
      <protection locked="true" hidden="false"/>
    </xf>
    <xf numFmtId="164" fontId="8" fillId="0" borderId="5" xfId="0" applyFont="true" applyBorder="true" applyAlignment="true" applyProtection="false">
      <alignment horizontal="center" vertical="bottom" textRotation="0" wrapText="true" indent="0" shrinkToFit="false"/>
      <protection locked="true" hidden="false"/>
    </xf>
    <xf numFmtId="164" fontId="6" fillId="3" borderId="59" xfId="0" applyFont="true" applyBorder="true" applyAlignment="true" applyProtection="false">
      <alignment horizontal="center" vertical="top" textRotation="0" wrapText="true" indent="0" shrinkToFit="false"/>
      <protection locked="true" hidden="false"/>
    </xf>
    <xf numFmtId="164" fontId="8" fillId="3" borderId="60" xfId="0" applyFont="true" applyBorder="true" applyAlignment="true" applyProtection="false">
      <alignment horizontal="center" vertical="bottom" textRotation="0" wrapText="true" indent="0" shrinkToFit="false"/>
      <protection locked="true" hidden="false"/>
    </xf>
    <xf numFmtId="164" fontId="8" fillId="3" borderId="86" xfId="0" applyFont="true" applyBorder="true" applyAlignment="true" applyProtection="false">
      <alignment horizontal="center" vertical="bottom" textRotation="0" wrapText="true" indent="0" shrinkToFit="false"/>
      <protection locked="true" hidden="false"/>
    </xf>
    <xf numFmtId="164" fontId="8" fillId="3" borderId="39" xfId="0" applyFont="true" applyBorder="true" applyAlignment="true" applyProtection="false">
      <alignment horizontal="center" vertical="bottom" textRotation="0" wrapText="true" indent="0" shrinkToFit="false"/>
      <protection locked="true" hidden="false"/>
    </xf>
    <xf numFmtId="164" fontId="8" fillId="3" borderId="78" xfId="0" applyFont="true" applyBorder="true" applyAlignment="true" applyProtection="false">
      <alignment horizontal="center" vertical="bottom" textRotation="0" wrapText="false" indent="0" shrinkToFit="false"/>
      <protection locked="true" hidden="false"/>
    </xf>
    <xf numFmtId="164" fontId="8" fillId="3" borderId="86" xfId="0" applyFont="true" applyBorder="true" applyAlignment="true" applyProtection="false">
      <alignment horizontal="center" vertical="bottom" textRotation="0" wrapText="false" indent="0" shrinkToFit="false"/>
      <protection locked="true" hidden="false"/>
    </xf>
    <xf numFmtId="164" fontId="8" fillId="3" borderId="39" xfId="0" applyFont="true" applyBorder="true" applyAlignment="true" applyProtection="false">
      <alignment horizontal="center" vertical="bottom" textRotation="0" wrapText="false" indent="0" shrinkToFit="false"/>
      <protection locked="true" hidden="false"/>
    </xf>
    <xf numFmtId="164" fontId="4" fillId="9"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false" hidden="false"/>
    </xf>
    <xf numFmtId="193" fontId="11" fillId="3" borderId="15" xfId="0" applyFont="true" applyBorder="true" applyAlignment="false" applyProtection="false">
      <alignment horizontal="general" vertical="bottom" textRotation="0" wrapText="false" indent="0" shrinkToFit="false"/>
      <protection locked="true" hidden="false"/>
    </xf>
    <xf numFmtId="196" fontId="8" fillId="0" borderId="0" xfId="0" applyFont="true" applyBorder="false" applyAlignment="true" applyProtection="true">
      <alignment horizontal="center" vertical="bottom" textRotation="0" wrapText="false" indent="0" shrinkToFit="false"/>
      <protection locked="false" hidden="false"/>
    </xf>
    <xf numFmtId="196" fontId="8" fillId="0" borderId="45" xfId="0" applyFont="true" applyBorder="true" applyAlignment="true" applyProtection="true">
      <alignment horizontal="center" vertical="bottom" textRotation="0" wrapText="false" indent="0" shrinkToFit="false"/>
      <protection locked="false" hidden="false"/>
    </xf>
    <xf numFmtId="196" fontId="8" fillId="0" borderId="37" xfId="0" applyFont="true" applyBorder="true" applyAlignment="true" applyProtection="true">
      <alignment horizontal="center" vertical="bottom" textRotation="0" wrapText="false" indent="0" shrinkToFit="false"/>
      <protection locked="false" hidden="false"/>
    </xf>
    <xf numFmtId="196" fontId="8" fillId="0" borderId="0" xfId="17" applyFont="true" applyBorder="true" applyAlignment="true" applyProtection="true">
      <alignment horizontal="center" vertical="bottom" textRotation="0" wrapText="false" indent="0" shrinkToFit="false"/>
      <protection locked="false" hidden="false"/>
    </xf>
    <xf numFmtId="196" fontId="8" fillId="3" borderId="15" xfId="0" applyFont="true" applyBorder="true" applyAlignment="true" applyProtection="true">
      <alignment horizontal="center" vertical="bottom" textRotation="0" wrapText="false" indent="0" shrinkToFit="false"/>
      <protection locked="false" hidden="false"/>
    </xf>
    <xf numFmtId="201" fontId="8" fillId="0" borderId="0" xfId="15" applyFont="true" applyBorder="true" applyAlignment="true" applyProtection="true">
      <alignment horizontal="general" vertical="bottom" textRotation="0" wrapText="false" indent="0" shrinkToFit="false"/>
      <protection locked="false" hidden="false"/>
    </xf>
    <xf numFmtId="196" fontId="8" fillId="6" borderId="0" xfId="0" applyFont="true" applyBorder="false" applyAlignment="false" applyProtection="false">
      <alignment horizontal="general" vertical="bottom" textRotation="0" wrapText="false" indent="0" shrinkToFit="false"/>
      <protection locked="true" hidden="false"/>
    </xf>
    <xf numFmtId="179" fontId="4" fillId="9" borderId="55" xfId="17" applyFont="true" applyBorder="true" applyAlignment="true" applyProtection="true">
      <alignment horizontal="center" vertical="bottom" textRotation="0" wrapText="false" indent="0" shrinkToFit="false"/>
      <protection locked="true" hidden="false"/>
    </xf>
    <xf numFmtId="193" fontId="0" fillId="0" borderId="0" xfId="0" applyFont="false" applyBorder="false" applyAlignment="false" applyProtection="false">
      <alignment horizontal="general" vertical="bottom" textRotation="0" wrapText="false" indent="0" shrinkToFit="false"/>
      <protection locked="true" hidden="false"/>
    </xf>
    <xf numFmtId="196" fontId="8" fillId="6" borderId="6" xfId="0" applyFont="true" applyBorder="true" applyAlignment="false" applyProtection="false">
      <alignment horizontal="general" vertical="bottom" textRotation="0" wrapText="false" indent="0" shrinkToFit="false"/>
      <protection locked="true" hidden="false"/>
    </xf>
    <xf numFmtId="193" fontId="0" fillId="0" borderId="2" xfId="0" applyFont="false" applyBorder="true" applyAlignment="false" applyProtection="false">
      <alignment horizontal="general" vertical="bottom" textRotation="0" wrapText="false" indent="0" shrinkToFit="false"/>
      <protection locked="true" hidden="false"/>
    </xf>
    <xf numFmtId="196" fontId="0" fillId="0" borderId="2" xfId="0" applyFont="false" applyBorder="true" applyAlignment="false" applyProtection="false">
      <alignment horizontal="general" vertical="bottom" textRotation="0" wrapText="false" indent="0" shrinkToFit="false"/>
      <protection locked="true" hidden="false"/>
    </xf>
    <xf numFmtId="193" fontId="6" fillId="9" borderId="9" xfId="0" applyFont="true" applyBorder="true" applyAlignment="false" applyProtection="false">
      <alignment horizontal="general" vertical="bottom" textRotation="0" wrapText="false" indent="0" shrinkToFit="false"/>
      <protection locked="true" hidden="false"/>
    </xf>
    <xf numFmtId="164" fontId="0" fillId="9" borderId="9" xfId="0" applyFont="false" applyBorder="true" applyAlignment="false" applyProtection="false">
      <alignment horizontal="general" vertical="bottom" textRotation="0" wrapText="false" indent="0" shrinkToFit="false"/>
      <protection locked="true" hidden="false"/>
    </xf>
    <xf numFmtId="201" fontId="8" fillId="9" borderId="9" xfId="15" applyFont="true" applyBorder="true" applyAlignment="true" applyProtection="true">
      <alignment horizontal="general" vertical="bottom" textRotation="0" wrapText="false" indent="0" shrinkToFit="false"/>
      <protection locked="true" hidden="false"/>
    </xf>
    <xf numFmtId="193" fontId="8" fillId="9" borderId="9" xfId="0" applyFont="true" applyBorder="true" applyAlignment="false" applyProtection="false">
      <alignment horizontal="general" vertical="bottom" textRotation="0" wrapText="false" indent="0" shrinkToFit="false"/>
      <protection locked="true" hidden="false"/>
    </xf>
    <xf numFmtId="193" fontId="8" fillId="9" borderId="36" xfId="0" applyFont="true" applyBorder="true" applyAlignment="false" applyProtection="false">
      <alignment horizontal="general" vertical="bottom" textRotation="0" wrapText="false" indent="0" shrinkToFit="false"/>
      <protection locked="true" hidden="false"/>
    </xf>
    <xf numFmtId="193" fontId="8" fillId="9" borderId="110" xfId="0" applyFont="true" applyBorder="true" applyAlignment="false" applyProtection="false">
      <alignment horizontal="general" vertical="bottom" textRotation="0" wrapText="false" indent="0" shrinkToFit="false"/>
      <protection locked="true" hidden="false"/>
    </xf>
    <xf numFmtId="179" fontId="13" fillId="9" borderId="67" xfId="0" applyFont="true" applyBorder="true" applyAlignment="true" applyProtection="false">
      <alignment horizontal="center" vertical="bottom" textRotation="0" wrapText="false" indent="0" shrinkToFit="false"/>
      <protection locked="true" hidden="false"/>
    </xf>
    <xf numFmtId="164" fontId="0" fillId="0" borderId="112" xfId="0" applyFont="false" applyBorder="true" applyAlignment="false" applyProtection="false">
      <alignment horizontal="general" vertical="bottom" textRotation="0" wrapText="false" indent="0" shrinkToFit="false"/>
      <protection locked="true" hidden="false"/>
    </xf>
    <xf numFmtId="164" fontId="0" fillId="9" borderId="6" xfId="0" applyFont="false" applyBorder="true" applyAlignment="false" applyProtection="false">
      <alignment horizontal="general" vertical="bottom" textRotation="0" wrapText="false" indent="0" shrinkToFit="false"/>
      <protection locked="true" hidden="false"/>
    </xf>
    <xf numFmtId="201" fontId="8" fillId="9" borderId="6" xfId="15" applyFont="true" applyBorder="true" applyAlignment="true" applyProtection="true">
      <alignment horizontal="general" vertical="bottom" textRotation="0" wrapText="false" indent="0" shrinkToFit="false"/>
      <protection locked="true" hidden="false"/>
    </xf>
    <xf numFmtId="209" fontId="8" fillId="9" borderId="6" xfId="0" applyFont="true" applyBorder="true" applyAlignment="false" applyProtection="false">
      <alignment horizontal="general" vertical="bottom" textRotation="0" wrapText="false" indent="0" shrinkToFit="false"/>
      <protection locked="true" hidden="false"/>
    </xf>
    <xf numFmtId="212" fontId="8" fillId="9" borderId="13" xfId="0" applyFont="true" applyBorder="true" applyAlignment="false" applyProtection="false">
      <alignment horizontal="general" vertical="bottom" textRotation="0" wrapText="false" indent="0" shrinkToFit="false"/>
      <protection locked="true" hidden="false"/>
    </xf>
    <xf numFmtId="164" fontId="8" fillId="9" borderId="13" xfId="0" applyFont="true" applyBorder="true" applyAlignment="false" applyProtection="false">
      <alignment horizontal="general" vertical="bottom" textRotation="0" wrapText="false" indent="0" shrinkToFit="false"/>
      <protection locked="true" hidden="false"/>
    </xf>
    <xf numFmtId="179" fontId="24" fillId="9" borderId="0" xfId="0" applyFont="true" applyBorder="false" applyAlignment="true" applyProtection="false">
      <alignment horizontal="center" vertical="bottom" textRotation="0" wrapText="false" indent="0" shrinkToFit="false"/>
      <protection locked="true" hidden="false"/>
    </xf>
    <xf numFmtId="164" fontId="6" fillId="14" borderId="9" xfId="0" applyFont="true" applyBorder="true" applyAlignment="true" applyProtection="true">
      <alignment horizontal="right" vertical="bottom" textRotation="0" wrapText="false" indent="0" shrinkToFit="false"/>
      <protection locked="false" hidden="false"/>
    </xf>
    <xf numFmtId="201" fontId="8" fillId="14" borderId="9" xfId="15" applyFont="true" applyBorder="true" applyAlignment="true" applyProtection="true">
      <alignment horizontal="general" vertical="bottom" textRotation="0" wrapText="false" indent="0" shrinkToFit="false"/>
      <protection locked="false" hidden="false"/>
    </xf>
    <xf numFmtId="184" fontId="8" fillId="3" borderId="1" xfId="19" applyFont="true" applyBorder="true" applyAlignment="true" applyProtection="true">
      <alignment horizontal="general" vertical="bottom" textRotation="0" wrapText="false" indent="0" shrinkToFit="false"/>
      <protection locked="false" hidden="false"/>
    </xf>
    <xf numFmtId="201" fontId="8" fillId="9" borderId="33" xfId="17" applyFont="true" applyBorder="true" applyAlignment="true" applyProtection="true">
      <alignment horizontal="center" vertical="bottom" textRotation="0" wrapText="false" indent="0" shrinkToFit="false"/>
      <protection locked="false" hidden="false"/>
    </xf>
    <xf numFmtId="169" fontId="8" fillId="9" borderId="33" xfId="17" applyFont="true" applyBorder="true" applyAlignment="true" applyProtection="true">
      <alignment horizontal="center" vertical="bottom" textRotation="0" wrapText="false" indent="0" shrinkToFit="false"/>
      <protection locked="false" hidden="false"/>
    </xf>
    <xf numFmtId="179" fontId="8" fillId="14" borderId="0" xfId="17" applyFont="true" applyBorder="true" applyAlignment="true" applyProtection="true">
      <alignment horizontal="center" vertical="bottom" textRotation="0" wrapText="false" indent="0" shrinkToFit="false"/>
      <protection locked="false" hidden="false"/>
    </xf>
    <xf numFmtId="164" fontId="69" fillId="14" borderId="6" xfId="0" applyFont="true" applyBorder="true" applyAlignment="false" applyProtection="false">
      <alignment horizontal="general" vertical="bottom" textRotation="0" wrapText="false" indent="0" shrinkToFit="false"/>
      <protection locked="true" hidden="false"/>
    </xf>
    <xf numFmtId="164" fontId="4" fillId="9" borderId="16" xfId="0" applyFont="true" applyBorder="true" applyAlignment="true" applyProtection="false">
      <alignment horizontal="center" vertical="bottom" textRotation="0" wrapText="false" indent="0" shrinkToFit="false"/>
      <protection locked="true" hidden="false"/>
    </xf>
    <xf numFmtId="164" fontId="8" fillId="9" borderId="9" xfId="0" applyFont="true" applyBorder="true" applyAlignment="true" applyProtection="false">
      <alignment horizontal="right" vertical="bottom" textRotation="0" wrapText="false" indent="0" shrinkToFit="false"/>
      <protection locked="true" hidden="false"/>
    </xf>
    <xf numFmtId="164" fontId="76" fillId="28" borderId="10" xfId="0" applyFont="true" applyBorder="true" applyAlignment="false" applyProtection="false">
      <alignment horizontal="general" vertical="bottom" textRotation="0" wrapText="false" indent="0" shrinkToFit="false"/>
      <protection locked="true" hidden="false"/>
    </xf>
    <xf numFmtId="164" fontId="4" fillId="9" borderId="2" xfId="0" applyFont="true" applyBorder="true" applyAlignment="true" applyProtection="false">
      <alignment horizontal="center" vertical="bottom" textRotation="0" wrapText="false" indent="0" shrinkToFit="false"/>
      <protection locked="true" hidden="false"/>
    </xf>
    <xf numFmtId="164" fontId="8" fillId="3" borderId="0" xfId="0" applyFont="true" applyBorder="false" applyAlignment="false" applyProtection="true">
      <alignment horizontal="general" vertical="bottom" textRotation="0" wrapText="false" indent="0" shrinkToFit="false"/>
      <protection locked="false" hidden="false"/>
    </xf>
    <xf numFmtId="179" fontId="8" fillId="3" borderId="0" xfId="17" applyFont="true" applyBorder="true" applyAlignment="true" applyProtection="true">
      <alignment horizontal="general" vertical="bottom" textRotation="0" wrapText="false" indent="0" shrinkToFit="false"/>
      <protection locked="false" hidden="false"/>
    </xf>
    <xf numFmtId="179" fontId="8" fillId="3" borderId="9" xfId="17" applyFont="true" applyBorder="true" applyAlignment="true" applyProtection="true">
      <alignment horizontal="center" vertical="bottom" textRotation="0" wrapText="false" indent="0" shrinkToFit="false"/>
      <protection locked="false" hidden="false"/>
    </xf>
    <xf numFmtId="164" fontId="8" fillId="20" borderId="3" xfId="0" applyFont="true" applyBorder="true" applyAlignment="true" applyProtection="false">
      <alignment horizontal="center" vertical="bottom" textRotation="0" wrapText="false" indent="0" shrinkToFit="false"/>
      <protection locked="true" hidden="false"/>
    </xf>
    <xf numFmtId="179" fontId="8" fillId="9" borderId="9" xfId="0" applyFont="true" applyBorder="true" applyAlignment="true" applyProtection="false">
      <alignment horizontal="center" vertical="bottom" textRotation="0" wrapText="false" indent="0" shrinkToFit="false"/>
      <protection locked="true" hidden="false"/>
    </xf>
    <xf numFmtId="164" fontId="8" fillId="28" borderId="21" xfId="0" applyFont="true" applyBorder="true" applyAlignment="false" applyProtection="false">
      <alignment horizontal="general" vertical="bottom" textRotation="0" wrapText="false" indent="0" shrinkToFit="false"/>
      <protection locked="true" hidden="false"/>
    </xf>
    <xf numFmtId="164" fontId="4" fillId="9" borderId="7" xfId="0" applyFont="true" applyBorder="true" applyAlignment="true" applyProtection="false">
      <alignment horizontal="center" vertical="bottom" textRotation="0" wrapText="false" indent="0" shrinkToFit="false"/>
      <protection locked="true" hidden="false"/>
    </xf>
    <xf numFmtId="164" fontId="8" fillId="9" borderId="47" xfId="0" applyFont="true" applyBorder="true" applyAlignment="false" applyProtection="false">
      <alignment horizontal="general" vertical="bottom" textRotation="0" wrapText="false" indent="0" shrinkToFit="false"/>
      <protection locked="true" hidden="false"/>
    </xf>
    <xf numFmtId="164" fontId="0" fillId="9" borderId="56" xfId="0" applyFont="false" applyBorder="true" applyAlignment="true" applyProtection="false">
      <alignment horizontal="center" vertical="bottom" textRotation="0" wrapText="false" indent="0" shrinkToFit="false"/>
      <protection locked="true" hidden="false"/>
    </xf>
    <xf numFmtId="164" fontId="13" fillId="0" borderId="44" xfId="0" applyFont="true" applyBorder="true" applyAlignment="false" applyProtection="false">
      <alignment horizontal="general" vertical="bottom" textRotation="0" wrapText="false" indent="0" shrinkToFit="false"/>
      <protection locked="true" hidden="false"/>
    </xf>
    <xf numFmtId="193" fontId="8" fillId="3" borderId="0" xfId="0" applyFont="true" applyBorder="false" applyAlignment="false" applyProtection="true">
      <alignment horizontal="general" vertical="bottom" textRotation="0" wrapText="false" indent="0" shrinkToFit="false"/>
      <protection locked="false" hidden="false"/>
    </xf>
    <xf numFmtId="179" fontId="8" fillId="3" borderId="0" xfId="17" applyFont="true" applyBorder="true" applyAlignment="true" applyProtection="true">
      <alignment horizontal="center" vertical="bottom" textRotation="0" wrapText="false" indent="0" shrinkToFit="false"/>
      <protection locked="false" hidden="false"/>
    </xf>
    <xf numFmtId="164" fontId="0" fillId="9" borderId="7" xfId="0" applyFont="false" applyBorder="true" applyAlignment="true" applyProtection="false">
      <alignment horizontal="center" vertical="bottom" textRotation="0" wrapText="false" indent="0" shrinkToFit="false"/>
      <protection locked="true" hidden="false"/>
    </xf>
    <xf numFmtId="164" fontId="13" fillId="0" borderId="47" xfId="0" applyFont="true" applyBorder="true" applyAlignment="false" applyProtection="false">
      <alignment horizontal="general" vertical="bottom" textRotation="0" wrapText="false" indent="0" shrinkToFit="false"/>
      <protection locked="true" hidden="false"/>
    </xf>
    <xf numFmtId="179" fontId="8" fillId="20" borderId="33" xfId="0" applyFont="true" applyBorder="true" applyAlignment="false" applyProtection="false">
      <alignment horizontal="general" vertical="bottom" textRotation="0" wrapText="false" indent="0" shrinkToFit="false"/>
      <protection locked="true" hidden="false"/>
    </xf>
    <xf numFmtId="169" fontId="8" fillId="9" borderId="2" xfId="17" applyFont="true" applyBorder="true" applyAlignment="true" applyProtection="true">
      <alignment horizontal="center" vertical="bottom" textRotation="0" wrapText="false" indent="0" shrinkToFit="false"/>
      <protection locked="true" hidden="false"/>
    </xf>
    <xf numFmtId="164" fontId="0" fillId="9" borderId="12" xfId="0" applyFont="false" applyBorder="true" applyAlignment="true" applyProtection="false">
      <alignment horizontal="center"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85" fillId="0" borderId="0" xfId="0" applyFont="true" applyBorder="false" applyAlignment="false" applyProtection="false">
      <alignment horizontal="general" vertical="bottom" textRotation="0" wrapText="false" indent="0" shrinkToFit="false"/>
      <protection locked="true" hidden="false"/>
    </xf>
    <xf numFmtId="164" fontId="85" fillId="9" borderId="0" xfId="0" applyFont="true" applyBorder="false" applyAlignment="false" applyProtection="false">
      <alignment horizontal="general" vertical="bottom" textRotation="0" wrapText="false" indent="0" shrinkToFit="false"/>
      <protection locked="true" hidden="false"/>
    </xf>
    <xf numFmtId="164" fontId="85" fillId="3" borderId="0" xfId="0" applyFont="true" applyBorder="false" applyAlignment="false" applyProtection="true">
      <alignment horizontal="general" vertical="bottom" textRotation="0" wrapText="false" indent="0" shrinkToFit="false"/>
      <protection locked="false" hidden="false"/>
    </xf>
    <xf numFmtId="164" fontId="85" fillId="9" borderId="0" xfId="0" applyFont="true" applyBorder="true" applyAlignment="true" applyProtection="false">
      <alignment horizontal="center" vertical="bottom" textRotation="0" wrapText="false" indent="0" shrinkToFit="false"/>
      <protection locked="true" hidden="false"/>
    </xf>
    <xf numFmtId="164" fontId="53" fillId="9" borderId="0" xfId="0" applyFont="true" applyBorder="false" applyAlignment="true" applyProtection="false">
      <alignment horizontal="center" vertical="bottom" textRotation="0" wrapText="false" indent="0" shrinkToFit="false"/>
      <protection locked="true" hidden="false"/>
    </xf>
    <xf numFmtId="164" fontId="31" fillId="0" borderId="0" xfId="0" applyFont="true" applyBorder="true" applyAlignment="true" applyProtection="false">
      <alignment horizontal="center" vertical="bottom" textRotation="0" wrapText="false" indent="0" shrinkToFit="false"/>
      <protection locked="true" hidden="false"/>
    </xf>
    <xf numFmtId="164" fontId="80" fillId="2" borderId="6" xfId="23" applyFont="true" applyBorder="true" applyAlignment="true" applyProtection="true">
      <alignment horizontal="general" vertical="bottom" textRotation="0" wrapText="false" indent="0" shrinkToFit="false"/>
      <protection locked="true" hidden="false"/>
    </xf>
    <xf numFmtId="164" fontId="6" fillId="6" borderId="4" xfId="0" applyFont="true" applyBorder="true" applyAlignment="true" applyProtection="false">
      <alignment horizontal="left" vertical="bottom" textRotation="0" wrapText="false" indent="0" shrinkToFit="false"/>
      <protection locked="true" hidden="false"/>
    </xf>
    <xf numFmtId="164" fontId="8" fillId="6" borderId="5" xfId="0" applyFont="true" applyBorder="true" applyAlignment="true" applyProtection="false">
      <alignment horizontal="center" vertical="bottom" textRotation="0" wrapText="false" indent="0" shrinkToFit="false"/>
      <protection locked="true" hidden="false"/>
    </xf>
    <xf numFmtId="164" fontId="8" fillId="6" borderId="102" xfId="0" applyFont="true" applyBorder="true" applyAlignment="true" applyProtection="false">
      <alignment horizontal="center" vertical="bottom" textRotation="0" wrapText="false" indent="0" shrinkToFit="false"/>
      <protection locked="true" hidden="false"/>
    </xf>
    <xf numFmtId="164" fontId="8" fillId="0" borderId="100" xfId="0" applyFont="true" applyBorder="true" applyAlignment="false" applyProtection="false">
      <alignment horizontal="general" vertical="bottom" textRotation="0" wrapText="false" indent="0" shrinkToFit="false"/>
      <protection locked="true" hidden="false"/>
    </xf>
    <xf numFmtId="164" fontId="6" fillId="0" borderId="39" xfId="0" applyFont="true" applyBorder="true" applyAlignment="true" applyProtection="false">
      <alignment horizontal="center" vertical="bottom" textRotation="0" wrapText="false" indent="0" shrinkToFit="false"/>
      <protection locked="true" hidden="false"/>
    </xf>
    <xf numFmtId="164" fontId="8" fillId="9" borderId="113" xfId="0" applyFont="true" applyBorder="true" applyAlignment="false" applyProtection="false">
      <alignment horizontal="general" vertical="bottom" textRotation="0" wrapText="false" indent="0" shrinkToFit="false"/>
      <protection locked="true" hidden="false"/>
    </xf>
    <xf numFmtId="164" fontId="8" fillId="9" borderId="109" xfId="0" applyFont="true" applyBorder="true" applyAlignment="false" applyProtection="false">
      <alignment horizontal="general" vertical="bottom" textRotation="0" wrapText="false" indent="0" shrinkToFit="false"/>
      <protection locked="true" hidden="false"/>
    </xf>
    <xf numFmtId="164" fontId="0" fillId="9" borderId="109" xfId="0" applyFont="true" applyBorder="true" applyAlignment="false" applyProtection="false">
      <alignment horizontal="general" vertical="bottom" textRotation="0" wrapText="false" indent="0" shrinkToFit="false"/>
      <protection locked="true" hidden="false"/>
    </xf>
    <xf numFmtId="164" fontId="0" fillId="9" borderId="114" xfId="0" applyFont="true" applyBorder="true" applyAlignment="false" applyProtection="false">
      <alignment horizontal="general" vertical="bottom" textRotation="0" wrapText="false" indent="0" shrinkToFit="false"/>
      <protection locked="true" hidden="false"/>
    </xf>
    <xf numFmtId="179" fontId="8" fillId="0" borderId="8" xfId="0" applyFont="true" applyBorder="true" applyAlignment="true" applyProtection="false">
      <alignment horizontal="center" vertical="bottom" textRotation="0" wrapText="false" indent="0" shrinkToFit="false"/>
      <protection locked="true" hidden="false"/>
    </xf>
    <xf numFmtId="164" fontId="8" fillId="21" borderId="0" xfId="0" applyFont="true" applyBorder="false" applyAlignment="true" applyProtection="false">
      <alignment horizontal="center" vertical="bottom" textRotation="0" wrapText="false" indent="0" shrinkToFit="false"/>
      <protection locked="true" hidden="false"/>
    </xf>
    <xf numFmtId="183" fontId="8" fillId="3" borderId="81" xfId="19"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general" vertical="bottom" textRotation="0" wrapText="false" indent="0" shrinkToFit="false"/>
      <protection locked="false" hidden="false"/>
    </xf>
    <xf numFmtId="179" fontId="8" fillId="0" borderId="8" xfId="17" applyFont="true" applyBorder="true" applyAlignment="true" applyProtection="true">
      <alignment horizontal="center" vertical="bottom" textRotation="0" wrapText="false" indent="0" shrinkToFit="false"/>
      <protection locked="true" hidden="false"/>
    </xf>
    <xf numFmtId="201" fontId="8" fillId="0" borderId="37" xfId="15" applyFont="true" applyBorder="true" applyAlignment="true" applyProtection="true">
      <alignment horizontal="center" vertical="bottom" textRotation="0" wrapText="false" indent="0" shrinkToFit="false"/>
      <protection locked="true" hidden="false"/>
    </xf>
    <xf numFmtId="193" fontId="8" fillId="0" borderId="0" xfId="0" applyFont="true" applyBorder="false" applyAlignment="false" applyProtection="true">
      <alignment horizontal="general" vertical="bottom" textRotation="0" wrapText="false" indent="0" shrinkToFit="false"/>
      <protection locked="false" hidden="false"/>
    </xf>
    <xf numFmtId="164" fontId="8" fillId="0" borderId="0" xfId="0" applyFont="true" applyBorder="false" applyAlignment="true" applyProtection="true">
      <alignment horizontal="left" vertical="bottom" textRotation="0" wrapText="false" indent="0" shrinkToFit="false"/>
      <protection locked="false" hidden="false"/>
    </xf>
    <xf numFmtId="164" fontId="0" fillId="29" borderId="0" xfId="0" applyFont="false" applyBorder="false" applyAlignment="true" applyProtection="false">
      <alignment horizontal="center" vertical="bottom" textRotation="0" wrapText="false" indent="0" shrinkToFit="false"/>
      <protection locked="true" hidden="false"/>
    </xf>
    <xf numFmtId="164" fontId="8" fillId="0" borderId="78" xfId="0" applyFont="true" applyBorder="true" applyAlignment="false" applyProtection="false">
      <alignment horizontal="general" vertical="bottom" textRotation="0" wrapText="false" indent="0" shrinkToFit="false"/>
      <protection locked="true" hidden="false"/>
    </xf>
    <xf numFmtId="169" fontId="8" fillId="15" borderId="91" xfId="17" applyFont="true" applyBorder="true" applyAlignment="true" applyProtection="true">
      <alignment horizontal="center" vertical="bottom" textRotation="0" wrapText="false" indent="0" shrinkToFit="false"/>
      <protection locked="false" hidden="false"/>
    </xf>
    <xf numFmtId="201" fontId="8" fillId="0" borderId="86" xfId="15" applyFont="true" applyBorder="true" applyAlignment="true" applyProtection="true">
      <alignment horizontal="center" vertical="bottom" textRotation="0" wrapText="false" indent="0" shrinkToFit="false"/>
      <protection locked="true" hidden="false"/>
    </xf>
    <xf numFmtId="193" fontId="69" fillId="9" borderId="7" xfId="0" applyFont="true" applyBorder="true" applyAlignment="false" applyProtection="false">
      <alignment horizontal="general" vertical="bottom" textRotation="0" wrapText="false" indent="0" shrinkToFit="false"/>
      <protection locked="true" hidden="false"/>
    </xf>
    <xf numFmtId="179" fontId="8" fillId="0" borderId="108" xfId="0" applyFont="true" applyBorder="true" applyAlignment="true" applyProtection="false">
      <alignment horizontal="center" vertical="bottom" textRotation="0" wrapText="false" indent="0" shrinkToFit="false"/>
      <protection locked="true" hidden="false"/>
    </xf>
    <xf numFmtId="169" fontId="8" fillId="15" borderId="1" xfId="17" applyFont="true" applyBorder="true" applyAlignment="true" applyProtection="true">
      <alignment horizontal="center" vertical="bottom" textRotation="0" wrapText="false" indent="0" shrinkToFit="false"/>
      <protection locked="false" hidden="false"/>
    </xf>
    <xf numFmtId="164" fontId="8" fillId="0" borderId="45" xfId="0" applyFont="true" applyBorder="true" applyAlignment="true" applyProtection="false">
      <alignment horizontal="center" vertical="bottom" textRotation="0" wrapText="false" indent="0" shrinkToFit="false"/>
      <protection locked="true" hidden="false"/>
    </xf>
    <xf numFmtId="183" fontId="8" fillId="3" borderId="55" xfId="19" applyFont="true" applyBorder="true" applyAlignment="true" applyProtection="true">
      <alignment horizontal="general" vertical="bottom" textRotation="0" wrapText="false" indent="0" shrinkToFit="false"/>
      <protection locked="false" hidden="false"/>
    </xf>
    <xf numFmtId="164" fontId="8" fillId="9" borderId="71" xfId="0" applyFont="true" applyBorder="true" applyAlignment="false" applyProtection="false">
      <alignment horizontal="general" vertical="bottom" textRotation="0" wrapText="false" indent="0" shrinkToFit="false"/>
      <protection locked="true" hidden="false"/>
    </xf>
    <xf numFmtId="201" fontId="8" fillId="9" borderId="72" xfId="0" applyFont="true" applyBorder="true" applyAlignment="false" applyProtection="false">
      <alignment horizontal="general" vertical="bottom" textRotation="0" wrapText="false" indent="0" shrinkToFit="false"/>
      <protection locked="true" hidden="false"/>
    </xf>
    <xf numFmtId="164" fontId="0" fillId="9" borderId="72" xfId="0" applyFont="false" applyBorder="true" applyAlignment="false" applyProtection="false">
      <alignment horizontal="general" vertical="bottom" textRotation="0" wrapText="false" indent="0" shrinkToFit="false"/>
      <protection locked="true" hidden="false"/>
    </xf>
    <xf numFmtId="181" fontId="0" fillId="9" borderId="73" xfId="0" applyFont="false" applyBorder="true" applyAlignment="false" applyProtection="false">
      <alignment horizontal="general" vertical="bottom" textRotation="0" wrapText="false" indent="0" shrinkToFit="false"/>
      <protection locked="true" hidden="false"/>
    </xf>
    <xf numFmtId="179" fontId="8" fillId="0" borderId="61" xfId="17" applyFont="true" applyBorder="true" applyAlignment="true" applyProtection="true">
      <alignment horizontal="center" vertical="bottom" textRotation="0" wrapText="false" indent="0" shrinkToFit="false"/>
      <protection locked="true" hidden="false"/>
    </xf>
    <xf numFmtId="164" fontId="8" fillId="9" borderId="11" xfId="0" applyFont="true" applyBorder="true" applyAlignment="false" applyProtection="false">
      <alignment horizontal="general" vertical="bottom" textRotation="0" wrapText="false" indent="0" shrinkToFit="false"/>
      <protection locked="true" hidden="false"/>
    </xf>
    <xf numFmtId="169" fontId="8" fillId="15" borderId="15" xfId="0" applyFont="true" applyBorder="true" applyAlignment="false" applyProtection="true">
      <alignment horizontal="general" vertical="bottom" textRotation="0" wrapText="false" indent="0" shrinkToFit="false"/>
      <protection locked="false" hidden="false"/>
    </xf>
    <xf numFmtId="164" fontId="8" fillId="0" borderId="115" xfId="0" applyFont="true" applyBorder="true" applyAlignment="true" applyProtection="false">
      <alignment horizontal="center" vertical="center" textRotation="0" wrapText="false" indent="0" shrinkToFit="false"/>
      <protection locked="true" hidden="false"/>
    </xf>
    <xf numFmtId="164" fontId="8" fillId="0" borderId="39" xfId="0" applyFont="true" applyBorder="true" applyAlignment="true" applyProtection="false">
      <alignment horizontal="right" vertical="bottom" textRotation="0" wrapText="false" indent="0" shrinkToFit="false"/>
      <protection locked="true" hidden="false"/>
    </xf>
    <xf numFmtId="169" fontId="8" fillId="15" borderId="60" xfId="17" applyFont="true" applyBorder="true" applyAlignment="true" applyProtection="true">
      <alignment horizontal="general" vertical="bottom" textRotation="0" wrapText="false" indent="0" shrinkToFit="false"/>
      <protection locked="false" hidden="false"/>
    </xf>
    <xf numFmtId="179" fontId="8" fillId="0" borderId="61" xfId="0" applyFont="true" applyBorder="true" applyAlignment="true" applyProtection="false">
      <alignment horizontal="center" vertical="bottom" textRotation="0" wrapText="false" indent="0" shrinkToFit="false"/>
      <protection locked="true" hidden="false"/>
    </xf>
    <xf numFmtId="164" fontId="8" fillId="15" borderId="67" xfId="0" applyFont="true" applyBorder="true" applyAlignment="false" applyProtection="true">
      <alignment horizontal="general" vertical="bottom" textRotation="0" wrapText="false" indent="0" shrinkToFit="false"/>
      <protection locked="false" hidden="false"/>
    </xf>
    <xf numFmtId="183" fontId="8" fillId="3" borderId="116" xfId="19" applyFont="true" applyBorder="true" applyAlignment="true" applyProtection="true">
      <alignment horizontal="center" vertical="center" textRotation="0" wrapText="false" indent="0" shrinkToFit="false"/>
      <protection locked="false" hidden="false"/>
    </xf>
    <xf numFmtId="179" fontId="8" fillId="9" borderId="31" xfId="0" applyFont="true" applyBorder="true" applyAlignment="false" applyProtection="false">
      <alignment horizontal="general" vertical="bottom" textRotation="0" wrapText="false" indent="0" shrinkToFit="false"/>
      <protection locked="true" hidden="false"/>
    </xf>
    <xf numFmtId="164" fontId="8" fillId="15" borderId="1" xfId="0" applyFont="true" applyBorder="true" applyAlignment="true" applyProtection="true">
      <alignment horizontal="center" vertical="bottom" textRotation="0" wrapText="false" indent="0" shrinkToFit="false"/>
      <protection locked="false" hidden="false"/>
    </xf>
    <xf numFmtId="169" fontId="8" fillId="15" borderId="1" xfId="17" applyFont="true" applyBorder="true" applyAlignment="true" applyProtection="true">
      <alignment horizontal="general" vertical="bottom" textRotation="0" wrapText="false" indent="0" shrinkToFit="false"/>
      <protection locked="false" hidden="false"/>
    </xf>
    <xf numFmtId="164" fontId="8" fillId="15" borderId="91" xfId="0" applyFont="true" applyBorder="true" applyAlignment="true" applyProtection="true">
      <alignment horizontal="center" vertical="bottom" textRotation="0" wrapText="false" indent="0" shrinkToFit="false"/>
      <protection locked="false" hidden="false"/>
    </xf>
    <xf numFmtId="169" fontId="8" fillId="15" borderId="91" xfId="17" applyFont="true" applyBorder="true" applyAlignment="true" applyProtection="true">
      <alignment horizontal="general" vertical="bottom" textRotation="0" wrapText="false" indent="0" shrinkToFit="false"/>
      <protection locked="false" hidden="false"/>
    </xf>
    <xf numFmtId="164" fontId="8" fillId="15" borderId="19" xfId="0" applyFont="true" applyBorder="true" applyAlignment="false" applyProtection="true">
      <alignment horizontal="general" vertical="bottom" textRotation="0" wrapText="false" indent="0" shrinkToFit="false"/>
      <protection locked="false" hidden="false"/>
    </xf>
    <xf numFmtId="164" fontId="8" fillId="0" borderId="117" xfId="0" applyFont="true" applyBorder="true" applyAlignment="true" applyProtection="false">
      <alignment horizontal="center" vertical="bottom" textRotation="0" wrapText="false" indent="0" shrinkToFit="false"/>
      <protection locked="true" hidden="false"/>
    </xf>
    <xf numFmtId="201" fontId="8" fillId="0" borderId="118" xfId="15" applyFont="true" applyBorder="true" applyAlignment="true" applyProtection="true">
      <alignment horizontal="center" vertical="bottom" textRotation="0" wrapText="false" indent="0" shrinkToFit="false"/>
      <protection locked="true" hidden="false"/>
    </xf>
    <xf numFmtId="179" fontId="8" fillId="0" borderId="119" xfId="17" applyFont="true" applyBorder="true" applyAlignment="true" applyProtection="true">
      <alignment horizontal="center" vertical="bottom" textRotation="0" wrapText="false" indent="0" shrinkToFit="false"/>
      <protection locked="true" hidden="false"/>
    </xf>
    <xf numFmtId="164" fontId="6" fillId="6" borderId="21" xfId="0" applyFont="true" applyBorder="true" applyAlignment="true" applyProtection="false">
      <alignment horizontal="left" vertical="bottom" textRotation="0" wrapText="false" indent="0" shrinkToFit="false"/>
      <protection locked="true" hidden="false"/>
    </xf>
    <xf numFmtId="164" fontId="6" fillId="6" borderId="22" xfId="0" applyFont="true" applyBorder="true" applyAlignment="true" applyProtection="false">
      <alignment horizontal="center" vertical="bottom" textRotation="0" wrapText="false" indent="0" shrinkToFit="false"/>
      <protection locked="true" hidden="false"/>
    </xf>
    <xf numFmtId="164" fontId="6" fillId="9" borderId="23" xfId="0" applyFont="true" applyBorder="true" applyAlignment="true" applyProtection="false">
      <alignment horizontal="center" vertical="bottom" textRotation="0" wrapText="false" indent="0" shrinkToFit="false"/>
      <protection locked="true" hidden="false"/>
    </xf>
    <xf numFmtId="164" fontId="8" fillId="0" borderId="16" xfId="0" applyFont="true" applyBorder="true" applyAlignment="false" applyProtection="true">
      <alignment horizontal="general" vertical="bottom" textRotation="0" wrapText="false" indent="0" shrinkToFit="false"/>
      <protection locked="false" hidden="false"/>
    </xf>
    <xf numFmtId="164" fontId="8" fillId="0" borderId="109" xfId="0" applyFont="true" applyBorder="true" applyAlignment="true" applyProtection="false">
      <alignment horizontal="center" vertical="bottom" textRotation="0" wrapText="false" indent="0" shrinkToFit="false"/>
      <protection locked="true" hidden="false"/>
    </xf>
    <xf numFmtId="169" fontId="8" fillId="3" borderId="9" xfId="17" applyFont="true" applyBorder="true" applyAlignment="true" applyProtection="true">
      <alignment horizontal="center" vertical="bottom" textRotation="0" wrapText="false" indent="0" shrinkToFit="false"/>
      <protection locked="false" hidden="false"/>
    </xf>
    <xf numFmtId="201" fontId="8" fillId="0" borderId="29" xfId="0" applyFont="true" applyBorder="true" applyAlignment="true" applyProtection="false">
      <alignment horizontal="center" vertical="bottom" textRotation="0" wrapText="false" indent="0" shrinkToFit="false"/>
      <protection locked="true" hidden="false"/>
    </xf>
    <xf numFmtId="169" fontId="8" fillId="0" borderId="17" xfId="17" applyFont="true" applyBorder="true" applyAlignment="true" applyProtection="true">
      <alignment horizontal="center" vertical="bottom" textRotation="0" wrapText="false" indent="0" shrinkToFit="false"/>
      <protection locked="true" hidden="false"/>
    </xf>
    <xf numFmtId="164" fontId="8" fillId="0" borderId="67" xfId="0" applyFont="true" applyBorder="true" applyAlignment="true" applyProtection="true">
      <alignment horizontal="center" vertical="bottom" textRotation="0" wrapText="false" indent="0" shrinkToFit="false"/>
      <protection locked="false" hidden="false"/>
    </xf>
    <xf numFmtId="169" fontId="8" fillId="6" borderId="45" xfId="17" applyFont="true" applyBorder="true" applyAlignment="true" applyProtection="true">
      <alignment horizontal="center" vertical="center" textRotation="0" wrapText="false" indent="0" shrinkToFit="false"/>
      <protection locked="true" hidden="false"/>
    </xf>
    <xf numFmtId="193" fontId="8" fillId="6" borderId="1" xfId="0" applyFont="true" applyBorder="true" applyAlignment="true" applyProtection="false">
      <alignment horizontal="right" vertical="center" textRotation="0" wrapText="false" indent="0" shrinkToFit="false"/>
      <protection locked="true" hidden="false"/>
    </xf>
    <xf numFmtId="169" fontId="8" fillId="0" borderId="8" xfId="17" applyFont="true" applyBorder="true" applyAlignment="true" applyProtection="true">
      <alignment horizontal="center" vertical="bottom" textRotation="0" wrapText="false" indent="0" shrinkToFit="false"/>
      <protection locked="true" hidden="false"/>
    </xf>
    <xf numFmtId="164" fontId="8" fillId="0" borderId="55" xfId="0" applyFont="true" applyBorder="true" applyAlignment="true" applyProtection="true">
      <alignment horizontal="center" vertical="bottom" textRotation="0" wrapText="false" indent="0" shrinkToFit="false"/>
      <protection locked="false" hidden="false"/>
    </xf>
    <xf numFmtId="164" fontId="8" fillId="0" borderId="59" xfId="0" applyFont="true" applyBorder="true" applyAlignment="false" applyProtection="true">
      <alignment horizontal="general" vertical="bottom" textRotation="0" wrapText="false" indent="0" shrinkToFit="false"/>
      <protection locked="false" hidden="false"/>
    </xf>
    <xf numFmtId="164" fontId="8" fillId="0" borderId="39" xfId="0" applyFont="true" applyBorder="true" applyAlignment="false" applyProtection="true">
      <alignment horizontal="general" vertical="bottom" textRotation="0" wrapText="false" indent="0" shrinkToFit="false"/>
      <protection locked="false" hidden="false"/>
    </xf>
    <xf numFmtId="193" fontId="8" fillId="0" borderId="39" xfId="0" applyFont="true" applyBorder="true" applyAlignment="false" applyProtection="true">
      <alignment horizontal="general" vertical="bottom" textRotation="0" wrapText="false" indent="0" shrinkToFit="false"/>
      <protection locked="false" hidden="false"/>
    </xf>
    <xf numFmtId="169" fontId="8" fillId="0" borderId="39" xfId="17" applyFont="true" applyBorder="true" applyAlignment="true" applyProtection="true">
      <alignment horizontal="general" vertical="bottom" textRotation="0" wrapText="false" indent="0" shrinkToFit="false"/>
      <protection locked="false" hidden="false"/>
    </xf>
    <xf numFmtId="164" fontId="6" fillId="0" borderId="0" xfId="0" applyFont="true" applyBorder="false" applyAlignment="false" applyProtection="true">
      <alignment horizontal="general" vertical="bottom" textRotation="0" wrapText="false" indent="0" shrinkToFit="false"/>
      <protection locked="false" hidden="false"/>
    </xf>
    <xf numFmtId="164" fontId="8" fillId="0" borderId="78" xfId="0" applyFont="true" applyBorder="true" applyAlignment="true" applyProtection="false">
      <alignment horizontal="left" vertical="bottom" textRotation="0" wrapText="false" indent="0" shrinkToFit="false"/>
      <protection locked="true" hidden="false"/>
    </xf>
    <xf numFmtId="201" fontId="8" fillId="0" borderId="39" xfId="15" applyFont="true" applyBorder="true" applyAlignment="true" applyProtection="true">
      <alignment horizontal="general" vertical="bottom" textRotation="0" wrapText="false" indent="0" shrinkToFit="false"/>
      <protection locked="true" hidden="false"/>
    </xf>
    <xf numFmtId="179" fontId="8" fillId="0" borderId="39" xfId="17" applyFont="true" applyBorder="true" applyAlignment="true" applyProtection="true">
      <alignment horizontal="general" vertical="bottom" textRotation="0" wrapText="false" indent="0" shrinkToFit="false"/>
      <protection locked="true" hidden="false"/>
    </xf>
    <xf numFmtId="169" fontId="8" fillId="0" borderId="61" xfId="17" applyFont="true" applyBorder="true" applyAlignment="true" applyProtection="true">
      <alignment horizontal="center" vertical="bottom" textRotation="0" wrapText="false" indent="0" shrinkToFit="false"/>
      <protection locked="true" hidden="false"/>
    </xf>
    <xf numFmtId="169" fontId="8" fillId="6" borderId="13" xfId="17" applyFont="true" applyBorder="true" applyAlignment="true" applyProtection="true">
      <alignment horizontal="center" vertical="bottom" textRotation="0" wrapText="false" indent="0" shrinkToFit="false"/>
      <protection locked="true" hidden="false"/>
    </xf>
    <xf numFmtId="164" fontId="6" fillId="6" borderId="0" xfId="0" applyFont="true" applyBorder="false" applyAlignment="true" applyProtection="false">
      <alignment horizontal="left" vertical="bottom" textRotation="0" wrapText="false" indent="0" shrinkToFit="false"/>
      <protection locked="true" hidden="false"/>
    </xf>
    <xf numFmtId="193" fontId="8" fillId="15" borderId="109" xfId="0" applyFont="true" applyBorder="true" applyAlignment="false" applyProtection="true">
      <alignment horizontal="general" vertical="bottom" textRotation="0" wrapText="false" indent="0" shrinkToFit="false"/>
      <protection locked="false" hidden="false"/>
    </xf>
    <xf numFmtId="179" fontId="8" fillId="0" borderId="17" xfId="17" applyFont="true" applyBorder="true" applyAlignment="true" applyProtection="true">
      <alignment horizontal="center" vertical="bottom" textRotation="0" wrapText="false" indent="0" shrinkToFit="false"/>
      <protection locked="true" hidden="false"/>
    </xf>
    <xf numFmtId="164" fontId="8" fillId="15" borderId="1" xfId="0" applyFont="true" applyBorder="true" applyAlignment="false" applyProtection="true">
      <alignment horizontal="general" vertical="bottom" textRotation="0" wrapText="false" indent="0" shrinkToFit="false"/>
      <protection locked="false" hidden="false"/>
    </xf>
    <xf numFmtId="164" fontId="8" fillId="15" borderId="72" xfId="0" applyFont="true" applyBorder="true" applyAlignment="false" applyProtection="true">
      <alignment horizontal="general" vertical="bottom" textRotation="0" wrapText="false" indent="0" shrinkToFit="false"/>
      <protection locked="false" hidden="false"/>
    </xf>
    <xf numFmtId="183" fontId="8" fillId="23" borderId="72" xfId="19" applyFont="true" applyBorder="true" applyAlignment="true" applyProtection="true">
      <alignment horizontal="center" vertical="bottom" textRotation="0" wrapText="false" indent="0" shrinkToFit="false"/>
      <protection locked="true" hidden="false"/>
    </xf>
    <xf numFmtId="201" fontId="0" fillId="0" borderId="39" xfId="0" applyFont="false" applyBorder="true" applyAlignment="false" applyProtection="false">
      <alignment horizontal="general" vertical="bottom" textRotation="0" wrapText="false" indent="0" shrinkToFit="false"/>
      <protection locked="true" hidden="false"/>
    </xf>
    <xf numFmtId="164" fontId="8" fillId="0" borderId="29" xfId="0" applyFont="true" applyBorder="true" applyAlignment="false" applyProtection="false">
      <alignment horizontal="general" vertical="bottom" textRotation="0" wrapText="false" indent="0" shrinkToFit="false"/>
      <protection locked="true" hidden="false"/>
    </xf>
    <xf numFmtId="193" fontId="8" fillId="15" borderId="1" xfId="0" applyFont="true" applyBorder="true" applyAlignment="false" applyProtection="true">
      <alignment horizontal="general" vertical="bottom" textRotation="0" wrapText="false" indent="0" shrinkToFit="false"/>
      <protection locked="false" hidden="false"/>
    </xf>
    <xf numFmtId="196" fontId="8" fillId="0" borderId="39" xfId="0" applyFont="true" applyBorder="true" applyAlignment="false" applyProtection="true">
      <alignment horizontal="general" vertical="bottom" textRotation="0" wrapText="false" indent="0" shrinkToFit="false"/>
      <protection locked="false" hidden="false"/>
    </xf>
    <xf numFmtId="164" fontId="8" fillId="0" borderId="51" xfId="0" applyFont="true" applyBorder="true" applyAlignment="true" applyProtection="false">
      <alignment horizontal="left" vertical="bottom" textRotation="0" wrapText="false" indent="0" shrinkToFit="false"/>
      <protection locked="true" hidden="false"/>
    </xf>
    <xf numFmtId="164" fontId="8" fillId="3" borderId="71" xfId="0" applyFont="true" applyBorder="true" applyAlignment="true" applyProtection="false">
      <alignment horizontal="right" vertical="bottom" textRotation="0" wrapText="false" indent="0" shrinkToFit="false"/>
      <protection locked="true" hidden="false"/>
    </xf>
    <xf numFmtId="193" fontId="8" fillId="15" borderId="72" xfId="0" applyFont="true" applyBorder="true" applyAlignment="false" applyProtection="true">
      <alignment horizontal="general" vertical="bottom" textRotation="0" wrapText="false" indent="0" shrinkToFit="false"/>
      <protection locked="false" hidden="false"/>
    </xf>
    <xf numFmtId="164" fontId="8" fillId="0" borderId="34" xfId="0" applyFont="true" applyBorder="true" applyAlignment="true" applyProtection="false">
      <alignment horizontal="left" vertical="bottom" textRotation="0" wrapText="false" indent="0" shrinkToFit="false"/>
      <protection locked="true" hidden="false"/>
    </xf>
    <xf numFmtId="201" fontId="8" fillId="3" borderId="109" xfId="15" applyFont="true" applyBorder="true" applyAlignment="true" applyProtection="true">
      <alignment horizontal="left" vertical="bottom" textRotation="0" wrapText="false" indent="0" shrinkToFit="false"/>
      <protection locked="false" hidden="false"/>
    </xf>
    <xf numFmtId="164" fontId="8" fillId="0" borderId="42" xfId="0" applyFont="true" applyBorder="true" applyAlignment="true" applyProtection="false">
      <alignment horizontal="left" vertical="bottom" textRotation="0" wrapText="false" indent="0" shrinkToFit="false"/>
      <protection locked="true" hidden="false"/>
    </xf>
    <xf numFmtId="169" fontId="8" fillId="15" borderId="109" xfId="17" applyFont="true" applyBorder="true" applyAlignment="true" applyProtection="true">
      <alignment horizontal="general" vertical="bottom" textRotation="0" wrapText="false" indent="0" shrinkToFit="false"/>
      <protection locked="false" hidden="false"/>
    </xf>
    <xf numFmtId="182" fontId="8" fillId="0" borderId="0" xfId="0" applyFont="true" applyBorder="false" applyAlignment="false" applyProtection="true">
      <alignment horizontal="general" vertical="bottom" textRotation="0" wrapText="false" indent="0" shrinkToFit="false"/>
      <protection locked="false" hidden="false"/>
    </xf>
    <xf numFmtId="164" fontId="8" fillId="0" borderId="14" xfId="0" applyFont="true" applyBorder="true" applyAlignment="true" applyProtection="false">
      <alignment horizontal="left" vertical="bottom" textRotation="0" wrapText="false" indent="0" shrinkToFit="false"/>
      <protection locked="true" hidden="false"/>
    </xf>
    <xf numFmtId="179" fontId="8" fillId="0" borderId="39" xfId="17"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left" vertical="bottom" textRotation="0" wrapText="false" indent="0" shrinkToFit="false"/>
      <protection locked="true" hidden="false"/>
    </xf>
    <xf numFmtId="164" fontId="8" fillId="25" borderId="8" xfId="0" applyFont="true" applyBorder="true" applyAlignment="true" applyProtection="false">
      <alignment horizontal="center" vertical="bottom" textRotation="0" wrapText="false" indent="0" shrinkToFit="false"/>
      <protection locked="true" hidden="false"/>
    </xf>
    <xf numFmtId="201" fontId="8" fillId="3" borderId="55" xfId="15" applyFont="true" applyBorder="true" applyAlignment="true" applyProtection="true">
      <alignment horizontal="general" vertical="bottom" textRotation="0" wrapText="false" indent="0" shrinkToFit="false"/>
      <protection locked="false" hidden="false"/>
    </xf>
    <xf numFmtId="169" fontId="8" fillId="15" borderId="55" xfId="17" applyFont="true" applyBorder="true" applyAlignment="true" applyProtection="true">
      <alignment horizontal="general" vertical="bottom" textRotation="0" wrapText="false" indent="0" shrinkToFit="false"/>
      <protection locked="false" hidden="false"/>
    </xf>
    <xf numFmtId="164" fontId="8" fillId="0" borderId="87" xfId="0" applyFont="true" applyBorder="true" applyAlignment="true" applyProtection="false">
      <alignment horizontal="left" vertical="bottom" textRotation="0" wrapText="false" indent="0" shrinkToFit="false"/>
      <protection locked="true" hidden="false"/>
    </xf>
    <xf numFmtId="201" fontId="8" fillId="3" borderId="60" xfId="15" applyFont="true" applyBorder="true" applyAlignment="true" applyProtection="true">
      <alignment horizontal="general" vertical="bottom" textRotation="0" wrapText="false" indent="0" shrinkToFit="false"/>
      <protection locked="false" hidden="false"/>
    </xf>
    <xf numFmtId="179" fontId="8" fillId="22" borderId="3" xfId="0" applyFont="true" applyBorder="true" applyAlignment="true" applyProtection="false">
      <alignment horizontal="center" vertical="bottom" textRotation="0" wrapText="false" indent="0" shrinkToFit="false"/>
      <protection locked="true" hidden="false"/>
    </xf>
    <xf numFmtId="164" fontId="6" fillId="26" borderId="18" xfId="0" applyFont="true" applyBorder="true" applyAlignment="true" applyProtection="false">
      <alignment horizontal="center" vertical="bottom" textRotation="0" wrapText="false" indent="0" shrinkToFit="false"/>
      <protection locked="true" hidden="false"/>
    </xf>
    <xf numFmtId="183" fontId="8" fillId="26" borderId="19" xfId="19" applyFont="true" applyBorder="true" applyAlignment="true" applyProtection="true">
      <alignment horizontal="general" vertical="bottom" textRotation="0" wrapText="false" indent="0" shrinkToFit="false"/>
      <protection locked="false" hidden="false"/>
    </xf>
    <xf numFmtId="169" fontId="8" fillId="26" borderId="6" xfId="17" applyFont="true" applyBorder="true" applyAlignment="true" applyProtection="true">
      <alignment horizontal="general" vertical="bottom" textRotation="0" wrapText="false" indent="0" shrinkToFit="false"/>
      <protection locked="true" hidden="false"/>
    </xf>
    <xf numFmtId="179" fontId="8" fillId="26" borderId="19" xfId="17" applyFont="true" applyBorder="true" applyAlignment="true" applyProtection="true">
      <alignment horizontal="general" vertical="bottom" textRotation="0" wrapText="false" indent="0" shrinkToFit="false"/>
      <protection locked="false" hidden="false"/>
    </xf>
    <xf numFmtId="164" fontId="8" fillId="27" borderId="6" xfId="0" applyFont="true" applyBorder="true" applyAlignment="false" applyProtection="false">
      <alignment horizontal="general" vertical="bottom" textRotation="0" wrapText="false" indent="0" shrinkToFit="false"/>
      <protection locked="true" hidden="false"/>
    </xf>
    <xf numFmtId="179" fontId="8" fillId="27" borderId="13" xfId="17" applyFont="true" applyBorder="true" applyAlignment="true" applyProtection="true">
      <alignment horizontal="center" vertical="bottom" textRotation="0" wrapText="false" indent="0" shrinkToFit="false"/>
      <protection locked="true" hidden="false"/>
    </xf>
    <xf numFmtId="185" fontId="8" fillId="14" borderId="9" xfId="19" applyFont="true" applyBorder="true" applyAlignment="true" applyProtection="true">
      <alignment horizontal="general" vertical="bottom" textRotation="0" wrapText="false" indent="0" shrinkToFit="false"/>
      <protection locked="false" hidden="false"/>
    </xf>
    <xf numFmtId="183" fontId="8" fillId="3" borderId="1" xfId="19" applyFont="true" applyBorder="true" applyAlignment="true" applyProtection="true">
      <alignment horizontal="general" vertical="bottom" textRotation="0" wrapText="false" indent="0" shrinkToFit="false"/>
      <protection locked="true" hidden="false"/>
    </xf>
    <xf numFmtId="184" fontId="8" fillId="3" borderId="33" xfId="19" applyFont="true" applyBorder="true" applyAlignment="true" applyProtection="true">
      <alignment horizontal="center" vertical="bottom" textRotation="0" wrapText="false" indent="0" shrinkToFit="false"/>
      <protection locked="false" hidden="false"/>
    </xf>
    <xf numFmtId="193" fontId="8" fillId="9" borderId="9" xfId="0" applyFont="true" applyBorder="true" applyAlignment="true" applyProtection="false">
      <alignment horizontal="left" vertical="bottom" textRotation="0" wrapText="false" indent="0" shrinkToFit="false"/>
      <protection locked="true" hidden="false"/>
    </xf>
    <xf numFmtId="208" fontId="4" fillId="6" borderId="67" xfId="0" applyFont="true" applyBorder="true" applyAlignment="true" applyProtection="false">
      <alignment horizontal="right" vertical="bottom" textRotation="0" wrapText="false" indent="0" shrinkToFit="false"/>
      <protection locked="true" hidden="false"/>
    </xf>
    <xf numFmtId="213" fontId="0" fillId="0" borderId="77" xfId="17" applyFont="true" applyBorder="true" applyAlignment="true" applyProtection="true">
      <alignment horizontal="center" vertical="bottom" textRotation="0" wrapText="false" indent="0" shrinkToFit="false"/>
      <protection locked="true" hidden="false"/>
    </xf>
    <xf numFmtId="208" fontId="4" fillId="6" borderId="91" xfId="0" applyFont="true" applyBorder="true" applyAlignment="true" applyProtection="false">
      <alignment horizontal="right" vertical="bottom" textRotation="0" wrapText="false" indent="0" shrinkToFit="false"/>
      <protection locked="true" hidden="false"/>
    </xf>
    <xf numFmtId="208" fontId="24" fillId="6" borderId="60" xfId="0" applyFont="true" applyBorder="true" applyAlignment="true" applyProtection="false">
      <alignment horizontal="right" vertical="bottom" textRotation="0" wrapText="false" indent="0" shrinkToFit="false"/>
      <protection locked="true" hidden="false"/>
    </xf>
    <xf numFmtId="164" fontId="24" fillId="0" borderId="86" xfId="0" applyFont="true" applyBorder="true" applyAlignment="false" applyProtection="false">
      <alignment horizontal="general" vertical="bottom" textRotation="0" wrapText="false" indent="0" shrinkToFit="false"/>
      <protection locked="true" hidden="false"/>
    </xf>
    <xf numFmtId="164" fontId="24" fillId="0" borderId="39" xfId="0" applyFont="true" applyBorder="true" applyAlignment="false" applyProtection="false">
      <alignment horizontal="general" vertical="bottom" textRotation="0" wrapText="false" indent="0" shrinkToFit="false"/>
      <protection locked="true" hidden="false"/>
    </xf>
    <xf numFmtId="179" fontId="24" fillId="0" borderId="61" xfId="17" applyFont="true" applyBorder="true" applyAlignment="true" applyProtection="true">
      <alignment horizontal="center" vertical="bottom" textRotation="0" wrapText="false" indent="0" shrinkToFit="false"/>
      <protection locked="true" hidden="false"/>
    </xf>
    <xf numFmtId="164" fontId="8" fillId="8" borderId="0" xfId="0" applyFont="true" applyBorder="false" applyAlignment="false" applyProtection="false">
      <alignment horizontal="general" vertical="bottom" textRotation="0" wrapText="false" indent="0" shrinkToFit="false"/>
      <protection locked="true" hidden="false"/>
    </xf>
    <xf numFmtId="164" fontId="6" fillId="9" borderId="6" xfId="0" applyFont="true" applyBorder="true" applyAlignment="true" applyProtection="false">
      <alignment horizontal="right" vertical="bottom" textRotation="0" wrapText="false" indent="0" shrinkToFit="false"/>
      <protection locked="true" hidden="false"/>
    </xf>
    <xf numFmtId="187" fontId="6" fillId="0" borderId="0" xfId="0" applyFont="true" applyBorder="false" applyAlignment="true" applyProtection="false">
      <alignment horizontal="center"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8" fillId="14" borderId="113" xfId="0" applyFont="true" applyBorder="true" applyAlignment="true" applyProtection="false">
      <alignment horizontal="left" vertical="bottom" textRotation="0" wrapText="false" indent="0" shrinkToFit="false"/>
      <protection locked="true" hidden="false"/>
    </xf>
    <xf numFmtId="164" fontId="8" fillId="14" borderId="109" xfId="0" applyFont="true" applyBorder="true" applyAlignment="true" applyProtection="false">
      <alignment horizontal="left" vertical="bottom" textRotation="0" wrapText="false" indent="0" shrinkToFit="false"/>
      <protection locked="true" hidden="false"/>
    </xf>
    <xf numFmtId="164" fontId="8" fillId="14" borderId="114" xfId="0" applyFont="true" applyBorder="true" applyAlignment="true" applyProtection="false">
      <alignment horizontal="left" vertical="bottom" textRotation="0" wrapText="false" indent="0" shrinkToFit="false"/>
      <protection locked="true" hidden="false"/>
    </xf>
    <xf numFmtId="164" fontId="41" fillId="9" borderId="0" xfId="0" applyFont="true" applyBorder="false" applyAlignment="false" applyProtection="false">
      <alignment horizontal="general" vertical="bottom" textRotation="0" wrapText="false" indent="0" shrinkToFit="false"/>
      <protection locked="true" hidden="false"/>
    </xf>
    <xf numFmtId="164" fontId="8" fillId="0" borderId="9" xfId="0" applyFont="true" applyBorder="true" applyAlignment="true" applyProtection="false">
      <alignment horizontal="right" vertical="bottom" textRotation="0" wrapText="false" indent="0" shrinkToFit="false"/>
      <protection locked="true" hidden="false"/>
    </xf>
    <xf numFmtId="164" fontId="8" fillId="14" borderId="31" xfId="0" applyFont="true" applyBorder="true" applyAlignment="true" applyProtection="false">
      <alignment horizontal="left" vertical="bottom" textRotation="0" wrapText="false" indent="0" shrinkToFit="false"/>
      <protection locked="true" hidden="false"/>
    </xf>
    <xf numFmtId="164" fontId="8" fillId="14" borderId="1" xfId="0" applyFont="true" applyBorder="true" applyAlignment="true" applyProtection="false">
      <alignment horizontal="left" vertical="bottom" textRotation="0" wrapText="false" indent="0" shrinkToFit="false"/>
      <protection locked="true" hidden="false"/>
    </xf>
    <xf numFmtId="164" fontId="8" fillId="14" borderId="32" xfId="0" applyFont="true" applyBorder="true" applyAlignment="true" applyProtection="false">
      <alignment horizontal="left" vertical="bottom" textRotation="0" wrapText="false" indent="0" shrinkToFit="false"/>
      <protection locked="true" hidden="false"/>
    </xf>
    <xf numFmtId="168" fontId="8" fillId="14" borderId="109" xfId="0" applyFont="true" applyBorder="true" applyAlignment="true" applyProtection="false">
      <alignment horizontal="center" vertical="bottom" textRotation="0" wrapText="false" indent="0" shrinkToFit="false"/>
      <protection locked="true" hidden="false"/>
    </xf>
    <xf numFmtId="164" fontId="8" fillId="14" borderId="114" xfId="0" applyFont="true" applyBorder="true" applyAlignment="true" applyProtection="false">
      <alignment horizontal="center" vertical="bottom" textRotation="0" wrapText="false" indent="0" shrinkToFit="false"/>
      <protection locked="true" hidden="false"/>
    </xf>
    <xf numFmtId="164" fontId="8" fillId="14" borderId="71" xfId="0" applyFont="true" applyBorder="true" applyAlignment="true" applyProtection="false">
      <alignment horizontal="left" vertical="bottom" textRotation="0" wrapText="false" indent="0" shrinkToFit="false"/>
      <protection locked="true" hidden="false"/>
    </xf>
    <xf numFmtId="164" fontId="8" fillId="14" borderId="72" xfId="0" applyFont="true" applyBorder="true" applyAlignment="true" applyProtection="false">
      <alignment horizontal="left" vertical="bottom" textRotation="0" wrapText="false" indent="0" shrinkToFit="false"/>
      <protection locked="true" hidden="false"/>
    </xf>
    <xf numFmtId="164" fontId="8" fillId="14" borderId="73" xfId="0" applyFont="true" applyBorder="true" applyAlignment="true" applyProtection="false">
      <alignment horizontal="left" vertical="bottom" textRotation="0" wrapText="false" indent="0" shrinkToFit="false"/>
      <protection locked="true" hidden="false"/>
    </xf>
    <xf numFmtId="168" fontId="8" fillId="14" borderId="1" xfId="0" applyFont="true" applyBorder="true" applyAlignment="true" applyProtection="false">
      <alignment horizontal="center" vertical="bottom" textRotation="0" wrapText="false" indent="0" shrinkToFit="false"/>
      <protection locked="true" hidden="false"/>
    </xf>
    <xf numFmtId="164" fontId="8" fillId="14" borderId="32" xfId="0" applyFont="true" applyBorder="true" applyAlignment="true" applyProtection="false">
      <alignment horizontal="center" vertical="bottom" textRotation="0" wrapText="false" indent="0" shrinkToFit="false"/>
      <protection locked="true" hidden="false"/>
    </xf>
    <xf numFmtId="193" fontId="8" fillId="9" borderId="0" xfId="0" applyFont="true" applyBorder="false" applyAlignment="false" applyProtection="false">
      <alignment horizontal="general" vertical="bottom" textRotation="0" wrapText="false" indent="0" shrinkToFit="false"/>
      <protection locked="true" hidden="false"/>
    </xf>
    <xf numFmtId="214" fontId="8" fillId="0" borderId="0" xfId="0" applyFont="true" applyBorder="false" applyAlignment="false" applyProtection="false">
      <alignment horizontal="general" vertical="bottom" textRotation="0" wrapText="false" indent="0" shrinkToFit="false"/>
      <protection locked="true" hidden="false"/>
    </xf>
    <xf numFmtId="168" fontId="8" fillId="3" borderId="1" xfId="0" applyFont="true" applyBorder="true" applyAlignment="true" applyProtection="true">
      <alignment horizontal="center" vertical="bottom" textRotation="0" wrapText="false" indent="0" shrinkToFit="false"/>
      <protection locked="false" hidden="false"/>
    </xf>
    <xf numFmtId="168" fontId="8" fillId="14" borderId="72" xfId="0" applyFont="true" applyBorder="true" applyAlignment="true" applyProtection="false">
      <alignment horizontal="center" vertical="bottom" textRotation="0" wrapText="false" indent="0" shrinkToFit="false"/>
      <protection locked="true" hidden="false"/>
    </xf>
    <xf numFmtId="164" fontId="8" fillId="14" borderId="73" xfId="0" applyFont="true" applyBorder="true" applyAlignment="true" applyProtection="false">
      <alignment horizontal="center" vertical="bottom" textRotation="0" wrapText="false" indent="0" shrinkToFit="false"/>
      <protection locked="true" hidden="false"/>
    </xf>
    <xf numFmtId="181" fontId="8" fillId="9" borderId="0" xfId="0" applyFont="true" applyBorder="false" applyAlignment="false" applyProtection="false">
      <alignment horizontal="general" vertical="bottom" textRotation="0" wrapText="false" indent="0" shrinkToFit="false"/>
      <protection locked="true" hidden="false"/>
    </xf>
    <xf numFmtId="164" fontId="8" fillId="3" borderId="72" xfId="0" applyFont="true" applyBorder="true" applyAlignment="false" applyProtection="true">
      <alignment horizontal="general" vertical="bottom" textRotation="0" wrapText="false" indent="0" shrinkToFit="false"/>
      <protection locked="false" hidden="false"/>
    </xf>
    <xf numFmtId="168" fontId="8" fillId="3" borderId="52" xfId="0" applyFont="true" applyBorder="true" applyAlignment="true" applyProtection="true">
      <alignment horizontal="center" vertical="bottom" textRotation="0" wrapText="false" indent="0" shrinkToFit="false"/>
      <protection locked="false" hidden="false"/>
    </xf>
    <xf numFmtId="168" fontId="8" fillId="3" borderId="120" xfId="0" applyFont="true" applyBorder="true" applyAlignment="true" applyProtection="true">
      <alignment horizontal="center" vertical="bottom" textRotation="0" wrapText="false" indent="0" shrinkToFit="false"/>
      <protection locked="false" hidden="false"/>
    </xf>
    <xf numFmtId="164" fontId="8" fillId="9" borderId="3" xfId="0" applyFont="true" applyBorder="true" applyAlignment="true" applyProtection="false">
      <alignment horizontal="center" vertical="bottom" textRotation="0" wrapText="false" indent="0" shrinkToFit="false"/>
      <protection locked="true" hidden="false"/>
    </xf>
    <xf numFmtId="164" fontId="6" fillId="3" borderId="16" xfId="0" applyFont="true" applyBorder="true" applyAlignment="true" applyProtection="false">
      <alignment horizontal="center" vertical="bottom" textRotation="0" wrapText="false" indent="0" shrinkToFit="false"/>
      <protection locked="true" hidden="false"/>
    </xf>
    <xf numFmtId="164" fontId="4" fillId="3" borderId="10" xfId="0" applyFont="true" applyBorder="true" applyAlignment="true" applyProtection="false">
      <alignment horizontal="center" vertical="bottom" textRotation="0" wrapText="true" indent="0" shrinkToFit="false"/>
      <protection locked="true" hidden="false"/>
    </xf>
    <xf numFmtId="171" fontId="6" fillId="3" borderId="9" xfId="0" applyFont="true" applyBorder="true" applyAlignment="true" applyProtection="false">
      <alignment horizontal="center" vertical="bottom" textRotation="0" wrapText="true" indent="0" shrinkToFit="false"/>
      <protection locked="true" hidden="false"/>
    </xf>
    <xf numFmtId="171" fontId="6" fillId="3" borderId="42" xfId="0" applyFont="true" applyBorder="true" applyAlignment="true" applyProtection="false">
      <alignment horizontal="center" vertical="bottom" textRotation="0" wrapText="true" indent="0" shrinkToFit="false"/>
      <protection locked="true" hidden="false"/>
    </xf>
    <xf numFmtId="164" fontId="8" fillId="3" borderId="35" xfId="0" applyFont="true" applyBorder="true" applyAlignment="true" applyProtection="false">
      <alignment horizontal="center" vertical="bottom" textRotation="0" wrapText="true" indent="0" shrinkToFit="false"/>
      <protection locked="true" hidden="false"/>
    </xf>
    <xf numFmtId="164" fontId="8" fillId="3" borderId="9" xfId="0" applyFont="true" applyBorder="true" applyAlignment="true" applyProtection="false">
      <alignment horizontal="center" vertical="bottom" textRotation="0" wrapText="true" indent="0" shrinkToFit="false"/>
      <protection locked="true" hidden="false"/>
    </xf>
    <xf numFmtId="164" fontId="8" fillId="3" borderId="34" xfId="0" applyFont="true" applyBorder="true" applyAlignment="true" applyProtection="false">
      <alignment horizontal="center" vertical="bottom" textRotation="0" wrapText="true" indent="0" shrinkToFit="false"/>
      <protection locked="true" hidden="false"/>
    </xf>
    <xf numFmtId="164" fontId="8" fillId="3" borderId="42" xfId="0" applyFont="true" applyBorder="true" applyAlignment="true" applyProtection="false">
      <alignment horizontal="center" vertical="bottom" textRotation="0" wrapText="true" indent="0" shrinkToFit="false"/>
      <protection locked="true" hidden="false"/>
    </xf>
    <xf numFmtId="171" fontId="8" fillId="3" borderId="110" xfId="0" applyFont="true" applyBorder="true" applyAlignment="true" applyProtection="false">
      <alignment horizontal="right" vertical="bottom" textRotation="0" wrapText="true" indent="0" shrinkToFit="true"/>
      <protection locked="true" hidden="false"/>
    </xf>
    <xf numFmtId="171" fontId="8" fillId="3" borderId="42" xfId="0" applyFont="true" applyBorder="true" applyAlignment="true" applyProtection="false">
      <alignment horizontal="left" vertical="bottom" textRotation="0" wrapText="true" indent="0" shrinkToFit="true"/>
      <protection locked="true" hidden="false"/>
    </xf>
    <xf numFmtId="164" fontId="8" fillId="3" borderId="36" xfId="0" applyFont="true" applyBorder="true" applyAlignment="true" applyProtection="false">
      <alignment horizontal="center" vertical="bottom" textRotation="0" wrapText="true" indent="0" shrinkToFit="false"/>
      <protection locked="true" hidden="false"/>
    </xf>
    <xf numFmtId="164" fontId="8" fillId="0" borderId="16" xfId="0" applyFont="true" applyBorder="true" applyAlignment="true" applyProtection="false">
      <alignment horizontal="center" vertical="bottom" textRotation="0" wrapText="true" indent="0" shrinkToFit="false"/>
      <protection locked="true" hidden="false"/>
    </xf>
    <xf numFmtId="164" fontId="8" fillId="0" borderId="9" xfId="0" applyFont="true" applyBorder="true" applyAlignment="true" applyProtection="false">
      <alignment horizontal="center" vertical="bottom" textRotation="0" wrapText="true" indent="0" shrinkToFit="false"/>
      <protection locked="true" hidden="false"/>
    </xf>
    <xf numFmtId="164" fontId="6" fillId="0" borderId="9" xfId="0" applyFont="true" applyBorder="true" applyAlignment="true" applyProtection="false">
      <alignment horizontal="center" vertical="bottom" textRotation="0" wrapText="true" indent="0" shrinkToFit="false"/>
      <protection locked="true" hidden="false"/>
    </xf>
    <xf numFmtId="179" fontId="6" fillId="0" borderId="17" xfId="17" applyFont="true" applyBorder="true" applyAlignment="true" applyProtection="true">
      <alignment horizontal="center" vertical="bottom" textRotation="0" wrapText="true" indent="0" shrinkToFit="false"/>
      <protection locked="true" hidden="false"/>
    </xf>
    <xf numFmtId="179" fontId="6" fillId="0" borderId="16" xfId="17" applyFont="true" applyBorder="true" applyAlignment="true" applyProtection="true">
      <alignment horizontal="center" vertical="bottom" textRotation="0" wrapText="true" indent="0" shrinkToFit="false"/>
      <protection locked="true" hidden="false"/>
    </xf>
    <xf numFmtId="179" fontId="6" fillId="0" borderId="9" xfId="17" applyFont="true" applyBorder="true" applyAlignment="true" applyProtection="true">
      <alignment horizontal="center" vertical="bottom" textRotation="0" wrapText="true" indent="0" shrinkToFit="false"/>
      <protection locked="true" hidden="false"/>
    </xf>
    <xf numFmtId="164" fontId="6" fillId="3" borderId="9" xfId="0" applyFont="true" applyBorder="true" applyAlignment="true" applyProtection="false">
      <alignment horizontal="center" vertical="bottom" textRotation="0" wrapText="false" indent="0" shrinkToFit="false"/>
      <protection locked="true" hidden="false"/>
    </xf>
    <xf numFmtId="164" fontId="14" fillId="3" borderId="9" xfId="0" applyFont="true" applyBorder="true" applyAlignment="false" applyProtection="false">
      <alignment horizontal="general" vertical="bottom" textRotation="0" wrapText="false" indent="0" shrinkToFit="false"/>
      <protection locked="true" hidden="false"/>
    </xf>
    <xf numFmtId="164" fontId="14" fillId="3" borderId="17" xfId="0" applyFont="true" applyBorder="true" applyAlignment="false" applyProtection="false">
      <alignment horizontal="general" vertical="bottom" textRotation="0" wrapText="false" indent="0" shrinkToFit="false"/>
      <protection locked="true" hidden="false"/>
    </xf>
    <xf numFmtId="164" fontId="14" fillId="3" borderId="42" xfId="0" applyFont="true" applyBorder="true" applyAlignment="false" applyProtection="false">
      <alignment horizontal="general" vertical="bottom" textRotation="0" wrapText="false" indent="0" shrinkToFit="false"/>
      <protection locked="true" hidden="false"/>
    </xf>
    <xf numFmtId="164" fontId="8" fillId="9" borderId="16" xfId="0" applyFont="true" applyBorder="true" applyAlignment="true" applyProtection="false">
      <alignment horizontal="center" vertical="bottom" textRotation="0" wrapText="false" indent="0" shrinkToFit="false"/>
      <protection locked="true" hidden="false"/>
    </xf>
    <xf numFmtId="164" fontId="8" fillId="9" borderId="9" xfId="0" applyFont="true" applyBorder="true" applyAlignment="true" applyProtection="false">
      <alignment horizontal="center" vertical="bottom" textRotation="0" wrapText="false" indent="0" shrinkToFit="false"/>
      <protection locked="true" hidden="false"/>
    </xf>
    <xf numFmtId="164" fontId="8" fillId="9" borderId="17"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center" vertical="bottom" textRotation="0" wrapText="false" indent="0" shrinkToFit="false"/>
      <protection locked="true" hidden="false"/>
    </xf>
    <xf numFmtId="164" fontId="8" fillId="9" borderId="0" xfId="0" applyFont="true" applyBorder="false" applyAlignment="true" applyProtection="false">
      <alignment horizontal="center" vertical="bottom" textRotation="0" wrapText="false" indent="0" shrinkToFit="false"/>
      <protection locked="true" hidden="false"/>
    </xf>
    <xf numFmtId="164" fontId="8" fillId="9" borderId="8" xfId="0" applyFont="true" applyBorder="true" applyAlignment="true" applyProtection="false">
      <alignment horizontal="center" vertical="bottom" textRotation="0" wrapText="false" indent="0" shrinkToFit="false"/>
      <protection locked="true" hidden="false"/>
    </xf>
    <xf numFmtId="164" fontId="8" fillId="8" borderId="0" xfId="0" applyFont="true" applyBorder="false" applyAlignment="true" applyProtection="false">
      <alignment horizontal="center" vertical="bottom" textRotation="0" wrapText="false" indent="0" shrinkToFit="false"/>
      <protection locked="true" hidden="false"/>
    </xf>
    <xf numFmtId="164" fontId="6" fillId="18" borderId="10" xfId="0" applyFont="true" applyBorder="true" applyAlignment="true" applyProtection="false">
      <alignment horizontal="center" vertical="bottom" textRotation="0" wrapText="false" indent="0" shrinkToFit="false"/>
      <protection locked="true" hidden="false"/>
    </xf>
    <xf numFmtId="164" fontId="8" fillId="18" borderId="56" xfId="0" applyFont="true" applyBorder="true" applyAlignment="false" applyProtection="false">
      <alignment horizontal="general" vertical="bottom" textRotation="0" wrapText="false" indent="0" shrinkToFit="false"/>
      <protection locked="true" hidden="false"/>
    </xf>
    <xf numFmtId="164" fontId="8" fillId="18" borderId="57" xfId="0" applyFont="true" applyBorder="true" applyAlignment="false" applyProtection="false">
      <alignment horizontal="general" vertical="bottom" textRotation="0" wrapText="false" indent="0" shrinkToFit="false"/>
      <protection locked="true" hidden="false"/>
    </xf>
    <xf numFmtId="164" fontId="0" fillId="3" borderId="59" xfId="0" applyFont="false" applyBorder="true" applyAlignment="true" applyProtection="false">
      <alignment horizontal="center" vertical="bottom" textRotation="0" wrapText="false" indent="0" shrinkToFit="false"/>
      <protection locked="true" hidden="false"/>
    </xf>
    <xf numFmtId="164" fontId="4" fillId="3" borderId="63" xfId="0" applyFont="true" applyBorder="true" applyAlignment="true" applyProtection="false">
      <alignment horizontal="center" vertical="bottom" textRotation="0" wrapText="false" indent="0" shrinkToFit="false"/>
      <protection locked="true" hidden="false"/>
    </xf>
    <xf numFmtId="171" fontId="6" fillId="3" borderId="39" xfId="0" applyFont="true" applyBorder="true" applyAlignment="true" applyProtection="false">
      <alignment horizontal="center" vertical="bottom" textRotation="0" wrapText="true" indent="0" shrinkToFit="false"/>
      <protection locked="true" hidden="false"/>
    </xf>
    <xf numFmtId="171" fontId="6" fillId="3" borderId="78" xfId="0" applyFont="true" applyBorder="true" applyAlignment="true" applyProtection="false">
      <alignment horizontal="center" vertical="bottom" textRotation="0" wrapText="true" indent="0" shrinkToFit="false"/>
      <protection locked="true" hidden="false"/>
    </xf>
    <xf numFmtId="164" fontId="8" fillId="3" borderId="62" xfId="0" applyFont="true" applyBorder="true" applyAlignment="true" applyProtection="false">
      <alignment horizontal="center" vertical="bottom" textRotation="0" wrapText="true" indent="0" shrinkToFit="false"/>
      <protection locked="true" hidden="false"/>
    </xf>
    <xf numFmtId="164" fontId="8" fillId="3" borderId="87" xfId="0" applyFont="true" applyBorder="true" applyAlignment="true" applyProtection="false">
      <alignment horizontal="center" vertical="bottom" textRotation="0" wrapText="true" indent="0" shrinkToFit="false"/>
      <protection locked="true" hidden="false"/>
    </xf>
    <xf numFmtId="164" fontId="8" fillId="3" borderId="78" xfId="0" applyFont="true" applyBorder="true" applyAlignment="true" applyProtection="false">
      <alignment horizontal="center" vertical="bottom" textRotation="0" wrapText="true" indent="0" shrinkToFit="false"/>
      <protection locked="true" hidden="false"/>
    </xf>
    <xf numFmtId="164" fontId="8" fillId="3" borderId="78" xfId="0" applyFont="true" applyBorder="true" applyAlignment="false" applyProtection="false">
      <alignment horizontal="general" vertical="bottom" textRotation="0" wrapText="false" indent="0" shrinkToFit="false"/>
      <protection locked="true" hidden="false"/>
    </xf>
    <xf numFmtId="164" fontId="8" fillId="0" borderId="59" xfId="0" applyFont="true" applyBorder="true" applyAlignment="true" applyProtection="false">
      <alignment horizontal="center" vertical="bottom" textRotation="0" wrapText="true" indent="0" shrinkToFit="false"/>
      <protection locked="true" hidden="false"/>
    </xf>
    <xf numFmtId="164" fontId="8" fillId="0" borderId="39" xfId="0" applyFont="true" applyBorder="true" applyAlignment="true" applyProtection="false">
      <alignment horizontal="center" vertical="bottom" textRotation="0" wrapText="true" indent="0" shrinkToFit="false"/>
      <protection locked="true" hidden="false"/>
    </xf>
    <xf numFmtId="164" fontId="6" fillId="0" borderId="39" xfId="0" applyFont="true" applyBorder="true" applyAlignment="true" applyProtection="false">
      <alignment horizontal="center" vertical="bottom" textRotation="0" wrapText="true" indent="0" shrinkToFit="false"/>
      <protection locked="true" hidden="false"/>
    </xf>
    <xf numFmtId="179" fontId="6" fillId="0" borderId="61" xfId="17" applyFont="true" applyBorder="true" applyAlignment="true" applyProtection="true">
      <alignment horizontal="center" vertical="bottom" textRotation="0" wrapText="true" indent="0" shrinkToFit="false"/>
      <protection locked="true" hidden="false"/>
    </xf>
    <xf numFmtId="179" fontId="6" fillId="0" borderId="70" xfId="17" applyFont="true" applyBorder="true" applyAlignment="true" applyProtection="true">
      <alignment horizontal="center" vertical="bottom" textRotation="0" wrapText="true" indent="0" shrinkToFit="false"/>
      <protection locked="true" hidden="false"/>
    </xf>
    <xf numFmtId="164" fontId="6" fillId="3" borderId="39" xfId="0" applyFont="true" applyBorder="true" applyAlignment="true" applyProtection="false">
      <alignment horizontal="center" vertical="bottom" textRotation="0" wrapText="false" indent="0" shrinkToFit="false"/>
      <protection locked="true" hidden="false"/>
    </xf>
    <xf numFmtId="164" fontId="6" fillId="3" borderId="61" xfId="0" applyFont="true" applyBorder="true" applyAlignment="true" applyProtection="false">
      <alignment horizontal="center" vertical="bottom" textRotation="0" wrapText="false" indent="0" shrinkToFit="false"/>
      <protection locked="true" hidden="false"/>
    </xf>
    <xf numFmtId="164" fontId="6" fillId="3" borderId="78" xfId="0" applyFont="true" applyBorder="true" applyAlignment="true" applyProtection="false">
      <alignment horizontal="center" vertical="bottom" textRotation="0" wrapText="false" indent="0" shrinkToFit="false"/>
      <protection locked="true" hidden="false"/>
    </xf>
    <xf numFmtId="164" fontId="6" fillId="3" borderId="86" xfId="0" applyFont="true" applyBorder="true" applyAlignment="true" applyProtection="false">
      <alignment horizontal="center" vertical="bottom" textRotation="0" wrapText="false" indent="0" shrinkToFit="false"/>
      <protection locked="true" hidden="false"/>
    </xf>
    <xf numFmtId="164" fontId="8" fillId="9" borderId="59" xfId="0" applyFont="true" applyBorder="true" applyAlignment="false" applyProtection="false">
      <alignment horizontal="general" vertical="bottom" textRotation="0" wrapText="false" indent="0" shrinkToFit="false"/>
      <protection locked="true" hidden="false"/>
    </xf>
    <xf numFmtId="164" fontId="8" fillId="9" borderId="39" xfId="0" applyFont="true" applyBorder="true" applyAlignment="false" applyProtection="false">
      <alignment horizontal="general" vertical="bottom" textRotation="0" wrapText="false" indent="0" shrinkToFit="false"/>
      <protection locked="true" hidden="false"/>
    </xf>
    <xf numFmtId="164" fontId="8" fillId="9" borderId="61" xfId="0" applyFont="true" applyBorder="true" applyAlignment="false" applyProtection="false">
      <alignment horizontal="general" vertical="bottom" textRotation="0" wrapText="false" indent="0" shrinkToFit="false"/>
      <protection locked="true" hidden="false"/>
    </xf>
    <xf numFmtId="164" fontId="8" fillId="9" borderId="59" xfId="0" applyFont="true" applyBorder="true" applyAlignment="true" applyProtection="false">
      <alignment horizontal="center" vertical="bottom" textRotation="0" wrapText="false" indent="0" shrinkToFit="false"/>
      <protection locked="true" hidden="false"/>
    </xf>
    <xf numFmtId="164" fontId="8" fillId="9" borderId="39" xfId="0" applyFont="true" applyBorder="true" applyAlignment="true" applyProtection="false">
      <alignment horizontal="center" vertical="bottom" textRotation="0" wrapText="false" indent="0" shrinkToFit="false"/>
      <protection locked="true" hidden="false"/>
    </xf>
    <xf numFmtId="164" fontId="8" fillId="9" borderId="61" xfId="0" applyFont="true" applyBorder="true" applyAlignment="true" applyProtection="false">
      <alignment horizontal="center" vertical="bottom" textRotation="0" wrapText="false" indent="0" shrinkToFit="false"/>
      <protection locked="true" hidden="false"/>
    </xf>
    <xf numFmtId="164" fontId="8" fillId="9" borderId="46" xfId="0" applyFont="true" applyBorder="true" applyAlignment="true" applyProtection="false">
      <alignment horizontal="center" vertical="bottom" textRotation="0" wrapText="false" indent="0" shrinkToFit="false"/>
      <protection locked="true" hidden="false"/>
    </xf>
    <xf numFmtId="164" fontId="8" fillId="9" borderId="56" xfId="0" applyFont="true" applyBorder="true" applyAlignment="true" applyProtection="false">
      <alignment horizontal="center" vertical="bottom" textRotation="0" wrapText="false" indent="0" shrinkToFit="false"/>
      <protection locked="true" hidden="false"/>
    </xf>
    <xf numFmtId="164" fontId="8" fillId="9" borderId="57" xfId="0" applyFont="true" applyBorder="true" applyAlignment="true" applyProtection="false">
      <alignment horizontal="center" vertical="bottom" textRotation="0" wrapText="false" indent="0" shrinkToFit="false"/>
      <protection locked="true" hidden="false"/>
    </xf>
    <xf numFmtId="164" fontId="8" fillId="9" borderId="1" xfId="0" applyFont="true" applyBorder="true" applyAlignment="true" applyProtection="false">
      <alignment horizontal="center" vertical="bottom" textRotation="0" wrapText="false" indent="0" shrinkToFit="false"/>
      <protection locked="true" hidden="false"/>
    </xf>
    <xf numFmtId="164" fontId="8" fillId="9" borderId="78" xfId="0" applyFont="true" applyBorder="true" applyAlignment="false" applyProtection="false">
      <alignment horizontal="general" vertical="bottom" textRotation="0" wrapText="false" indent="0" shrinkToFit="false"/>
      <protection locked="true" hidden="false"/>
    </xf>
    <xf numFmtId="164" fontId="8" fillId="9" borderId="90" xfId="0" applyFont="true" applyBorder="true" applyAlignment="true" applyProtection="false">
      <alignment horizontal="center" vertical="bottom" textRotation="0" wrapText="false" indent="0" shrinkToFit="false"/>
      <protection locked="true" hidden="false"/>
    </xf>
    <xf numFmtId="164" fontId="8" fillId="30" borderId="92" xfId="0" applyFont="true" applyBorder="true" applyAlignment="true" applyProtection="false">
      <alignment horizontal="center" vertical="bottom" textRotation="0" wrapText="false" indent="0" shrinkToFit="false"/>
      <protection locked="true" hidden="false"/>
    </xf>
    <xf numFmtId="164" fontId="8" fillId="30" borderId="121" xfId="0" applyFont="true" applyBorder="true" applyAlignment="true" applyProtection="false">
      <alignment horizontal="center" vertical="bottom" textRotation="0" wrapText="false" indent="0" shrinkToFit="false"/>
      <protection locked="true" hidden="false"/>
    </xf>
    <xf numFmtId="164" fontId="8" fillId="30" borderId="39" xfId="0" applyFont="true" applyBorder="true" applyAlignment="true" applyProtection="false">
      <alignment horizontal="center" vertical="bottom" textRotation="0" wrapText="false" indent="0" shrinkToFit="false"/>
      <protection locked="true" hidden="false"/>
    </xf>
    <xf numFmtId="164" fontId="8" fillId="9" borderId="2" xfId="0" applyFont="true" applyBorder="true" applyAlignment="true" applyProtection="false">
      <alignment horizontal="center" vertical="bottom" textRotation="0" wrapText="false" indent="0" shrinkToFit="false"/>
      <protection locked="true" hidden="false"/>
    </xf>
    <xf numFmtId="164" fontId="8" fillId="9" borderId="89" xfId="0" applyFont="true" applyBorder="true" applyAlignment="false" applyProtection="false">
      <alignment horizontal="general" vertical="bottom" textRotation="0" wrapText="false" indent="0" shrinkToFit="false"/>
      <protection locked="true" hidden="false"/>
    </xf>
    <xf numFmtId="193" fontId="11" fillId="0" borderId="7" xfId="0" applyFont="true" applyBorder="true" applyAlignment="false" applyProtection="true">
      <alignment horizontal="general" vertical="bottom" textRotation="0" wrapText="false" indent="0" shrinkToFit="false"/>
      <protection locked="false" hidden="false"/>
    </xf>
    <xf numFmtId="169" fontId="6" fillId="31" borderId="70" xfId="17" applyFont="true" applyBorder="true" applyAlignment="true" applyProtection="true">
      <alignment horizontal="center" vertical="bottom" textRotation="0" wrapText="false" indent="0" shrinkToFit="false"/>
      <protection locked="false" hidden="false"/>
    </xf>
    <xf numFmtId="201" fontId="7" fillId="3" borderId="41" xfId="15" applyFont="true" applyBorder="true" applyAlignment="true" applyProtection="true">
      <alignment horizontal="center" vertical="bottom" textRotation="0" wrapText="false" indent="0" shrinkToFit="false"/>
      <protection locked="false" hidden="false"/>
    </xf>
    <xf numFmtId="201" fontId="8" fillId="3" borderId="66" xfId="15" applyFont="true" applyBorder="true" applyAlignment="true" applyProtection="true">
      <alignment horizontal="center" vertical="bottom" textRotation="0" wrapText="false" indent="0" shrinkToFit="false"/>
      <protection locked="false" hidden="false"/>
    </xf>
    <xf numFmtId="164" fontId="8" fillId="3" borderId="67" xfId="0" applyFont="true" applyBorder="true" applyAlignment="true" applyProtection="true">
      <alignment horizontal="center" vertical="bottom" textRotation="0" wrapText="false" indent="0" shrinkToFit="false"/>
      <protection locked="false" hidden="false"/>
    </xf>
    <xf numFmtId="196" fontId="11" fillId="3" borderId="67" xfId="0" applyFont="true" applyBorder="true" applyAlignment="true" applyProtection="true">
      <alignment horizontal="center" vertical="bottom" textRotation="0" wrapText="false" indent="0" shrinkToFit="false"/>
      <protection locked="false" hidden="false"/>
    </xf>
    <xf numFmtId="164" fontId="8" fillId="0" borderId="41" xfId="0" applyFont="true" applyBorder="true" applyAlignment="true" applyProtection="true">
      <alignment horizontal="center" vertical="bottom" textRotation="0" wrapText="false" indent="0" shrinkToFit="false"/>
      <protection locked="false" hidden="false"/>
    </xf>
    <xf numFmtId="164" fontId="8" fillId="0" borderId="66" xfId="0" applyFont="true" applyBorder="true" applyAlignment="true" applyProtection="true">
      <alignment horizontal="center" vertical="bottom" textRotation="0" wrapText="false" indent="0" shrinkToFit="false"/>
      <protection locked="false" hidden="false"/>
    </xf>
    <xf numFmtId="201" fontId="8" fillId="0" borderId="24" xfId="15" applyFont="true" applyBorder="true" applyAlignment="true" applyProtection="true">
      <alignment horizontal="center" vertical="bottom" textRotation="0" wrapText="false" indent="0" shrinkToFit="false"/>
      <protection locked="false" hidden="false"/>
    </xf>
    <xf numFmtId="201" fontId="8" fillId="0" borderId="24" xfId="15" applyFont="true" applyBorder="true" applyAlignment="true" applyProtection="true">
      <alignment horizontal="general" vertical="bottom" textRotation="0" wrapText="false" indent="0" shrinkToFit="false"/>
      <protection locked="false" hidden="false"/>
    </xf>
    <xf numFmtId="201" fontId="8" fillId="6" borderId="0" xfId="15" applyFont="true" applyBorder="true" applyAlignment="true" applyProtection="true">
      <alignment horizontal="general" vertical="bottom" textRotation="0" wrapText="false" indent="0" shrinkToFit="false"/>
      <protection locked="false" hidden="false"/>
    </xf>
    <xf numFmtId="171" fontId="8" fillId="6" borderId="0" xfId="0" applyFont="true" applyBorder="false" applyAlignment="false" applyProtection="true">
      <alignment horizontal="general" vertical="bottom" textRotation="0" wrapText="false" indent="0" shrinkToFit="false"/>
      <protection locked="false" hidden="false"/>
    </xf>
    <xf numFmtId="169" fontId="6" fillId="15" borderId="1" xfId="17" applyFont="true" applyBorder="true" applyAlignment="true" applyProtection="true">
      <alignment horizontal="general" vertical="bottom" textRotation="0" wrapText="false" indent="0" shrinkToFit="false"/>
      <protection locked="true" hidden="false"/>
    </xf>
    <xf numFmtId="179" fontId="8" fillId="6" borderId="8" xfId="17" applyFont="true" applyBorder="true" applyAlignment="true" applyProtection="true">
      <alignment horizontal="general" vertical="bottom" textRotation="0" wrapText="false" indent="0" shrinkToFit="false"/>
      <protection locked="true" hidden="false"/>
    </xf>
    <xf numFmtId="215" fontId="8" fillId="6" borderId="31" xfId="15" applyFont="true" applyBorder="true" applyAlignment="true" applyProtection="true">
      <alignment horizontal="general" vertical="bottom" textRotation="0" wrapText="false" indent="0" shrinkToFit="false"/>
      <protection locked="true" hidden="false"/>
    </xf>
    <xf numFmtId="216" fontId="8" fillId="6" borderId="1" xfId="15" applyFont="true" applyBorder="true" applyAlignment="true" applyProtection="true">
      <alignment horizontal="general" vertical="bottom" textRotation="0" wrapText="false" indent="0" shrinkToFit="false"/>
      <protection locked="true" hidden="false"/>
    </xf>
    <xf numFmtId="217" fontId="8" fillId="6" borderId="32" xfId="15" applyFont="true" applyBorder="true" applyAlignment="true" applyProtection="true">
      <alignment horizontal="general" vertical="bottom" textRotation="0" wrapText="false" indent="0" shrinkToFit="false"/>
      <protection locked="true" hidden="false"/>
    </xf>
    <xf numFmtId="193" fontId="11" fillId="0" borderId="41" xfId="15" applyFont="true" applyBorder="true" applyAlignment="true" applyProtection="true">
      <alignment horizontal="center" vertical="bottom" textRotation="0" wrapText="false" indent="0" shrinkToFit="false"/>
      <protection locked="false" hidden="false"/>
    </xf>
    <xf numFmtId="164" fontId="8" fillId="0" borderId="74" xfId="0" applyFont="true" applyBorder="true" applyAlignment="true" applyProtection="true">
      <alignment horizontal="center" vertical="bottom" textRotation="0" wrapText="false" indent="0" shrinkToFit="false"/>
      <protection locked="false" hidden="false"/>
    </xf>
    <xf numFmtId="164" fontId="8" fillId="0" borderId="122" xfId="0" applyFont="true" applyBorder="true" applyAlignment="true" applyProtection="true">
      <alignment horizontal="center" vertical="bottom" textRotation="0" wrapText="false" indent="0" shrinkToFit="false"/>
      <protection locked="false" hidden="false"/>
    </xf>
    <xf numFmtId="164" fontId="8" fillId="0" borderId="74" xfId="15" applyFont="true" applyBorder="true" applyAlignment="true" applyProtection="true">
      <alignment horizontal="center" vertical="bottom" textRotation="0" wrapText="false" indent="0" shrinkToFit="false"/>
      <protection locked="false" hidden="false"/>
    </xf>
    <xf numFmtId="193" fontId="11" fillId="0" borderId="45" xfId="15" applyFont="true" applyBorder="true" applyAlignment="true" applyProtection="true">
      <alignment horizontal="center" vertical="bottom" textRotation="0" wrapText="false" indent="0" shrinkToFit="false"/>
      <protection locked="false" hidden="false"/>
    </xf>
    <xf numFmtId="193" fontId="11" fillId="0" borderId="45" xfId="0" applyFont="true" applyBorder="true" applyAlignment="true" applyProtection="true">
      <alignment horizontal="center" vertical="bottom" textRotation="0" wrapText="false" indent="0" shrinkToFit="false"/>
      <protection locked="false" hidden="false"/>
    </xf>
    <xf numFmtId="193" fontId="8" fillId="0" borderId="0" xfId="15" applyFont="true" applyBorder="true" applyAlignment="true" applyProtection="true">
      <alignment horizontal="center" vertical="bottom" textRotation="0" wrapText="false" indent="0" shrinkToFit="false"/>
      <protection locked="false" hidden="false"/>
    </xf>
    <xf numFmtId="193" fontId="8" fillId="0" borderId="0" xfId="0" applyFont="true" applyBorder="false" applyAlignment="true" applyProtection="false">
      <alignment horizontal="center" vertical="bottom" textRotation="0" wrapText="false" indent="0" shrinkToFit="false"/>
      <protection locked="true" hidden="false"/>
    </xf>
    <xf numFmtId="193" fontId="11" fillId="0" borderId="66" xfId="15" applyFont="true" applyBorder="true" applyAlignment="true" applyProtection="true">
      <alignment horizontal="center" vertical="bottom" textRotation="0" wrapText="false" indent="0" shrinkToFit="false"/>
      <protection locked="false" hidden="false"/>
    </xf>
    <xf numFmtId="193" fontId="8" fillId="0" borderId="0" xfId="0" applyFont="true" applyBorder="false" applyAlignment="true" applyProtection="true">
      <alignment horizontal="center" vertical="bottom" textRotation="0" wrapText="false" indent="0" shrinkToFit="false"/>
      <protection locked="false" hidden="false"/>
    </xf>
    <xf numFmtId="193" fontId="8" fillId="0" borderId="122" xfId="0" applyFont="true" applyBorder="true" applyAlignment="true" applyProtection="true">
      <alignment horizontal="center" vertical="bottom" textRotation="0" wrapText="false" indent="0" shrinkToFit="false"/>
      <protection locked="false" hidden="false"/>
    </xf>
    <xf numFmtId="193" fontId="8" fillId="9" borderId="7" xfId="0" applyFont="true" applyBorder="true" applyAlignment="false" applyProtection="false">
      <alignment horizontal="general" vertical="bottom" textRotation="0" wrapText="false" indent="0" shrinkToFit="false"/>
      <protection locked="true" hidden="false"/>
    </xf>
    <xf numFmtId="193" fontId="8" fillId="9" borderId="65" xfId="0" applyFont="true" applyBorder="true" applyAlignment="false" applyProtection="false">
      <alignment horizontal="general" vertical="bottom" textRotation="0" wrapText="false" indent="0" shrinkToFit="false"/>
      <protection locked="true" hidden="false"/>
    </xf>
    <xf numFmtId="193" fontId="8" fillId="9" borderId="8" xfId="0" applyFont="true" applyBorder="true" applyAlignment="false" applyProtection="false">
      <alignment horizontal="general" vertical="bottom" textRotation="0" wrapText="false" indent="0" shrinkToFit="false"/>
      <protection locked="true" hidden="false"/>
    </xf>
    <xf numFmtId="182" fontId="8" fillId="9" borderId="0" xfId="0" applyFont="true" applyBorder="false" applyAlignment="false" applyProtection="false">
      <alignment horizontal="general" vertical="bottom" textRotation="0" wrapText="false" indent="0" shrinkToFit="false"/>
      <protection locked="true" hidden="false"/>
    </xf>
    <xf numFmtId="201" fontId="8" fillId="9" borderId="0" xfId="0" applyFont="true" applyBorder="false" applyAlignment="false" applyProtection="false">
      <alignment horizontal="general" vertical="bottom" textRotation="0" wrapText="false" indent="0" shrinkToFit="false"/>
      <protection locked="true" hidden="false"/>
    </xf>
    <xf numFmtId="201" fontId="8" fillId="9" borderId="0" xfId="15" applyFont="true" applyBorder="true" applyAlignment="true" applyProtection="true">
      <alignment horizontal="general" vertical="bottom" textRotation="0" wrapText="false" indent="0" shrinkToFit="false"/>
      <protection locked="true" hidden="false"/>
    </xf>
    <xf numFmtId="182" fontId="8" fillId="9" borderId="74" xfId="0" applyFont="true" applyBorder="true" applyAlignment="false" applyProtection="false">
      <alignment horizontal="general" vertical="bottom" textRotation="0" wrapText="false" indent="0" shrinkToFit="false"/>
      <protection locked="true" hidden="false"/>
    </xf>
    <xf numFmtId="182" fontId="8" fillId="9" borderId="41" xfId="0" applyFont="true" applyBorder="true" applyAlignment="false" applyProtection="false">
      <alignment horizontal="general" vertical="bottom" textRotation="0" wrapText="false" indent="0" shrinkToFit="false"/>
      <protection locked="true" hidden="false"/>
    </xf>
    <xf numFmtId="182" fontId="8" fillId="9" borderId="66" xfId="0" applyFont="true" applyBorder="true" applyAlignment="false" applyProtection="false">
      <alignment horizontal="general" vertical="bottom" textRotation="0" wrapText="false" indent="0" shrinkToFit="false"/>
      <protection locked="true" hidden="false"/>
    </xf>
    <xf numFmtId="201" fontId="8" fillId="9" borderId="0" xfId="15" applyFont="true" applyBorder="true" applyAlignment="true" applyProtection="true">
      <alignment horizontal="center" vertical="center" textRotation="0" wrapText="false" indent="0" shrinkToFit="false"/>
      <protection locked="true" hidden="false"/>
    </xf>
    <xf numFmtId="179" fontId="8" fillId="9" borderId="14" xfId="17" applyFont="true" applyBorder="true" applyAlignment="true" applyProtection="true">
      <alignment horizontal="general" vertical="bottom" textRotation="0" wrapText="false" indent="0" shrinkToFit="false"/>
      <protection locked="true" hidden="false"/>
    </xf>
    <xf numFmtId="179" fontId="8" fillId="9" borderId="37" xfId="0" applyFont="true" applyBorder="true" applyAlignment="false" applyProtection="false">
      <alignment horizontal="general" vertical="bottom" textRotation="0" wrapText="false" indent="0" shrinkToFit="false"/>
      <protection locked="true" hidden="false"/>
    </xf>
    <xf numFmtId="179" fontId="8" fillId="9" borderId="45" xfId="0" applyFont="true" applyBorder="true" applyAlignment="false" applyProtection="false">
      <alignment horizontal="general" vertical="bottom" textRotation="0" wrapText="false" indent="0" shrinkToFit="false"/>
      <protection locked="true" hidden="false"/>
    </xf>
    <xf numFmtId="179" fontId="8" fillId="9" borderId="8" xfId="0" applyFont="true" applyBorder="true" applyAlignment="false" applyProtection="false">
      <alignment horizontal="general" vertical="bottom" textRotation="0" wrapText="false" indent="0" shrinkToFit="false"/>
      <protection locked="true" hidden="false"/>
    </xf>
    <xf numFmtId="164" fontId="8" fillId="9" borderId="41" xfId="0" applyFont="true" applyBorder="true" applyAlignment="false" applyProtection="false">
      <alignment horizontal="general" vertical="bottom" textRotation="0" wrapText="false" indent="0" shrinkToFit="false"/>
      <protection locked="true" hidden="false"/>
    </xf>
    <xf numFmtId="201" fontId="8" fillId="9" borderId="66" xfId="0" applyFont="true" applyBorder="true" applyAlignment="false" applyProtection="false">
      <alignment horizontal="general" vertical="bottom" textRotation="0" wrapText="false" indent="0" shrinkToFit="false"/>
      <protection locked="true" hidden="false"/>
    </xf>
    <xf numFmtId="164" fontId="8" fillId="0" borderId="69" xfId="0" applyFont="true" applyBorder="true" applyAlignment="false" applyProtection="true">
      <alignment horizontal="general" vertical="bottom" textRotation="0" wrapText="false" indent="0" shrinkToFit="false"/>
      <protection locked="false" hidden="false"/>
    </xf>
    <xf numFmtId="169" fontId="6" fillId="31" borderId="47" xfId="17" applyFont="true" applyBorder="true" applyAlignment="true" applyProtection="true">
      <alignment horizontal="center" vertical="bottom" textRotation="0" wrapText="false" indent="0" shrinkToFit="false"/>
      <protection locked="false" hidden="false"/>
    </xf>
    <xf numFmtId="201" fontId="7" fillId="3" borderId="2" xfId="15" applyFont="true" applyBorder="true" applyAlignment="true" applyProtection="true">
      <alignment horizontal="center" vertical="bottom" textRotation="0" wrapText="false" indent="0" shrinkToFit="false"/>
      <protection locked="false" hidden="false"/>
    </xf>
    <xf numFmtId="201" fontId="8" fillId="3" borderId="89" xfId="15" applyFont="true" applyBorder="true" applyAlignment="true" applyProtection="true">
      <alignment horizontal="center" vertical="bottom" textRotation="0" wrapText="false" indent="0" shrinkToFit="false"/>
      <protection locked="false" hidden="false"/>
    </xf>
    <xf numFmtId="164" fontId="8" fillId="3" borderId="1" xfId="0" applyFont="true" applyBorder="true" applyAlignment="true" applyProtection="true">
      <alignment horizontal="center" vertical="bottom" textRotation="0" wrapText="false" indent="0" shrinkToFit="false"/>
      <protection locked="false" hidden="false"/>
    </xf>
    <xf numFmtId="196" fontId="11" fillId="3" borderId="1" xfId="0" applyFont="true" applyBorder="true" applyAlignment="true" applyProtection="true">
      <alignment horizontal="center" vertical="bottom" textRotation="0" wrapText="false" indent="0" shrinkToFit="false"/>
      <protection locked="false" hidden="false"/>
    </xf>
    <xf numFmtId="164" fontId="8" fillId="0" borderId="75" xfId="0" applyFont="true" applyBorder="true" applyAlignment="true" applyProtection="true">
      <alignment horizontal="center" vertical="bottom" textRotation="0" wrapText="false" indent="0" shrinkToFit="false"/>
      <protection locked="false" hidden="false"/>
    </xf>
    <xf numFmtId="164" fontId="8" fillId="0" borderId="89" xfId="0" applyFont="true" applyBorder="true" applyAlignment="true" applyProtection="true">
      <alignment horizontal="center" vertical="bottom" textRotation="0" wrapText="false" indent="0" shrinkToFit="false"/>
      <protection locked="false" hidden="false"/>
    </xf>
    <xf numFmtId="201" fontId="8" fillId="0" borderId="123" xfId="15" applyFont="true" applyBorder="true" applyAlignment="true" applyProtection="true">
      <alignment horizontal="center" vertical="bottom" textRotation="0" wrapText="false" indent="0" shrinkToFit="false"/>
      <protection locked="false" hidden="false"/>
    </xf>
    <xf numFmtId="201" fontId="8" fillId="0" borderId="123" xfId="15" applyFont="true" applyBorder="true" applyAlignment="true" applyProtection="true">
      <alignment horizontal="general" vertical="bottom" textRotation="0" wrapText="false" indent="0" shrinkToFit="false"/>
      <protection locked="false" hidden="false"/>
    </xf>
    <xf numFmtId="164" fontId="8" fillId="0" borderId="2" xfId="0" applyFont="true" applyBorder="true" applyAlignment="true" applyProtection="true">
      <alignment horizontal="center" vertical="bottom" textRotation="0" wrapText="false" indent="0" shrinkToFit="false"/>
      <protection locked="false" hidden="false"/>
    </xf>
    <xf numFmtId="193" fontId="11" fillId="0" borderId="89" xfId="15" applyFont="true" applyBorder="true" applyAlignment="true" applyProtection="true">
      <alignment horizontal="center" vertical="bottom" textRotation="0" wrapText="false" indent="0" shrinkToFit="false"/>
      <protection locked="false" hidden="false"/>
    </xf>
    <xf numFmtId="164" fontId="8" fillId="0" borderId="68" xfId="0" applyFont="true" applyBorder="true" applyAlignment="true" applyProtection="true">
      <alignment horizontal="center" vertical="bottom" textRotation="0" wrapText="false" indent="0" shrinkToFit="false"/>
      <protection locked="false" hidden="false"/>
    </xf>
    <xf numFmtId="164" fontId="8" fillId="0" borderId="75" xfId="15" applyFont="true" applyBorder="true" applyAlignment="true" applyProtection="true">
      <alignment horizontal="center" vertical="bottom" textRotation="0" wrapText="false" indent="0" shrinkToFit="false"/>
      <protection locked="false" hidden="false"/>
    </xf>
    <xf numFmtId="193" fontId="11" fillId="0" borderId="89" xfId="0" applyFont="true" applyBorder="true" applyAlignment="true" applyProtection="true">
      <alignment horizontal="center" vertical="bottom" textRotation="0" wrapText="false" indent="0" shrinkToFit="false"/>
      <protection locked="false" hidden="false"/>
    </xf>
    <xf numFmtId="193" fontId="8" fillId="0" borderId="2" xfId="15" applyFont="true" applyBorder="true" applyAlignment="true" applyProtection="true">
      <alignment horizontal="center" vertical="bottom" textRotation="0" wrapText="false" indent="0" shrinkToFit="false"/>
      <protection locked="false" hidden="false"/>
    </xf>
    <xf numFmtId="193" fontId="8" fillId="0" borderId="2" xfId="0" applyFont="true" applyBorder="true" applyAlignment="true" applyProtection="true">
      <alignment horizontal="center" vertical="bottom" textRotation="0" wrapText="false" indent="0" shrinkToFit="false"/>
      <protection locked="false" hidden="false"/>
    </xf>
    <xf numFmtId="193" fontId="8" fillId="0" borderId="68" xfId="0" applyFont="true" applyBorder="true" applyAlignment="true" applyProtection="true">
      <alignment horizontal="center" vertical="bottom" textRotation="0" wrapText="false" indent="0" shrinkToFit="false"/>
      <protection locked="false" hidden="false"/>
    </xf>
    <xf numFmtId="182" fontId="8" fillId="9" borderId="37" xfId="0" applyFont="true" applyBorder="true" applyAlignment="false" applyProtection="false">
      <alignment horizontal="general" vertical="bottom" textRotation="0" wrapText="false" indent="0" shrinkToFit="false"/>
      <protection locked="true" hidden="false"/>
    </xf>
    <xf numFmtId="182" fontId="8" fillId="9" borderId="45" xfId="0" applyFont="true" applyBorder="true" applyAlignment="false" applyProtection="false">
      <alignment horizontal="general" vertical="bottom" textRotation="0" wrapText="false" indent="0" shrinkToFit="false"/>
      <protection locked="true" hidden="false"/>
    </xf>
    <xf numFmtId="201" fontId="8" fillId="9" borderId="45" xfId="0" applyFont="true" applyBorder="true" applyAlignment="false" applyProtection="false">
      <alignment horizontal="general" vertical="bottom" textRotation="0" wrapText="false" indent="0" shrinkToFit="false"/>
      <protection locked="true" hidden="false"/>
    </xf>
    <xf numFmtId="201" fontId="8" fillId="0" borderId="58" xfId="15" applyFont="true" applyBorder="true" applyAlignment="true" applyProtection="true">
      <alignment horizontal="center" vertical="bottom" textRotation="0" wrapText="false" indent="0" shrinkToFit="false"/>
      <protection locked="false" hidden="false"/>
    </xf>
    <xf numFmtId="201" fontId="8" fillId="0" borderId="58" xfId="15" applyFont="true" applyBorder="true" applyAlignment="true" applyProtection="true">
      <alignment horizontal="general" vertical="bottom" textRotation="0" wrapText="false" indent="0" shrinkToFit="false"/>
      <protection locked="false" hidden="false"/>
    </xf>
    <xf numFmtId="193" fontId="8" fillId="0" borderId="41" xfId="0" applyFont="true" applyBorder="true" applyAlignment="true" applyProtection="true">
      <alignment horizontal="center" vertical="bottom" textRotation="0" wrapText="false" indent="0" shrinkToFit="false"/>
      <protection locked="false" hidden="false"/>
    </xf>
    <xf numFmtId="193" fontId="11" fillId="0" borderId="66" xfId="0" applyFont="true" applyBorder="true" applyAlignment="true" applyProtection="true">
      <alignment horizontal="center" vertical="bottom" textRotation="0" wrapText="false" indent="0" shrinkToFit="false"/>
      <protection locked="false" hidden="false"/>
    </xf>
    <xf numFmtId="164" fontId="8" fillId="0" borderId="8" xfId="0" applyFont="true" applyBorder="true" applyAlignment="true" applyProtection="true">
      <alignment horizontal="center" vertical="bottom" textRotation="0" wrapText="false" indent="0" shrinkToFit="false"/>
      <protection locked="false" hidden="false"/>
    </xf>
    <xf numFmtId="193" fontId="8" fillId="0" borderId="8" xfId="0" applyFont="true" applyBorder="true" applyAlignment="true" applyProtection="true">
      <alignment horizontal="center" vertical="bottom" textRotation="0" wrapText="false" indent="0" shrinkToFit="false"/>
      <protection locked="false" hidden="false"/>
    </xf>
    <xf numFmtId="193" fontId="8" fillId="0" borderId="75" xfId="0" applyFont="true" applyBorder="true" applyAlignment="true" applyProtection="true">
      <alignment horizontal="center" vertical="bottom" textRotation="0" wrapText="false" indent="0" shrinkToFit="false"/>
      <protection locked="false" hidden="false"/>
    </xf>
    <xf numFmtId="164" fontId="11" fillId="0" borderId="68" xfId="0" applyFont="true" applyBorder="true" applyAlignment="true" applyProtection="true">
      <alignment horizontal="center" vertical="bottom" textRotation="0" wrapText="false" indent="0" shrinkToFit="false"/>
      <protection locked="false" hidden="false"/>
    </xf>
    <xf numFmtId="193" fontId="11" fillId="0" borderId="68" xfId="0" applyFont="true" applyBorder="true" applyAlignment="true" applyProtection="true">
      <alignment horizontal="center" vertical="bottom" textRotation="0" wrapText="false" indent="0" shrinkToFit="false"/>
      <protection locked="false" hidden="false"/>
    </xf>
    <xf numFmtId="164" fontId="11" fillId="0" borderId="8" xfId="0" applyFont="true" applyBorder="true" applyAlignment="true" applyProtection="true">
      <alignment horizontal="center" vertical="bottom" textRotation="0" wrapText="false" indent="0" shrinkToFit="false"/>
      <protection locked="false" hidden="false"/>
    </xf>
    <xf numFmtId="193" fontId="11" fillId="0" borderId="8" xfId="0" applyFont="true" applyBorder="true" applyAlignment="true" applyProtection="true">
      <alignment horizontal="center" vertical="bottom" textRotation="0" wrapText="false" indent="0" shrinkToFit="false"/>
      <protection locked="false" hidden="false"/>
    </xf>
    <xf numFmtId="193" fontId="8" fillId="0" borderId="89" xfId="0" applyFont="true" applyBorder="true" applyAlignment="true" applyProtection="true">
      <alignment horizontal="center" vertical="bottom" textRotation="0" wrapText="false" indent="0" shrinkToFit="false"/>
      <protection locked="false" hidden="false"/>
    </xf>
    <xf numFmtId="193" fontId="8" fillId="0" borderId="45" xfId="0" applyFont="true" applyBorder="true" applyAlignment="true" applyProtection="true">
      <alignment horizontal="center" vertical="bottom" textRotation="0" wrapText="false" indent="0" shrinkToFit="false"/>
      <protection locked="false" hidden="false"/>
    </xf>
    <xf numFmtId="196" fontId="8" fillId="3" borderId="1" xfId="0" applyFont="true" applyBorder="true" applyAlignment="true" applyProtection="true">
      <alignment horizontal="center" vertical="bottom" textRotation="0" wrapText="false" indent="0" shrinkToFit="false"/>
      <protection locked="false" hidden="false"/>
    </xf>
    <xf numFmtId="182" fontId="8" fillId="9" borderId="8" xfId="0" applyFont="true" applyBorder="true" applyAlignment="false" applyProtection="false">
      <alignment horizontal="general" vertical="bottom" textRotation="0" wrapText="false" indent="0" shrinkToFit="false"/>
      <protection locked="true" hidden="false"/>
    </xf>
    <xf numFmtId="164" fontId="8" fillId="0" borderId="37" xfId="15" applyFont="true" applyBorder="true" applyAlignment="true" applyProtection="true">
      <alignment horizontal="center" vertical="bottom" textRotation="0" wrapText="false" indent="0" shrinkToFit="false"/>
      <protection locked="false" hidden="false"/>
    </xf>
    <xf numFmtId="201" fontId="7" fillId="3" borderId="0" xfId="15" applyFont="true" applyBorder="true" applyAlignment="true" applyProtection="true">
      <alignment horizontal="center" vertical="bottom" textRotation="0" wrapText="false" indent="0" shrinkToFit="false"/>
      <protection locked="false" hidden="false"/>
    </xf>
    <xf numFmtId="201" fontId="8" fillId="3" borderId="45" xfId="15" applyFont="true" applyBorder="true" applyAlignment="true" applyProtection="true">
      <alignment horizontal="center" vertical="bottom" textRotation="0" wrapText="false" indent="0" shrinkToFit="false"/>
      <protection locked="false" hidden="false"/>
    </xf>
    <xf numFmtId="196" fontId="8" fillId="3" borderId="67" xfId="0" applyFont="true" applyBorder="true" applyAlignment="true" applyProtection="true">
      <alignment horizontal="center" vertical="bottom" textRotation="0" wrapText="false" indent="0" shrinkToFit="false"/>
      <protection locked="false" hidden="false"/>
    </xf>
    <xf numFmtId="193" fontId="8" fillId="0" borderId="45" xfId="15" applyFont="true" applyBorder="true" applyAlignment="true" applyProtection="true">
      <alignment horizontal="center" vertical="bottom" textRotation="0" wrapText="false" indent="0" shrinkToFit="false"/>
      <protection locked="false" hidden="false"/>
    </xf>
    <xf numFmtId="196" fontId="11" fillId="3" borderId="45" xfId="0" applyFont="true" applyBorder="true" applyAlignment="true" applyProtection="true">
      <alignment horizontal="center" vertical="bottom" textRotation="0" wrapText="false" indent="0" shrinkToFit="false"/>
      <protection locked="false" hidden="false"/>
    </xf>
    <xf numFmtId="164" fontId="8" fillId="0" borderId="45" xfId="15" applyFont="true" applyBorder="true" applyAlignment="true" applyProtection="true">
      <alignment horizontal="center" vertical="bottom" textRotation="0" wrapText="false" indent="0" shrinkToFit="false"/>
      <protection locked="false" hidden="false"/>
    </xf>
    <xf numFmtId="164" fontId="11" fillId="0" borderId="45" xfId="0" applyFont="true" applyBorder="true" applyAlignment="true" applyProtection="true">
      <alignment horizontal="center" vertical="bottom" textRotation="0" wrapText="false" indent="0" shrinkToFit="false"/>
      <protection locked="false" hidden="false"/>
    </xf>
    <xf numFmtId="164" fontId="8" fillId="0" borderId="0" xfId="15" applyFont="true" applyBorder="true" applyAlignment="true" applyProtection="true">
      <alignment horizontal="center" vertical="bottom" textRotation="0" wrapText="false" indent="0" shrinkToFit="false"/>
      <protection locked="false" hidden="false"/>
    </xf>
    <xf numFmtId="164" fontId="8" fillId="0" borderId="89" xfId="15" applyFont="true" applyBorder="true" applyAlignment="true" applyProtection="true">
      <alignment horizontal="center" vertical="bottom" textRotation="0" wrapText="false" indent="0" shrinkToFit="false"/>
      <protection locked="false" hidden="false"/>
    </xf>
    <xf numFmtId="164" fontId="8" fillId="0" borderId="2" xfId="15" applyFont="true" applyBorder="true" applyAlignment="true" applyProtection="true">
      <alignment horizontal="center" vertical="bottom" textRotation="0" wrapText="false" indent="0" shrinkToFit="false"/>
      <protection locked="false" hidden="false"/>
    </xf>
    <xf numFmtId="164" fontId="8" fillId="0" borderId="66" xfId="15" applyFont="true" applyBorder="true" applyAlignment="true" applyProtection="true">
      <alignment horizontal="center" vertical="bottom" textRotation="0" wrapText="false" indent="0" shrinkToFit="false"/>
      <protection locked="false" hidden="false"/>
    </xf>
    <xf numFmtId="164" fontId="8" fillId="0" borderId="1" xfId="15" applyFont="true" applyBorder="true" applyAlignment="true" applyProtection="true">
      <alignment horizontal="center" vertical="bottom" textRotation="0" wrapText="false" indent="0" shrinkToFit="false"/>
      <protection locked="false" hidden="false"/>
    </xf>
    <xf numFmtId="181" fontId="8" fillId="0" borderId="7" xfId="0" applyFont="true" applyBorder="true" applyAlignment="false" applyProtection="true">
      <alignment horizontal="general" vertical="bottom" textRotation="0" wrapText="false" indent="0" shrinkToFit="false"/>
      <protection locked="false" hidden="false"/>
    </xf>
    <xf numFmtId="164" fontId="8" fillId="0" borderId="12" xfId="0" applyFont="true" applyBorder="true" applyAlignment="false" applyProtection="true">
      <alignment horizontal="general" vertical="bottom" textRotation="0" wrapText="false" indent="0" shrinkToFit="false"/>
      <protection locked="false" hidden="false"/>
    </xf>
    <xf numFmtId="169" fontId="6" fillId="31" borderId="53" xfId="17" applyFont="true" applyBorder="true" applyAlignment="true" applyProtection="true">
      <alignment horizontal="center" vertical="bottom" textRotation="0" wrapText="false" indent="0" shrinkToFit="false"/>
      <protection locked="false" hidden="false"/>
    </xf>
    <xf numFmtId="201" fontId="7" fillId="3" borderId="6" xfId="15" applyFont="true" applyBorder="true" applyAlignment="true" applyProtection="true">
      <alignment horizontal="center" vertical="bottom" textRotation="0" wrapText="false" indent="0" shrinkToFit="false"/>
      <protection locked="false" hidden="false"/>
    </xf>
    <xf numFmtId="201" fontId="8" fillId="3" borderId="51" xfId="15" applyFont="true" applyBorder="true" applyAlignment="true" applyProtection="true">
      <alignment horizontal="center" vertical="bottom" textRotation="0" wrapText="false" indent="0" shrinkToFit="false"/>
      <protection locked="false" hidden="false"/>
    </xf>
    <xf numFmtId="164" fontId="8" fillId="0" borderId="19" xfId="0" applyFont="true" applyBorder="true" applyAlignment="true" applyProtection="true">
      <alignment horizontal="center" vertical="bottom" textRotation="0" wrapText="false" indent="0" shrinkToFit="false"/>
      <protection locked="false" hidden="false"/>
    </xf>
    <xf numFmtId="164" fontId="8" fillId="3" borderId="72" xfId="0" applyFont="true" applyBorder="true" applyAlignment="true" applyProtection="true">
      <alignment horizontal="center" vertical="bottom" textRotation="0" wrapText="false" indent="0" shrinkToFit="false"/>
      <protection locked="false" hidden="false"/>
    </xf>
    <xf numFmtId="164" fontId="8" fillId="0" borderId="6" xfId="0" applyFont="true" applyBorder="true" applyAlignment="true" applyProtection="true">
      <alignment horizontal="center" vertical="bottom" textRotation="0" wrapText="false" indent="0" shrinkToFit="false"/>
      <protection locked="false" hidden="false"/>
    </xf>
    <xf numFmtId="164" fontId="8" fillId="3" borderId="19" xfId="0" applyFont="true" applyBorder="true" applyAlignment="true" applyProtection="true">
      <alignment horizontal="center" vertical="bottom" textRotation="0" wrapText="false" indent="0" shrinkToFit="false"/>
      <protection locked="false" hidden="false"/>
    </xf>
    <xf numFmtId="164" fontId="8" fillId="0" borderId="19" xfId="15" applyFont="true" applyBorder="true" applyAlignment="true" applyProtection="true">
      <alignment horizontal="center" vertical="bottom" textRotation="0" wrapText="false" indent="0" shrinkToFit="false"/>
      <protection locked="false" hidden="false"/>
    </xf>
    <xf numFmtId="196" fontId="8" fillId="3" borderId="51" xfId="0" applyFont="true" applyBorder="true" applyAlignment="true" applyProtection="true">
      <alignment horizontal="center" vertical="bottom" textRotation="0" wrapText="false" indent="0" shrinkToFit="false"/>
      <protection locked="false" hidden="false"/>
    </xf>
    <xf numFmtId="164" fontId="8" fillId="0" borderId="51" xfId="0" applyFont="true" applyBorder="true" applyAlignment="true" applyProtection="true">
      <alignment horizontal="center" vertical="bottom" textRotation="0" wrapText="false" indent="0" shrinkToFit="false"/>
      <protection locked="false" hidden="false"/>
    </xf>
    <xf numFmtId="201" fontId="8" fillId="0" borderId="20" xfId="15" applyFont="true" applyBorder="true" applyAlignment="true" applyProtection="true">
      <alignment horizontal="center" vertical="bottom" textRotation="0" wrapText="false" indent="0" shrinkToFit="false"/>
      <protection locked="false" hidden="false"/>
    </xf>
    <xf numFmtId="201" fontId="8" fillId="0" borderId="20" xfId="15" applyFont="true" applyBorder="true" applyAlignment="true" applyProtection="true">
      <alignment horizontal="general" vertical="bottom" textRotation="0" wrapText="false" indent="0" shrinkToFit="false"/>
      <protection locked="false" hidden="false"/>
    </xf>
    <xf numFmtId="201" fontId="8" fillId="6" borderId="12" xfId="15" applyFont="true" applyBorder="true" applyAlignment="true" applyProtection="true">
      <alignment horizontal="general" vertical="bottom" textRotation="0" wrapText="false" indent="0" shrinkToFit="false"/>
      <protection locked="false" hidden="false"/>
    </xf>
    <xf numFmtId="171" fontId="8" fillId="6" borderId="6" xfId="0" applyFont="true" applyBorder="true" applyAlignment="false" applyProtection="true">
      <alignment horizontal="general" vertical="bottom" textRotation="0" wrapText="false" indent="0" shrinkToFit="false"/>
      <protection locked="false" hidden="false"/>
    </xf>
    <xf numFmtId="169" fontId="6" fillId="15" borderId="72" xfId="17" applyFont="true" applyBorder="true" applyAlignment="true" applyProtection="true">
      <alignment horizontal="general" vertical="bottom" textRotation="0" wrapText="false" indent="0" shrinkToFit="false"/>
      <protection locked="true" hidden="false"/>
    </xf>
    <xf numFmtId="164" fontId="8" fillId="0" borderId="13" xfId="0" applyFont="true" applyBorder="true" applyAlignment="true" applyProtection="true">
      <alignment horizontal="center" vertical="bottom" textRotation="0" wrapText="false" indent="0" shrinkToFit="false"/>
      <protection locked="false" hidden="false"/>
    </xf>
    <xf numFmtId="193" fontId="8" fillId="9" borderId="6" xfId="0" applyFont="true" applyBorder="true" applyAlignment="false" applyProtection="false">
      <alignment horizontal="general" vertical="bottom" textRotation="0" wrapText="false" indent="0" shrinkToFit="false"/>
      <protection locked="true" hidden="false"/>
    </xf>
    <xf numFmtId="193" fontId="8" fillId="9" borderId="13" xfId="0" applyFont="true" applyBorder="true" applyAlignment="false" applyProtection="false">
      <alignment horizontal="general" vertical="bottom" textRotation="0" wrapText="false" indent="0" shrinkToFit="false"/>
      <protection locked="true" hidden="false"/>
    </xf>
    <xf numFmtId="193" fontId="8" fillId="9" borderId="12" xfId="0" applyFont="true" applyBorder="true" applyAlignment="false" applyProtection="false">
      <alignment horizontal="general" vertical="bottom" textRotation="0" wrapText="false" indent="0" shrinkToFit="false"/>
      <protection locked="true" hidden="false"/>
    </xf>
    <xf numFmtId="182" fontId="8" fillId="9" borderId="13" xfId="0" applyFont="true" applyBorder="true" applyAlignment="false" applyProtection="false">
      <alignment horizontal="general" vertical="bottom" textRotation="0" wrapText="false" indent="0" shrinkToFit="false"/>
      <protection locked="true" hidden="false"/>
    </xf>
    <xf numFmtId="182" fontId="8" fillId="9" borderId="75" xfId="0" applyFont="true" applyBorder="true" applyAlignment="false" applyProtection="false">
      <alignment horizontal="general" vertical="bottom" textRotation="0" wrapText="false" indent="0" shrinkToFit="false"/>
      <protection locked="true" hidden="false"/>
    </xf>
    <xf numFmtId="182" fontId="8" fillId="9" borderId="2" xfId="0" applyFont="true" applyBorder="true" applyAlignment="false" applyProtection="false">
      <alignment horizontal="general" vertical="bottom" textRotation="0" wrapText="false" indent="0" shrinkToFit="false"/>
      <protection locked="true" hidden="false"/>
    </xf>
    <xf numFmtId="182" fontId="8" fillId="9" borderId="89" xfId="0" applyFont="true" applyBorder="true" applyAlignment="false" applyProtection="false">
      <alignment horizontal="general" vertical="bottom" textRotation="0" wrapText="false" indent="0" shrinkToFit="false"/>
      <protection locked="true" hidden="false"/>
    </xf>
    <xf numFmtId="201" fontId="8" fillId="14" borderId="26" xfId="15" applyFont="true" applyBorder="true" applyAlignment="true" applyProtection="true">
      <alignment horizontal="center" vertical="bottom" textRotation="0" wrapText="false" indent="0" shrinkToFit="false"/>
      <protection locked="false" hidden="false"/>
    </xf>
    <xf numFmtId="196" fontId="8" fillId="9" borderId="0" xfId="0" applyFont="true" applyBorder="false" applyAlignment="false" applyProtection="false">
      <alignment horizontal="general" vertical="bottom" textRotation="0" wrapText="false" indent="0" shrinkToFit="false"/>
      <protection locked="true" hidden="false"/>
    </xf>
    <xf numFmtId="171" fontId="8" fillId="9" borderId="6" xfId="0" applyFont="true" applyBorder="true" applyAlignment="false" applyProtection="false">
      <alignment horizontal="general" vertical="bottom" textRotation="0" wrapText="false" indent="0" shrinkToFit="false"/>
      <protection locked="true" hidden="false"/>
    </xf>
    <xf numFmtId="196" fontId="76" fillId="9" borderId="0" xfId="0" applyFont="true" applyBorder="false" applyAlignment="true" applyProtection="false">
      <alignment horizontal="center" vertical="bottom" textRotation="0" wrapText="false" indent="0" shrinkToFit="false"/>
      <protection locked="true" hidden="false"/>
    </xf>
    <xf numFmtId="216" fontId="8" fillId="9" borderId="0" xfId="0" applyFont="true" applyBorder="false" applyAlignment="false" applyProtection="false">
      <alignment horizontal="general" vertical="bottom" textRotation="0" wrapText="false" indent="0" shrinkToFit="false"/>
      <protection locked="true" hidden="false"/>
    </xf>
    <xf numFmtId="201" fontId="8" fillId="6" borderId="28" xfId="0" applyFont="true" applyBorder="true" applyAlignment="true" applyProtection="false">
      <alignment horizontal="center" vertical="bottom" textRotation="0" wrapText="false" indent="0" shrinkToFit="false"/>
      <protection locked="true" hidden="false"/>
    </xf>
    <xf numFmtId="201" fontId="8" fillId="6" borderId="30" xfId="0" applyFont="true" applyBorder="true" applyAlignment="true" applyProtection="false">
      <alignment horizontal="center" vertical="bottom"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79" fontId="8" fillId="9" borderId="21" xfId="17" applyFont="true" applyBorder="true" applyAlignment="true" applyProtection="true">
      <alignment horizontal="general" vertical="bottom" textRotation="0" wrapText="false" indent="0" shrinkToFit="false"/>
      <protection locked="true" hidden="false"/>
    </xf>
    <xf numFmtId="179" fontId="8" fillId="9" borderId="22" xfId="17" applyFont="true" applyBorder="true" applyAlignment="true" applyProtection="true">
      <alignment horizontal="general" vertical="bottom" textRotation="0" wrapText="false" indent="0" shrinkToFit="false"/>
      <protection locked="true" hidden="false"/>
    </xf>
    <xf numFmtId="179" fontId="8" fillId="9" borderId="43" xfId="17" applyFont="true" applyBorder="true" applyAlignment="true" applyProtection="true">
      <alignment horizontal="general" vertical="bottom" textRotation="0" wrapText="false" indent="0" shrinkToFit="false"/>
      <protection locked="true" hidden="false"/>
    </xf>
    <xf numFmtId="179" fontId="8" fillId="9" borderId="29" xfId="17" applyFont="true" applyBorder="true" applyAlignment="true" applyProtection="true">
      <alignment horizontal="general" vertical="bottom" textRotation="0" wrapText="false" indent="0" shrinkToFit="false"/>
      <protection locked="true" hidden="false"/>
    </xf>
    <xf numFmtId="179" fontId="8" fillId="9" borderId="124" xfId="17" applyFont="true" applyBorder="true" applyAlignment="true" applyProtection="true">
      <alignment horizontal="general" vertical="bottom" textRotation="0" wrapText="false" indent="0" shrinkToFit="false"/>
      <protection locked="true" hidden="false"/>
    </xf>
    <xf numFmtId="179" fontId="8" fillId="9" borderId="23" xfId="17" applyFont="true" applyBorder="true" applyAlignment="true" applyProtection="true">
      <alignment horizontal="general" vertical="bottom" textRotation="0" wrapText="false" indent="0" shrinkToFit="false"/>
      <protection locked="true" hidden="false"/>
    </xf>
    <xf numFmtId="193" fontId="8" fillId="9" borderId="22" xfId="0" applyFont="true" applyBorder="true" applyAlignment="false" applyProtection="false">
      <alignment horizontal="general" vertical="bottom" textRotation="0" wrapText="false" indent="0" shrinkToFit="false"/>
      <protection locked="true" hidden="false"/>
    </xf>
    <xf numFmtId="193" fontId="8" fillId="9" borderId="23" xfId="0" applyFont="true" applyBorder="true" applyAlignment="false" applyProtection="false">
      <alignment horizontal="general" vertical="bottom" textRotation="0" wrapText="false" indent="0" shrinkToFit="false"/>
      <protection locked="true" hidden="false"/>
    </xf>
    <xf numFmtId="179" fontId="8" fillId="4" borderId="3" xfId="0" applyFont="true" applyBorder="true" applyAlignment="true" applyProtection="true">
      <alignment horizontal="center" vertical="bottom" textRotation="0" wrapText="false" indent="0" shrinkToFit="false"/>
      <protection locked="false" hidden="false"/>
    </xf>
    <xf numFmtId="164" fontId="0" fillId="14" borderId="9" xfId="0" applyFont="false" applyBorder="true" applyAlignment="false" applyProtection="false">
      <alignment horizontal="general" vertical="bottom" textRotation="0" wrapText="false" indent="0" shrinkToFit="false"/>
      <protection locked="true" hidden="false"/>
    </xf>
    <xf numFmtId="179" fontId="8" fillId="14" borderId="17" xfId="17" applyFont="true" applyBorder="true" applyAlignment="true" applyProtection="true">
      <alignment horizontal="left" vertical="bottom" textRotation="0" wrapText="false" indent="0" shrinkToFit="false"/>
      <protection locked="true" hidden="false"/>
    </xf>
    <xf numFmtId="164" fontId="6" fillId="9" borderId="16" xfId="0" applyFont="true" applyBorder="true" applyAlignment="true" applyProtection="true">
      <alignment horizontal="center" vertical="bottom" textRotation="0" wrapText="false" indent="0" shrinkToFit="false"/>
      <protection locked="false" hidden="false"/>
    </xf>
    <xf numFmtId="164" fontId="6" fillId="9" borderId="9" xfId="0" applyFont="true" applyBorder="true" applyAlignment="true" applyProtection="true">
      <alignment horizontal="center" vertical="bottom" textRotation="0" wrapText="false" indent="0" shrinkToFit="false"/>
      <protection locked="false" hidden="false"/>
    </xf>
    <xf numFmtId="164" fontId="6" fillId="9" borderId="17" xfId="0" applyFont="true" applyBorder="true" applyAlignment="true" applyProtection="true">
      <alignment horizontal="center" vertical="bottom" textRotation="0" wrapText="false" indent="0" shrinkToFit="false"/>
      <protection locked="fals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79" fontId="0" fillId="14" borderId="0" xfId="0" applyFont="false" applyBorder="false" applyAlignment="false" applyProtection="false">
      <alignment horizontal="general" vertical="bottom" textRotation="0" wrapText="false" indent="0" shrinkToFit="false"/>
      <protection locked="true" hidden="false"/>
    </xf>
    <xf numFmtId="164" fontId="8" fillId="32" borderId="10" xfId="0" applyFont="true" applyBorder="true" applyAlignment="true" applyProtection="false">
      <alignment horizontal="center" vertical="bottom" textRotation="0" wrapText="false" indent="0" shrinkToFit="false"/>
      <protection locked="true" hidden="false"/>
    </xf>
    <xf numFmtId="179" fontId="69" fillId="9" borderId="0" xfId="0" applyFont="true" applyBorder="false" applyAlignment="false" applyProtection="false">
      <alignment horizontal="general" vertical="bottom" textRotation="0" wrapText="false" indent="0" shrinkToFit="false"/>
      <protection locked="true" hidden="false"/>
    </xf>
    <xf numFmtId="169" fontId="8" fillId="0" borderId="6" xfId="17" applyFont="true" applyBorder="true" applyAlignment="true" applyProtection="true">
      <alignment horizontal="center" vertical="bottom" textRotation="0" wrapText="false" indent="0" shrinkToFit="false"/>
      <protection locked="false" hidden="false"/>
    </xf>
    <xf numFmtId="185" fontId="6" fillId="9" borderId="6" xfId="19" applyFont="true" applyBorder="true" applyAlignment="true" applyProtection="true">
      <alignment horizontal="center" vertical="bottom" textRotation="0" wrapText="false" indent="0" shrinkToFit="false"/>
      <protection locked="true" hidden="false"/>
    </xf>
    <xf numFmtId="169" fontId="8" fillId="9" borderId="12" xfId="17" applyFont="true" applyBorder="true" applyAlignment="true" applyProtection="true">
      <alignment horizontal="center" vertical="bottom" textRotation="0" wrapText="false" indent="0" shrinkToFit="false"/>
      <protection locked="false" hidden="false"/>
    </xf>
    <xf numFmtId="169" fontId="8" fillId="9" borderId="6" xfId="17" applyFont="true" applyBorder="true" applyAlignment="true" applyProtection="true">
      <alignment horizontal="center" vertical="bottom" textRotation="0" wrapText="false" indent="0" shrinkToFit="false"/>
      <protection locked="false" hidden="false"/>
    </xf>
    <xf numFmtId="169" fontId="8" fillId="9" borderId="13" xfId="17" applyFont="true" applyBorder="true" applyAlignment="true" applyProtection="true">
      <alignment horizontal="center" vertical="bottom" textRotation="0" wrapText="false" indent="0" shrinkToFit="false"/>
      <protection locked="false" hidden="false"/>
    </xf>
    <xf numFmtId="185" fontId="8" fillId="3" borderId="12" xfId="19" applyFont="true" applyBorder="true" applyAlignment="true" applyProtection="true">
      <alignment horizontal="center" vertical="bottom" textRotation="0" wrapText="false" indent="0" shrinkToFit="false"/>
      <protection locked="false" hidden="false"/>
    </xf>
    <xf numFmtId="184" fontId="8" fillId="3" borderId="6" xfId="19" applyFont="true" applyBorder="true" applyAlignment="true" applyProtection="true">
      <alignment horizontal="center" vertical="bottom" textRotation="0" wrapText="false" indent="0" shrinkToFit="false"/>
      <protection locked="false" hidden="false"/>
    </xf>
    <xf numFmtId="184" fontId="8" fillId="3" borderId="13" xfId="19" applyFont="true" applyBorder="true" applyAlignment="true" applyProtection="true">
      <alignment horizontal="center" vertical="bottom" textRotation="0" wrapText="false" indent="0" shrinkToFit="false"/>
      <protection locked="false" hidden="false"/>
    </xf>
    <xf numFmtId="164" fontId="8" fillId="32" borderId="33" xfId="0" applyFont="true" applyBorder="true" applyAlignment="true" applyProtection="false">
      <alignment horizontal="center" vertical="bottom" textRotation="0" wrapText="false" indent="0" shrinkToFit="false"/>
      <protection locked="true" hidden="false"/>
    </xf>
    <xf numFmtId="169" fontId="6" fillId="0" borderId="0" xfId="0" applyFont="true" applyBorder="true" applyAlignment="true" applyProtection="false">
      <alignment horizontal="center" vertical="bottom" textRotation="0" wrapText="false" indent="0" shrinkToFit="false"/>
      <protection locked="true" hidden="false"/>
    </xf>
    <xf numFmtId="179" fontId="6" fillId="0" borderId="0" xfId="0" applyFont="true" applyBorder="false" applyAlignment="true" applyProtection="false">
      <alignment horizontal="center" vertical="bottom" textRotation="0" wrapText="false" indent="0" shrinkToFit="false"/>
      <protection locked="true" hidden="false"/>
    </xf>
    <xf numFmtId="164" fontId="8" fillId="14" borderId="16" xfId="0" applyFont="true" applyBorder="true" applyAlignment="false" applyProtection="false">
      <alignment horizontal="general" vertical="bottom" textRotation="0" wrapText="false" indent="0" shrinkToFit="false"/>
      <protection locked="true" hidden="false"/>
    </xf>
    <xf numFmtId="164" fontId="69" fillId="14" borderId="0" xfId="0" applyFont="true" applyBorder="false" applyAlignment="true" applyProtection="false">
      <alignment horizontal="right" vertical="bottom" textRotation="0" wrapText="false" indent="0" shrinkToFit="false"/>
      <protection locked="true" hidden="false"/>
    </xf>
    <xf numFmtId="179" fontId="8" fillId="14" borderId="3" xfId="0" applyFont="true" applyBorder="true" applyAlignment="true" applyProtection="false">
      <alignment horizontal="center" vertical="bottom" textRotation="0" wrapText="false" indent="0" shrinkToFit="false"/>
      <protection locked="true" hidden="false"/>
    </xf>
    <xf numFmtId="179" fontId="8" fillId="14" borderId="103" xfId="17" applyFont="true" applyBorder="true" applyAlignment="true" applyProtection="true">
      <alignment horizontal="center" vertical="bottom" textRotation="0" wrapText="false" indent="0" shrinkToFit="false"/>
      <protection locked="true" hidden="false"/>
    </xf>
    <xf numFmtId="179" fontId="8" fillId="15" borderId="3" xfId="17" applyFont="true" applyBorder="true" applyAlignment="true" applyProtection="true">
      <alignment horizontal="center" vertical="bottom" textRotation="0" wrapText="false" indent="0" shrinkToFit="false"/>
      <protection locked="true" hidden="false"/>
    </xf>
    <xf numFmtId="201" fontId="8" fillId="14" borderId="103" xfId="0" applyFont="true" applyBorder="true" applyAlignment="true" applyProtection="false">
      <alignment horizontal="center" vertical="bottom" textRotation="0" wrapText="false" indent="0" shrinkToFit="false"/>
      <protection locked="true" hidden="false"/>
    </xf>
    <xf numFmtId="164" fontId="6" fillId="14" borderId="0" xfId="0" applyFont="true" applyBorder="false" applyAlignment="false" applyProtection="false">
      <alignment horizontal="general" vertical="bottom" textRotation="0" wrapText="false" indent="0" shrinkToFit="false"/>
      <protection locked="true" hidden="false"/>
    </xf>
    <xf numFmtId="179" fontId="79" fillId="14" borderId="0" xfId="17" applyFont="true" applyBorder="true" applyAlignment="true" applyProtection="true">
      <alignment horizontal="center" vertical="bottom" textRotation="0" wrapText="false" indent="0" shrinkToFit="false"/>
      <protection locked="true" hidden="false"/>
    </xf>
    <xf numFmtId="179" fontId="69" fillId="14" borderId="0" xfId="0" applyFont="true" applyBorder="false" applyAlignment="true" applyProtection="false">
      <alignment horizontal="center" vertical="bottom" textRotation="0" wrapText="false" indent="0" shrinkToFit="false"/>
      <protection locked="true" hidden="false"/>
    </xf>
    <xf numFmtId="164" fontId="6" fillId="0" borderId="16" xfId="0" applyFont="true" applyBorder="true" applyAlignment="true" applyProtection="false">
      <alignment horizontal="left" vertical="bottom" textRotation="0" wrapText="false" indent="0" shrinkToFit="false"/>
      <protection locked="true" hidden="false"/>
    </xf>
    <xf numFmtId="164" fontId="6" fillId="0" borderId="110" xfId="0" applyFont="true" applyBorder="true" applyAlignment="true" applyProtection="false">
      <alignment horizontal="center" vertical="bottom" textRotation="0" wrapText="false" indent="0" shrinkToFit="false"/>
      <protection locked="true" hidden="false"/>
    </xf>
    <xf numFmtId="164" fontId="6" fillId="0" borderId="42" xfId="0" applyFont="true" applyBorder="true" applyAlignment="true" applyProtection="false">
      <alignment horizontal="center" vertical="bottom" textRotation="0" wrapText="false" indent="0" shrinkToFit="false"/>
      <protection locked="true" hidden="false"/>
    </xf>
    <xf numFmtId="164" fontId="8" fillId="0" borderId="42" xfId="0" applyFont="true" applyBorder="true" applyAlignment="true" applyProtection="false">
      <alignment horizontal="center" vertical="bottom" textRotation="0" wrapText="true" indent="0" shrinkToFit="false"/>
      <protection locked="true" hidden="false"/>
    </xf>
    <xf numFmtId="164" fontId="8" fillId="0" borderId="17" xfId="0" applyFont="true" applyBorder="true" applyAlignment="true" applyProtection="false">
      <alignment horizontal="center" vertical="bottom" textRotation="0" wrapText="true" indent="0" shrinkToFit="false"/>
      <protection locked="true" hidden="false"/>
    </xf>
    <xf numFmtId="193" fontId="8" fillId="9" borderId="95" xfId="0" applyFont="true" applyBorder="true" applyAlignment="true" applyProtection="false">
      <alignment horizontal="center" vertical="bottom" textRotation="0" wrapText="false" indent="0" shrinkToFit="false"/>
      <protection locked="true" hidden="false"/>
    </xf>
    <xf numFmtId="193" fontId="8" fillId="6" borderId="96" xfId="0" applyFont="true" applyBorder="true" applyAlignment="true" applyProtection="false">
      <alignment horizontal="center" vertical="bottom" textRotation="0" wrapText="false" indent="0" shrinkToFit="false"/>
      <protection locked="true" hidden="false"/>
    </xf>
    <xf numFmtId="164" fontId="8" fillId="18" borderId="46" xfId="0" applyFont="true" applyBorder="true" applyAlignment="false" applyProtection="false">
      <alignment horizontal="general" vertical="bottom" textRotation="0" wrapText="false" indent="0" shrinkToFit="false"/>
      <protection locked="true" hidden="false"/>
    </xf>
    <xf numFmtId="193" fontId="8" fillId="18" borderId="56" xfId="0" applyFont="true" applyBorder="true" applyAlignment="false" applyProtection="false">
      <alignment horizontal="general" vertical="bottom" textRotation="0" wrapText="false" indent="0" shrinkToFit="false"/>
      <protection locked="true" hidden="false"/>
    </xf>
    <xf numFmtId="164" fontId="8" fillId="0" borderId="87" xfId="0" applyFont="true" applyBorder="true" applyAlignment="true" applyProtection="false">
      <alignment horizontal="center" vertical="bottom" textRotation="0" wrapText="true" indent="0" shrinkToFit="false"/>
      <protection locked="true" hidden="false"/>
    </xf>
    <xf numFmtId="164" fontId="8" fillId="3" borderId="60" xfId="0" applyFont="true" applyBorder="true" applyAlignment="true" applyProtection="false">
      <alignment horizontal="left" vertical="bottom" textRotation="0" wrapText="true" indent="0" shrinkToFit="false"/>
      <protection locked="true" hidden="false"/>
    </xf>
    <xf numFmtId="164" fontId="8" fillId="3" borderId="61" xfId="0" applyFont="true" applyBorder="true" applyAlignment="true" applyProtection="false">
      <alignment horizontal="center" vertical="bottom" textRotation="0" wrapText="true" indent="0" shrinkToFit="false"/>
      <protection locked="true" hidden="false"/>
    </xf>
    <xf numFmtId="164" fontId="8" fillId="0" borderId="78" xfId="0" applyFont="true" applyBorder="true" applyAlignment="true" applyProtection="false">
      <alignment horizontal="center" vertical="bottom" textRotation="0" wrapText="true" indent="0" shrinkToFit="false"/>
      <protection locked="true" hidden="false"/>
    </xf>
    <xf numFmtId="164" fontId="8" fillId="0" borderId="61" xfId="0" applyFont="true" applyBorder="true" applyAlignment="true" applyProtection="false">
      <alignment horizontal="center" vertical="bottom" textRotation="0" wrapText="true" indent="0" shrinkToFit="false"/>
      <protection locked="true" hidden="false"/>
    </xf>
    <xf numFmtId="164" fontId="8" fillId="0" borderId="33" xfId="0" applyFont="true" applyBorder="true" applyAlignment="true" applyProtection="false">
      <alignment horizontal="center" vertical="bottom" textRotation="0" wrapText="true" indent="0" shrinkToFit="false"/>
      <protection locked="true" hidden="false"/>
    </xf>
    <xf numFmtId="182" fontId="8" fillId="6" borderId="44" xfId="0" applyFont="true" applyBorder="true" applyAlignment="true" applyProtection="false">
      <alignment horizontal="center" vertical="bottom" textRotation="0" wrapText="true" indent="0" shrinkToFit="false"/>
      <protection locked="true" hidden="false"/>
    </xf>
    <xf numFmtId="164" fontId="8" fillId="3" borderId="14" xfId="0" applyFont="true" applyBorder="true" applyAlignment="false" applyProtection="true">
      <alignment horizontal="general" vertical="bottom" textRotation="0" wrapText="false" indent="0" shrinkToFit="false"/>
      <protection locked="false" hidden="false"/>
    </xf>
    <xf numFmtId="164" fontId="8" fillId="0" borderId="37" xfId="0" applyFont="true" applyBorder="true" applyAlignment="true" applyProtection="true">
      <alignment horizontal="center" vertical="bottom" textRotation="0" wrapText="false" indent="0" shrinkToFit="false"/>
      <protection locked="false" hidden="false"/>
    </xf>
    <xf numFmtId="218" fontId="8" fillId="0" borderId="0" xfId="0" applyFont="true" applyBorder="false" applyAlignment="true" applyProtection="false">
      <alignment horizontal="center" vertical="bottom" textRotation="0" wrapText="false" indent="0" shrinkToFit="false"/>
      <protection locked="true" hidden="false"/>
    </xf>
    <xf numFmtId="218" fontId="8" fillId="0" borderId="45" xfId="0" applyFont="true" applyBorder="true" applyAlignment="true" applyProtection="false">
      <alignment horizontal="center" vertical="bottom" textRotation="0" wrapText="false" indent="0" shrinkToFit="false"/>
      <protection locked="true" hidden="false"/>
    </xf>
    <xf numFmtId="218" fontId="8" fillId="0" borderId="107" xfId="0" applyFont="true" applyBorder="true" applyAlignment="true" applyProtection="false">
      <alignment horizontal="center" vertical="bottom" textRotation="0" wrapText="false" indent="0" shrinkToFit="false"/>
      <protection locked="true" hidden="false"/>
    </xf>
    <xf numFmtId="218" fontId="8" fillId="0" borderId="8" xfId="0" applyFont="true" applyBorder="true" applyAlignment="true" applyProtection="false">
      <alignment horizontal="center" vertical="bottom" textRotation="0" wrapText="false" indent="0" shrinkToFit="false"/>
      <protection locked="true" hidden="false"/>
    </xf>
    <xf numFmtId="219" fontId="23" fillId="0" borderId="53" xfId="0" applyFont="true" applyBorder="true" applyAlignment="true" applyProtection="false">
      <alignment horizontal="center" vertical="bottom" textRotation="0" wrapText="false" indent="0" shrinkToFit="false"/>
      <protection locked="true" hidden="false"/>
    </xf>
    <xf numFmtId="164" fontId="8" fillId="3" borderId="7" xfId="0" applyFont="true" applyBorder="true" applyAlignment="false" applyProtection="true">
      <alignment horizontal="general" vertical="bottom" textRotation="0" wrapText="false" indent="0" shrinkToFit="false"/>
      <protection locked="false" hidden="false"/>
    </xf>
    <xf numFmtId="218" fontId="8" fillId="0" borderId="37" xfId="0" applyFont="true" applyBorder="true" applyAlignment="true" applyProtection="false">
      <alignment horizontal="center" vertical="bottom" textRotation="0" wrapText="false" indent="0" shrinkToFit="false"/>
      <protection locked="true" hidden="false"/>
    </xf>
    <xf numFmtId="182" fontId="8" fillId="6" borderId="10" xfId="0" applyFont="true" applyBorder="true" applyAlignment="true" applyProtection="false">
      <alignment horizontal="center" vertical="bottom" textRotation="0" wrapText="false" indent="0" shrinkToFit="false"/>
      <protection locked="true" hidden="false"/>
    </xf>
    <xf numFmtId="219" fontId="8" fillId="9" borderId="70" xfId="0" applyFont="true" applyBorder="true" applyAlignment="true" applyProtection="false">
      <alignment horizontal="center" vertical="bottom" textRotation="0" wrapText="false" indent="0" shrinkToFit="false"/>
      <protection locked="true" hidden="false"/>
    </xf>
    <xf numFmtId="164" fontId="8" fillId="0" borderId="0" xfId="17" applyFont="true" applyBorder="true" applyAlignment="true" applyProtection="true">
      <alignment horizontal="center" vertical="bottom" textRotation="0" wrapText="false" indent="0" shrinkToFit="false"/>
      <protection locked="false" hidden="false"/>
    </xf>
    <xf numFmtId="164" fontId="8" fillId="3" borderId="76" xfId="0" applyFont="true" applyBorder="true" applyAlignment="false" applyProtection="true">
      <alignment horizontal="general" vertical="bottom" textRotation="0" wrapText="false" indent="0" shrinkToFit="false"/>
      <protection locked="false" hidden="false"/>
    </xf>
    <xf numFmtId="218" fontId="8" fillId="0" borderId="2" xfId="0" applyFont="true" applyBorder="true" applyAlignment="true" applyProtection="false">
      <alignment horizontal="center" vertical="bottom" textRotation="0" wrapText="false" indent="0" shrinkToFit="false"/>
      <protection locked="true" hidden="false"/>
    </xf>
    <xf numFmtId="218" fontId="8" fillId="0" borderId="89" xfId="0" applyFont="true" applyBorder="true" applyAlignment="true" applyProtection="false">
      <alignment horizontal="center" vertical="bottom" textRotation="0" wrapText="false" indent="0" shrinkToFit="false"/>
      <protection locked="true" hidden="false"/>
    </xf>
    <xf numFmtId="218" fontId="8" fillId="0" borderId="75" xfId="0" applyFont="true" applyBorder="true" applyAlignment="true" applyProtection="false">
      <alignment horizontal="center" vertical="bottom" textRotation="0" wrapText="false" indent="0" shrinkToFit="false"/>
      <protection locked="true" hidden="false"/>
    </xf>
    <xf numFmtId="218" fontId="8" fillId="0" borderId="13" xfId="0" applyFont="true" applyBorder="true" applyAlignment="true" applyProtection="false">
      <alignment horizontal="center"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201" fontId="8" fillId="9" borderId="2" xfId="0" applyFont="true" applyBorder="true" applyAlignment="true" applyProtection="false">
      <alignment horizontal="center" vertical="bottom" textRotation="0" wrapText="false" indent="0" shrinkToFit="false"/>
      <protection locked="true" hidden="false"/>
    </xf>
    <xf numFmtId="179" fontId="0" fillId="9" borderId="2" xfId="0" applyFont="false" applyBorder="true" applyAlignment="false" applyProtection="false">
      <alignment horizontal="general" vertical="bottom" textRotation="0" wrapText="false" indent="0" shrinkToFit="false"/>
      <protection locked="true" hidden="false"/>
    </xf>
    <xf numFmtId="164" fontId="0" fillId="9" borderId="2" xfId="0" applyFont="false" applyBorder="true" applyAlignment="false" applyProtection="false">
      <alignment horizontal="general" vertical="bottom" textRotation="0" wrapText="false" indent="0" shrinkToFit="false"/>
      <protection locked="true" hidden="false"/>
    </xf>
    <xf numFmtId="179" fontId="69" fillId="3" borderId="0" xfId="0" applyFont="true" applyBorder="false" applyAlignment="false" applyProtection="true">
      <alignment horizontal="general" vertical="bottom" textRotation="0" wrapText="false" indent="0" shrinkToFit="false"/>
      <protection locked="false" hidden="false"/>
    </xf>
    <xf numFmtId="169" fontId="76" fillId="3" borderId="0" xfId="17" applyFont="true" applyBorder="true" applyAlignment="true" applyProtection="true">
      <alignment horizontal="general" vertical="bottom" textRotation="0" wrapText="false" indent="0" shrinkToFit="false"/>
      <protection locked="false" hidden="false"/>
    </xf>
    <xf numFmtId="169" fontId="76" fillId="3" borderId="0" xfId="17" applyFont="true" applyBorder="true" applyAlignment="true" applyProtection="true">
      <alignment horizontal="center" vertical="bottom" textRotation="0" wrapText="false" indent="0" shrinkToFit="false"/>
      <protection locked="false" hidden="false"/>
    </xf>
    <xf numFmtId="179" fontId="76" fillId="3" borderId="0" xfId="17" applyFont="true" applyBorder="true" applyAlignment="true" applyProtection="true">
      <alignment horizontal="center" vertical="bottom" textRotation="0" wrapText="false" indent="0" shrinkToFit="false"/>
      <protection locked="false" hidden="false"/>
    </xf>
    <xf numFmtId="179" fontId="76" fillId="3" borderId="0" xfId="0" applyFont="true" applyBorder="false" applyAlignment="false" applyProtection="true">
      <alignment horizontal="general" vertical="bottom" textRotation="0" wrapText="false" indent="0" shrinkToFit="false"/>
      <protection locked="false" hidden="false"/>
    </xf>
    <xf numFmtId="169" fontId="8" fillId="9" borderId="7" xfId="0" applyFont="true" applyBorder="true" applyAlignment="false" applyProtection="false">
      <alignment horizontal="general" vertical="bottom" textRotation="0" wrapText="false" indent="0" shrinkToFit="false"/>
      <protection locked="true" hidden="false"/>
    </xf>
    <xf numFmtId="179" fontId="76" fillId="3" borderId="37" xfId="0" applyFont="true" applyBorder="true" applyAlignment="false" applyProtection="true">
      <alignment horizontal="general" vertical="bottom" textRotation="0" wrapText="false" indent="0" shrinkToFit="false"/>
      <protection locked="false" hidden="false"/>
    </xf>
    <xf numFmtId="164" fontId="76" fillId="3" borderId="0" xfId="0" applyFont="true" applyBorder="false" applyAlignment="false" applyProtection="true">
      <alignment horizontal="general" vertical="bottom" textRotation="0" wrapText="false" indent="0" shrinkToFit="false"/>
      <protection locked="false" hidden="false"/>
    </xf>
    <xf numFmtId="169" fontId="76" fillId="3" borderId="0" xfId="0" applyFont="true" applyBorder="false" applyAlignment="true" applyProtection="true">
      <alignment horizontal="center" vertical="bottom" textRotation="0" wrapText="false" indent="0" shrinkToFit="false"/>
      <protection locked="false" hidden="false"/>
    </xf>
    <xf numFmtId="181" fontId="76" fillId="3" borderId="0" xfId="0" applyFont="true" applyBorder="false" applyAlignment="true" applyProtection="true">
      <alignment horizontal="center" vertical="bottom" textRotation="0" wrapText="false" indent="0" shrinkToFit="false"/>
      <protection locked="false" hidden="false"/>
    </xf>
    <xf numFmtId="179" fontId="8" fillId="3" borderId="0" xfId="0" applyFont="true" applyBorder="false" applyAlignment="false" applyProtection="true">
      <alignment horizontal="general" vertical="bottom" textRotation="0" wrapText="false" indent="0" shrinkToFit="false"/>
      <protection locked="false" hidden="false"/>
    </xf>
    <xf numFmtId="179" fontId="76" fillId="3" borderId="0" xfId="0" applyFont="true" applyBorder="false" applyAlignment="true" applyProtection="true">
      <alignment horizontal="center" vertical="bottom" textRotation="0" wrapText="false" indent="0" shrinkToFit="false"/>
      <protection locked="false" hidden="false"/>
    </xf>
    <xf numFmtId="164" fontId="76" fillId="3" borderId="0" xfId="0" applyFont="true" applyBorder="false" applyAlignment="true" applyProtection="true">
      <alignment horizontal="center" vertical="bottom" textRotation="0" wrapText="false" indent="0" shrinkToFit="false"/>
      <protection locked="false" hidden="false"/>
    </xf>
    <xf numFmtId="201" fontId="8" fillId="3" borderId="0" xfId="0" applyFont="true" applyBorder="false" applyAlignment="false" applyProtection="true">
      <alignment horizontal="general" vertical="bottom" textRotation="0" wrapText="false" indent="0" shrinkToFit="false"/>
      <protection locked="false" hidden="false"/>
    </xf>
    <xf numFmtId="182" fontId="0" fillId="0" borderId="0" xfId="0" applyFont="false" applyBorder="false" applyAlignment="false" applyProtection="false">
      <alignment horizontal="general" vertical="bottom" textRotation="0" wrapText="false" indent="0" shrinkToFit="false"/>
      <protection locked="true" hidden="false"/>
    </xf>
    <xf numFmtId="179" fontId="76" fillId="3" borderId="38" xfId="0" applyFont="true" applyBorder="true" applyAlignment="false" applyProtection="true">
      <alignment horizontal="general" vertical="bottom" textRotation="0" wrapText="false" indent="0" shrinkToFit="false"/>
      <protection locked="false" hidden="false"/>
    </xf>
    <xf numFmtId="164" fontId="8" fillId="3" borderId="51" xfId="0" applyFont="true" applyBorder="true" applyAlignment="false" applyProtection="true">
      <alignment horizontal="general" vertical="bottom" textRotation="0" wrapText="false" indent="0" shrinkToFit="false"/>
      <protection locked="false" hidden="false"/>
    </xf>
    <xf numFmtId="164" fontId="8" fillId="6" borderId="10" xfId="0" applyFont="true" applyBorder="true" applyAlignment="true" applyProtection="false">
      <alignment horizontal="center" vertical="bottom" textRotation="0" wrapText="false" indent="0" shrinkToFit="false"/>
      <protection locked="true" hidden="false"/>
    </xf>
    <xf numFmtId="164" fontId="12" fillId="6" borderId="5" xfId="0" applyFont="true" applyBorder="true" applyAlignment="true" applyProtection="false">
      <alignment horizontal="center" vertical="bottom" textRotation="0" wrapText="true" indent="0" shrinkToFit="false"/>
      <protection locked="true" hidden="false"/>
    </xf>
    <xf numFmtId="164" fontId="8" fillId="3" borderId="44" xfId="0" applyFont="true" applyBorder="true" applyAlignment="true" applyProtection="true">
      <alignment horizontal="center" vertical="bottom" textRotation="0" wrapText="false" indent="0" shrinkToFit="false"/>
      <protection locked="false" hidden="false"/>
    </xf>
    <xf numFmtId="164" fontId="8" fillId="0" borderId="40" xfId="0" applyFont="true" applyBorder="true" applyAlignment="false" applyProtection="false">
      <alignment horizontal="general" vertical="bottom" textRotation="0" wrapText="false" indent="0" shrinkToFit="false"/>
      <protection locked="true" hidden="false"/>
    </xf>
    <xf numFmtId="169" fontId="8" fillId="15" borderId="81" xfId="17" applyFont="true" applyBorder="true" applyAlignment="true" applyProtection="true">
      <alignment horizontal="center" vertical="bottom" textRotation="0" wrapText="false" indent="0" shrinkToFit="false"/>
      <protection locked="false" hidden="false"/>
    </xf>
    <xf numFmtId="183" fontId="8" fillId="0" borderId="40" xfId="19" applyFont="true" applyBorder="true" applyAlignment="true" applyProtection="true">
      <alignment horizontal="center" vertical="center" textRotation="0" wrapText="true" indent="0" shrinkToFit="false"/>
      <protection locked="false" hidden="false"/>
    </xf>
    <xf numFmtId="183" fontId="8" fillId="0" borderId="65" xfId="19" applyFont="true" applyBorder="true" applyAlignment="true" applyProtection="true">
      <alignment horizontal="center" vertical="center" textRotation="0" wrapText="true" indent="0" shrinkToFit="false"/>
      <protection locked="false" hidden="false"/>
    </xf>
    <xf numFmtId="183" fontId="8" fillId="3" borderId="67" xfId="19" applyFont="true" applyBorder="true" applyAlignment="true" applyProtection="true">
      <alignment horizontal="general" vertical="bottom" textRotation="0" wrapText="false" indent="0" shrinkToFit="false"/>
      <protection locked="true" hidden="false"/>
    </xf>
    <xf numFmtId="169" fontId="8" fillId="14" borderId="0" xfId="17" applyFont="true" applyBorder="true" applyAlignment="true" applyProtection="true">
      <alignment horizontal="general" vertical="bottom" textRotation="0" wrapText="false" indent="0" shrinkToFit="false"/>
      <protection locked="true" hidden="false"/>
    </xf>
    <xf numFmtId="179" fontId="8" fillId="6" borderId="8" xfId="17" applyFont="true" applyBorder="true" applyAlignment="true" applyProtection="true">
      <alignment horizontal="center" vertical="bottom" textRotation="0" wrapText="false" indent="0" shrinkToFit="false"/>
      <protection locked="true" hidden="false"/>
    </xf>
    <xf numFmtId="164" fontId="8" fillId="3" borderId="47" xfId="0" applyFont="true" applyBorder="true" applyAlignment="true" applyProtection="true">
      <alignment horizontal="center" vertical="bottom" textRotation="0" wrapText="false" indent="0" shrinkToFit="false"/>
      <protection locked="false" hidden="false"/>
    </xf>
    <xf numFmtId="183" fontId="8" fillId="0" borderId="0" xfId="19" applyFont="true" applyBorder="true" applyAlignment="true" applyProtection="true">
      <alignment horizontal="center" vertical="center" textRotation="0" wrapText="true" indent="0" shrinkToFit="false"/>
      <protection locked="false" hidden="false"/>
    </xf>
    <xf numFmtId="183" fontId="8" fillId="0" borderId="45" xfId="19" applyFont="true" applyBorder="true" applyAlignment="true" applyProtection="true">
      <alignment horizontal="center" vertical="center" textRotation="0" wrapText="true" indent="0" shrinkToFit="false"/>
      <protection locked="false" hidden="false"/>
    </xf>
    <xf numFmtId="179" fontId="8" fillId="6" borderId="8" xfId="17" applyFont="true" applyBorder="true" applyAlignment="true" applyProtection="true">
      <alignment horizontal="center" vertical="bottom" textRotation="0" wrapText="false" indent="0" shrinkToFit="false"/>
      <protection locked="false" hidden="false"/>
    </xf>
    <xf numFmtId="164" fontId="8" fillId="3" borderId="125" xfId="0" applyFont="true" applyBorder="true" applyAlignment="true" applyProtection="true">
      <alignment horizontal="center" vertical="bottom" textRotation="0" wrapText="false" indent="0" shrinkToFit="false"/>
      <protection locked="false" hidden="false"/>
    </xf>
    <xf numFmtId="164" fontId="8" fillId="3" borderId="106" xfId="0" applyFont="true" applyBorder="true" applyAlignment="true" applyProtection="true">
      <alignment horizontal="center" vertical="bottom" textRotation="0" wrapText="false" indent="0" shrinkToFit="false"/>
      <protection locked="false" hidden="false"/>
    </xf>
    <xf numFmtId="183" fontId="8" fillId="0" borderId="39" xfId="19" applyFont="true" applyBorder="true" applyAlignment="true" applyProtection="true">
      <alignment horizontal="center" vertical="center" textRotation="0" wrapText="true" indent="0" shrinkToFit="false"/>
      <protection locked="false" hidden="false"/>
    </xf>
    <xf numFmtId="179" fontId="8" fillId="9" borderId="61" xfId="0" applyFont="true" applyBorder="true" applyAlignment="true" applyProtection="false">
      <alignment horizontal="center" vertical="bottom" textRotation="0" wrapText="false" indent="0" shrinkToFit="false"/>
      <protection locked="true" hidden="false"/>
    </xf>
    <xf numFmtId="193" fontId="69" fillId="0" borderId="7" xfId="0" applyFont="true" applyBorder="true" applyAlignment="true" applyProtection="true">
      <alignment horizontal="center" vertical="bottom" textRotation="0" wrapText="false" indent="0" shrinkToFit="false"/>
      <protection locked="false" hidden="false"/>
    </xf>
    <xf numFmtId="164" fontId="8" fillId="0" borderId="45" xfId="0" applyFont="true" applyBorder="true" applyAlignment="true" applyProtection="false">
      <alignment horizontal="right" vertical="bottom" textRotation="0" wrapText="false" indent="0" shrinkToFit="false"/>
      <protection locked="true" hidden="false"/>
    </xf>
    <xf numFmtId="183" fontId="8" fillId="3" borderId="67" xfId="19" applyFont="true" applyBorder="true" applyAlignment="true" applyProtection="true">
      <alignment horizontal="general" vertical="bottom" textRotation="0" wrapText="false" indent="0" shrinkToFit="false"/>
      <protection locked="false" hidden="false"/>
    </xf>
    <xf numFmtId="201" fontId="8" fillId="0" borderId="75" xfId="15" applyFont="true" applyBorder="true" applyAlignment="true" applyProtection="true">
      <alignment horizontal="center" vertical="bottom" textRotation="0" wrapText="false" indent="0" shrinkToFit="false"/>
      <protection locked="true" hidden="false"/>
    </xf>
    <xf numFmtId="179" fontId="8" fillId="0" borderId="1" xfId="17" applyFont="true" applyBorder="true" applyAlignment="true" applyProtection="true">
      <alignment horizontal="center" vertical="bottom" textRotation="0" wrapText="false" indent="0" shrinkToFit="false"/>
      <protection locked="false" hidden="false"/>
    </xf>
    <xf numFmtId="201" fontId="8" fillId="3" borderId="1" xfId="15" applyFont="true" applyBorder="true" applyAlignment="true" applyProtection="true">
      <alignment horizontal="center" vertical="bottom" textRotation="0" wrapText="false" indent="0" shrinkToFit="false"/>
      <protection locked="true" hidden="false"/>
    </xf>
    <xf numFmtId="164" fontId="8" fillId="0" borderId="59" xfId="0" applyFont="true" applyBorder="true" applyAlignment="true" applyProtection="true">
      <alignment horizontal="left" vertical="bottom" textRotation="0" wrapText="false" indent="0" shrinkToFit="false"/>
      <protection locked="false" hidden="false"/>
    </xf>
    <xf numFmtId="164" fontId="8" fillId="0" borderId="39" xfId="0" applyFont="true" applyBorder="true" applyAlignment="true" applyProtection="true">
      <alignment horizontal="left" vertical="bottom" textRotation="0" wrapText="false" indent="0" shrinkToFit="false"/>
      <protection locked="false" hidden="false"/>
    </xf>
    <xf numFmtId="164" fontId="8" fillId="0" borderId="92" xfId="0" applyFont="true" applyBorder="true" applyAlignment="true" applyProtection="false">
      <alignment horizontal="right" vertical="bottom" textRotation="0" wrapText="false" indent="0" shrinkToFit="false"/>
      <protection locked="true" hidden="false"/>
    </xf>
    <xf numFmtId="164" fontId="8" fillId="0" borderId="121" xfId="0" applyFont="true" applyBorder="true" applyAlignment="true" applyProtection="false">
      <alignment horizontal="right" vertical="bottom" textRotation="0" wrapText="false" indent="0" shrinkToFit="false"/>
      <protection locked="true" hidden="false"/>
    </xf>
    <xf numFmtId="183" fontId="8" fillId="3" borderId="91" xfId="19" applyFont="true" applyBorder="true" applyAlignment="true" applyProtection="true">
      <alignment horizontal="center" vertical="bottom" textRotation="0" wrapText="false" indent="0" shrinkToFit="false"/>
      <protection locked="false" hidden="false"/>
    </xf>
    <xf numFmtId="201" fontId="8" fillId="0" borderId="90" xfId="15" applyFont="true" applyBorder="true" applyAlignment="true" applyProtection="true">
      <alignment horizontal="center" vertical="bottom" textRotation="0" wrapText="false" indent="0" shrinkToFit="false"/>
      <protection locked="true" hidden="false"/>
    </xf>
    <xf numFmtId="164" fontId="23" fillId="0" borderId="81" xfId="0" applyFont="true" applyBorder="true" applyAlignment="true" applyProtection="false">
      <alignment horizontal="center" vertical="center" textRotation="0" wrapText="true" indent="0" shrinkToFit="false"/>
      <protection locked="true" hidden="false"/>
    </xf>
    <xf numFmtId="164" fontId="8" fillId="3" borderId="67" xfId="0" applyFont="true" applyBorder="true" applyAlignment="true" applyProtection="false">
      <alignment horizontal="center" vertical="bottom" textRotation="0" wrapText="false" indent="0" shrinkToFit="false"/>
      <protection locked="true" hidden="false"/>
    </xf>
    <xf numFmtId="169" fontId="8" fillId="15" borderId="67" xfId="17" applyFont="true" applyBorder="true" applyAlignment="true" applyProtection="true">
      <alignment horizontal="general" vertical="bottom" textRotation="0" wrapText="false" indent="0" shrinkToFit="false"/>
      <protection locked="false" hidden="false"/>
    </xf>
    <xf numFmtId="183" fontId="8" fillId="3" borderId="67" xfId="19" applyFont="true" applyBorder="true" applyAlignment="true" applyProtection="true">
      <alignment horizontal="center" vertical="bottom" textRotation="0" wrapText="false" indent="0" shrinkToFit="false"/>
      <protection locked="false" hidden="false"/>
    </xf>
    <xf numFmtId="196" fontId="8" fillId="0" borderId="107" xfId="0" applyFont="true" applyBorder="true" applyAlignment="true" applyProtection="false">
      <alignment horizontal="center" vertical="bottom" textRotation="0" wrapText="false" indent="0" shrinkToFit="false"/>
      <protection locked="true" hidden="false"/>
    </xf>
    <xf numFmtId="183" fontId="8" fillId="3" borderId="1" xfId="19" applyFont="true" applyBorder="true" applyAlignment="true" applyProtection="true">
      <alignment horizontal="center" vertical="bottom" textRotation="0" wrapText="false" indent="0" shrinkToFit="false"/>
      <protection locked="false" hidden="false"/>
    </xf>
    <xf numFmtId="196" fontId="8" fillId="0" borderId="37" xfId="0" applyFont="true" applyBorder="true" applyAlignment="true" applyProtection="false">
      <alignment horizontal="center" vertical="bottom" textRotation="0" wrapText="false" indent="0" shrinkToFit="false"/>
      <protection locked="true" hidden="false"/>
    </xf>
    <xf numFmtId="164" fontId="8" fillId="0" borderId="51" xfId="0" applyFont="true" applyBorder="true" applyAlignment="true" applyProtection="false">
      <alignment horizontal="center" vertical="bottom" textRotation="0" wrapText="false" indent="0" shrinkToFit="false"/>
      <protection locked="true" hidden="false"/>
    </xf>
    <xf numFmtId="183" fontId="8" fillId="3" borderId="6" xfId="19" applyFont="true" applyBorder="true" applyAlignment="true" applyProtection="true">
      <alignment horizontal="center" vertical="bottom" textRotation="0" wrapText="false" indent="0" shrinkToFit="false"/>
      <protection locked="false" hidden="false"/>
    </xf>
    <xf numFmtId="201" fontId="8" fillId="0" borderId="6" xfId="15" applyFont="true" applyBorder="true" applyAlignment="true" applyProtection="true">
      <alignment horizontal="center" vertical="bottom" textRotation="0" wrapText="false" indent="0" shrinkToFit="false"/>
      <protection locked="true" hidden="false"/>
    </xf>
    <xf numFmtId="179" fontId="8" fillId="9" borderId="13" xfId="0" applyFont="true" applyBorder="true" applyAlignment="true" applyProtection="false">
      <alignment horizontal="center" vertical="bottom" textRotation="0" wrapText="false" indent="0" shrinkToFit="false"/>
      <protection locked="true" hidden="false"/>
    </xf>
    <xf numFmtId="164" fontId="6" fillId="6" borderId="16" xfId="0" applyFont="true" applyBorder="true" applyAlignment="true" applyProtection="false">
      <alignment horizontal="left" vertical="bottom" textRotation="0" wrapText="false" indent="0" shrinkToFit="false"/>
      <protection locked="true" hidden="false"/>
    </xf>
    <xf numFmtId="164" fontId="6" fillId="6" borderId="9" xfId="0" applyFont="true" applyBorder="true" applyAlignment="true" applyProtection="false">
      <alignment horizontal="center" vertical="bottom" textRotation="0" wrapText="false" indent="0" shrinkToFit="false"/>
      <protection locked="true" hidden="false"/>
    </xf>
    <xf numFmtId="164" fontId="6" fillId="6" borderId="17" xfId="0" applyFont="true" applyBorder="true" applyAlignment="true" applyProtection="false">
      <alignment horizontal="center" vertical="bottom" textRotation="0" wrapText="false" indent="0" shrinkToFit="false"/>
      <protection locked="true" hidden="false"/>
    </xf>
    <xf numFmtId="169" fontId="8" fillId="3" borderId="35" xfId="17" applyFont="true" applyBorder="true" applyAlignment="true" applyProtection="true">
      <alignment horizontal="center" vertical="bottom" textRotation="0" wrapText="false" indent="0" shrinkToFit="false"/>
      <protection locked="false" hidden="false"/>
    </xf>
    <xf numFmtId="169" fontId="8" fillId="6" borderId="109" xfId="0" applyFont="true" applyBorder="true" applyAlignment="true" applyProtection="false">
      <alignment horizontal="center" vertical="center" textRotation="0" wrapText="false" indent="0" shrinkToFit="false"/>
      <protection locked="true" hidden="false"/>
    </xf>
    <xf numFmtId="193" fontId="8" fillId="6" borderId="109" xfId="15" applyFont="true" applyBorder="true" applyAlignment="true" applyProtection="true">
      <alignment horizontal="center" vertical="center" textRotation="0" wrapText="false" indent="0" shrinkToFit="false"/>
      <protection locked="true" hidden="false"/>
    </xf>
    <xf numFmtId="169" fontId="8" fillId="0" borderId="9" xfId="17" applyFont="true" applyBorder="true" applyAlignment="true" applyProtection="true">
      <alignment horizontal="center" vertical="bottom" textRotation="0" wrapText="false" indent="0" shrinkToFit="false"/>
      <protection locked="true" hidden="false"/>
    </xf>
    <xf numFmtId="171" fontId="8" fillId="0" borderId="0" xfId="0" applyFont="true" applyBorder="false" applyAlignment="false" applyProtection="false">
      <alignment horizontal="general" vertical="bottom" textRotation="0" wrapText="false" indent="0" shrinkToFit="false"/>
      <protection locked="true" hidden="false"/>
    </xf>
    <xf numFmtId="169" fontId="76" fillId="3" borderId="15" xfId="17" applyFont="true" applyBorder="true" applyAlignment="true" applyProtection="true">
      <alignment horizontal="center" vertical="bottom" textRotation="0" wrapText="false" indent="0" shrinkToFit="false"/>
      <protection locked="false" hidden="false"/>
    </xf>
    <xf numFmtId="169" fontId="8" fillId="0" borderId="0" xfId="17" applyFont="true" applyBorder="true" applyAlignment="true" applyProtection="true">
      <alignment horizontal="center" vertical="bottom" textRotation="0" wrapText="false" indent="0" shrinkToFit="false"/>
      <protection locked="true" hidden="false"/>
    </xf>
    <xf numFmtId="169" fontId="8" fillId="3" borderId="15" xfId="17" applyFont="true" applyBorder="true" applyAlignment="true" applyProtection="true">
      <alignment horizontal="center" vertical="bottom" textRotation="0" wrapText="false" indent="0" shrinkToFit="false"/>
      <protection locked="false" hidden="false"/>
    </xf>
    <xf numFmtId="169" fontId="8" fillId="3" borderId="67" xfId="17" applyFont="true" applyBorder="true" applyAlignment="true" applyProtection="true">
      <alignment horizontal="center" vertical="bottom" textRotation="0" wrapText="false" indent="0" shrinkToFit="false"/>
      <protection locked="false" hidden="false"/>
    </xf>
    <xf numFmtId="169" fontId="8" fillId="3" borderId="1" xfId="17" applyFont="true" applyBorder="true" applyAlignment="true" applyProtection="true">
      <alignment horizontal="center" vertical="bottom" textRotation="0" wrapText="false" indent="0" shrinkToFit="false"/>
      <protection locked="false" hidden="false"/>
    </xf>
    <xf numFmtId="193" fontId="8" fillId="0" borderId="56" xfId="15" applyFont="true" applyBorder="true" applyAlignment="true" applyProtection="true">
      <alignment horizontal="center" vertical="bottom" textRotation="0" wrapText="false" indent="0" shrinkToFit="false"/>
      <protection locked="true" hidden="false"/>
    </xf>
    <xf numFmtId="169" fontId="8" fillId="33" borderId="46" xfId="17" applyFont="true" applyBorder="true" applyAlignment="true" applyProtection="true">
      <alignment horizontal="center" vertical="bottom" textRotation="0" wrapText="false" indent="0" shrinkToFit="false"/>
      <protection locked="false" hidden="false"/>
    </xf>
    <xf numFmtId="169" fontId="8" fillId="33" borderId="57" xfId="17" applyFont="true" applyBorder="true" applyAlignment="true" applyProtection="true">
      <alignment horizontal="center" vertical="bottom" textRotation="0" wrapText="false" indent="0" shrinkToFit="false"/>
      <protection locked="false" hidden="false"/>
    </xf>
    <xf numFmtId="164" fontId="8" fillId="33" borderId="0" xfId="0" applyFont="true" applyBorder="false" applyAlignment="false" applyProtection="false">
      <alignment horizontal="general" vertical="bottom" textRotation="0" wrapText="false" indent="0" shrinkToFit="false"/>
      <protection locked="true" hidden="false"/>
    </xf>
    <xf numFmtId="164" fontId="0" fillId="33" borderId="0" xfId="0" applyFont="false" applyBorder="false" applyAlignment="false" applyProtection="false">
      <alignment horizontal="general" vertical="bottom" textRotation="0" wrapText="false" indent="0" shrinkToFit="false"/>
      <protection locked="true" hidden="false"/>
    </xf>
    <xf numFmtId="193" fontId="8" fillId="33" borderId="56" xfId="15" applyFont="true" applyBorder="true" applyAlignment="true" applyProtection="true">
      <alignment horizontal="center" vertical="bottom" textRotation="0" wrapText="false" indent="0" shrinkToFit="false"/>
      <protection locked="true" hidden="false"/>
    </xf>
    <xf numFmtId="169" fontId="8" fillId="33" borderId="0" xfId="17" applyFont="true" applyBorder="true" applyAlignment="true" applyProtection="true">
      <alignment horizontal="center" vertical="bottom" textRotation="0" wrapText="false" indent="0" shrinkToFit="false"/>
      <protection locked="true" hidden="false"/>
    </xf>
    <xf numFmtId="193" fontId="8" fillId="5" borderId="56" xfId="15" applyFont="true" applyBorder="true" applyAlignment="true" applyProtection="true">
      <alignment horizontal="center" vertical="bottom" textRotation="0" wrapText="false" indent="0" shrinkToFit="false"/>
      <protection locked="true" hidden="false"/>
    </xf>
    <xf numFmtId="179" fontId="8" fillId="6" borderId="61" xfId="17" applyFont="true" applyBorder="true" applyAlignment="true" applyProtection="true">
      <alignment horizontal="center" vertical="bottom" textRotation="0" wrapText="false" indent="0" shrinkToFit="false"/>
      <protection locked="true" hidden="false"/>
    </xf>
    <xf numFmtId="169" fontId="8" fillId="3" borderId="55" xfId="17" applyFont="true" applyBorder="true" applyAlignment="true" applyProtection="true">
      <alignment horizontal="center" vertical="bottom" textRotation="0" wrapText="false" indent="0" shrinkToFit="false"/>
      <protection locked="false" hidden="false"/>
    </xf>
    <xf numFmtId="169" fontId="8" fillId="3" borderId="60" xfId="17" applyFont="true" applyBorder="true" applyAlignment="true" applyProtection="true">
      <alignment horizontal="center" vertical="bottom" textRotation="0" wrapText="false" indent="0" shrinkToFit="false"/>
      <protection locked="false" hidden="false"/>
    </xf>
    <xf numFmtId="193" fontId="8" fillId="0" borderId="92" xfId="15" applyFont="true" applyBorder="true" applyAlignment="true" applyProtection="true">
      <alignment horizontal="center" vertical="bottom" textRotation="0" wrapText="false" indent="0" shrinkToFit="false"/>
      <protection locked="true" hidden="false"/>
    </xf>
    <xf numFmtId="169" fontId="8" fillId="0" borderId="39" xfId="17" applyFont="true" applyBorder="true" applyAlignment="true" applyProtection="true">
      <alignment horizontal="center" vertical="bottom" textRotation="0" wrapText="false" indent="0" shrinkToFit="false"/>
      <protection locked="true" hidden="false"/>
    </xf>
    <xf numFmtId="169" fontId="8" fillId="6" borderId="51" xfId="17" applyFont="true" applyBorder="true" applyAlignment="true" applyProtection="true">
      <alignment horizontal="center" vertical="bottom" textRotation="0" wrapText="false" indent="0" shrinkToFit="false"/>
      <protection locked="false" hidden="false"/>
    </xf>
    <xf numFmtId="169" fontId="6" fillId="0" borderId="6" xfId="17" applyFont="true" applyBorder="true" applyAlignment="true" applyProtection="true">
      <alignment horizontal="center" vertical="bottom" textRotation="0" wrapText="false" indent="0" shrinkToFit="false"/>
      <protection locked="true" hidden="false"/>
    </xf>
    <xf numFmtId="164" fontId="6" fillId="6" borderId="22" xfId="0" applyFont="true" applyBorder="true" applyAlignment="true" applyProtection="false">
      <alignment horizontal="left" vertical="bottom" textRotation="0" wrapText="false" indent="0" shrinkToFit="false"/>
      <protection locked="true" hidden="false"/>
    </xf>
    <xf numFmtId="164" fontId="6" fillId="6" borderId="23" xfId="0" applyFont="true" applyBorder="true" applyAlignment="true" applyProtection="false">
      <alignment horizontal="left" vertical="bottom" textRotation="0" wrapText="false" indent="0" shrinkToFit="false"/>
      <protection locked="true" hidden="false"/>
    </xf>
    <xf numFmtId="164" fontId="8" fillId="0" borderId="16" xfId="0" applyFont="true" applyBorder="true" applyAlignment="true" applyProtection="true">
      <alignment horizontal="left" vertical="bottom" textRotation="0" wrapText="false" indent="0" shrinkToFit="false"/>
      <protection locked="false" hidden="false"/>
    </xf>
    <xf numFmtId="183" fontId="8" fillId="22" borderId="110" xfId="19" applyFont="true" applyBorder="true" applyAlignment="true" applyProtection="true">
      <alignment horizontal="center" vertical="bottom" textRotation="0" wrapText="false" indent="0" shrinkToFit="false"/>
      <protection locked="true" hidden="false"/>
    </xf>
    <xf numFmtId="181" fontId="8" fillId="0" borderId="0" xfId="0" applyFont="true" applyBorder="false" applyAlignment="false" applyProtection="false">
      <alignment horizontal="general" vertical="bottom" textRotation="0" wrapText="false" indent="0" shrinkToFit="false"/>
      <protection locked="true" hidden="false"/>
    </xf>
    <xf numFmtId="179" fontId="8" fillId="0" borderId="75" xfId="0" applyFont="true" applyBorder="true" applyAlignment="true" applyProtection="false">
      <alignment horizontal="center" vertical="bottom" textRotation="0" wrapText="false" indent="0" shrinkToFit="false"/>
      <protection locked="true" hidden="false"/>
    </xf>
    <xf numFmtId="164" fontId="8" fillId="0" borderId="12" xfId="0" applyFont="true" applyBorder="true" applyAlignment="true" applyProtection="true">
      <alignment horizontal="left" vertical="bottom" textRotation="0" wrapText="false" indent="0" shrinkToFit="false"/>
      <protection locked="false" hidden="false"/>
    </xf>
    <xf numFmtId="164" fontId="8" fillId="0" borderId="9" xfId="0" applyFont="true" applyBorder="true" applyAlignment="true" applyProtection="true">
      <alignment horizontal="left" vertical="bottom" textRotation="0" wrapText="false" indent="0" shrinkToFit="false"/>
      <protection locked="false" hidden="false"/>
    </xf>
    <xf numFmtId="164" fontId="8" fillId="0" borderId="42" xfId="0" applyFont="true" applyBorder="true" applyAlignment="true" applyProtection="true">
      <alignment horizontal="left" vertical="bottom" textRotation="0" wrapText="false" indent="0" shrinkToFit="false"/>
      <protection locked="false" hidden="false"/>
    </xf>
    <xf numFmtId="164" fontId="8" fillId="0" borderId="45" xfId="0" applyFont="true" applyBorder="true" applyAlignment="true" applyProtection="true">
      <alignment horizontal="left" vertical="bottom" textRotation="0" wrapText="false" indent="0" shrinkToFit="false"/>
      <protection locked="false" hidden="false"/>
    </xf>
    <xf numFmtId="179" fontId="8" fillId="9" borderId="24" xfId="17" applyFont="true" applyBorder="true" applyAlignment="true" applyProtection="true">
      <alignment horizontal="center" vertical="bottom" textRotation="0" wrapText="false" indent="0" shrinkToFit="false"/>
      <protection locked="true" hidden="false"/>
    </xf>
    <xf numFmtId="183" fontId="8" fillId="15" borderId="81" xfId="19" applyFont="true" applyBorder="true" applyAlignment="true" applyProtection="true">
      <alignment horizontal="center" vertical="bottom" textRotation="0" wrapText="false" indent="0" shrinkToFit="false"/>
      <protection locked="true" hidden="false"/>
    </xf>
    <xf numFmtId="164" fontId="8" fillId="0" borderId="6" xfId="0" applyFont="true" applyBorder="true" applyAlignment="true" applyProtection="true">
      <alignment horizontal="left" vertical="bottom" textRotation="0" wrapText="false" indent="0" shrinkToFit="false"/>
      <protection locked="false" hidden="false"/>
    </xf>
    <xf numFmtId="164" fontId="8" fillId="0" borderId="51" xfId="0" applyFont="true" applyBorder="true" applyAlignment="true" applyProtection="true">
      <alignment horizontal="left" vertical="bottom" textRotation="0" wrapText="false" indent="0" shrinkToFit="false"/>
      <protection locked="false" hidden="false"/>
    </xf>
    <xf numFmtId="169" fontId="8" fillId="15" borderId="110" xfId="17" applyFont="true" applyBorder="true" applyAlignment="true" applyProtection="true">
      <alignment horizontal="center" vertical="bottom" textRotation="0" wrapText="false" indent="0" shrinkToFit="false"/>
      <protection locked="false" hidden="false"/>
    </xf>
    <xf numFmtId="193" fontId="8" fillId="15" borderId="42" xfId="15" applyFont="true" applyBorder="true" applyAlignment="true" applyProtection="true">
      <alignment horizontal="center" vertical="bottom" textRotation="0" wrapText="false" indent="0" shrinkToFit="false"/>
      <protection locked="false" hidden="false"/>
    </xf>
    <xf numFmtId="164" fontId="6" fillId="12" borderId="1" xfId="0" applyFont="true" applyBorder="true" applyAlignment="true" applyProtection="true">
      <alignment horizontal="center" vertical="bottom" textRotation="0" wrapText="false" indent="0" shrinkToFit="false"/>
      <protection locked="false" hidden="false"/>
    </xf>
    <xf numFmtId="201" fontId="8" fillId="3" borderId="67" xfId="15" applyFont="true" applyBorder="true" applyAlignment="true" applyProtection="true">
      <alignment horizontal="general" vertical="bottom" textRotation="0" wrapText="false" indent="0" shrinkToFit="false"/>
      <protection locked="false" hidden="false"/>
    </xf>
    <xf numFmtId="169" fontId="8" fillId="15" borderId="37" xfId="17" applyFont="true" applyBorder="true" applyAlignment="true" applyProtection="true">
      <alignment horizontal="center" vertical="bottom" textRotation="0" wrapText="false" indent="0" shrinkToFit="false"/>
      <protection locked="false" hidden="false"/>
    </xf>
    <xf numFmtId="193" fontId="8" fillId="15" borderId="45" xfId="0" applyFont="true" applyBorder="true" applyAlignment="true" applyProtection="true">
      <alignment horizontal="center" vertical="bottom" textRotation="0" wrapText="false" indent="0" shrinkToFit="false"/>
      <protection locked="fals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8" fillId="0" borderId="45" xfId="0" applyFont="true" applyBorder="true" applyAlignment="true" applyProtection="false">
      <alignment horizontal="right" vertical="center" textRotation="0" wrapText="false" indent="0" shrinkToFit="false"/>
      <protection locked="true" hidden="false"/>
    </xf>
    <xf numFmtId="164" fontId="8" fillId="3" borderId="1" xfId="0" applyFont="true" applyBorder="true" applyAlignment="true" applyProtection="true">
      <alignment horizontal="center" vertical="center" textRotation="0" wrapText="false" indent="0" shrinkToFit="false"/>
      <protection locked="false" hidden="false"/>
    </xf>
    <xf numFmtId="201" fontId="8" fillId="3" borderId="1" xfId="15" applyFont="true" applyBorder="true" applyAlignment="true" applyProtection="true">
      <alignment horizontal="general" vertical="bottom" textRotation="0" wrapText="false" indent="0" shrinkToFit="false"/>
      <protection locked="false" hidden="false"/>
    </xf>
    <xf numFmtId="193" fontId="8" fillId="15" borderId="45" xfId="15" applyFont="true" applyBorder="true" applyAlignment="true" applyProtection="true">
      <alignment horizontal="center" vertical="bottom" textRotation="0" wrapText="false" indent="0" shrinkToFit="false"/>
      <protection locked="false" hidden="false"/>
    </xf>
    <xf numFmtId="164" fontId="8" fillId="0" borderId="0" xfId="0" applyFont="true" applyBorder="false" applyAlignment="true" applyProtection="false">
      <alignment horizontal="right" vertical="center" textRotation="0" wrapText="false" indent="0" shrinkToFit="false"/>
      <protection locked="true" hidden="false"/>
    </xf>
    <xf numFmtId="169" fontId="8" fillId="15" borderId="37" xfId="17" applyFont="true" applyBorder="true" applyAlignment="true" applyProtection="true">
      <alignment horizontal="right" vertical="bottom" textRotation="0" wrapText="false" indent="0" shrinkToFit="false"/>
      <protection locked="false" hidden="false"/>
    </xf>
    <xf numFmtId="193" fontId="8" fillId="15" borderId="45" xfId="15" applyFont="true" applyBorder="true" applyAlignment="true" applyProtection="true">
      <alignment horizontal="right" vertical="bottom" textRotation="0" wrapText="false" indent="0" shrinkToFit="false"/>
      <protection locked="false" hidden="false"/>
    </xf>
    <xf numFmtId="179" fontId="8" fillId="25" borderId="8" xfId="17" applyFont="true" applyBorder="true" applyAlignment="true" applyProtection="true">
      <alignment horizontal="center" vertical="bottom" textRotation="0" wrapText="false" indent="0" shrinkToFit="false"/>
      <protection locked="true" hidden="false"/>
    </xf>
    <xf numFmtId="169" fontId="8" fillId="15" borderId="45" xfId="17" applyFont="true" applyBorder="true" applyAlignment="true" applyProtection="true">
      <alignment horizontal="center" vertical="bottom" textRotation="0" wrapText="false" indent="0" shrinkToFit="false"/>
      <protection locked="false" hidden="false"/>
    </xf>
    <xf numFmtId="164" fontId="6" fillId="0" borderId="7" xfId="0" applyFont="true" applyBorder="true" applyAlignment="true" applyProtection="true">
      <alignment horizontal="right" vertical="bottom" textRotation="0" wrapText="false" indent="0" shrinkToFit="false"/>
      <protection locked="false" hidden="false"/>
    </xf>
    <xf numFmtId="164" fontId="6" fillId="0" borderId="0" xfId="0" applyFont="true" applyBorder="false" applyAlignment="true" applyProtection="true">
      <alignment horizontal="right" vertical="bottom" textRotation="0" wrapText="false" indent="0" shrinkToFit="false"/>
      <protection locked="false" hidden="false"/>
    </xf>
    <xf numFmtId="169" fontId="8" fillId="15" borderId="38" xfId="17" applyFont="true" applyBorder="true" applyAlignment="true" applyProtection="true">
      <alignment horizontal="center" vertical="bottom" textRotation="0" wrapText="false" indent="0" shrinkToFit="false"/>
      <protection locked="false" hidden="false"/>
    </xf>
    <xf numFmtId="169" fontId="8" fillId="15" borderId="51" xfId="17" applyFont="true" applyBorder="true" applyAlignment="true" applyProtection="true">
      <alignment horizontal="center" vertical="bottom" textRotation="0" wrapText="false" indent="0" shrinkToFit="false"/>
      <protection locked="false" hidden="false"/>
    </xf>
    <xf numFmtId="164" fontId="8" fillId="0" borderId="6" xfId="0" applyFont="true" applyBorder="true" applyAlignment="false" applyProtection="true">
      <alignment horizontal="general" vertical="bottom" textRotation="0" wrapText="false" indent="0" shrinkToFit="false"/>
      <protection locked="false" hidden="false"/>
    </xf>
    <xf numFmtId="169" fontId="8" fillId="0" borderId="6" xfId="0" applyFont="true" applyBorder="true" applyAlignment="true" applyProtection="true">
      <alignment horizontal="center" vertical="bottom" textRotation="0" wrapText="false" indent="0" shrinkToFit="false"/>
      <protection locked="false" hidden="false"/>
    </xf>
    <xf numFmtId="169" fontId="8" fillId="26" borderId="104" xfId="15" applyFont="true" applyBorder="true" applyAlignment="true" applyProtection="true">
      <alignment horizontal="center" vertical="bottom" textRotation="0" wrapText="false" indent="0" shrinkToFit="false"/>
      <protection locked="false" hidden="false"/>
    </xf>
    <xf numFmtId="184" fontId="8" fillId="3" borderId="12" xfId="19" applyFont="true" applyBorder="true" applyAlignment="true" applyProtection="true">
      <alignment horizontal="center" vertical="bottom" textRotation="0" wrapText="false" indent="0" shrinkToFit="false"/>
      <protection locked="fals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13" fillId="0" borderId="16" xfId="0" applyFont="true" applyBorder="true" applyAlignment="true" applyProtection="false">
      <alignment horizontal="right" vertical="bottom" textRotation="0" wrapText="false" indent="0" shrinkToFit="false"/>
      <protection locked="true" hidden="false"/>
    </xf>
    <xf numFmtId="179" fontId="0" fillId="0" borderId="17" xfId="0" applyFont="false" applyBorder="true" applyAlignment="false" applyProtection="false">
      <alignment horizontal="general" vertical="bottom" textRotation="0" wrapText="false" indent="0" shrinkToFit="false"/>
      <protection locked="true" hidden="false"/>
    </xf>
    <xf numFmtId="179" fontId="4" fillId="0" borderId="16" xfId="0" applyFont="true" applyBorder="true" applyAlignment="false" applyProtection="false">
      <alignment horizontal="general" vertical="bottom" textRotation="0" wrapText="false" indent="0" shrinkToFit="false"/>
      <protection locked="true" hidden="false"/>
    </xf>
    <xf numFmtId="179" fontId="13" fillId="0" borderId="16" xfId="0" applyFont="true" applyBorder="true" applyAlignment="false" applyProtection="false">
      <alignment horizontal="general"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0" fillId="0" borderId="106" xfId="0" applyFont="false" applyBorder="true" applyAlignment="false" applyProtection="false">
      <alignment horizontal="general" vertical="bottom" textRotation="0" wrapText="false" indent="0" shrinkToFit="false"/>
      <protection locked="true" hidden="false"/>
    </xf>
    <xf numFmtId="164" fontId="4" fillId="0" borderId="59" xfId="0" applyFont="true" applyBorder="true" applyAlignment="true" applyProtection="false">
      <alignment horizontal="center" vertical="center" textRotation="0" wrapText="false" indent="0" shrinkToFit="false"/>
      <protection locked="true" hidden="false"/>
    </xf>
    <xf numFmtId="164" fontId="4" fillId="0" borderId="61" xfId="0" applyFont="true" applyBorder="true" applyAlignment="true" applyProtection="false">
      <alignment horizontal="right" vertical="center" textRotation="0" wrapText="false" indent="0" shrinkToFit="false"/>
      <protection locked="true" hidden="false"/>
    </xf>
    <xf numFmtId="164" fontId="4" fillId="0" borderId="59" xfId="0" applyFont="true" applyBorder="true" applyAlignment="true" applyProtection="false">
      <alignment horizontal="right" vertical="center" textRotation="0" wrapText="false" indent="0" shrinkToFit="false"/>
      <protection locked="true" hidden="false"/>
    </xf>
    <xf numFmtId="220" fontId="4" fillId="0" borderId="11" xfId="0" applyFont="true" applyBorder="true" applyAlignment="false" applyProtection="false">
      <alignment horizontal="general" vertical="bottom" textRotation="0" wrapText="false" indent="0" shrinkToFit="false"/>
      <protection locked="true" hidden="false"/>
    </xf>
    <xf numFmtId="208" fontId="4" fillId="0" borderId="7" xfId="0" applyFont="true" applyBorder="true" applyAlignment="false" applyProtection="false">
      <alignment horizontal="general" vertical="bottom" textRotation="0" wrapText="false" indent="0" shrinkToFit="false"/>
      <protection locked="true" hidden="false"/>
    </xf>
    <xf numFmtId="179" fontId="0" fillId="0" borderId="123" xfId="0" applyFont="false" applyBorder="true" applyAlignment="false" applyProtection="false">
      <alignment horizontal="general" vertical="bottom" textRotation="0" wrapText="false" indent="0" shrinkToFit="false"/>
      <protection locked="true" hidden="false"/>
    </xf>
    <xf numFmtId="208" fontId="0" fillId="0" borderId="7" xfId="0" applyFont="false" applyBorder="true" applyAlignment="false" applyProtection="false">
      <alignment horizontal="general" vertical="bottom" textRotation="0" wrapText="false" indent="0" shrinkToFit="false"/>
      <protection locked="true" hidden="false"/>
    </xf>
    <xf numFmtId="221" fontId="0" fillId="0" borderId="0" xfId="0" applyFont="false" applyBorder="false" applyAlignment="false" applyProtection="false">
      <alignment horizontal="general" vertical="bottom" textRotation="0" wrapText="false" indent="0" shrinkToFit="false"/>
      <protection locked="true" hidden="false"/>
    </xf>
    <xf numFmtId="179" fontId="0" fillId="0" borderId="32" xfId="0" applyFont="false" applyBorder="true" applyAlignment="false" applyProtection="false">
      <alignment horizontal="general" vertical="bottom" textRotation="0" wrapText="false" indent="0" shrinkToFit="false"/>
      <protection locked="true" hidden="false"/>
    </xf>
    <xf numFmtId="179" fontId="4" fillId="0" borderId="77" xfId="17" applyFont="true" applyBorder="true" applyAlignment="true" applyProtection="true">
      <alignment horizontal="center" vertical="bottom" textRotation="0" wrapText="false" indent="0" shrinkToFit="false"/>
      <protection locked="true" hidden="false"/>
    </xf>
    <xf numFmtId="220" fontId="4" fillId="0" borderId="0" xfId="0" applyFont="true" applyBorder="false" applyAlignment="false" applyProtection="false">
      <alignment horizontal="general" vertical="bottom" textRotation="0" wrapText="false" indent="0" shrinkToFit="false"/>
      <protection locked="true" hidden="false"/>
    </xf>
    <xf numFmtId="208" fontId="4" fillId="0" borderId="0" xfId="0" applyFont="true" applyBorder="false" applyAlignment="false" applyProtection="false">
      <alignment horizontal="general" vertical="bottom" textRotation="0" wrapText="false" indent="0" shrinkToFit="false"/>
      <protection locked="true" hidden="false"/>
    </xf>
    <xf numFmtId="208" fontId="0" fillId="0" borderId="0" xfId="0" applyFont="false" applyBorder="false" applyAlignment="false" applyProtection="false">
      <alignment horizontal="general" vertical="bottom" textRotation="0" wrapText="false" indent="0" shrinkToFit="false"/>
      <protection locked="true" hidden="false"/>
    </xf>
    <xf numFmtId="208" fontId="24" fillId="26" borderId="116" xfId="0" applyFont="true" applyBorder="true" applyAlignment="true" applyProtection="false">
      <alignment horizontal="right" vertical="bottom" textRotation="0" wrapText="false" indent="0" shrinkToFit="false"/>
      <protection locked="true" hidden="false"/>
    </xf>
    <xf numFmtId="164" fontId="4" fillId="0" borderId="126" xfId="0" applyFont="true" applyBorder="true" applyAlignment="false" applyProtection="false">
      <alignment horizontal="general" vertical="bottom" textRotation="0" wrapText="false" indent="0" shrinkToFit="false"/>
      <protection locked="true" hidden="false"/>
    </xf>
    <xf numFmtId="164" fontId="24" fillId="26" borderId="88" xfId="0" applyFont="true" applyBorder="true" applyAlignment="false" applyProtection="false">
      <alignment horizontal="general" vertical="bottom" textRotation="0" wrapText="false" indent="0" shrinkToFit="false"/>
      <protection locked="true" hidden="false"/>
    </xf>
    <xf numFmtId="179" fontId="24" fillId="26" borderId="93" xfId="17" applyFont="true" applyBorder="true" applyAlignment="true" applyProtection="true">
      <alignment horizontal="center" vertical="bottom" textRotation="0" wrapText="false" indent="0" shrinkToFit="false"/>
      <protection locked="true" hidden="false"/>
    </xf>
    <xf numFmtId="208" fontId="4" fillId="6" borderId="1" xfId="0" applyFont="true" applyBorder="true" applyAlignment="true" applyProtection="false">
      <alignment horizontal="right" vertical="bottom" textRotation="0" wrapText="false" indent="0" shrinkToFit="false"/>
      <protection locked="true" hidden="false"/>
    </xf>
    <xf numFmtId="208" fontId="4" fillId="6" borderId="60" xfId="0" applyFont="true" applyBorder="true" applyAlignment="true" applyProtection="false">
      <alignment horizontal="right" vertical="bottom" textRotation="0" wrapText="false" indent="0" shrinkToFit="false"/>
      <protection locked="true" hidden="false"/>
    </xf>
    <xf numFmtId="201" fontId="7" fillId="3" borderId="40" xfId="0" applyFont="true" applyBorder="true" applyAlignment="false" applyProtection="true">
      <alignment horizontal="general" vertical="bottom" textRotation="0" wrapText="false" indent="0" shrinkToFit="false"/>
      <protection locked="false" hidden="false"/>
    </xf>
    <xf numFmtId="201" fontId="11" fillId="3" borderId="45" xfId="0" applyFont="true" applyBorder="true" applyAlignment="false" applyProtection="true">
      <alignment horizontal="general" vertical="bottom" textRotation="0" wrapText="false" indent="0" shrinkToFit="false"/>
      <protection locked="false" hidden="false"/>
    </xf>
    <xf numFmtId="164" fontId="11" fillId="0" borderId="66" xfId="15" applyFont="true" applyBorder="true" applyAlignment="true" applyProtection="true">
      <alignment horizontal="center" vertical="bottom" textRotation="0" wrapText="false" indent="0" shrinkToFit="false"/>
      <protection locked="false" hidden="false"/>
    </xf>
    <xf numFmtId="193" fontId="0" fillId="0" borderId="0" xfId="0" applyFont="false" applyBorder="false" applyAlignment="true" applyProtection="false">
      <alignment horizontal="center" vertical="bottom" textRotation="0" wrapText="false" indent="0" shrinkToFit="false"/>
      <protection locked="true" hidden="false"/>
    </xf>
    <xf numFmtId="201" fontId="7" fillId="3" borderId="2" xfId="0" applyFont="true" applyBorder="true" applyAlignment="false" applyProtection="true">
      <alignment horizontal="general" vertical="bottom" textRotation="0" wrapText="false" indent="0" shrinkToFit="false"/>
      <protection locked="false" hidden="false"/>
    </xf>
    <xf numFmtId="201" fontId="11" fillId="3" borderId="89" xfId="0" applyFont="true" applyBorder="true" applyAlignment="false" applyProtection="true">
      <alignment horizontal="general" vertical="bottom" textRotation="0" wrapText="false" indent="0" shrinkToFit="false"/>
      <protection locked="false" hidden="false"/>
    </xf>
    <xf numFmtId="164" fontId="11" fillId="0" borderId="89" xfId="15" applyFont="true" applyBorder="true" applyAlignment="true" applyProtection="true">
      <alignment horizontal="center" vertical="bottom" textRotation="0" wrapText="false" indent="0" shrinkToFit="false"/>
      <protection locked="false" hidden="false"/>
    </xf>
    <xf numFmtId="201" fontId="7" fillId="3" borderId="41" xfId="0" applyFont="true" applyBorder="true" applyAlignment="false" applyProtection="true">
      <alignment horizontal="general" vertical="bottom" textRotation="0" wrapText="false" indent="0" shrinkToFit="false"/>
      <protection locked="false" hidden="false"/>
    </xf>
    <xf numFmtId="201" fontId="11" fillId="3" borderId="66" xfId="0" applyFont="true" applyBorder="true" applyAlignment="false" applyProtection="true">
      <alignment horizontal="general" vertical="bottom" textRotation="0" wrapText="false" indent="0" shrinkToFit="false"/>
      <protection locked="false" hidden="false"/>
    </xf>
    <xf numFmtId="164" fontId="8" fillId="0" borderId="69" xfId="15" applyFont="true" applyBorder="true" applyAlignment="true" applyProtection="true">
      <alignment horizontal="center" vertical="bottom" textRotation="0" wrapText="false" indent="0" shrinkToFit="false"/>
      <protection locked="false" hidden="false"/>
    </xf>
    <xf numFmtId="164" fontId="8" fillId="0" borderId="107" xfId="0" applyFont="true" applyBorder="true" applyAlignment="true" applyProtection="true">
      <alignment horizontal="center" vertical="bottom" textRotation="0" wrapText="false" indent="0" shrinkToFit="false"/>
      <protection locked="false" hidden="false"/>
    </xf>
    <xf numFmtId="164" fontId="8" fillId="0" borderId="65" xfId="0" applyFont="true" applyBorder="true" applyAlignment="true" applyProtection="true">
      <alignment horizontal="center" vertical="bottom" textRotation="0" wrapText="false" indent="0" shrinkToFit="false"/>
      <protection locked="false" hidden="false"/>
    </xf>
    <xf numFmtId="218" fontId="8" fillId="0" borderId="68" xfId="0" applyFont="true" applyBorder="true" applyAlignment="true" applyProtection="false">
      <alignment horizontal="center" vertical="bottom" textRotation="0" wrapText="false" indent="0" shrinkToFit="false"/>
      <protection locked="true" hidden="false"/>
    </xf>
    <xf numFmtId="164" fontId="6" fillId="0" borderId="66" xfId="0" applyFont="true" applyBorder="true" applyAlignment="false" applyProtection="false">
      <alignment horizontal="general" vertical="bottom" textRotation="0" wrapText="false" indent="0" shrinkToFit="false"/>
      <protection locked="true" hidden="false"/>
    </xf>
    <xf numFmtId="164" fontId="8" fillId="12" borderId="1" xfId="0" applyFont="true" applyBorder="true" applyAlignment="true" applyProtection="true">
      <alignment horizontal="center" vertical="bottom" textRotation="0" wrapText="false" indent="0" shrinkToFit="false"/>
      <protection locked="false" hidden="false"/>
    </xf>
    <xf numFmtId="208" fontId="24" fillId="26" borderId="60" xfId="0" applyFont="true" applyBorder="true" applyAlignment="true" applyProtection="false">
      <alignment horizontal="right" vertical="bottom" textRotation="0" wrapText="false" indent="0" shrinkToFit="false"/>
      <protection locked="true" hidden="false"/>
    </xf>
    <xf numFmtId="164" fontId="24" fillId="26" borderId="86" xfId="0" applyFont="true" applyBorder="true" applyAlignment="false" applyProtection="false">
      <alignment horizontal="general" vertical="bottom" textRotation="0" wrapText="false" indent="0" shrinkToFit="false"/>
      <protection locked="true" hidden="false"/>
    </xf>
    <xf numFmtId="164" fontId="24" fillId="26" borderId="39" xfId="0" applyFont="true" applyBorder="true" applyAlignment="false" applyProtection="false">
      <alignment horizontal="general" vertical="bottom" textRotation="0" wrapText="false" indent="0" shrinkToFit="false"/>
      <protection locked="true" hidden="false"/>
    </xf>
    <xf numFmtId="179" fontId="24" fillId="26" borderId="61" xfId="17" applyFont="true" applyBorder="true" applyAlignment="true" applyProtection="true">
      <alignment horizontal="center" vertical="bottom" textRotation="0" wrapText="false" indent="0" shrinkToFit="false"/>
      <protection locked="true" hidden="false"/>
    </xf>
    <xf numFmtId="187" fontId="6" fillId="0" borderId="9" xfId="0" applyFont="true" applyBorder="true" applyAlignment="true" applyProtection="false">
      <alignment horizontal="center" vertical="bottom" textRotation="0" wrapText="false" indent="0" shrinkToFit="false"/>
      <protection locked="true" hidden="false"/>
    </xf>
    <xf numFmtId="164" fontId="8" fillId="14" borderId="113" xfId="0" applyFont="true" applyBorder="true" applyAlignment="true" applyProtection="true">
      <alignment horizontal="left" vertical="bottom" textRotation="0" wrapText="false" indent="0" shrinkToFit="false"/>
      <protection locked="false" hidden="false"/>
    </xf>
    <xf numFmtId="164" fontId="8" fillId="14" borderId="109" xfId="0" applyFont="true" applyBorder="true" applyAlignment="true" applyProtection="true">
      <alignment horizontal="left" vertical="bottom" textRotation="0" wrapText="false" indent="0" shrinkToFit="false"/>
      <protection locked="false" hidden="false"/>
    </xf>
    <xf numFmtId="168" fontId="8" fillId="14" borderId="109" xfId="0" applyFont="true" applyBorder="true" applyAlignment="true" applyProtection="true">
      <alignment horizontal="center" vertical="bottom" textRotation="0" wrapText="false" indent="0" shrinkToFit="false"/>
      <protection locked="false" hidden="false"/>
    </xf>
    <xf numFmtId="164" fontId="8" fillId="14" borderId="31" xfId="0" applyFont="true" applyBorder="true" applyAlignment="true" applyProtection="true">
      <alignment horizontal="left" vertical="bottom" textRotation="0" wrapText="false" indent="0" shrinkToFit="false"/>
      <protection locked="false" hidden="false"/>
    </xf>
    <xf numFmtId="164" fontId="8" fillId="14" borderId="1" xfId="0" applyFont="true" applyBorder="true" applyAlignment="true" applyProtection="true">
      <alignment horizontal="left" vertical="bottom" textRotation="0" wrapText="false" indent="0" shrinkToFit="false"/>
      <protection locked="false" hidden="false"/>
    </xf>
    <xf numFmtId="168" fontId="8" fillId="14" borderId="1" xfId="0" applyFont="true" applyBorder="true" applyAlignment="true" applyProtection="true">
      <alignment horizontal="center" vertical="bottom" textRotation="0" wrapText="false" indent="0" shrinkToFit="false"/>
      <protection locked="false" hidden="false"/>
    </xf>
    <xf numFmtId="164" fontId="8" fillId="3" borderId="31" xfId="0" applyFont="true" applyBorder="true" applyAlignment="true" applyProtection="true">
      <alignment horizontal="left" vertical="bottom" textRotation="0" wrapText="false" indent="0" shrinkToFit="false"/>
      <protection locked="false" hidden="false"/>
    </xf>
    <xf numFmtId="164" fontId="8" fillId="3" borderId="1" xfId="0" applyFont="true" applyBorder="true" applyAlignment="true" applyProtection="true">
      <alignment horizontal="left" vertical="bottom" textRotation="0" wrapText="false" indent="0" shrinkToFit="false"/>
      <protection locked="false" hidden="false"/>
    </xf>
    <xf numFmtId="168" fontId="8" fillId="3" borderId="1" xfId="0" applyFont="true" applyBorder="true" applyAlignment="true" applyProtection="false">
      <alignment horizontal="center" vertical="bottom" textRotation="0" wrapText="false" indent="0" shrinkToFit="false"/>
      <protection locked="true" hidden="false"/>
    </xf>
    <xf numFmtId="164" fontId="8" fillId="3" borderId="32" xfId="0" applyFont="true" applyBorder="true" applyAlignment="true" applyProtection="false">
      <alignment horizontal="center" vertical="bottom" textRotation="0" wrapText="false" indent="0" shrinkToFit="false"/>
      <protection locked="true" hidden="false"/>
    </xf>
    <xf numFmtId="164" fontId="8" fillId="3" borderId="71" xfId="0" applyFont="true" applyBorder="true" applyAlignment="true" applyProtection="true">
      <alignment horizontal="left" vertical="bottom" textRotation="0" wrapText="false" indent="0" shrinkToFit="false"/>
      <protection locked="false" hidden="false"/>
    </xf>
    <xf numFmtId="164" fontId="8" fillId="3" borderId="72" xfId="0" applyFont="true" applyBorder="true" applyAlignment="true" applyProtection="true">
      <alignment horizontal="left" vertical="bottom" textRotation="0" wrapText="false" indent="0" shrinkToFit="false"/>
      <protection locked="false" hidden="false"/>
    </xf>
    <xf numFmtId="168" fontId="8" fillId="3" borderId="72" xfId="0" applyFont="true" applyBorder="true" applyAlignment="true" applyProtection="true">
      <alignment horizontal="center" vertical="bottom" textRotation="0" wrapText="false" indent="0" shrinkToFit="false"/>
      <protection locked="false" hidden="false"/>
    </xf>
    <xf numFmtId="168" fontId="8" fillId="3" borderId="72" xfId="0" applyFont="true" applyBorder="true" applyAlignment="true" applyProtection="false">
      <alignment horizontal="center" vertical="bottom" textRotation="0" wrapText="false" indent="0" shrinkToFit="false"/>
      <protection locked="true" hidden="false"/>
    </xf>
    <xf numFmtId="164" fontId="8" fillId="3" borderId="73" xfId="0" applyFont="true" applyBorder="true" applyAlignment="true" applyProtection="false">
      <alignment horizontal="center" vertical="bottom" textRotation="0" wrapText="false" indent="0" shrinkToFit="false"/>
      <protection locked="true" hidden="false"/>
    </xf>
    <xf numFmtId="164" fontId="8" fillId="3" borderId="17" xfId="0" applyFont="true" applyBorder="true" applyAlignment="false" applyProtection="false">
      <alignment horizontal="general" vertical="bottom" textRotation="0" wrapText="false" indent="0" shrinkToFit="false"/>
      <protection locked="true" hidden="false"/>
    </xf>
    <xf numFmtId="164" fontId="6" fillId="3" borderId="17" xfId="0" applyFont="true" applyBorder="true" applyAlignment="true" applyProtection="false">
      <alignment horizontal="center" vertical="bottom" textRotation="0" wrapText="false" indent="0" shrinkToFit="false"/>
      <protection locked="true" hidden="false"/>
    </xf>
    <xf numFmtId="164" fontId="6" fillId="3" borderId="10" xfId="0" applyFont="true" applyBorder="true" applyAlignment="true" applyProtection="false">
      <alignment horizontal="center" vertical="bottom" textRotation="0" wrapText="true" indent="0" shrinkToFit="false"/>
      <protection locked="true" hidden="false"/>
    </xf>
    <xf numFmtId="164" fontId="6" fillId="3" borderId="9" xfId="0" applyFont="true" applyBorder="true" applyAlignment="true" applyProtection="false">
      <alignment horizontal="left" vertical="bottom" textRotation="0" wrapText="false" indent="0" shrinkToFit="false"/>
      <protection locked="true" hidden="false"/>
    </xf>
    <xf numFmtId="164" fontId="6" fillId="3" borderId="0" xfId="0" applyFont="true" applyBorder="false" applyAlignment="true" applyProtection="false">
      <alignment horizontal="center" vertical="bottom" textRotation="0" wrapText="false" indent="0" shrinkToFit="false"/>
      <protection locked="true" hidden="false"/>
    </xf>
    <xf numFmtId="164" fontId="6" fillId="3" borderId="45" xfId="0" applyFont="true" applyBorder="true" applyAlignment="true" applyProtection="false">
      <alignment horizontal="center" vertical="bottom" textRotation="0" wrapText="false" indent="0" shrinkToFit="false"/>
      <protection locked="true" hidden="false"/>
    </xf>
    <xf numFmtId="164" fontId="6" fillId="3" borderId="37" xfId="0" applyFont="true" applyBorder="true" applyAlignment="true" applyProtection="false">
      <alignment horizontal="left" vertical="bottom" textRotation="0" wrapText="false" indent="0" shrinkToFit="false"/>
      <protection locked="true" hidden="false"/>
    </xf>
    <xf numFmtId="164" fontId="6" fillId="3" borderId="16" xfId="0" applyFont="true" applyBorder="true" applyAlignment="true" applyProtection="false">
      <alignment horizontal="left" vertical="bottom" textRotation="0" wrapText="false" indent="0" shrinkToFit="false"/>
      <protection locked="true" hidden="false"/>
    </xf>
    <xf numFmtId="164" fontId="6" fillId="15" borderId="3" xfId="0" applyFont="true" applyBorder="true" applyAlignment="true" applyProtection="true">
      <alignment horizontal="center" vertical="center" textRotation="0" wrapText="false" indent="0" shrinkToFit="false"/>
      <protection locked="false" hidden="false"/>
    </xf>
    <xf numFmtId="164" fontId="13" fillId="9" borderId="3" xfId="0" applyFont="true" applyBorder="true" applyAlignment="true" applyProtection="false">
      <alignment horizontal="center" vertical="bottom" textRotation="0" wrapText="false" indent="0" shrinkToFit="false"/>
      <protection locked="true" hidden="false"/>
    </xf>
    <xf numFmtId="164" fontId="13" fillId="9" borderId="22" xfId="0" applyFont="true" applyBorder="true" applyAlignment="false" applyProtection="false">
      <alignment horizontal="general" vertical="bottom" textRotation="0" wrapText="false" indent="0" shrinkToFit="false"/>
      <protection locked="true" hidden="false"/>
    </xf>
    <xf numFmtId="164" fontId="13" fillId="9" borderId="23"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center" vertical="bottom" textRotation="0" wrapText="false" indent="0" shrinkToFit="false"/>
      <protection locked="true" hidden="false"/>
    </xf>
    <xf numFmtId="164" fontId="4" fillId="0" borderId="9" xfId="0" applyFont="true" applyBorder="true" applyAlignment="true" applyProtection="false">
      <alignment horizontal="center" vertical="bottom" textRotation="0" wrapText="false" indent="0" shrinkToFit="false"/>
      <protection locked="true" hidden="false"/>
    </xf>
    <xf numFmtId="164" fontId="0" fillId="9" borderId="17" xfId="0" applyFont="false" applyBorder="true" applyAlignment="false" applyProtection="false">
      <alignment horizontal="general" vertical="bottom" textRotation="0" wrapText="false" indent="0" shrinkToFit="false"/>
      <protection locked="true" hidden="false"/>
    </xf>
    <xf numFmtId="164" fontId="6" fillId="3" borderId="63" xfId="0" applyFont="true" applyBorder="true" applyAlignment="true" applyProtection="false">
      <alignment horizontal="center" vertical="top" textRotation="0" wrapText="true" indent="0" shrinkToFit="false"/>
      <protection locked="true" hidden="false"/>
    </xf>
    <xf numFmtId="164" fontId="6" fillId="3" borderId="63" xfId="0" applyFont="true" applyBorder="true" applyAlignment="true" applyProtection="false">
      <alignment horizontal="center" vertical="center" textRotation="0" wrapText="true" indent="0" shrinkToFit="false"/>
      <protection locked="true" hidden="false"/>
    </xf>
    <xf numFmtId="164" fontId="8" fillId="3" borderId="59" xfId="0" applyFont="true" applyBorder="true" applyAlignment="true" applyProtection="false">
      <alignment horizontal="center" vertical="bottom" textRotation="0" wrapText="true" indent="0" shrinkToFit="false"/>
      <protection locked="true" hidden="false"/>
    </xf>
    <xf numFmtId="164" fontId="0" fillId="9" borderId="90" xfId="0" applyFont="true" applyBorder="true" applyAlignment="false" applyProtection="false">
      <alignment horizontal="general" vertical="bottom" textRotation="0" wrapText="false" indent="0" shrinkToFit="false"/>
      <protection locked="true" hidden="false"/>
    </xf>
    <xf numFmtId="164" fontId="0" fillId="9" borderId="92" xfId="0" applyFont="true" applyBorder="true" applyAlignment="false" applyProtection="false">
      <alignment horizontal="general" vertical="bottom" textRotation="0" wrapText="false" indent="0" shrinkToFit="false"/>
      <protection locked="true" hidden="false"/>
    </xf>
    <xf numFmtId="164" fontId="0" fillId="9" borderId="121" xfId="0" applyFont="true" applyBorder="true" applyAlignment="false" applyProtection="false">
      <alignment horizontal="general" vertical="bottom" textRotation="0" wrapText="false" indent="0" shrinkToFit="false"/>
      <protection locked="true" hidden="false"/>
    </xf>
    <xf numFmtId="164" fontId="0" fillId="9" borderId="4" xfId="0" applyFont="true" applyBorder="true" applyAlignment="true" applyProtection="false">
      <alignment horizontal="center" vertical="bottom" textRotation="0" wrapText="false" indent="0" shrinkToFit="false"/>
      <protection locked="true" hidden="false"/>
    </xf>
    <xf numFmtId="164" fontId="0" fillId="9" borderId="5" xfId="0" applyFont="true" applyBorder="true" applyAlignment="true" applyProtection="false">
      <alignment horizontal="center" vertical="bottom" textRotation="0" wrapText="false" indent="0" shrinkToFit="false"/>
      <protection locked="true" hidden="false"/>
    </xf>
    <xf numFmtId="164" fontId="4" fillId="9" borderId="5" xfId="0" applyFont="true" applyBorder="true" applyAlignment="true" applyProtection="false">
      <alignment horizontal="center" vertical="bottom" textRotation="0" wrapText="true" indent="0" shrinkToFit="false"/>
      <protection locked="true" hidden="false"/>
    </xf>
    <xf numFmtId="164" fontId="0" fillId="9" borderId="102" xfId="0" applyFont="false" applyBorder="true" applyAlignment="true" applyProtection="false">
      <alignment horizontal="center" vertical="bottom" textRotation="0" wrapText="false" indent="0" shrinkToFit="false"/>
      <protection locked="true" hidden="false"/>
    </xf>
    <xf numFmtId="164" fontId="4" fillId="0" borderId="69" xfId="0" applyFont="true" applyBorder="true" applyAlignment="true" applyProtection="false">
      <alignment horizontal="center"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4" fillId="9" borderId="68" xfId="0" applyFont="true" applyBorder="true" applyAlignment="true" applyProtection="false">
      <alignment horizontal="center" vertical="bottom" textRotation="0" wrapText="false" indent="0" shrinkToFit="false"/>
      <protection locked="true" hidden="false"/>
    </xf>
    <xf numFmtId="164" fontId="8" fillId="0" borderId="11" xfId="0" applyFont="true" applyBorder="true" applyAlignment="true" applyProtection="true">
      <alignment horizontal="center" vertical="bottom" textRotation="0" wrapText="false" indent="0" shrinkToFit="false"/>
      <protection locked="false" hidden="false"/>
    </xf>
    <xf numFmtId="164" fontId="6" fillId="0" borderId="11" xfId="0" applyFont="true" applyBorder="true" applyAlignment="true" applyProtection="true">
      <alignment horizontal="center" vertical="bottom" textRotation="0" wrapText="false" indent="0" shrinkToFit="false"/>
      <protection locked="false" hidden="false"/>
    </xf>
    <xf numFmtId="164" fontId="8" fillId="3" borderId="45" xfId="0" applyFont="true" applyBorder="true" applyAlignment="false" applyProtection="true">
      <alignment horizontal="general" vertical="bottom" textRotation="0" wrapText="false" indent="0" shrinkToFit="false"/>
      <protection locked="false" hidden="false"/>
    </xf>
    <xf numFmtId="196" fontId="8" fillId="0" borderId="7" xfId="0" applyFont="true" applyBorder="true" applyAlignment="true" applyProtection="true">
      <alignment horizontal="center" vertical="bottom" textRotation="0" wrapText="false" indent="0" shrinkToFit="false"/>
      <protection locked="false" hidden="false"/>
    </xf>
    <xf numFmtId="196" fontId="8" fillId="0" borderId="8" xfId="0" applyFont="true" applyBorder="true" applyAlignment="true" applyProtection="true">
      <alignment horizontal="center" vertical="bottom" textRotation="0" wrapText="false" indent="0" shrinkToFit="false"/>
      <protection locked="false" hidden="false"/>
    </xf>
    <xf numFmtId="196" fontId="8" fillId="3" borderId="45" xfId="0" applyFont="true" applyBorder="true" applyAlignment="true" applyProtection="true">
      <alignment horizontal="center" vertical="bottom" textRotation="0" wrapText="false" indent="0" shrinkToFit="false"/>
      <protection locked="false" hidden="false"/>
    </xf>
    <xf numFmtId="201" fontId="8" fillId="6" borderId="0" xfId="0" applyFont="true" applyBorder="false" applyAlignment="false" applyProtection="false">
      <alignment horizontal="general" vertical="bottom" textRotation="0" wrapText="false" indent="0" shrinkToFit="false"/>
      <protection locked="true" hidden="false"/>
    </xf>
    <xf numFmtId="196" fontId="8" fillId="6" borderId="8" xfId="0" applyFont="true" applyBorder="true" applyAlignment="false" applyProtection="false">
      <alignment horizontal="general" vertical="bottom" textRotation="0" wrapText="false" indent="0" shrinkToFit="false"/>
      <protection locked="true" hidden="false"/>
    </xf>
    <xf numFmtId="201" fontId="0" fillId="9" borderId="37" xfId="15" applyFont="true" applyBorder="true" applyAlignment="true" applyProtection="true">
      <alignment horizontal="general" vertical="bottom" textRotation="0" wrapText="false" indent="0" shrinkToFit="false"/>
      <protection locked="true" hidden="false"/>
    </xf>
    <xf numFmtId="201" fontId="0" fillId="9" borderId="0" xfId="0" applyFont="false" applyBorder="false" applyAlignment="false" applyProtection="false">
      <alignment horizontal="general" vertical="bottom" textRotation="0" wrapText="false" indent="0" shrinkToFit="false"/>
      <protection locked="true" hidden="false"/>
    </xf>
    <xf numFmtId="201" fontId="0" fillId="9" borderId="37" xfId="0" applyFont="false" applyBorder="true" applyAlignment="false" applyProtection="false">
      <alignment horizontal="general" vertical="bottom" textRotation="0" wrapText="false" indent="0" shrinkToFit="false"/>
      <protection locked="true" hidden="false"/>
    </xf>
    <xf numFmtId="201" fontId="0" fillId="9" borderId="45" xfId="0" applyFont="false" applyBorder="true" applyAlignment="false" applyProtection="false">
      <alignment horizontal="general" vertical="bottom" textRotation="0" wrapText="false" indent="0" shrinkToFit="false"/>
      <protection locked="true" hidden="false"/>
    </xf>
    <xf numFmtId="179" fontId="0" fillId="9" borderId="7" xfId="17" applyFont="true" applyBorder="true" applyAlignment="true" applyProtection="true">
      <alignment horizontal="general" vertical="bottom" textRotation="0" wrapText="false" indent="0" shrinkToFit="false"/>
      <protection locked="true" hidden="false"/>
    </xf>
    <xf numFmtId="179" fontId="0" fillId="9" borderId="0" xfId="17" applyFont="true" applyBorder="true" applyAlignment="true" applyProtection="true">
      <alignment horizontal="general" vertical="bottom" textRotation="0" wrapText="false" indent="0" shrinkToFit="false"/>
      <protection locked="true" hidden="false"/>
    </xf>
    <xf numFmtId="179" fontId="0" fillId="9" borderId="8" xfId="17" applyFont="true" applyBorder="true" applyAlignment="true" applyProtection="true">
      <alignment horizontal="general" vertical="bottom" textRotation="0" wrapText="false" indent="0" shrinkToFit="false"/>
      <protection locked="true" hidden="false"/>
    </xf>
    <xf numFmtId="179" fontId="0" fillId="9" borderId="45" xfId="17" applyFont="true" applyBorder="true" applyAlignment="true" applyProtection="true">
      <alignment horizontal="general" vertical="bottom" textRotation="0" wrapText="false" indent="0" shrinkToFit="false"/>
      <protection locked="true" hidden="false"/>
    </xf>
    <xf numFmtId="179" fontId="0" fillId="9" borderId="55" xfId="0" applyFont="false" applyBorder="true" applyAlignment="false" applyProtection="false">
      <alignment horizontal="general" vertical="bottom" textRotation="0" wrapText="false" indent="0" shrinkToFit="false"/>
      <protection locked="true" hidden="false"/>
    </xf>
    <xf numFmtId="196" fontId="0" fillId="9" borderId="8" xfId="0" applyFont="false" applyBorder="true" applyAlignment="false" applyProtection="false">
      <alignment horizontal="general" vertical="bottom" textRotation="0" wrapText="false" indent="0" shrinkToFit="false"/>
      <protection locked="true" hidden="false"/>
    </xf>
    <xf numFmtId="182" fontId="11" fillId="3" borderId="45" xfId="0" applyFont="true" applyBorder="true" applyAlignment="false" applyProtection="true">
      <alignment horizontal="general" vertical="bottom" textRotation="0" wrapText="false" indent="0" shrinkToFit="false"/>
      <protection locked="false" hidden="false"/>
    </xf>
    <xf numFmtId="164" fontId="8" fillId="0" borderId="33" xfId="0" applyFont="true" applyBorder="true" applyAlignment="true" applyProtection="true">
      <alignment horizontal="center" vertical="bottom" textRotation="0" wrapText="false" indent="0" shrinkToFit="false"/>
      <protection locked="false" hidden="false"/>
    </xf>
    <xf numFmtId="201" fontId="0" fillId="9" borderId="75" xfId="0" applyFont="false" applyBorder="true" applyAlignment="false" applyProtection="false">
      <alignment horizontal="general" vertical="bottom" textRotation="0" wrapText="false" indent="0" shrinkToFit="false"/>
      <protection locked="true" hidden="false"/>
    </xf>
    <xf numFmtId="201" fontId="0" fillId="9" borderId="2" xfId="0" applyFont="false" applyBorder="true" applyAlignment="false" applyProtection="false">
      <alignment horizontal="general" vertical="bottom" textRotation="0" wrapText="false" indent="0" shrinkToFit="false"/>
      <protection locked="true" hidden="false"/>
    </xf>
    <xf numFmtId="201" fontId="0" fillId="9" borderId="89" xfId="0" applyFont="false" applyBorder="true" applyAlignment="false" applyProtection="false">
      <alignment horizontal="general" vertical="bottom" textRotation="0" wrapText="false" indent="0" shrinkToFit="false"/>
      <protection locked="true" hidden="false"/>
    </xf>
    <xf numFmtId="179" fontId="0" fillId="9" borderId="12" xfId="17" applyFont="true" applyBorder="true" applyAlignment="true" applyProtection="true">
      <alignment horizontal="general" vertical="bottom" textRotation="0" wrapText="false" indent="0" shrinkToFit="false"/>
      <protection locked="true" hidden="false"/>
    </xf>
    <xf numFmtId="179" fontId="0" fillId="9" borderId="6" xfId="17" applyFont="true" applyBorder="true" applyAlignment="true" applyProtection="true">
      <alignment horizontal="general" vertical="bottom" textRotation="0" wrapText="false" indent="0" shrinkToFit="false"/>
      <protection locked="true" hidden="false"/>
    </xf>
    <xf numFmtId="179" fontId="0" fillId="9" borderId="13" xfId="17" applyFont="true" applyBorder="true" applyAlignment="true" applyProtection="true">
      <alignment horizontal="general" vertical="bottom" textRotation="0" wrapText="false" indent="0" shrinkToFit="false"/>
      <protection locked="true" hidden="false"/>
    </xf>
    <xf numFmtId="179" fontId="0" fillId="9" borderId="51" xfId="17" applyFont="true" applyBorder="true" applyAlignment="true" applyProtection="true">
      <alignment horizontal="general" vertical="bottom" textRotation="0" wrapText="false" indent="0" shrinkToFit="false"/>
      <protection locked="true" hidden="false"/>
    </xf>
    <xf numFmtId="164" fontId="6" fillId="0" borderId="9" xfId="0" applyFont="true" applyBorder="true" applyAlignment="true" applyProtection="false">
      <alignment horizontal="left" vertical="bottom" textRotation="0" wrapText="false" indent="0" shrinkToFit="false"/>
      <protection locked="true" hidden="false"/>
    </xf>
    <xf numFmtId="193" fontId="8" fillId="9" borderId="17" xfId="0" applyFont="true" applyBorder="true" applyAlignment="false" applyProtection="false">
      <alignment horizontal="general" vertical="bottom" textRotation="0" wrapText="false" indent="0" shrinkToFit="false"/>
      <protection locked="true" hidden="false"/>
    </xf>
    <xf numFmtId="179" fontId="0" fillId="9" borderId="0" xfId="0" applyFont="false" applyBorder="false" applyAlignment="false" applyProtection="false">
      <alignment horizontal="general" vertical="bottom" textRotation="0" wrapText="false" indent="0" shrinkToFit="false"/>
      <protection locked="true" hidden="false"/>
    </xf>
    <xf numFmtId="196" fontId="0" fillId="9" borderId="6" xfId="0" applyFont="false" applyBorder="true" applyAlignment="false" applyProtection="false">
      <alignment horizontal="general" vertical="bottom" textRotation="0" wrapText="false" indent="0" shrinkToFit="false"/>
      <protection locked="true" hidden="false"/>
    </xf>
    <xf numFmtId="164" fontId="8" fillId="9" borderId="12" xfId="0" applyFont="true" applyBorder="true" applyAlignment="true" applyProtection="false">
      <alignment horizontal="center" vertical="bottom" textRotation="0" wrapText="false" indent="0" shrinkToFit="false"/>
      <protection locked="true" hidden="false"/>
    </xf>
    <xf numFmtId="164" fontId="8" fillId="9" borderId="6" xfId="0" applyFont="true" applyBorder="true" applyAlignment="true" applyProtection="false">
      <alignment horizontal="center" vertical="bottom" textRotation="0" wrapText="false" indent="0" shrinkToFit="false"/>
      <protection locked="true" hidden="false"/>
    </xf>
    <xf numFmtId="180" fontId="8" fillId="9" borderId="6" xfId="0" applyFont="true" applyBorder="true" applyAlignment="false" applyProtection="false">
      <alignment horizontal="general" vertical="bottom" textRotation="0" wrapText="false" indent="0" shrinkToFit="false"/>
      <protection locked="true" hidden="false"/>
    </xf>
    <xf numFmtId="164" fontId="6" fillId="9" borderId="16" xfId="0" applyFont="true" applyBorder="true" applyAlignment="true" applyProtection="true">
      <alignment horizontal="left" vertical="bottom" textRotation="0" wrapText="false" indent="0" shrinkToFit="false"/>
      <protection locked="false" hidden="false"/>
    </xf>
    <xf numFmtId="193" fontId="8" fillId="3" borderId="109" xfId="0" applyFont="true" applyBorder="true" applyAlignment="true" applyProtection="false">
      <alignment horizontal="center" vertical="bottom" textRotation="0" wrapText="false" indent="0" shrinkToFit="false"/>
      <protection locked="true" hidden="false"/>
    </xf>
    <xf numFmtId="184" fontId="8" fillId="3" borderId="114" xfId="19" applyFont="true" applyBorder="true" applyAlignment="true" applyProtection="true">
      <alignment horizontal="general" vertical="bottom" textRotation="0" wrapText="false" indent="0" shrinkToFit="false"/>
      <protection locked="true" hidden="false"/>
    </xf>
    <xf numFmtId="185" fontId="6" fillId="9" borderId="7" xfId="19" applyFont="true" applyBorder="true" applyAlignment="true" applyProtection="true">
      <alignment horizontal="center" vertical="bottom" textRotation="0" wrapText="false" indent="0" shrinkToFit="false"/>
      <protection locked="true" hidden="false"/>
    </xf>
    <xf numFmtId="169" fontId="8" fillId="9" borderId="7" xfId="17" applyFont="true" applyBorder="true" applyAlignment="true" applyProtection="true">
      <alignment horizontal="center" vertical="bottom" textRotation="0" wrapText="false" indent="0" shrinkToFit="false"/>
      <protection locked="false" hidden="false"/>
    </xf>
    <xf numFmtId="169" fontId="8" fillId="9" borderId="8" xfId="17" applyFont="true" applyBorder="true" applyAlignment="true" applyProtection="true">
      <alignment horizontal="center" vertical="bottom" textRotation="0" wrapText="false" indent="0" shrinkToFit="false"/>
      <protection locked="false" hidden="false"/>
    </xf>
    <xf numFmtId="183" fontId="8" fillId="3" borderId="7" xfId="19" applyFont="true" applyBorder="true" applyAlignment="true" applyProtection="true">
      <alignment horizontal="center" vertical="bottom" textRotation="0" wrapText="false" indent="0" shrinkToFit="false"/>
      <protection locked="false" hidden="false"/>
    </xf>
    <xf numFmtId="183" fontId="8" fillId="3" borderId="0" xfId="19" applyFont="true" applyBorder="true" applyAlignment="true" applyProtection="true">
      <alignment horizontal="center" vertical="bottom" textRotation="0" wrapText="false" indent="0" shrinkToFit="false"/>
      <protection locked="false" hidden="false"/>
    </xf>
    <xf numFmtId="183" fontId="8" fillId="3" borderId="8" xfId="19" applyFont="true" applyBorder="true" applyAlignment="true" applyProtection="true">
      <alignment horizontal="center" vertical="bottom" textRotation="0" wrapText="false" indent="0" shrinkToFit="false"/>
      <protection locked="false" hidden="false"/>
    </xf>
    <xf numFmtId="169" fontId="69" fillId="0" borderId="6" xfId="17" applyFont="true" applyBorder="true" applyAlignment="true" applyProtection="true">
      <alignment horizontal="center" vertical="bottom" textRotation="0" wrapText="false" indent="0" shrinkToFit="false"/>
      <protection locked="false" hidden="false"/>
    </xf>
    <xf numFmtId="179" fontId="8" fillId="34" borderId="3" xfId="17" applyFont="true" applyBorder="true" applyAlignment="true" applyProtection="true">
      <alignment horizontal="center" vertical="bottom" textRotation="0" wrapText="false" indent="0" shrinkToFit="false"/>
      <protection locked="false" hidden="false"/>
    </xf>
    <xf numFmtId="185" fontId="6" fillId="34" borderId="21" xfId="19" applyFont="true" applyBorder="true" applyAlignment="true" applyProtection="true">
      <alignment horizontal="center" vertical="bottom" textRotation="0" wrapText="false" indent="0" shrinkToFit="false"/>
      <protection locked="true" hidden="false"/>
    </xf>
    <xf numFmtId="179" fontId="8" fillId="34" borderId="22" xfId="17" applyFont="true" applyBorder="true" applyAlignment="true" applyProtection="true">
      <alignment horizontal="center" vertical="bottom" textRotation="0" wrapText="false" indent="0" shrinkToFit="false"/>
      <protection locked="true" hidden="false"/>
    </xf>
    <xf numFmtId="169" fontId="8" fillId="34" borderId="22" xfId="17" applyFont="true" applyBorder="true" applyAlignment="true" applyProtection="true">
      <alignment horizontal="center" vertical="bottom" textRotation="0" wrapText="false" indent="0" shrinkToFit="false"/>
      <protection locked="false" hidden="false"/>
    </xf>
    <xf numFmtId="183" fontId="8" fillId="34" borderId="22" xfId="19" applyFont="true" applyBorder="true" applyAlignment="true" applyProtection="true">
      <alignment horizontal="center" vertical="bottom" textRotation="0" wrapText="false" indent="0" shrinkToFit="false"/>
      <protection locked="false" hidden="false"/>
    </xf>
    <xf numFmtId="183" fontId="8" fillId="34" borderId="23" xfId="19" applyFont="true" applyBorder="true" applyAlignment="true" applyProtection="true">
      <alignment horizontal="center" vertical="bottom" textRotation="0" wrapText="false" indent="0" shrinkToFit="false"/>
      <protection locked="false" hidden="false"/>
    </xf>
    <xf numFmtId="164" fontId="6" fillId="0" borderId="12" xfId="0" applyFont="true" applyBorder="true" applyAlignment="false" applyProtection="false">
      <alignment horizontal="general" vertical="bottom" textRotation="0" wrapText="false" indent="0" shrinkToFit="false"/>
      <protection locked="true" hidden="false"/>
    </xf>
    <xf numFmtId="179" fontId="6" fillId="0" borderId="6" xfId="0" applyFont="true" applyBorder="true" applyAlignment="true" applyProtection="false">
      <alignment horizontal="center" vertical="bottom" textRotation="0" wrapText="false" indent="0" shrinkToFit="false"/>
      <protection locked="true" hidden="false"/>
    </xf>
    <xf numFmtId="164" fontId="8" fillId="0" borderId="13" xfId="0" applyFont="true" applyBorder="true" applyAlignment="false" applyProtection="false">
      <alignment horizontal="general" vertical="bottom" textRotation="0" wrapText="false" indent="0" shrinkToFit="false"/>
      <protection locked="true" hidden="false"/>
    </xf>
    <xf numFmtId="164" fontId="6" fillId="14" borderId="12" xfId="0" applyFont="true" applyBorder="true" applyAlignment="false" applyProtection="false">
      <alignment horizontal="general" vertical="bottom" textRotation="0" wrapText="false" indent="0" shrinkToFit="false"/>
      <protection locked="true" hidden="false"/>
    </xf>
    <xf numFmtId="169" fontId="8" fillId="14" borderId="22" xfId="17" applyFont="true" applyBorder="true" applyAlignment="true" applyProtection="true">
      <alignment horizontal="center" vertical="bottom" textRotation="0" wrapText="false" indent="0" shrinkToFit="false"/>
      <protection locked="true" hidden="false"/>
    </xf>
    <xf numFmtId="164" fontId="6" fillId="14" borderId="22" xfId="0" applyFont="true" applyBorder="true" applyAlignment="true" applyProtection="false">
      <alignment horizontal="right" vertical="bottom" textRotation="0" wrapText="false" indent="0" shrinkToFit="false"/>
      <protection locked="true" hidden="false"/>
    </xf>
    <xf numFmtId="169" fontId="8" fillId="14" borderId="6" xfId="17" applyFont="true" applyBorder="true" applyAlignment="true" applyProtection="true">
      <alignment horizontal="center" vertical="bottom" textRotation="0" wrapText="false" indent="0" shrinkToFit="false"/>
      <protection locked="true" hidden="false"/>
    </xf>
    <xf numFmtId="164" fontId="8" fillId="15" borderId="6" xfId="0" applyFont="true" applyBorder="true" applyAlignment="false" applyProtection="false">
      <alignment horizontal="general" vertical="bottom" textRotation="0" wrapText="false" indent="0" shrinkToFit="false"/>
      <protection locked="true" hidden="false"/>
    </xf>
    <xf numFmtId="164" fontId="8" fillId="15" borderId="13" xfId="0" applyFont="true" applyBorder="true" applyAlignment="false" applyProtection="false">
      <alignment horizontal="general" vertical="bottom" textRotation="0" wrapText="false" indent="0" shrinkToFit="false"/>
      <protection locked="true" hidden="false"/>
    </xf>
    <xf numFmtId="164" fontId="8" fillId="15" borderId="12" xfId="0" applyFont="true" applyBorder="true" applyAlignment="true" applyProtection="false">
      <alignment horizontal="center" vertical="bottom" textRotation="0" wrapText="false" indent="0" shrinkToFit="false"/>
      <protection locked="true" hidden="false"/>
    </xf>
    <xf numFmtId="164" fontId="8" fillId="15" borderId="13" xfId="0" applyFont="true" applyBorder="true" applyAlignment="true" applyProtection="false">
      <alignment horizontal="center" vertical="bottom" textRotation="0" wrapText="false" indent="0" shrinkToFit="false"/>
      <protection locked="true" hidden="false"/>
    </xf>
    <xf numFmtId="201" fontId="8" fillId="14" borderId="6" xfId="0" applyFont="true" applyBorder="true" applyAlignment="true" applyProtection="false">
      <alignment horizontal="center" vertical="bottom" textRotation="0" wrapText="false" indent="0" shrinkToFit="false"/>
      <protection locked="true" hidden="false"/>
    </xf>
    <xf numFmtId="201" fontId="8" fillId="14" borderId="51" xfId="0" applyFont="true" applyBorder="true" applyAlignment="true" applyProtection="false">
      <alignment horizontal="center" vertical="bottom" textRotation="0" wrapText="false" indent="0" shrinkToFit="false"/>
      <protection locked="true" hidden="false"/>
    </xf>
    <xf numFmtId="164" fontId="79" fillId="14" borderId="6" xfId="0" applyFont="true" applyBorder="true" applyAlignment="true" applyProtection="false">
      <alignment horizontal="center" vertical="bottom" textRotation="0" wrapText="false" indent="0" shrinkToFit="false"/>
      <protection locked="true" hidden="false"/>
    </xf>
    <xf numFmtId="179" fontId="69" fillId="3" borderId="0" xfId="17" applyFont="true" applyBorder="true" applyAlignment="true" applyProtection="true">
      <alignment horizontal="general" vertical="bottom" textRotation="0" wrapText="false" indent="0" shrinkToFit="false"/>
      <protection locked="false" hidden="false"/>
    </xf>
    <xf numFmtId="164" fontId="69" fillId="3" borderId="0" xfId="0" applyFont="true" applyBorder="false" applyAlignment="false" applyProtection="true">
      <alignment horizontal="general" vertical="bottom" textRotation="0" wrapText="false" indent="0" shrinkToFit="false"/>
      <protection locked="false" hidden="false"/>
    </xf>
    <xf numFmtId="169" fontId="69" fillId="3" borderId="0" xfId="17" applyFont="true" applyBorder="true" applyAlignment="true" applyProtection="true">
      <alignment horizontal="general" vertical="bottom" textRotation="0" wrapText="false" indent="0" shrinkToFit="false"/>
      <protection locked="false" hidden="false"/>
    </xf>
    <xf numFmtId="179" fontId="69" fillId="3" borderId="0" xfId="17" applyFont="true" applyBorder="true" applyAlignment="true" applyProtection="true">
      <alignment horizontal="center" vertical="bottom" textRotation="0" wrapText="false" indent="0" shrinkToFit="false"/>
      <protection locked="false" hidden="false"/>
    </xf>
    <xf numFmtId="201" fontId="69" fillId="3" borderId="0" xfId="15" applyFont="true" applyBorder="true" applyAlignment="true" applyProtection="true">
      <alignment horizontal="center" vertical="bottom" textRotation="0" wrapText="false" indent="0" shrinkToFit="false"/>
      <protection locked="false" hidden="false"/>
    </xf>
    <xf numFmtId="164" fontId="8" fillId="9" borderId="56" xfId="0" applyFont="true" applyBorder="true" applyAlignment="false" applyProtection="false">
      <alignment horizontal="general" vertical="bottom" textRotation="0" wrapText="false" indent="0" shrinkToFit="false"/>
      <protection locked="true" hidden="false"/>
    </xf>
    <xf numFmtId="169" fontId="8" fillId="9" borderId="56" xfId="17" applyFont="true" applyBorder="true" applyAlignment="true" applyProtection="true">
      <alignment horizontal="general" vertical="bottom" textRotation="0" wrapText="false" indent="0" shrinkToFit="false"/>
      <protection locked="true" hidden="false"/>
    </xf>
    <xf numFmtId="164" fontId="76" fillId="9" borderId="56" xfId="0" applyFont="true" applyBorder="true" applyAlignment="false" applyProtection="false">
      <alignment horizontal="general" vertical="bottom" textRotation="0" wrapText="false" indent="0" shrinkToFit="false"/>
      <protection locked="true" hidden="false"/>
    </xf>
    <xf numFmtId="164" fontId="76" fillId="9" borderId="57" xfId="0" applyFont="true" applyBorder="true" applyAlignment="false" applyProtection="false">
      <alignment horizontal="general" vertical="bottom" textRotation="0" wrapText="false" indent="0" shrinkToFit="false"/>
      <protection locked="true" hidden="false"/>
    </xf>
    <xf numFmtId="222" fontId="8" fillId="3" borderId="0" xfId="0" applyFont="true" applyBorder="false" applyAlignment="false" applyProtection="true">
      <alignment horizontal="general" vertical="bottom" textRotation="0" wrapText="false" indent="0" shrinkToFit="false"/>
      <protection locked="false" hidden="false"/>
    </xf>
    <xf numFmtId="182" fontId="8" fillId="3" borderId="0" xfId="0" applyFont="true" applyBorder="false" applyAlignment="false" applyProtection="true">
      <alignment horizontal="general" vertical="bottom" textRotation="0" wrapText="false" indent="0" shrinkToFit="false"/>
      <protection locked="false" hidden="false"/>
    </xf>
    <xf numFmtId="164" fontId="8" fillId="9" borderId="66" xfId="0" applyFont="true" applyBorder="true" applyAlignment="false" applyProtection="false">
      <alignment horizontal="general" vertical="bottom" textRotation="0" wrapText="false" indent="0" shrinkToFit="false"/>
      <protection locked="true" hidden="false"/>
    </xf>
    <xf numFmtId="196" fontId="8" fillId="3" borderId="0" xfId="0" applyFont="true" applyBorder="false" applyAlignment="false" applyProtection="true">
      <alignment horizontal="general" vertical="bottom" textRotation="0" wrapText="false" indent="0" shrinkToFit="false"/>
      <protection locked="false" hidden="false"/>
    </xf>
    <xf numFmtId="205" fontId="8" fillId="9" borderId="0" xfId="17" applyFont="true" applyBorder="true" applyAlignment="true" applyProtection="true">
      <alignment horizontal="center" vertical="bottom" textRotation="0" wrapText="false" indent="0" shrinkToFit="false"/>
      <protection locked="true" hidden="false"/>
    </xf>
    <xf numFmtId="193" fontId="8" fillId="9" borderId="0" xfId="0" applyFont="true" applyBorder="false" applyAlignment="true" applyProtection="false">
      <alignment horizontal="center" vertical="bottom" textRotation="0" wrapText="false" indent="0" shrinkToFit="false"/>
      <protection locked="true" hidden="false"/>
    </xf>
    <xf numFmtId="223" fontId="8" fillId="9" borderId="45" xfId="0" applyFont="true" applyBorder="true" applyAlignment="true" applyProtection="false">
      <alignment horizontal="center" vertical="bottom" textRotation="0" wrapText="false" indent="0" shrinkToFit="false"/>
      <protection locked="true" hidden="false"/>
    </xf>
    <xf numFmtId="169" fontId="8" fillId="3" borderId="0" xfId="0" applyFont="true" applyBorder="false" applyAlignment="false" applyProtection="true">
      <alignment horizontal="general" vertical="bottom" textRotation="0" wrapText="false" indent="0" shrinkToFit="false"/>
      <protection locked="false" hidden="false"/>
    </xf>
    <xf numFmtId="224" fontId="8" fillId="3" borderId="0" xfId="0" applyFont="true" applyBorder="false" applyAlignment="false" applyProtection="true">
      <alignment horizontal="general" vertical="bottom" textRotation="0" wrapText="false" indent="0" shrinkToFit="false"/>
      <protection locked="false" hidden="false"/>
    </xf>
    <xf numFmtId="225" fontId="8" fillId="9" borderId="45" xfId="0" applyFont="true" applyBorder="true" applyAlignment="true" applyProtection="false">
      <alignment horizontal="center" vertical="bottom" textRotation="0" wrapText="false" indent="0" shrinkToFit="false"/>
      <protection locked="true" hidden="false"/>
    </xf>
    <xf numFmtId="179" fontId="8" fillId="9" borderId="2" xfId="0" applyFont="true" applyBorder="true" applyAlignment="true" applyProtection="false">
      <alignment horizontal="center" vertical="bottom" textRotation="0" wrapText="false" indent="0" shrinkToFit="false"/>
      <protection locked="true" hidden="false"/>
    </xf>
    <xf numFmtId="164" fontId="0" fillId="9" borderId="89" xfId="0" applyFont="false" applyBorder="true" applyAlignment="false" applyProtection="false">
      <alignment horizontal="general" vertical="bottom" textRotation="0" wrapText="false" indent="0" shrinkToFit="false"/>
      <protection locked="true" hidden="false"/>
    </xf>
    <xf numFmtId="164" fontId="8" fillId="0" borderId="70" xfId="0" applyFont="true" applyBorder="true" applyAlignment="true" applyProtection="true">
      <alignment horizontal="center" vertical="bottom" textRotation="0" wrapText="false" indent="0" shrinkToFit="false"/>
      <protection locked="false" hidden="false"/>
    </xf>
    <xf numFmtId="183" fontId="8" fillId="0" borderId="115" xfId="19" applyFont="true" applyBorder="true" applyAlignment="true" applyProtection="true">
      <alignment horizontal="center" vertical="center" textRotation="0" wrapText="true" indent="0" shrinkToFit="false"/>
      <protection locked="false" hidden="false"/>
    </xf>
    <xf numFmtId="164" fontId="8" fillId="0" borderId="47" xfId="0" applyFont="true" applyBorder="true" applyAlignment="true" applyProtection="true">
      <alignment horizontal="center" vertical="bottom" textRotation="0" wrapText="false" indent="0" shrinkToFit="false"/>
      <protection locked="false" hidden="false"/>
    </xf>
    <xf numFmtId="164" fontId="8" fillId="0" borderId="125" xfId="0" applyFont="true" applyBorder="true" applyAlignment="true" applyProtection="true">
      <alignment horizontal="center" vertical="bottom" textRotation="0" wrapText="false" indent="0" shrinkToFit="false"/>
      <protection locked="false" hidden="false"/>
    </xf>
    <xf numFmtId="164" fontId="8" fillId="0" borderId="53" xfId="0" applyFont="true" applyBorder="true" applyAlignment="true" applyProtection="true">
      <alignment horizontal="center" vertical="bottom" textRotation="0" wrapText="false" indent="0" shrinkToFit="false"/>
      <protection locked="false" hidden="false"/>
    </xf>
    <xf numFmtId="193" fontId="69" fillId="0" borderId="7" xfId="0" applyFont="true" applyBorder="true" applyAlignment="false" applyProtection="false">
      <alignment horizontal="general" vertical="bottom" textRotation="0" wrapText="false" indent="0" shrinkToFit="false"/>
      <protection locked="true" hidden="false"/>
    </xf>
    <xf numFmtId="169" fontId="8" fillId="15" borderId="67" xfId="0" applyFont="true" applyBorder="true" applyAlignment="false" applyProtection="true">
      <alignment horizontal="general" vertical="bottom" textRotation="0" wrapText="false" indent="0" shrinkToFit="false"/>
      <protection locked="false" hidden="false"/>
    </xf>
    <xf numFmtId="179" fontId="8" fillId="0" borderId="108" xfId="17" applyFont="true" applyBorder="true" applyAlignment="true" applyProtection="true">
      <alignment horizontal="center" vertical="bottom" textRotation="0" wrapText="false" indent="0" shrinkToFit="false"/>
      <protection locked="true" hidden="false"/>
    </xf>
    <xf numFmtId="169" fontId="8" fillId="15" borderId="19" xfId="0" applyFont="true" applyBorder="true" applyAlignment="false" applyProtection="true">
      <alignment horizontal="general" vertical="bottom" textRotation="0" wrapText="false" indent="0" shrinkToFit="false"/>
      <protection locked="false" hidden="false"/>
    </xf>
    <xf numFmtId="164" fontId="24" fillId="0" borderId="127" xfId="15" applyFont="true" applyBorder="true" applyAlignment="true" applyProtection="true">
      <alignment horizontal="center" vertical="bottom" textRotation="0" wrapText="false" indent="0" shrinkToFit="false"/>
      <protection locked="true" hidden="false"/>
    </xf>
    <xf numFmtId="164" fontId="6" fillId="6" borderId="22" xfId="0" applyFont="true" applyBorder="true" applyAlignment="true" applyProtection="true">
      <alignment horizontal="center" vertical="bottom" textRotation="0" wrapText="false" indent="0" shrinkToFit="false"/>
      <protection locked="false" hidden="false"/>
    </xf>
    <xf numFmtId="164" fontId="6" fillId="0" borderId="22" xfId="0" applyFont="true" applyBorder="true" applyAlignment="true" applyProtection="false">
      <alignment horizontal="center" vertical="bottom" textRotation="0" wrapText="false" indent="0" shrinkToFit="false"/>
      <protection locked="true" hidden="false"/>
    </xf>
    <xf numFmtId="164" fontId="8" fillId="0" borderId="9" xfId="0" applyFont="true" applyBorder="true" applyAlignment="false" applyProtection="true">
      <alignment horizontal="general" vertical="bottom" textRotation="0" wrapText="false" indent="0" shrinkToFit="false"/>
      <protection locked="false" hidden="false"/>
    </xf>
    <xf numFmtId="193" fontId="8" fillId="6" borderId="1" xfId="0" applyFont="true" applyBorder="true" applyAlignment="true" applyProtection="false">
      <alignment horizontal="center" vertical="center" textRotation="0" wrapText="false" indent="0" shrinkToFit="false"/>
      <protection locked="true" hidden="false"/>
    </xf>
    <xf numFmtId="179" fontId="76" fillId="0" borderId="8" xfId="17" applyFont="true" applyBorder="true" applyAlignment="true" applyProtection="true">
      <alignment horizontal="center" vertical="bottom" textRotation="0" wrapText="false" indent="0" shrinkToFit="false"/>
      <protection locked="true" hidden="false"/>
    </xf>
    <xf numFmtId="179" fontId="8" fillId="3" borderId="37" xfId="17" applyFont="true" applyBorder="true" applyAlignment="true" applyProtection="true">
      <alignment horizontal="center" vertical="bottom" textRotation="0" wrapText="false" indent="0" shrinkToFit="false"/>
      <protection locked="false" hidden="false"/>
    </xf>
    <xf numFmtId="169" fontId="8" fillId="6" borderId="6" xfId="17" applyFont="true" applyBorder="true" applyAlignment="true" applyProtection="true">
      <alignment horizontal="center" vertical="bottom" textRotation="0" wrapText="false" indent="0" shrinkToFit="false"/>
      <protection locked="false" hidden="false"/>
    </xf>
    <xf numFmtId="164" fontId="6" fillId="0" borderId="39" xfId="0" applyFont="true" applyBorder="true" applyAlignment="false" applyProtection="true">
      <alignment horizontal="general" vertical="bottom" textRotation="0" wrapText="false" indent="0" shrinkToFit="false"/>
      <protection locked="false" hidden="false"/>
    </xf>
    <xf numFmtId="164" fontId="6" fillId="6" borderId="21" xfId="0" applyFont="true" applyBorder="true" applyAlignment="true" applyProtection="false">
      <alignment horizontal="center" vertical="bottom" textRotation="0" wrapText="false" indent="0" shrinkToFit="false"/>
      <protection locked="true" hidden="false"/>
    </xf>
    <xf numFmtId="179" fontId="8" fillId="15" borderId="109" xfId="0" applyFont="true" applyBorder="true" applyAlignment="false" applyProtection="true">
      <alignment horizontal="general" vertical="bottom" textRotation="0" wrapText="false" indent="0" shrinkToFit="false"/>
      <protection locked="false" hidden="false"/>
    </xf>
    <xf numFmtId="171" fontId="8" fillId="0" borderId="9" xfId="0" applyFont="true" applyBorder="true" applyAlignment="false" applyProtection="true">
      <alignment horizontal="general" vertical="bottom" textRotation="0" wrapText="false" indent="0" shrinkToFit="false"/>
      <protection locked="false" hidden="false"/>
    </xf>
    <xf numFmtId="179" fontId="8" fillId="0" borderId="36" xfId="17" applyFont="true" applyBorder="true" applyAlignment="true" applyProtection="true">
      <alignment horizontal="center" vertical="bottom" textRotation="0" wrapText="false" indent="0" shrinkToFit="false"/>
      <protection locked="true" hidden="false"/>
    </xf>
    <xf numFmtId="164" fontId="8" fillId="0" borderId="67" xfId="0" applyFont="true" applyBorder="true" applyAlignment="false" applyProtection="true">
      <alignment horizontal="general" vertical="bottom" textRotation="0" wrapText="false" indent="0" shrinkToFit="false"/>
      <protection locked="false" hidden="false"/>
    </xf>
    <xf numFmtId="179" fontId="8" fillId="15" borderId="1" xfId="0" applyFont="true" applyBorder="true" applyAlignment="false" applyProtection="true">
      <alignment horizontal="general" vertical="bottom" textRotation="0" wrapText="false" indent="0" shrinkToFit="false"/>
      <protection locked="false" hidden="false"/>
    </xf>
    <xf numFmtId="164" fontId="8" fillId="0" borderId="75" xfId="0" applyFont="true" applyBorder="true" applyAlignment="false" applyProtection="true">
      <alignment horizontal="general" vertical="bottom" textRotation="0" wrapText="false" indent="0" shrinkToFit="false"/>
      <protection locked="false" hidden="false"/>
    </xf>
    <xf numFmtId="169" fontId="8" fillId="0" borderId="67" xfId="0" applyFont="true" applyBorder="true" applyAlignment="true" applyProtection="false">
      <alignment horizontal="center" vertical="bottom" textRotation="0" wrapText="false" indent="0" shrinkToFit="false"/>
      <protection locked="true" hidden="false"/>
    </xf>
    <xf numFmtId="179" fontId="8" fillId="0" borderId="24" xfId="17" applyFont="true" applyBorder="true" applyAlignment="true" applyProtection="true">
      <alignment horizontal="center" vertical="bottom" textRotation="0" wrapText="false" indent="0" shrinkToFit="false"/>
      <protection locked="true" hidden="false"/>
    </xf>
    <xf numFmtId="193" fontId="8" fillId="3" borderId="55" xfId="0" applyFont="true" applyBorder="true" applyAlignment="false" applyProtection="true">
      <alignment horizontal="general" vertical="bottom" textRotation="0" wrapText="false" indent="0" shrinkToFit="false"/>
      <protection locked="false" hidden="false"/>
    </xf>
    <xf numFmtId="179" fontId="8" fillId="15" borderId="55" xfId="0" applyFont="true" applyBorder="true" applyAlignment="false" applyProtection="true">
      <alignment horizontal="general" vertical="bottom" textRotation="0" wrapText="false" indent="0" shrinkToFit="false"/>
      <protection locked="false" hidden="false"/>
    </xf>
    <xf numFmtId="169" fontId="8" fillId="0" borderId="0" xfId="0" applyFont="true" applyBorder="false" applyAlignment="true" applyProtection="false">
      <alignment horizontal="center" vertical="bottom" textRotation="0" wrapText="false" indent="0" shrinkToFit="false"/>
      <protection locked="true" hidden="false"/>
    </xf>
    <xf numFmtId="179" fontId="8" fillId="15" borderId="72" xfId="0" applyFont="true" applyBorder="true" applyAlignment="false" applyProtection="true">
      <alignment horizontal="general" vertical="bottom" textRotation="0" wrapText="false" indent="0" shrinkToFit="false"/>
      <protection locked="false" hidden="false"/>
    </xf>
    <xf numFmtId="201" fontId="8" fillId="0" borderId="39" xfId="0" applyFont="true" applyBorder="true" applyAlignment="false" applyProtection="false">
      <alignment horizontal="general" vertical="bottom" textRotation="0" wrapText="false" indent="0" shrinkToFit="false"/>
      <protection locked="true" hidden="false"/>
    </xf>
    <xf numFmtId="183" fontId="8" fillId="15" borderId="81" xfId="19" applyFont="true" applyBorder="true" applyAlignment="true" applyProtection="true">
      <alignment horizontal="center" vertical="bottom" textRotation="0" wrapText="false" indent="0" shrinkToFit="false"/>
      <protection locked="false" hidden="false"/>
    </xf>
    <xf numFmtId="193" fontId="8" fillId="3" borderId="19" xfId="0" applyFont="true" applyBorder="true" applyAlignment="false" applyProtection="true">
      <alignment horizontal="general" vertical="bottom" textRotation="0" wrapText="false" indent="0" shrinkToFit="false"/>
      <protection locked="false" hidden="false"/>
    </xf>
    <xf numFmtId="164" fontId="8" fillId="0" borderId="9" xfId="0" applyFont="true" applyBorder="true" applyAlignment="true" applyProtection="true">
      <alignment horizontal="center" vertical="bottom" textRotation="0" wrapText="false" indent="0" shrinkToFit="false"/>
      <protection locked="false" hidden="false"/>
    </xf>
    <xf numFmtId="164" fontId="8" fillId="0" borderId="42" xfId="0" applyFont="true" applyBorder="true" applyAlignment="true" applyProtection="true">
      <alignment horizontal="center" vertical="bottom" textRotation="0" wrapText="false" indent="0" shrinkToFit="false"/>
      <protection locked="false" hidden="false"/>
    </xf>
    <xf numFmtId="201" fontId="8" fillId="3" borderId="109" xfId="15" applyFont="true" applyBorder="true" applyAlignment="true" applyProtection="true">
      <alignment horizontal="right" vertical="bottom" textRotation="0" wrapText="false" indent="0" shrinkToFit="false"/>
      <protection locked="false" hidden="false"/>
    </xf>
    <xf numFmtId="201" fontId="8" fillId="3" borderId="1" xfId="15" applyFont="true" applyBorder="true" applyAlignment="true" applyProtection="true">
      <alignment horizontal="right" vertical="bottom" textRotation="0" wrapText="false" indent="0" shrinkToFit="false"/>
      <protection locked="false" hidden="false"/>
    </xf>
    <xf numFmtId="164" fontId="69" fillId="0" borderId="7" xfId="0" applyFont="true" applyBorder="true" applyAlignment="true" applyProtection="true">
      <alignment horizontal="left" vertical="bottom" textRotation="0" wrapText="false" indent="0" shrinkToFit="false"/>
      <protection locked="false" hidden="false"/>
    </xf>
    <xf numFmtId="164" fontId="69" fillId="0" borderId="0" xfId="0" applyFont="true" applyBorder="false" applyAlignment="true" applyProtection="true">
      <alignment horizontal="center" vertical="bottom" textRotation="0" wrapText="false" indent="0" shrinkToFit="false"/>
      <protection locked="false" hidden="false"/>
    </xf>
    <xf numFmtId="164" fontId="69" fillId="0" borderId="45" xfId="0" applyFont="true" applyBorder="true" applyAlignment="true" applyProtection="true">
      <alignment horizontal="center" vertical="bottom" textRotation="0" wrapText="false" indent="0" shrinkToFit="false"/>
      <protection locked="false" hidden="false"/>
    </xf>
    <xf numFmtId="226" fontId="8" fillId="3" borderId="1" xfId="17" applyFont="true" applyBorder="true" applyAlignment="true" applyProtection="true">
      <alignment horizontal="right" vertical="bottom" textRotation="0" wrapText="false" indent="0" shrinkToFit="false"/>
      <protection locked="false" hidden="false"/>
    </xf>
    <xf numFmtId="169" fontId="8" fillId="0" borderId="0" xfId="17" applyFont="true" applyBorder="true" applyAlignment="true" applyProtection="true">
      <alignment horizontal="center" vertical="bottom" textRotation="0" wrapText="false" indent="0" shrinkToFit="false"/>
      <protection locked="false" hidden="false"/>
    </xf>
    <xf numFmtId="179" fontId="8" fillId="15" borderId="1" xfId="15" applyFont="true" applyBorder="true" applyAlignment="true" applyProtection="true">
      <alignment horizontal="general" vertical="bottom" textRotation="0" wrapText="false" indent="0" shrinkToFit="false"/>
      <protection locked="false" hidden="false"/>
    </xf>
    <xf numFmtId="169" fontId="8" fillId="0" borderId="0" xfId="17" applyFont="true" applyBorder="true" applyAlignment="true" applyProtection="true">
      <alignment horizontal="left" vertical="bottom" textRotation="0" wrapText="false" indent="0" shrinkToFit="false"/>
      <protection locked="false" hidden="false"/>
    </xf>
    <xf numFmtId="179" fontId="8" fillId="35" borderId="13" xfId="17" applyFont="true" applyBorder="true" applyAlignment="true" applyProtection="true">
      <alignment horizontal="center" vertical="bottom" textRotation="0" wrapText="false" indent="0" shrinkToFit="false"/>
      <protection locked="true" hidden="false"/>
    </xf>
    <xf numFmtId="193" fontId="8" fillId="3" borderId="19" xfId="17" applyFont="true" applyBorder="true" applyAlignment="true" applyProtection="true">
      <alignment horizontal="right" vertical="bottom" textRotation="0" wrapText="false" indent="0" shrinkToFit="false"/>
      <protection locked="false" hidden="false"/>
    </xf>
    <xf numFmtId="169" fontId="8" fillId="0" borderId="6" xfId="17" applyFont="true" applyBorder="true" applyAlignment="true" applyProtection="true">
      <alignment horizontal="general" vertical="bottom" textRotation="0" wrapText="false" indent="0" shrinkToFit="false"/>
      <protection locked="false" hidden="false"/>
    </xf>
    <xf numFmtId="179" fontId="8" fillId="15" borderId="19" xfId="15" applyFont="true" applyBorder="true" applyAlignment="true" applyProtection="true">
      <alignment horizontal="general" vertical="bottom" textRotation="0" wrapText="false" indent="0" shrinkToFit="false"/>
      <protection locked="false" hidden="false"/>
    </xf>
    <xf numFmtId="179" fontId="8" fillId="26" borderId="19" xfId="15" applyFont="true" applyBorder="true" applyAlignment="true" applyProtection="true">
      <alignment horizontal="general" vertical="bottom" textRotation="0" wrapText="false" indent="0" shrinkToFit="false"/>
      <protection locked="false" hidden="false"/>
    </xf>
    <xf numFmtId="179" fontId="0" fillId="35" borderId="80" xfId="17" applyFont="true" applyBorder="true" applyAlignment="true" applyProtection="true">
      <alignment horizontal="center" vertical="bottom" textRotation="0" wrapText="false" indent="0" shrinkToFit="false"/>
      <protection locked="true" hidden="false"/>
    </xf>
    <xf numFmtId="208" fontId="24" fillId="6" borderId="116" xfId="0" applyFont="true" applyBorder="true" applyAlignment="true" applyProtection="false">
      <alignment horizontal="right" vertical="bottom" textRotation="0" wrapText="false" indent="0" shrinkToFit="false"/>
      <protection locked="true" hidden="false"/>
    </xf>
    <xf numFmtId="164" fontId="24" fillId="0" borderId="126" xfId="0" applyFont="true" applyBorder="true" applyAlignment="false" applyProtection="false">
      <alignment horizontal="general" vertical="bottom" textRotation="0" wrapText="false" indent="0" shrinkToFit="false"/>
      <protection locked="true" hidden="false"/>
    </xf>
    <xf numFmtId="164" fontId="24" fillId="0" borderId="88" xfId="0" applyFont="true" applyBorder="true" applyAlignment="false" applyProtection="false">
      <alignment horizontal="general" vertical="bottom" textRotation="0" wrapText="false" indent="0" shrinkToFit="false"/>
      <protection locked="true" hidden="false"/>
    </xf>
    <xf numFmtId="179" fontId="24" fillId="0" borderId="93" xfId="17" applyFont="true" applyBorder="true" applyAlignment="true" applyProtection="true">
      <alignment horizontal="center" vertical="bottom" textRotation="0" wrapText="false" indent="0" shrinkToFit="false"/>
      <protection locked="true" hidden="false"/>
    </xf>
    <xf numFmtId="182" fontId="8" fillId="3" borderId="45" xfId="0" applyFont="true" applyBorder="true" applyAlignment="false" applyProtection="true">
      <alignment horizontal="general" vertical="bottom" textRotation="0" wrapText="false" indent="0" shrinkToFit="false"/>
      <protection locked="false" hidden="false"/>
    </xf>
    <xf numFmtId="187" fontId="6" fillId="0" borderId="0" xfId="0" applyFont="true" applyBorder="true" applyAlignment="true" applyProtection="false">
      <alignment horizontal="center" vertical="bottom" textRotation="0" wrapText="false" indent="0" shrinkToFit="false"/>
      <protection locked="true" hidden="false"/>
    </xf>
    <xf numFmtId="164" fontId="8" fillId="14" borderId="44" xfId="0" applyFont="true" applyBorder="true" applyAlignment="true" applyProtection="true">
      <alignment horizontal="center" vertical="bottom" textRotation="0" wrapText="false" indent="0" shrinkToFit="false"/>
      <protection locked="false" hidden="false"/>
    </xf>
    <xf numFmtId="164" fontId="8" fillId="14" borderId="47" xfId="0" applyFont="true" applyBorder="true" applyAlignment="true" applyProtection="true">
      <alignment horizontal="center" vertical="bottom" textRotation="0" wrapText="false" indent="0" shrinkToFit="false"/>
      <protection locked="false" hidden="false"/>
    </xf>
    <xf numFmtId="168" fontId="8" fillId="3" borderId="47" xfId="0" applyFont="true" applyBorder="true" applyAlignment="true" applyProtection="true">
      <alignment horizontal="center" vertical="bottom" textRotation="0" wrapText="false" indent="0" shrinkToFit="false"/>
      <protection locked="false" hidden="false"/>
    </xf>
    <xf numFmtId="168" fontId="8" fillId="3" borderId="77" xfId="0" applyFont="true" applyBorder="true" applyAlignment="true" applyProtection="false">
      <alignment horizontal="center" vertical="bottom" textRotation="0" wrapText="false" indent="0" shrinkToFit="false"/>
      <protection locked="true" hidden="false"/>
    </xf>
    <xf numFmtId="164" fontId="8" fillId="3" borderId="53" xfId="0" applyFont="true" applyBorder="true" applyAlignment="true" applyProtection="true">
      <alignment horizontal="center" vertical="bottom" textRotation="0" wrapText="false" indent="0" shrinkToFit="false"/>
      <protection locked="false" hidden="false"/>
    </xf>
    <xf numFmtId="168" fontId="8" fillId="3" borderId="53" xfId="0" applyFont="true" applyBorder="true" applyAlignment="true" applyProtection="true">
      <alignment horizontal="center" vertical="bottom" textRotation="0" wrapText="false" indent="0" shrinkToFit="false"/>
      <protection locked="false" hidden="false"/>
    </xf>
    <xf numFmtId="168" fontId="8" fillId="3" borderId="96" xfId="0" applyFont="true" applyBorder="true" applyAlignment="true" applyProtection="false">
      <alignment horizontal="center" vertical="bottom" textRotation="0" wrapText="false" indent="0" shrinkToFit="false"/>
      <protection locked="true" hidden="false"/>
    </xf>
    <xf numFmtId="164" fontId="8" fillId="3" borderId="42" xfId="0" applyFont="true" applyBorder="true" applyAlignment="true" applyProtection="false">
      <alignment horizontal="center" vertical="bottom" textRotation="0" wrapText="false" indent="0" shrinkToFit="false"/>
      <protection locked="true" hidden="false"/>
    </xf>
    <xf numFmtId="164" fontId="8" fillId="3" borderId="101" xfId="0" applyFont="true" applyBorder="true" applyAlignment="true" applyProtection="false">
      <alignment horizontal="center" vertical="bottom" textRotation="0" wrapText="true" indent="0" shrinkToFit="false"/>
      <protection locked="true" hidden="false"/>
    </xf>
    <xf numFmtId="164" fontId="8" fillId="0" borderId="17"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8" fillId="3" borderId="60" xfId="0" applyFont="true" applyBorder="true" applyAlignment="true" applyProtection="false">
      <alignment horizontal="center" vertical="bottom" textRotation="0" wrapText="false" indent="0" shrinkToFit="false"/>
      <protection locked="true" hidden="false"/>
    </xf>
    <xf numFmtId="164" fontId="8" fillId="3" borderId="61" xfId="0" applyFont="true" applyBorder="true" applyAlignment="true" applyProtection="false">
      <alignment horizontal="center" vertical="bottom" textRotation="0" wrapText="false" indent="0" shrinkToFit="false"/>
      <protection locked="true" hidden="false"/>
    </xf>
    <xf numFmtId="164" fontId="8" fillId="0" borderId="61" xfId="0" applyFont="true" applyBorder="true" applyAlignment="true" applyProtection="false">
      <alignment horizontal="center" vertical="bottom" textRotation="0" wrapText="false" indent="0" shrinkToFit="false"/>
      <protection locked="true" hidden="false"/>
    </xf>
    <xf numFmtId="164" fontId="0" fillId="0" borderId="52" xfId="0" applyFont="true" applyBorder="true" applyAlignment="false" applyProtection="false">
      <alignment horizontal="general" vertical="bottom" textRotation="0" wrapText="false" indent="0" shrinkToFit="false"/>
      <protection locked="true" hidden="false"/>
    </xf>
    <xf numFmtId="164" fontId="0" fillId="0" borderId="128" xfId="0" applyFont="true" applyBorder="true" applyAlignment="false" applyProtection="false">
      <alignment horizontal="general" vertical="bottom" textRotation="0" wrapText="false" indent="0" shrinkToFit="false"/>
      <protection locked="true" hidden="false"/>
    </xf>
    <xf numFmtId="164" fontId="4" fillId="0" borderId="128" xfId="0" applyFont="true" applyBorder="true" applyAlignment="false" applyProtection="false">
      <alignment horizontal="general" vertical="bottom" textRotation="0" wrapText="false" indent="0" shrinkToFit="false"/>
      <protection locked="true" hidden="false"/>
    </xf>
    <xf numFmtId="164" fontId="4" fillId="0" borderId="120" xfId="0" applyFont="tru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8" fillId="3" borderId="15" xfId="0" applyFont="true" applyBorder="true" applyAlignment="false" applyProtection="true">
      <alignment horizontal="general" vertical="bottom" textRotation="0" wrapText="false" indent="0" shrinkToFit="false"/>
      <protection locked="false" hidden="false"/>
    </xf>
    <xf numFmtId="164" fontId="8" fillId="3" borderId="15" xfId="0" applyFont="true" applyBorder="true" applyAlignment="true" applyProtection="true">
      <alignment horizontal="center" vertical="bottom" textRotation="0" wrapText="false" indent="0" shrinkToFit="false"/>
      <protection locked="false" hidden="false"/>
    </xf>
    <xf numFmtId="179" fontId="8" fillId="3" borderId="14" xfId="17" applyFont="true" applyBorder="true" applyAlignment="true" applyProtection="true">
      <alignment horizontal="center" vertical="bottom" textRotation="0" wrapText="false" indent="0" shrinkToFit="false"/>
      <protection locked="false" hidden="false"/>
    </xf>
    <xf numFmtId="193" fontId="0" fillId="0" borderId="59" xfId="0" applyFont="false" applyBorder="true" applyAlignment="false" applyProtection="false">
      <alignment horizontal="general" vertical="bottom" textRotation="0" wrapText="false" indent="0" shrinkToFit="false"/>
      <protection locked="true" hidden="false"/>
    </xf>
    <xf numFmtId="196" fontId="0" fillId="0" borderId="39" xfId="0" applyFont="false" applyBorder="true" applyAlignment="false" applyProtection="false">
      <alignment horizontal="general" vertical="bottom" textRotation="0" wrapText="false" indent="0" shrinkToFit="false"/>
      <protection locked="true" hidden="false"/>
    </xf>
    <xf numFmtId="193" fontId="0" fillId="0" borderId="61" xfId="0" applyFont="false" applyBorder="true" applyAlignment="false" applyProtection="false">
      <alignment horizontal="general" vertical="bottom" textRotation="0" wrapText="false" indent="0" shrinkToFit="false"/>
      <protection locked="true" hidden="false"/>
    </xf>
    <xf numFmtId="169" fontId="0" fillId="0" borderId="37" xfId="0" applyFont="false" applyBorder="true" applyAlignment="false" applyProtection="false">
      <alignment horizontal="general" vertical="bottom" textRotation="0" wrapText="false" indent="0" shrinkToFit="false"/>
      <protection locked="true" hidden="false"/>
    </xf>
    <xf numFmtId="179" fontId="8" fillId="9" borderId="9" xfId="17" applyFont="true" applyBorder="true" applyAlignment="true" applyProtection="true">
      <alignment horizontal="center" vertical="bottom" textRotation="0" wrapText="false" indent="0" shrinkToFit="false"/>
      <protection locked="true" hidden="false"/>
    </xf>
    <xf numFmtId="196" fontId="8" fillId="9" borderId="9" xfId="0" applyFont="true" applyBorder="true" applyAlignment="false" applyProtection="false">
      <alignment horizontal="general" vertical="bottom" textRotation="0" wrapText="false" indent="0" shrinkToFit="false"/>
      <protection locked="true" hidden="false"/>
    </xf>
    <xf numFmtId="179" fontId="8" fillId="9" borderId="9" xfId="17" applyFont="true" applyBorder="true" applyAlignment="true" applyProtection="true">
      <alignment horizontal="general" vertical="bottom" textRotation="0" wrapText="false" indent="0" shrinkToFit="false"/>
      <protection locked="true" hidden="false"/>
    </xf>
    <xf numFmtId="179" fontId="0" fillId="0" borderId="55" xfId="17" applyFont="true" applyBorder="true" applyAlignment="true" applyProtection="true">
      <alignment horizontal="general" vertical="bottom" textRotation="0" wrapText="false" indent="0" shrinkToFit="false"/>
      <protection locked="true" hidden="false"/>
    </xf>
    <xf numFmtId="180" fontId="8" fillId="9" borderId="0" xfId="0" applyFont="true" applyBorder="false" applyAlignment="false" applyProtection="false">
      <alignment horizontal="general" vertical="bottom" textRotation="0" wrapText="false" indent="0" shrinkToFit="false"/>
      <protection locked="true" hidden="false"/>
    </xf>
    <xf numFmtId="179" fontId="76" fillId="9" borderId="6" xfId="0" applyFont="true" applyBorder="true" applyAlignment="false" applyProtection="false">
      <alignment horizontal="general" vertical="bottom" textRotation="0" wrapText="false" indent="0" shrinkToFit="false"/>
      <protection locked="true" hidden="false"/>
    </xf>
    <xf numFmtId="169" fontId="8" fillId="14" borderId="8" xfId="0" applyFont="true" applyBorder="true" applyAlignment="false" applyProtection="false">
      <alignment horizontal="general" vertical="bottom" textRotation="0" wrapText="false" indent="0" shrinkToFit="false"/>
      <protection locked="true" hidden="false"/>
    </xf>
    <xf numFmtId="179" fontId="76" fillId="14" borderId="6" xfId="0" applyFont="true" applyBorder="true" applyAlignment="false" applyProtection="false">
      <alignment horizontal="general" vertical="bottom" textRotation="0" wrapText="false" indent="0" shrinkToFit="false"/>
      <protection locked="true" hidden="false"/>
    </xf>
    <xf numFmtId="179" fontId="8" fillId="3" borderId="0" xfId="17" applyFont="true" applyBorder="true" applyAlignment="true" applyProtection="true">
      <alignment horizontal="general" vertical="bottom" textRotation="0" wrapText="false" indent="0" shrinkToFit="false"/>
      <protection locked="true" hidden="false"/>
    </xf>
    <xf numFmtId="179" fontId="8" fillId="3" borderId="0" xfId="0" applyFont="true" applyBorder="false" applyAlignment="false" applyProtection="false">
      <alignment horizontal="general" vertical="bottom" textRotation="0" wrapText="false" indent="0" shrinkToFit="false"/>
      <protection locked="true" hidden="false"/>
    </xf>
    <xf numFmtId="164" fontId="8" fillId="9" borderId="10" xfId="0" applyFont="true" applyBorder="true" applyAlignment="false" applyProtection="false">
      <alignment horizontal="general" vertical="bottom" textRotation="0" wrapText="false" indent="0" shrinkToFit="false"/>
      <protection locked="true" hidden="false"/>
    </xf>
    <xf numFmtId="164" fontId="8" fillId="9" borderId="74" xfId="0" applyFont="true" applyBorder="true" applyAlignment="true" applyProtection="false">
      <alignment horizontal="right" vertical="bottom" textRotation="0" wrapText="false" indent="0" shrinkToFit="false"/>
      <protection locked="true" hidden="false"/>
    </xf>
    <xf numFmtId="179" fontId="8" fillId="9" borderId="41" xfId="0" applyFont="true" applyBorder="true" applyAlignment="true" applyProtection="false">
      <alignment horizontal="center" vertical="bottom" textRotation="0" wrapText="false" indent="0" shrinkToFit="false"/>
      <protection locked="true" hidden="false"/>
    </xf>
    <xf numFmtId="227" fontId="8" fillId="9" borderId="41" xfId="0" applyFont="true" applyBorder="true" applyAlignment="false" applyProtection="false">
      <alignment horizontal="general" vertical="bottom" textRotation="0" wrapText="false" indent="0" shrinkToFit="false"/>
      <protection locked="true" hidden="false"/>
    </xf>
    <xf numFmtId="228" fontId="8" fillId="9" borderId="66" xfId="0" applyFont="true" applyBorder="true" applyAlignment="false" applyProtection="false">
      <alignment horizontal="general" vertical="bottom" textRotation="0" wrapText="false" indent="0" shrinkToFit="false"/>
      <protection locked="true" hidden="false"/>
    </xf>
    <xf numFmtId="164" fontId="8" fillId="9" borderId="37" xfId="0" applyFont="true" applyBorder="true" applyAlignment="true" applyProtection="false">
      <alignment horizontal="right" vertical="bottom" textRotation="0" wrapText="false" indent="0" shrinkToFit="false"/>
      <protection locked="true" hidden="false"/>
    </xf>
    <xf numFmtId="227" fontId="8" fillId="9" borderId="0" xfId="0" applyFont="true" applyBorder="false" applyAlignment="false" applyProtection="false">
      <alignment horizontal="general" vertical="bottom" textRotation="0" wrapText="false" indent="0" shrinkToFit="false"/>
      <protection locked="true" hidden="false"/>
    </xf>
    <xf numFmtId="229" fontId="8" fillId="9" borderId="45" xfId="0" applyFont="true" applyBorder="true" applyAlignment="false" applyProtection="false">
      <alignment horizontal="general" vertical="bottom" textRotation="0" wrapText="false" indent="0" shrinkToFit="false"/>
      <protection locked="true" hidden="false"/>
    </xf>
    <xf numFmtId="164" fontId="8" fillId="9" borderId="75" xfId="0" applyFont="true" applyBorder="true" applyAlignment="true" applyProtection="false">
      <alignment horizontal="right" vertical="bottom" textRotation="0" wrapText="false" indent="0" shrinkToFit="false"/>
      <protection locked="true" hidden="false"/>
    </xf>
    <xf numFmtId="193" fontId="0" fillId="9" borderId="0" xfId="0" applyFont="false" applyBorder="false" applyAlignment="false" applyProtection="false">
      <alignment horizontal="general" vertical="bottom" textRotation="0" wrapText="false" indent="0" shrinkToFit="false"/>
      <protection locked="true" hidden="false"/>
    </xf>
    <xf numFmtId="164" fontId="8" fillId="6" borderId="5" xfId="0" applyFont="true" applyBorder="true" applyAlignment="true" applyProtection="false">
      <alignment horizontal="left" vertical="bottom" textRotation="0" wrapText="false" indent="0" shrinkToFit="false"/>
      <protection locked="true" hidden="false"/>
    </xf>
    <xf numFmtId="164" fontId="23" fillId="6" borderId="5" xfId="0" applyFont="true" applyBorder="true" applyAlignment="true" applyProtection="false">
      <alignment horizontal="center" vertical="bottom" textRotation="0" wrapText="true" indent="0" shrinkToFit="false"/>
      <protection locked="true" hidden="false"/>
    </xf>
    <xf numFmtId="164" fontId="8" fillId="6" borderId="102" xfId="0" applyFont="true" applyBorder="true" applyAlignment="true" applyProtection="false">
      <alignment horizontal="left" vertical="bottom" textRotation="0" wrapText="false" indent="0" shrinkToFit="false"/>
      <protection locked="true" hidden="false"/>
    </xf>
    <xf numFmtId="193" fontId="69" fillId="0" borderId="7" xfId="0" applyFont="true" applyBorder="true" applyAlignment="true" applyProtection="false">
      <alignment horizontal="center" vertical="bottom" textRotation="0" wrapText="false" indent="0" shrinkToFit="false"/>
      <protection locked="true" hidden="false"/>
    </xf>
    <xf numFmtId="164" fontId="8" fillId="0" borderId="65" xfId="0" applyFont="true" applyBorder="true" applyAlignment="true" applyProtection="false">
      <alignment horizontal="right" vertical="bottom" textRotation="0" wrapText="false" indent="0" shrinkToFit="false"/>
      <protection locked="true" hidden="false"/>
    </xf>
    <xf numFmtId="164" fontId="8" fillId="0" borderId="78" xfId="0" applyFont="true" applyBorder="true" applyAlignment="true" applyProtection="false">
      <alignment horizontal="right" vertical="bottom" textRotation="0" wrapText="false" indent="0" shrinkToFit="false"/>
      <protection locked="true" hidden="false"/>
    </xf>
    <xf numFmtId="164" fontId="6" fillId="6" borderId="23" xfId="0" applyFont="true" applyBorder="true" applyAlignment="true" applyProtection="false">
      <alignment horizontal="center" vertical="bottom" textRotation="0" wrapText="false" indent="0" shrinkToFit="false"/>
      <protection locked="true" hidden="false"/>
    </xf>
    <xf numFmtId="201" fontId="8" fillId="0" borderId="9" xfId="0" applyFont="true" applyBorder="true" applyAlignment="true" applyProtection="false">
      <alignment horizontal="center" vertical="bottom" textRotation="0" wrapText="false" indent="0" shrinkToFit="false"/>
      <protection locked="true" hidden="false"/>
    </xf>
    <xf numFmtId="169" fontId="8" fillId="6" borderId="0" xfId="17" applyFont="true" applyBorder="true" applyAlignment="true" applyProtection="true">
      <alignment horizontal="center" vertical="center" textRotation="0" wrapText="false" indent="0" shrinkToFit="false"/>
      <protection locked="true" hidden="false"/>
    </xf>
    <xf numFmtId="193" fontId="8" fillId="6" borderId="3" xfId="0" applyFont="true" applyBorder="true" applyAlignment="true" applyProtection="false">
      <alignment horizontal="center" vertical="center" textRotation="0" wrapText="false" indent="0" shrinkToFit="false"/>
      <protection locked="true" hidden="false"/>
    </xf>
    <xf numFmtId="193" fontId="8" fillId="6" borderId="67" xfId="0" applyFont="true" applyBorder="true" applyAlignment="true" applyProtection="false">
      <alignment horizontal="center" vertical="center" textRotation="0" wrapText="false" indent="0" shrinkToFit="false"/>
      <protection locked="true" hidden="false"/>
    </xf>
    <xf numFmtId="179" fontId="8" fillId="6" borderId="38" xfId="17" applyFont="true" applyBorder="true" applyAlignment="true" applyProtection="true">
      <alignment horizontal="center" vertical="bottom" textRotation="0" wrapText="false" indent="0" shrinkToFit="false"/>
      <protection locked="false" hidden="false"/>
    </xf>
    <xf numFmtId="169" fontId="8" fillId="9" borderId="13" xfId="17" applyFont="true" applyBorder="true" applyAlignment="true" applyProtection="true">
      <alignment horizontal="center" vertical="bottom" textRotation="0" wrapText="false" indent="0" shrinkToFit="false"/>
      <protection locked="true" hidden="false"/>
    </xf>
    <xf numFmtId="164" fontId="8" fillId="15" borderId="55" xfId="0" applyFont="true" applyBorder="true" applyAlignment="false" applyProtection="true">
      <alignment horizontal="general" vertical="bottom" textRotation="0" wrapText="false" indent="0" shrinkToFit="false"/>
      <protection locked="false" hidden="false"/>
    </xf>
    <xf numFmtId="164" fontId="8" fillId="0" borderId="86" xfId="0" applyFont="true" applyBorder="true" applyAlignment="false" applyProtection="false">
      <alignment horizontal="general" vertical="bottom" textRotation="0" wrapText="false" indent="0" shrinkToFit="false"/>
      <protection locked="true" hidden="false"/>
    </xf>
    <xf numFmtId="164" fontId="8" fillId="0" borderId="42" xfId="0" applyFont="true" applyBorder="true" applyAlignment="false" applyProtection="true">
      <alignment horizontal="general" vertical="bottom" textRotation="0" wrapText="false" indent="0" shrinkToFit="false"/>
      <protection locked="false" hidden="false"/>
    </xf>
    <xf numFmtId="183" fontId="8" fillId="15" borderId="67" xfId="19" applyFont="true" applyBorder="true" applyAlignment="true" applyProtection="true">
      <alignment horizontal="center" vertical="bottom" textRotation="0" wrapText="false" indent="0" shrinkToFit="false"/>
      <protection locked="true" hidden="false"/>
    </xf>
    <xf numFmtId="164" fontId="8" fillId="0" borderId="51" xfId="0" applyFont="true" applyBorder="true" applyAlignment="false" applyProtection="true">
      <alignment horizontal="general" vertical="bottom" textRotation="0" wrapText="false" indent="0" shrinkToFit="false"/>
      <protection locked="false" hidden="false"/>
    </xf>
    <xf numFmtId="164" fontId="8" fillId="0" borderId="34" xfId="0" applyFont="true" applyBorder="true" applyAlignment="true" applyProtection="true">
      <alignment horizontal="left" vertical="bottom" textRotation="0" wrapText="false" indent="0" shrinkToFit="false"/>
      <protection locked="false" hidden="false"/>
    </xf>
    <xf numFmtId="182" fontId="8" fillId="3" borderId="109" xfId="15" applyFont="true" applyBorder="true" applyAlignment="true" applyProtection="true">
      <alignment horizontal="left" vertical="bottom" textRotation="0" wrapText="false" indent="0" shrinkToFit="false"/>
      <protection locked="false" hidden="false"/>
    </xf>
    <xf numFmtId="164" fontId="24" fillId="0" borderId="9" xfId="0" applyFont="true" applyBorder="true" applyAlignment="false" applyProtection="false">
      <alignment horizontal="general" vertical="bottom" textRotation="0" wrapText="false" indent="0" shrinkToFit="false"/>
      <protection locked="true" hidden="false"/>
    </xf>
    <xf numFmtId="164" fontId="8" fillId="0" borderId="14" xfId="0" applyFont="true" applyBorder="true" applyAlignment="true" applyProtection="true">
      <alignment horizontal="left" vertical="bottom" textRotation="0" wrapText="false" indent="0" shrinkToFit="false"/>
      <protection locked="false" hidden="false"/>
    </xf>
    <xf numFmtId="182" fontId="8" fillId="3" borderId="1" xfId="15" applyFont="true" applyBorder="true" applyAlignment="true" applyProtection="true">
      <alignment horizontal="center" vertical="bottom" textRotation="0" wrapText="false" indent="0" shrinkToFit="false"/>
      <protection locked="false" hidden="false"/>
    </xf>
    <xf numFmtId="182" fontId="8" fillId="3" borderId="55" xfId="15" applyFont="true" applyBorder="true" applyAlignment="true" applyProtection="true">
      <alignment horizontal="general" vertical="bottom" textRotation="0" wrapText="false" indent="0" shrinkToFit="false"/>
      <protection locked="false" hidden="false"/>
    </xf>
    <xf numFmtId="164" fontId="8" fillId="0" borderId="18" xfId="0" applyFont="true" applyBorder="true" applyAlignment="true" applyProtection="true">
      <alignment horizontal="left" vertical="bottom" textRotation="0" wrapText="false" indent="0" shrinkToFit="false"/>
      <protection locked="false" hidden="false"/>
    </xf>
    <xf numFmtId="201" fontId="8" fillId="3" borderId="19" xfId="15" applyFont="true" applyBorder="true" applyAlignment="true" applyProtection="true">
      <alignment horizontal="general" vertical="bottom" textRotation="0" wrapText="false" indent="0" shrinkToFit="false"/>
      <protection locked="false" hidden="false"/>
    </xf>
    <xf numFmtId="164" fontId="24" fillId="0" borderId="6" xfId="0" applyFont="true" applyBorder="true" applyAlignment="false" applyProtection="false">
      <alignment horizontal="general" vertical="bottom" textRotation="0" wrapText="false" indent="0" shrinkToFit="false"/>
      <protection locked="true" hidden="false"/>
    </xf>
    <xf numFmtId="164" fontId="8" fillId="26" borderId="25" xfId="0" applyFont="true" applyBorder="true" applyAlignment="true" applyProtection="true">
      <alignment horizontal="center" vertical="bottom" textRotation="0" wrapText="false" indent="0" shrinkToFit="false"/>
      <protection locked="false" hidden="false"/>
    </xf>
    <xf numFmtId="185" fontId="8" fillId="26" borderId="19" xfId="19" applyFont="true" applyBorder="true" applyAlignment="true" applyProtection="true">
      <alignment horizontal="general" vertical="bottom" textRotation="0" wrapText="false" indent="0" shrinkToFit="false"/>
      <protection locked="false" hidden="false"/>
    </xf>
    <xf numFmtId="169" fontId="8" fillId="26" borderId="6" xfId="17" applyFont="true" applyBorder="true" applyAlignment="true" applyProtection="true">
      <alignment horizontal="general" vertical="bottom" textRotation="0" wrapText="false" indent="0" shrinkToFit="false"/>
      <protection locked="false" hidden="false"/>
    </xf>
    <xf numFmtId="169" fontId="8" fillId="26" borderId="19" xfId="17" applyFont="true" applyBorder="true" applyAlignment="true" applyProtection="true">
      <alignment horizontal="general" vertical="bottom" textRotation="0" wrapText="false" indent="0" shrinkToFit="false"/>
      <protection locked="false" hidden="false"/>
    </xf>
    <xf numFmtId="164" fontId="8" fillId="27" borderId="6" xfId="0" applyFont="true" applyBorder="true" applyAlignment="false" applyProtection="true">
      <alignment horizontal="general" vertical="bottom" textRotation="0" wrapText="false" indent="0" shrinkToFit="false"/>
      <protection locked="false" hidden="false"/>
    </xf>
    <xf numFmtId="164" fontId="24" fillId="27" borderId="6" xfId="0" applyFont="true" applyBorder="true" applyAlignment="false" applyProtection="false">
      <alignment horizontal="general" vertical="bottom" textRotation="0" wrapText="false" indent="0" shrinkToFit="false"/>
      <protection locked="true" hidden="false"/>
    </xf>
    <xf numFmtId="179" fontId="4" fillId="0" borderId="13" xfId="0" applyFont="true" applyBorder="true" applyAlignment="false" applyProtection="false">
      <alignment horizontal="general" vertical="bottom" textRotation="0" wrapText="false" indent="0" shrinkToFit="false"/>
      <protection locked="true" hidden="false"/>
    </xf>
    <xf numFmtId="179" fontId="8" fillId="9" borderId="77" xfId="17" applyFont="true" applyBorder="true" applyAlignment="true" applyProtection="true">
      <alignment horizontal="center" vertical="bottom" textRotation="0" wrapText="false" indent="0" shrinkToFit="false"/>
      <protection locked="true" hidden="false"/>
    </xf>
    <xf numFmtId="179" fontId="76" fillId="0" borderId="93" xfId="17" applyFont="true" applyBorder="true" applyAlignment="true" applyProtection="true">
      <alignment horizontal="center" vertical="bottom" textRotation="0" wrapText="false" indent="0" shrinkToFit="false"/>
      <protection locked="true" hidden="false"/>
    </xf>
    <xf numFmtId="168" fontId="8" fillId="14" borderId="114" xfId="0" applyFont="true" applyBorder="true" applyAlignment="true" applyProtection="false">
      <alignment horizontal="center" vertical="bottom" textRotation="0" wrapText="false" indent="0" shrinkToFit="false"/>
      <protection locked="true" hidden="false"/>
    </xf>
    <xf numFmtId="168" fontId="8" fillId="14" borderId="32" xfId="0" applyFont="true" applyBorder="true" applyAlignment="true" applyProtection="false">
      <alignment horizontal="center" vertical="bottom" textRotation="0" wrapText="false" indent="0" shrinkToFit="false"/>
      <protection locked="true" hidden="false"/>
    </xf>
    <xf numFmtId="164" fontId="8" fillId="14" borderId="71" xfId="0" applyFont="true" applyBorder="true" applyAlignment="true" applyProtection="true">
      <alignment horizontal="left" vertical="bottom" textRotation="0" wrapText="false" indent="0" shrinkToFit="false"/>
      <protection locked="false" hidden="false"/>
    </xf>
    <xf numFmtId="168" fontId="8" fillId="14" borderId="72" xfId="0" applyFont="true" applyBorder="true" applyAlignment="true" applyProtection="true">
      <alignment horizontal="center" vertical="bottom" textRotation="0" wrapText="false" indent="0" shrinkToFit="false"/>
      <protection locked="false" hidden="false"/>
    </xf>
    <xf numFmtId="168" fontId="8" fillId="14" borderId="73" xfId="0" applyFont="true" applyBorder="true" applyAlignment="true" applyProtection="false">
      <alignment horizontal="center" vertical="bottom" textRotation="0" wrapText="false" indent="0" shrinkToFit="false"/>
      <protection locked="true" hidden="false"/>
    </xf>
    <xf numFmtId="164" fontId="8" fillId="9" borderId="6" xfId="0" applyFont="true" applyBorder="true" applyAlignment="true" applyProtection="false">
      <alignment horizontal="left" vertical="bottom" textRotation="0" wrapText="false" indent="0" shrinkToFit="false"/>
      <protection locked="true" hidden="false"/>
    </xf>
    <xf numFmtId="164" fontId="6" fillId="3" borderId="16" xfId="0" applyFont="true" applyBorder="true" applyAlignment="true" applyProtection="false">
      <alignment horizontal="center" vertical="bottom" textRotation="0" wrapText="true" indent="0" shrinkToFit="false"/>
      <protection locked="true" hidden="false"/>
    </xf>
    <xf numFmtId="171" fontId="8" fillId="3" borderId="98" xfId="0" applyFont="true" applyBorder="true" applyAlignment="true" applyProtection="false">
      <alignment horizontal="center" vertical="bottom" textRotation="0" wrapText="true" indent="0" shrinkToFit="false"/>
      <protection locked="true" hidden="false"/>
    </xf>
    <xf numFmtId="164" fontId="8" fillId="3" borderId="5" xfId="0" applyFont="true" applyBorder="true" applyAlignment="true" applyProtection="false">
      <alignment horizontal="center" vertical="bottom" textRotation="0" wrapText="true" indent="0" shrinkToFit="false"/>
      <protection locked="true" hidden="false"/>
    </xf>
    <xf numFmtId="164" fontId="8" fillId="3" borderId="98" xfId="0" applyFont="true" applyBorder="true" applyAlignment="true" applyProtection="false">
      <alignment horizontal="center" vertical="bottom" textRotation="0" wrapText="true" indent="0" shrinkToFit="false"/>
      <protection locked="true" hidden="false"/>
    </xf>
    <xf numFmtId="164" fontId="6" fillId="3" borderId="98" xfId="0" applyFont="true" applyBorder="true" applyAlignment="true" applyProtection="false">
      <alignment horizontal="center" vertical="bottom" textRotation="0" wrapText="true" indent="0" shrinkToFit="false"/>
      <protection locked="true" hidden="false"/>
    </xf>
    <xf numFmtId="164" fontId="8" fillId="3" borderId="129" xfId="0" applyFont="true" applyBorder="true" applyAlignment="true" applyProtection="false">
      <alignment horizontal="center" vertical="bottom" textRotation="0" wrapText="true" indent="0" shrinkToFit="false"/>
      <protection locked="true" hidden="false"/>
    </xf>
    <xf numFmtId="171" fontId="8" fillId="3" borderId="35" xfId="0" applyFont="true" applyBorder="true" applyAlignment="true" applyProtection="false">
      <alignment horizontal="center" vertical="bottom" textRotation="0" wrapText="true" indent="0" shrinkToFit="true"/>
      <protection locked="true" hidden="false"/>
    </xf>
    <xf numFmtId="164" fontId="0" fillId="9" borderId="16" xfId="0" applyFont="false" applyBorder="true" applyAlignment="false" applyProtection="false">
      <alignment horizontal="general" vertical="bottom" textRotation="0" wrapText="false" indent="0" shrinkToFit="false"/>
      <protection locked="true" hidden="false"/>
    </xf>
    <xf numFmtId="164" fontId="4" fillId="9" borderId="1" xfId="0" applyFont="true" applyBorder="true" applyAlignment="true" applyProtection="false">
      <alignment horizontal="center" vertical="bottom" textRotation="0" wrapText="false" indent="0" shrinkToFit="false"/>
      <protection locked="true" hidden="false"/>
    </xf>
    <xf numFmtId="164" fontId="4" fillId="9" borderId="10" xfId="0" applyFont="true" applyBorder="true" applyAlignment="true" applyProtection="false">
      <alignment horizontal="center" vertical="bottom" textRotation="0" wrapText="false" indent="0" shrinkToFit="false"/>
      <protection locked="true" hidden="false"/>
    </xf>
    <xf numFmtId="164" fontId="0" fillId="9" borderId="46" xfId="0" applyFont="true" applyBorder="true" applyAlignment="false" applyProtection="false">
      <alignment horizontal="general" vertical="bottom" textRotation="0" wrapText="false" indent="0" shrinkToFit="false"/>
      <protection locked="true" hidden="false"/>
    </xf>
    <xf numFmtId="164" fontId="0" fillId="9" borderId="56" xfId="0" applyFont="true" applyBorder="true" applyAlignment="false" applyProtection="false">
      <alignment horizontal="general" vertical="bottom" textRotation="0" wrapText="false" indent="0" shrinkToFit="false"/>
      <protection locked="true" hidden="false"/>
    </xf>
    <xf numFmtId="164" fontId="4" fillId="9" borderId="46" xfId="0" applyFont="true" applyBorder="true" applyAlignment="false" applyProtection="false">
      <alignment horizontal="general" vertical="bottom" textRotation="0" wrapText="false" indent="0" shrinkToFit="false"/>
      <protection locked="true" hidden="false"/>
    </xf>
    <xf numFmtId="164" fontId="4" fillId="9" borderId="56" xfId="0" applyFont="true" applyBorder="true" applyAlignment="false" applyProtection="false">
      <alignment horizontal="general" vertical="bottom" textRotation="0" wrapText="false" indent="0" shrinkToFit="false"/>
      <protection locked="true" hidden="false"/>
    </xf>
    <xf numFmtId="164" fontId="0" fillId="9" borderId="57" xfId="0" applyFont="false" applyBorder="true" applyAlignment="false" applyProtection="false">
      <alignment horizontal="general" vertical="bottom" textRotation="0" wrapText="false" indent="0" shrinkToFit="false"/>
      <protection locked="true" hidden="false"/>
    </xf>
    <xf numFmtId="164" fontId="4" fillId="9" borderId="21" xfId="0" applyFont="true" applyBorder="true" applyAlignment="false" applyProtection="false">
      <alignment horizontal="general" vertical="bottom" textRotation="0" wrapText="false" indent="0" shrinkToFit="false"/>
      <protection locked="true" hidden="false"/>
    </xf>
    <xf numFmtId="164" fontId="0" fillId="9" borderId="22" xfId="0" applyFont="true" applyBorder="true" applyAlignment="false" applyProtection="false">
      <alignment horizontal="general" vertical="bottom" textRotation="0" wrapText="false" indent="0" shrinkToFit="false"/>
      <protection locked="true" hidden="false"/>
    </xf>
    <xf numFmtId="164" fontId="4" fillId="9" borderId="22" xfId="0" applyFont="true" applyBorder="true" applyAlignment="false" applyProtection="false">
      <alignment horizontal="general" vertical="bottom" textRotation="0" wrapText="false" indent="0" shrinkToFit="false"/>
      <protection locked="true" hidden="false"/>
    </xf>
    <xf numFmtId="164" fontId="0" fillId="9" borderId="23" xfId="0" applyFont="true" applyBorder="true" applyAlignment="false" applyProtection="false">
      <alignment horizontal="general" vertical="bottom" textRotation="0" wrapText="false" indent="0" shrinkToFit="false"/>
      <protection locked="true" hidden="false"/>
    </xf>
    <xf numFmtId="164" fontId="11" fillId="0" borderId="7" xfId="21" applyFont="true" applyBorder="true" applyAlignment="true" applyProtection="false">
      <alignment horizontal="left" vertical="bottom" textRotation="0" wrapText="false" indent="0" shrinkToFit="false"/>
      <protection locked="true" hidden="false"/>
    </xf>
    <xf numFmtId="164" fontId="8" fillId="0" borderId="45" xfId="21" applyFont="true" applyBorder="true" applyAlignment="true" applyProtection="false">
      <alignment horizontal="center" vertical="bottom" textRotation="0" wrapText="false" indent="0" shrinkToFit="false"/>
      <protection locked="true" hidden="false"/>
    </xf>
    <xf numFmtId="201" fontId="7" fillId="3" borderId="0" xfId="21" applyFont="true" applyBorder="false" applyAlignment="true" applyProtection="false">
      <alignment horizontal="center" vertical="bottom" textRotation="0" wrapText="false" indent="0" shrinkToFit="false"/>
      <protection locked="true" hidden="false"/>
    </xf>
    <xf numFmtId="203" fontId="8" fillId="3" borderId="65" xfId="21" applyFont="true" applyBorder="true" applyAlignment="true" applyProtection="false">
      <alignment horizontal="right" vertical="bottom" textRotation="0" wrapText="false" indent="0" shrinkToFit="false"/>
      <protection locked="true" hidden="false"/>
    </xf>
    <xf numFmtId="169" fontId="8" fillId="0" borderId="107" xfId="17" applyFont="true" applyBorder="true" applyAlignment="true" applyProtection="true">
      <alignment horizontal="center" vertical="bottom" textRotation="0" wrapText="false" indent="0" shrinkToFit="false"/>
      <protection locked="true" hidden="false"/>
    </xf>
    <xf numFmtId="164" fontId="8" fillId="0" borderId="65" xfId="21" applyFont="true" applyBorder="true" applyAlignment="true" applyProtection="false">
      <alignment horizontal="center" vertical="bottom" textRotation="0" wrapText="false" indent="0" shrinkToFit="false"/>
      <protection locked="true" hidden="false"/>
    </xf>
    <xf numFmtId="193" fontId="11" fillId="0" borderId="107" xfId="21" applyFont="true" applyBorder="true" applyAlignment="false" applyProtection="false">
      <alignment horizontal="general" vertical="bottom" textRotation="0" wrapText="false" indent="0" shrinkToFit="false"/>
      <protection locked="true" hidden="false"/>
    </xf>
    <xf numFmtId="201" fontId="11" fillId="0" borderId="45" xfId="15" applyFont="true" applyBorder="true" applyAlignment="true" applyProtection="true">
      <alignment horizontal="center" vertical="bottom" textRotation="0" wrapText="false" indent="0" shrinkToFit="false"/>
      <protection locked="true" hidden="false"/>
    </xf>
    <xf numFmtId="164" fontId="8" fillId="3" borderId="67" xfId="21" applyFont="true" applyBorder="true" applyAlignment="true" applyProtection="false">
      <alignment horizontal="center" vertical="bottom" textRotation="0" wrapText="false" indent="0" shrinkToFit="false"/>
      <protection locked="true" hidden="false"/>
    </xf>
    <xf numFmtId="196" fontId="8" fillId="0" borderId="45" xfId="21" applyFont="true" applyBorder="true" applyAlignment="true" applyProtection="false">
      <alignment horizontal="center" vertical="bottom" textRotation="0" wrapText="false" indent="0" shrinkToFit="false"/>
      <protection locked="true" hidden="false"/>
    </xf>
    <xf numFmtId="164" fontId="8" fillId="0" borderId="64" xfId="21" applyFont="true" applyBorder="true" applyAlignment="true" applyProtection="false">
      <alignment horizontal="center" vertical="bottom" textRotation="0" wrapText="false" indent="0" shrinkToFit="false"/>
      <protection locked="true" hidden="false"/>
    </xf>
    <xf numFmtId="164" fontId="8" fillId="0" borderId="40" xfId="21" applyFont="true" applyBorder="true" applyAlignment="true" applyProtection="false">
      <alignment horizontal="center" vertical="bottom" textRotation="0" wrapText="false" indent="0" shrinkToFit="false"/>
      <protection locked="true" hidden="false"/>
    </xf>
    <xf numFmtId="196" fontId="8" fillId="6" borderId="37" xfId="0" applyFont="true" applyBorder="true" applyAlignment="true" applyProtection="false">
      <alignment horizontal="center" vertical="bottom" textRotation="0" wrapText="false" indent="0" shrinkToFit="false"/>
      <protection locked="true" hidden="false"/>
    </xf>
    <xf numFmtId="196" fontId="8" fillId="6" borderId="37" xfId="0" applyFont="true" applyBorder="true" applyAlignment="true" applyProtection="true">
      <alignment horizontal="center" vertical="bottom" textRotation="0" wrapText="false" indent="0" shrinkToFit="false"/>
      <protection locked="false" hidden="false"/>
    </xf>
    <xf numFmtId="169" fontId="8" fillId="15" borderId="65" xfId="17" applyFont="true" applyBorder="true" applyAlignment="true" applyProtection="true">
      <alignment horizontal="general" vertical="bottom" textRotation="0" wrapText="false" indent="0" shrinkToFit="false"/>
      <protection locked="true" hidden="false"/>
    </xf>
    <xf numFmtId="179" fontId="8" fillId="0" borderId="8" xfId="17" applyFont="true" applyBorder="true" applyAlignment="true" applyProtection="true">
      <alignment horizontal="center" vertical="bottom" textRotation="0" wrapText="false" indent="0" shrinkToFit="false"/>
      <protection locked="false" hidden="false"/>
    </xf>
    <xf numFmtId="164" fontId="0" fillId="9" borderId="37" xfId="0" applyFont="false" applyBorder="true" applyAlignment="false" applyProtection="false">
      <alignment horizontal="general" vertical="bottom" textRotation="0" wrapText="false" indent="0" shrinkToFit="false"/>
      <protection locked="true" hidden="false"/>
    </xf>
    <xf numFmtId="164" fontId="0" fillId="9" borderId="74" xfId="0" applyFont="false" applyBorder="true" applyAlignment="false" applyProtection="false">
      <alignment horizontal="general" vertical="bottom" textRotation="0" wrapText="false" indent="0" shrinkToFit="false"/>
      <protection locked="true" hidden="false"/>
    </xf>
    <xf numFmtId="164" fontId="0" fillId="9" borderId="41" xfId="0" applyFont="false" applyBorder="true" applyAlignment="false" applyProtection="false">
      <alignment horizontal="general" vertical="bottom" textRotation="0" wrapText="false" indent="0" shrinkToFit="false"/>
      <protection locked="true" hidden="false"/>
    </xf>
    <xf numFmtId="164" fontId="0" fillId="9" borderId="66" xfId="0" applyFont="false" applyBorder="true" applyAlignment="false" applyProtection="false">
      <alignment horizontal="general" vertical="bottom" textRotation="0" wrapText="false" indent="0" shrinkToFit="false"/>
      <protection locked="true" hidden="false"/>
    </xf>
    <xf numFmtId="179" fontId="0" fillId="9" borderId="11" xfId="0" applyFont="false" applyBorder="true" applyAlignment="false" applyProtection="false">
      <alignment horizontal="general" vertical="bottom" textRotation="0" wrapText="false" indent="0" shrinkToFit="false"/>
      <protection locked="true" hidden="false"/>
    </xf>
    <xf numFmtId="179" fontId="0" fillId="9" borderId="37" xfId="17" applyFont="true" applyBorder="true" applyAlignment="true" applyProtection="true">
      <alignment horizontal="general" vertical="bottom" textRotation="0" wrapText="false" indent="0" shrinkToFit="false"/>
      <protection locked="true" hidden="false"/>
    </xf>
    <xf numFmtId="196" fontId="0" fillId="9" borderId="0" xfId="0" applyFont="false" applyBorder="false" applyAlignment="false" applyProtection="false">
      <alignment horizontal="general" vertical="bottom" textRotation="0" wrapText="false" indent="0" shrinkToFit="false"/>
      <protection locked="true" hidden="false"/>
    </xf>
    <xf numFmtId="203" fontId="0" fillId="9" borderId="0" xfId="0" applyFont="false" applyBorder="false" applyAlignment="false" applyProtection="false">
      <alignment horizontal="general" vertical="bottom" textRotation="0" wrapText="false" indent="0" shrinkToFit="false"/>
      <protection locked="true" hidden="false"/>
    </xf>
    <xf numFmtId="201" fontId="7" fillId="3" borderId="45" xfId="15" applyFont="true" applyBorder="true" applyAlignment="true" applyProtection="true">
      <alignment horizontal="center" vertical="bottom" textRotation="0" wrapText="false" indent="0" shrinkToFit="false"/>
      <protection locked="true" hidden="false"/>
    </xf>
    <xf numFmtId="164" fontId="7" fillId="0" borderId="45" xfId="21" applyFont="true" applyBorder="true" applyAlignment="true" applyProtection="false">
      <alignment horizontal="center" vertical="bottom" textRotation="0" wrapText="false" indent="0" shrinkToFit="false"/>
      <protection locked="true" hidden="false"/>
    </xf>
    <xf numFmtId="169" fontId="7" fillId="0" borderId="37" xfId="17" applyFont="true" applyBorder="true" applyAlignment="true" applyProtection="true">
      <alignment horizontal="center" vertical="bottom" textRotation="0" wrapText="false" indent="0" shrinkToFit="false"/>
      <protection locked="true" hidden="false"/>
    </xf>
    <xf numFmtId="164" fontId="7" fillId="0" borderId="37" xfId="21" applyFont="true" applyBorder="true" applyAlignment="false" applyProtection="false">
      <alignment horizontal="general" vertical="bottom" textRotation="0" wrapText="false" indent="0" shrinkToFit="false"/>
      <protection locked="true" hidden="false"/>
    </xf>
    <xf numFmtId="201" fontId="7" fillId="0" borderId="45" xfId="15" applyFont="true" applyBorder="true" applyAlignment="true" applyProtection="true">
      <alignment horizontal="center" vertical="bottom" textRotation="0" wrapText="false" indent="0" shrinkToFit="false"/>
      <protection locked="true" hidden="false"/>
    </xf>
    <xf numFmtId="164" fontId="8" fillId="3" borderId="1" xfId="21" applyFont="true" applyBorder="true" applyAlignment="true" applyProtection="false">
      <alignment horizontal="center" vertical="bottom" textRotation="0" wrapText="false" indent="0" shrinkToFit="false"/>
      <protection locked="true" hidden="false"/>
    </xf>
    <xf numFmtId="196" fontId="7" fillId="0" borderId="45" xfId="21" applyFont="true" applyBorder="true" applyAlignment="true" applyProtection="false">
      <alignment horizontal="center" vertical="bottom" textRotation="0" wrapText="false" indent="0" shrinkToFit="false"/>
      <protection locked="true" hidden="false"/>
    </xf>
    <xf numFmtId="164" fontId="7" fillId="0" borderId="15" xfId="21" applyFont="true" applyBorder="true" applyAlignment="true" applyProtection="false">
      <alignment horizontal="center" vertical="bottom" textRotation="0" wrapText="false" indent="0" shrinkToFit="false"/>
      <protection locked="true" hidden="false"/>
    </xf>
    <xf numFmtId="164" fontId="8" fillId="0" borderId="0" xfId="21" applyFont="true" applyBorder="false" applyAlignment="true" applyProtection="false">
      <alignment horizontal="center" vertical="bottom" textRotation="0" wrapText="false" indent="0" shrinkToFit="false"/>
      <protection locked="true" hidden="false"/>
    </xf>
    <xf numFmtId="169" fontId="8" fillId="15" borderId="45" xfId="17" applyFont="true" applyBorder="true" applyAlignment="true" applyProtection="true">
      <alignment horizontal="general" vertical="bottom" textRotation="0" wrapText="false" indent="0" shrinkToFit="false"/>
      <protection locked="true" hidden="false"/>
    </xf>
    <xf numFmtId="164" fontId="0" fillId="9" borderId="45" xfId="0" applyFont="false" applyBorder="true" applyAlignment="false" applyProtection="false">
      <alignment horizontal="general" vertical="bottom" textRotation="0" wrapText="false" indent="0" shrinkToFit="false"/>
      <protection locked="true" hidden="false"/>
    </xf>
    <xf numFmtId="193" fontId="7" fillId="0" borderId="37" xfId="21" applyFont="true" applyBorder="true" applyAlignment="false" applyProtection="false">
      <alignment horizontal="general" vertical="bottom" textRotation="0" wrapText="false" indent="0" shrinkToFit="false"/>
      <protection locked="true" hidden="false"/>
    </xf>
    <xf numFmtId="164" fontId="7" fillId="3" borderId="1" xfId="21" applyFont="true" applyBorder="true" applyAlignment="true" applyProtection="false">
      <alignment horizontal="center" vertical="bottom" textRotation="0" wrapText="false" indent="0" shrinkToFit="false"/>
      <protection locked="true" hidden="false"/>
    </xf>
    <xf numFmtId="164" fontId="69" fillId="0" borderId="0" xfId="21" applyFont="true" applyBorder="false" applyAlignment="true" applyProtection="false">
      <alignment horizontal="center" vertical="bottom" textRotation="0" wrapText="false" indent="0" shrinkToFit="false"/>
      <protection locked="true" hidden="false"/>
    </xf>
    <xf numFmtId="164" fontId="69" fillId="0" borderId="45" xfId="21" applyFont="true" applyBorder="true" applyAlignment="true" applyProtection="false">
      <alignment horizontal="center" vertical="bottom" textRotation="0" wrapText="false" indent="0" shrinkToFit="false"/>
      <protection locked="true" hidden="false"/>
    </xf>
    <xf numFmtId="201" fontId="7" fillId="3" borderId="37" xfId="15" applyFont="true" applyBorder="true" applyAlignment="true" applyProtection="true">
      <alignment horizontal="center" vertical="bottom" textRotation="0" wrapText="false" indent="0" shrinkToFit="false"/>
      <protection locked="true" hidden="false"/>
    </xf>
    <xf numFmtId="164" fontId="7" fillId="0" borderId="45" xfId="0" applyFont="true" applyBorder="true" applyAlignment="true" applyProtection="false">
      <alignment horizontal="center" vertical="bottom" textRotation="0" wrapText="false" indent="0" shrinkToFit="false"/>
      <protection locked="true" hidden="false"/>
    </xf>
    <xf numFmtId="164" fontId="7" fillId="0" borderId="37" xfId="0" applyFont="true" applyBorder="true" applyAlignment="false" applyProtection="false">
      <alignment horizontal="general" vertical="bottom" textRotation="0" wrapText="false" indent="0" shrinkToFit="false"/>
      <protection locked="true" hidden="false"/>
    </xf>
    <xf numFmtId="164" fontId="7" fillId="3" borderId="1" xfId="0" applyFont="true" applyBorder="true" applyAlignment="true" applyProtection="false">
      <alignment horizontal="center" vertical="bottom" textRotation="0" wrapText="false" indent="0" shrinkToFit="false"/>
      <protection locked="true" hidden="false"/>
    </xf>
    <xf numFmtId="196" fontId="7" fillId="0" borderId="45" xfId="0" applyFont="true" applyBorder="true" applyAlignment="true" applyProtection="false">
      <alignment horizontal="center" vertical="bottom" textRotation="0" wrapText="false" indent="0" shrinkToFit="false"/>
      <protection locked="true" hidden="false"/>
    </xf>
    <xf numFmtId="164" fontId="7" fillId="0" borderId="15" xfId="0" applyFont="true" applyBorder="true" applyAlignment="true" applyProtection="false">
      <alignment horizontal="center" vertical="bottom" textRotation="0" wrapText="false" indent="0" shrinkToFit="false"/>
      <protection locked="true" hidden="false"/>
    </xf>
    <xf numFmtId="201" fontId="7" fillId="3" borderId="0" xfId="15" applyFont="true" applyBorder="true" applyAlignment="true" applyProtection="true">
      <alignment horizontal="center" vertical="bottom" textRotation="0" wrapText="false" indent="0" shrinkToFit="false"/>
      <protection locked="true" hidden="false"/>
    </xf>
    <xf numFmtId="164" fontId="7" fillId="3" borderId="67" xfId="21" applyFont="true" applyBorder="true" applyAlignment="true" applyProtection="false">
      <alignment horizontal="center" vertical="bottom" textRotation="0" wrapText="false" indent="0" shrinkToFit="false"/>
      <protection locked="true" hidden="false"/>
    </xf>
    <xf numFmtId="164" fontId="7" fillId="0" borderId="0" xfId="21" applyFont="true" applyBorder="false" applyAlignment="true" applyProtection="false">
      <alignment horizontal="center" vertical="bottom" textRotation="0" wrapText="false" indent="0" shrinkToFit="false"/>
      <protection locked="true" hidden="false"/>
    </xf>
    <xf numFmtId="182" fontId="11" fillId="0" borderId="7" xfId="21" applyFont="true" applyBorder="true" applyAlignment="true" applyProtection="false">
      <alignment horizontal="left" vertical="bottom" textRotation="0" wrapText="false" indent="0" shrinkToFit="false"/>
      <protection locked="true" hidden="false"/>
    </xf>
    <xf numFmtId="182" fontId="0" fillId="9" borderId="0" xfId="0" applyFont="false" applyBorder="false" applyAlignment="false" applyProtection="false">
      <alignment horizontal="general" vertical="bottom" textRotation="0" wrapText="false" indent="0" shrinkToFit="false"/>
      <protection locked="true" hidden="false"/>
    </xf>
    <xf numFmtId="201" fontId="7" fillId="3" borderId="6" xfId="15" applyFont="true" applyBorder="true" applyAlignment="true" applyProtection="true">
      <alignment horizontal="center" vertical="bottom" textRotation="0" wrapText="false" indent="0" shrinkToFit="false"/>
      <protection locked="true" hidden="false"/>
    </xf>
    <xf numFmtId="201" fontId="7" fillId="3" borderId="51" xfId="15" applyFont="true" applyBorder="true" applyAlignment="true" applyProtection="true">
      <alignment horizontal="center" vertical="bottom" textRotation="0" wrapText="false" indent="0" shrinkToFit="false"/>
      <protection locked="true" hidden="false"/>
    </xf>
    <xf numFmtId="164" fontId="7" fillId="0" borderId="51" xfId="0" applyFont="true" applyBorder="true" applyAlignment="true" applyProtection="false">
      <alignment horizontal="center" vertical="bottom" textRotation="0" wrapText="false" indent="0" shrinkToFit="false"/>
      <protection locked="true" hidden="false"/>
    </xf>
    <xf numFmtId="169" fontId="7" fillId="0" borderId="38" xfId="17" applyFont="true" applyBorder="true" applyAlignment="true" applyProtection="true">
      <alignment horizontal="center" vertical="bottom" textRotation="0" wrapText="false" indent="0" shrinkToFit="false"/>
      <protection locked="true" hidden="false"/>
    </xf>
    <xf numFmtId="164" fontId="7" fillId="0" borderId="38" xfId="0" applyFont="true" applyBorder="true" applyAlignment="false" applyProtection="false">
      <alignment horizontal="general" vertical="bottom" textRotation="0" wrapText="false" indent="0" shrinkToFit="false"/>
      <protection locked="true" hidden="false"/>
    </xf>
    <xf numFmtId="201" fontId="7" fillId="0" borderId="51" xfId="15" applyFont="true" applyBorder="true" applyAlignment="true" applyProtection="true">
      <alignment horizontal="center" vertical="bottom" textRotation="0" wrapText="false" indent="0" shrinkToFit="false"/>
      <protection locked="true" hidden="false"/>
    </xf>
    <xf numFmtId="164" fontId="7" fillId="3" borderId="72" xfId="0" applyFont="true" applyBorder="true" applyAlignment="true" applyProtection="false">
      <alignment horizontal="center" vertical="bottom" textRotation="0" wrapText="false" indent="0" shrinkToFit="false"/>
      <protection locked="true" hidden="false"/>
    </xf>
    <xf numFmtId="196" fontId="7" fillId="0" borderId="51" xfId="0" applyFont="true" applyBorder="true" applyAlignment="true" applyProtection="false">
      <alignment horizontal="center" vertical="bottom" textRotation="0" wrapText="false" indent="0" shrinkToFit="false"/>
      <protection locked="true" hidden="false"/>
    </xf>
    <xf numFmtId="164" fontId="7" fillId="0" borderId="19" xfId="0" applyFont="true" applyBorder="true" applyAlignment="true" applyProtection="false">
      <alignment horizontal="center" vertical="bottom" textRotation="0" wrapText="false" indent="0" shrinkToFit="false"/>
      <protection locked="true" hidden="false"/>
    </xf>
    <xf numFmtId="164" fontId="7" fillId="0" borderId="6" xfId="0" applyFont="true" applyBorder="true" applyAlignment="true" applyProtection="false">
      <alignment horizontal="center" vertical="bottom" textRotation="0" wrapText="false" indent="0" shrinkToFit="false"/>
      <protection locked="true" hidden="false"/>
    </xf>
    <xf numFmtId="164" fontId="8" fillId="0" borderId="19" xfId="0" applyFont="true" applyBorder="true" applyAlignment="true" applyProtection="false">
      <alignment horizontal="center" vertical="bottom" textRotation="0" wrapText="false" indent="0" shrinkToFit="false"/>
      <protection locked="true" hidden="false"/>
    </xf>
    <xf numFmtId="196" fontId="8" fillId="6" borderId="19" xfId="0" applyFont="true" applyBorder="true" applyAlignment="true" applyProtection="false">
      <alignment horizontal="center" vertical="bottom" textRotation="0" wrapText="false" indent="0" shrinkToFit="false"/>
      <protection locked="true" hidden="false"/>
    </xf>
    <xf numFmtId="196" fontId="8" fillId="6" borderId="38" xfId="0" applyFont="true" applyBorder="true" applyAlignment="true" applyProtection="true">
      <alignment horizontal="center" vertical="bottom" textRotation="0" wrapText="false" indent="0" shrinkToFit="false"/>
      <protection locked="false" hidden="false"/>
    </xf>
    <xf numFmtId="201" fontId="8" fillId="6" borderId="6" xfId="15" applyFont="true" applyBorder="true" applyAlignment="true" applyProtection="true">
      <alignment horizontal="general" vertical="bottom" textRotation="0" wrapText="false" indent="0" shrinkToFit="false"/>
      <protection locked="false" hidden="false"/>
    </xf>
    <xf numFmtId="169" fontId="8" fillId="15" borderId="51" xfId="17" applyFont="true" applyBorder="true" applyAlignment="true" applyProtection="true">
      <alignment horizontal="general" vertical="bottom" textRotation="0" wrapText="false" indent="0" shrinkToFit="false"/>
      <protection locked="true" hidden="false"/>
    </xf>
    <xf numFmtId="179" fontId="8" fillId="0" borderId="20" xfId="17" applyFont="true" applyBorder="true" applyAlignment="true" applyProtection="true">
      <alignment horizontal="center" vertical="bottom" textRotation="0" wrapText="false" indent="0" shrinkToFit="false"/>
      <protection locked="false" hidden="false"/>
    </xf>
    <xf numFmtId="164" fontId="0" fillId="9" borderId="75" xfId="0" applyFont="false" applyBorder="true" applyAlignment="false" applyProtection="false">
      <alignment horizontal="general" vertical="bottom" textRotation="0" wrapText="false" indent="0" shrinkToFit="false"/>
      <protection locked="true" hidden="false"/>
    </xf>
    <xf numFmtId="179" fontId="0" fillId="9" borderId="33" xfId="0" applyFont="false" applyBorder="true" applyAlignment="false" applyProtection="false">
      <alignment horizontal="general" vertical="bottom" textRotation="0" wrapText="false" indent="0" shrinkToFit="false"/>
      <protection locked="true" hidden="false"/>
    </xf>
    <xf numFmtId="182" fontId="8" fillId="0" borderId="0" xfId="0" applyFont="true" applyBorder="false" applyAlignment="false" applyProtection="false">
      <alignment horizontal="general" vertical="bottom" textRotation="0" wrapText="false" indent="0" shrinkToFit="false"/>
      <protection locked="true" hidden="false"/>
    </xf>
    <xf numFmtId="196" fontId="8" fillId="0" borderId="0" xfId="0" applyFont="true" applyBorder="false" applyAlignment="false" applyProtection="false">
      <alignment horizontal="general" vertical="bottom" textRotation="0" wrapText="false" indent="0" shrinkToFit="false"/>
      <protection locked="true" hidden="false"/>
    </xf>
    <xf numFmtId="230" fontId="8" fillId="0" borderId="0" xfId="0" applyFont="true" applyBorder="false" applyAlignment="false" applyProtection="false">
      <alignment horizontal="general" vertical="bottom" textRotation="0" wrapText="false" indent="0" shrinkToFit="false"/>
      <protection locked="true" hidden="false"/>
    </xf>
    <xf numFmtId="201" fontId="8" fillId="0" borderId="21" xfId="0" applyFont="true" applyBorder="true" applyAlignment="true" applyProtection="false">
      <alignment horizontal="center" vertical="bottom" textRotation="0" wrapText="false" indent="0" shrinkToFit="false"/>
      <protection locked="true" hidden="false"/>
    </xf>
    <xf numFmtId="164" fontId="6" fillId="0" borderId="22" xfId="0" applyFont="true" applyBorder="true" applyAlignment="true" applyProtection="false">
      <alignment horizontal="left" vertical="bottom" textRotation="0" wrapText="false" indent="0" shrinkToFit="false"/>
      <protection locked="true" hidden="false"/>
    </xf>
    <xf numFmtId="164" fontId="6" fillId="0" borderId="22" xfId="0" applyFont="true" applyBorder="true" applyAlignment="false" applyProtection="false">
      <alignment horizontal="general" vertical="bottom" textRotation="0" wrapText="false" indent="0" shrinkToFit="false"/>
      <protection locked="true" hidden="false"/>
    </xf>
    <xf numFmtId="201" fontId="6" fillId="0" borderId="23" xfId="0" applyFont="true" applyBorder="true" applyAlignment="false" applyProtection="false">
      <alignment horizontal="general" vertical="bottom" textRotation="0" wrapText="false" indent="0" shrinkToFit="false"/>
      <protection locked="true" hidden="false"/>
    </xf>
    <xf numFmtId="179" fontId="8" fillId="0" borderId="8" xfId="0" applyFont="true" applyBorder="true" applyAlignment="false" applyProtection="false">
      <alignment horizontal="general" vertical="bottom" textRotation="0" wrapText="false" indent="0" shrinkToFit="false"/>
      <protection locked="true" hidden="false"/>
    </xf>
    <xf numFmtId="179" fontId="0" fillId="9" borderId="7" xfId="0" applyFont="false" applyBorder="true" applyAlignment="false" applyProtection="false">
      <alignment horizontal="general" vertical="bottom" textRotation="0" wrapText="false" indent="0" shrinkToFit="false"/>
      <protection locked="true" hidden="false"/>
    </xf>
    <xf numFmtId="179" fontId="0" fillId="9" borderId="16" xfId="17" applyFont="true" applyBorder="true" applyAlignment="true" applyProtection="true">
      <alignment horizontal="general" vertical="bottom" textRotation="0" wrapText="false" indent="0" shrinkToFit="false"/>
      <protection locked="true" hidden="false"/>
    </xf>
    <xf numFmtId="179" fontId="0" fillId="9" borderId="9" xfId="17" applyFont="true" applyBorder="true" applyAlignment="true" applyProtection="true">
      <alignment horizontal="general" vertical="bottom" textRotation="0" wrapText="false" indent="0" shrinkToFit="false"/>
      <protection locked="true" hidden="false"/>
    </xf>
    <xf numFmtId="179" fontId="0" fillId="9" borderId="17" xfId="17" applyFont="true" applyBorder="true" applyAlignment="true" applyProtection="true">
      <alignment horizontal="general" vertical="bottom" textRotation="0" wrapText="false" indent="0" shrinkToFit="false"/>
      <protection locked="true" hidden="false"/>
    </xf>
    <xf numFmtId="179" fontId="0" fillId="9" borderId="112" xfId="0" applyFont="false" applyBorder="true" applyAlignment="false" applyProtection="false">
      <alignment horizontal="general" vertical="bottom" textRotation="0" wrapText="false" indent="0" shrinkToFit="false"/>
      <protection locked="true" hidden="false"/>
    </xf>
    <xf numFmtId="164" fontId="0" fillId="9" borderId="112" xfId="0" applyFont="false" applyBorder="true" applyAlignment="false" applyProtection="false">
      <alignment horizontal="general" vertical="bottom" textRotation="0" wrapText="false" indent="0" shrinkToFit="false"/>
      <protection locked="true" hidden="false"/>
    </xf>
    <xf numFmtId="164" fontId="0" fillId="9" borderId="130" xfId="0" applyFont="false" applyBorder="true" applyAlignment="false" applyProtection="false">
      <alignment horizontal="general" vertical="bottom" textRotation="0" wrapText="false" indent="0" shrinkToFit="false"/>
      <protection locked="true" hidden="false"/>
    </xf>
    <xf numFmtId="201" fontId="8" fillId="0" borderId="6" xfId="0" applyFont="true" applyBorder="true" applyAlignment="true" applyProtection="false">
      <alignment horizontal="center" vertical="bottom" textRotation="0" wrapText="false" indent="0" shrinkToFit="false"/>
      <protection locked="true" hidden="false"/>
    </xf>
    <xf numFmtId="179" fontId="8" fillId="0" borderId="0" xfId="0" applyFont="true" applyBorder="true" applyAlignment="true" applyProtection="false">
      <alignment horizontal="center" vertical="bottom" textRotation="0" wrapText="false" indent="0" shrinkToFit="false"/>
      <protection locked="true" hidden="false"/>
    </xf>
    <xf numFmtId="179" fontId="0" fillId="9" borderId="12" xfId="0" applyFont="false" applyBorder="true" applyAlignment="false" applyProtection="false">
      <alignment horizontal="general" vertical="bottom" textRotation="0" wrapText="false" indent="0" shrinkToFit="false"/>
      <protection locked="true" hidden="false"/>
    </xf>
    <xf numFmtId="179" fontId="0" fillId="9" borderId="6" xfId="0" applyFont="false" applyBorder="true" applyAlignment="false" applyProtection="false">
      <alignment horizontal="general" vertical="bottom" textRotation="0" wrapText="false" indent="0" shrinkToFit="false"/>
      <protection locked="true" hidden="false"/>
    </xf>
    <xf numFmtId="164" fontId="0" fillId="9" borderId="13" xfId="0" applyFont="false" applyBorder="true" applyAlignment="false" applyProtection="false">
      <alignment horizontal="general" vertical="bottom" textRotation="0" wrapText="false" indent="0" shrinkToFit="false"/>
      <protection locked="true" hidden="false"/>
    </xf>
    <xf numFmtId="179" fontId="8" fillId="14" borderId="9" xfId="0" applyFont="true" applyBorder="true" applyAlignment="false" applyProtection="true">
      <alignment horizontal="general" vertical="bottom" textRotation="0" wrapText="false" indent="0" shrinkToFit="false"/>
      <protection locked="false" hidden="false"/>
    </xf>
    <xf numFmtId="193" fontId="8" fillId="3" borderId="1" xfId="0" applyFont="true" applyBorder="true" applyAlignment="true" applyProtection="false">
      <alignment horizontal="center" vertical="bottom" textRotation="0" wrapText="false" indent="0" shrinkToFit="false"/>
      <protection locked="true" hidden="false"/>
    </xf>
    <xf numFmtId="184" fontId="8" fillId="3" borderId="32" xfId="19" applyFont="true" applyBorder="true" applyAlignment="true" applyProtection="true">
      <alignment horizontal="general" vertical="bottom" textRotation="0" wrapText="false" indent="0" shrinkToFit="false"/>
      <protection locked="true" hidden="false"/>
    </xf>
    <xf numFmtId="231" fontId="8" fillId="3" borderId="33" xfId="19" applyFont="true" applyBorder="true" applyAlignment="true" applyProtection="true">
      <alignment horizontal="center" vertical="bottom" textRotation="0" wrapText="false" indent="0" shrinkToFit="false"/>
      <protection locked="true" hidden="false"/>
    </xf>
    <xf numFmtId="179" fontId="8" fillId="14" borderId="22" xfId="17" applyFont="true" applyBorder="true" applyAlignment="true" applyProtection="true">
      <alignment horizontal="center" vertical="bottom" textRotation="0" wrapText="false" indent="0" shrinkToFit="false"/>
      <protection locked="true" hidden="false"/>
    </xf>
    <xf numFmtId="179" fontId="69" fillId="3" borderId="0" xfId="0" applyFont="true" applyBorder="false" applyAlignment="false" applyProtection="false">
      <alignment horizontal="general" vertical="bottom" textRotation="0" wrapText="false" indent="0" shrinkToFit="false"/>
      <protection locked="true" hidden="false"/>
    </xf>
    <xf numFmtId="201" fontId="8" fillId="3" borderId="0" xfId="15" applyFont="true" applyBorder="true" applyAlignment="true" applyProtection="true">
      <alignment horizontal="general" vertical="bottom" textRotation="0" wrapText="false" indent="0" shrinkToFit="false"/>
      <protection locked="true" hidden="false"/>
    </xf>
    <xf numFmtId="193" fontId="8" fillId="3" borderId="9" xfId="0" applyFont="true" applyBorder="true" applyAlignment="false" applyProtection="false">
      <alignment horizontal="general" vertical="bottom" textRotation="0" wrapText="false" indent="0" shrinkToFit="false"/>
      <protection locked="true" hidden="false"/>
    </xf>
    <xf numFmtId="164" fontId="69" fillId="3" borderId="0" xfId="0" applyFont="true" applyBorder="false" applyAlignment="false" applyProtection="false">
      <alignment horizontal="general" vertical="bottom" textRotation="0" wrapText="false" indent="0" shrinkToFit="false"/>
      <protection locked="true" hidden="false"/>
    </xf>
    <xf numFmtId="186" fontId="8" fillId="3" borderId="0" xfId="0" applyFont="true" applyBorder="false" applyAlignment="false" applyProtection="false">
      <alignment horizontal="general" vertical="bottom" textRotation="0" wrapText="false" indent="0" shrinkToFit="false"/>
      <protection locked="true" hidden="false"/>
    </xf>
    <xf numFmtId="193" fontId="8" fillId="3" borderId="0" xfId="0" applyFont="true" applyBorder="true" applyAlignment="true" applyProtection="false">
      <alignment horizontal="center" vertical="bottom" textRotation="0" wrapText="false" indent="0" shrinkToFit="false"/>
      <protection locked="true" hidden="false"/>
    </xf>
    <xf numFmtId="164" fontId="8" fillId="20" borderId="10" xfId="0" applyFont="true" applyBorder="true" applyAlignment="false" applyProtection="false">
      <alignment horizontal="general" vertical="bottom" textRotation="0" wrapText="false" indent="0" shrinkToFit="false"/>
      <protection locked="true" hidden="false"/>
    </xf>
    <xf numFmtId="203" fontId="8" fillId="3" borderId="0" xfId="0" applyFont="true" applyBorder="false" applyAlignment="false" applyProtection="false">
      <alignment horizontal="general" vertical="bottom" textRotation="0" wrapText="false" indent="0" shrinkToFit="false"/>
      <protection locked="true" hidden="false"/>
    </xf>
    <xf numFmtId="171" fontId="8" fillId="20" borderId="33" xfId="0" applyFont="true" applyBorder="true" applyAlignment="false" applyProtection="false">
      <alignment horizontal="general" vertical="bottom" textRotation="0" wrapText="false" indent="0" shrinkToFit="false"/>
      <protection locked="true" hidden="false"/>
    </xf>
    <xf numFmtId="171" fontId="8" fillId="3" borderId="0" xfId="0" applyFont="true" applyBorder="false" applyAlignment="false" applyProtection="false">
      <alignment horizontal="general" vertical="bottom" textRotation="0" wrapText="false" indent="0" shrinkToFit="false"/>
      <protection locked="true" hidden="false"/>
    </xf>
    <xf numFmtId="180" fontId="8" fillId="3" borderId="0" xfId="0" applyFont="true" applyBorder="false" applyAlignment="false" applyProtection="false">
      <alignment horizontal="general" vertical="bottom" textRotation="0" wrapText="false" indent="0" shrinkToFit="false"/>
      <protection locked="true" hidden="false"/>
    </xf>
    <xf numFmtId="169" fontId="8" fillId="15" borderId="67" xfId="17" applyFont="true" applyBorder="true" applyAlignment="true" applyProtection="true">
      <alignment horizontal="center" vertical="bottom" textRotation="0" wrapText="false" indent="0" shrinkToFit="false"/>
      <protection locked="true" hidden="false"/>
    </xf>
    <xf numFmtId="183" fontId="8" fillId="3" borderId="60" xfId="19" applyFont="true" applyBorder="true" applyAlignment="true" applyProtection="true">
      <alignment horizontal="center" vertical="center" textRotation="0" wrapText="false" indent="0" shrinkToFit="false"/>
      <protection locked="true" hidden="false"/>
    </xf>
    <xf numFmtId="193" fontId="8" fillId="0" borderId="37" xfId="15" applyFont="true" applyBorder="true" applyAlignment="true" applyProtection="true">
      <alignment horizontal="center" vertical="bottom" textRotation="0" wrapText="false" indent="0" shrinkToFit="false"/>
      <protection locked="true" hidden="false"/>
    </xf>
    <xf numFmtId="183" fontId="8" fillId="8" borderId="0" xfId="19" applyFont="true" applyBorder="true" applyAlignment="true" applyProtection="true">
      <alignment horizontal="general" vertical="bottom" textRotation="0" wrapText="false" indent="0" shrinkToFit="false"/>
      <protection locked="false" hidden="false"/>
    </xf>
    <xf numFmtId="164" fontId="0" fillId="21" borderId="0" xfId="0" applyFont="false" applyBorder="false" applyAlignment="false" applyProtection="false">
      <alignment horizontal="general" vertical="bottom" textRotation="0" wrapText="false" indent="0" shrinkToFit="false"/>
      <protection locked="true" hidden="false"/>
    </xf>
    <xf numFmtId="164" fontId="8" fillId="0" borderId="53" xfId="0" applyFont="true" applyBorder="true" applyAlignment="true" applyProtection="false">
      <alignment horizontal="center" vertical="bottom" textRotation="0" wrapText="false" indent="0" shrinkToFit="false"/>
      <protection locked="true" hidden="false"/>
    </xf>
    <xf numFmtId="169" fontId="8" fillId="15" borderId="91" xfId="17" applyFont="true" applyBorder="true" applyAlignment="true" applyProtection="true">
      <alignment horizontal="center" vertical="bottom" textRotation="0" wrapText="false" indent="0" shrinkToFit="false"/>
      <protection locked="true" hidden="false"/>
    </xf>
    <xf numFmtId="193" fontId="8" fillId="0" borderId="107" xfId="15" applyFont="true" applyBorder="true" applyAlignment="true" applyProtection="true">
      <alignment horizontal="center" vertical="bottom" textRotation="0" wrapText="false" indent="0" shrinkToFit="false"/>
      <protection locked="true" hidden="false"/>
    </xf>
    <xf numFmtId="193" fontId="8" fillId="0" borderId="0" xfId="21" applyFont="true" applyBorder="false" applyAlignment="false" applyProtection="true">
      <alignment horizontal="general" vertical="bottom" textRotation="0" wrapText="false" indent="0" shrinkToFit="false"/>
      <protection locked="false" hidden="false"/>
    </xf>
    <xf numFmtId="169" fontId="8" fillId="15" borderId="1" xfId="17" applyFont="true" applyBorder="true" applyAlignment="true" applyProtection="true">
      <alignment horizontal="center" vertical="bottom" textRotation="0" wrapText="false" indent="0" shrinkToFit="false"/>
      <protection locked="true" hidden="false"/>
    </xf>
    <xf numFmtId="183" fontId="8" fillId="3" borderId="55" xfId="19" applyFont="true" applyBorder="true" applyAlignment="true" applyProtection="true">
      <alignment horizontal="general" vertical="bottom" textRotation="0" wrapText="false" indent="0" shrinkToFit="false"/>
      <protection locked="true" hidden="false"/>
    </xf>
    <xf numFmtId="179" fontId="8" fillId="3" borderId="91" xfId="17" applyFont="true" applyBorder="true" applyAlignment="true" applyProtection="true">
      <alignment horizontal="center" vertical="bottom" textRotation="0" wrapText="false" indent="0" shrinkToFit="false"/>
      <protection locked="true" hidden="false"/>
    </xf>
    <xf numFmtId="193" fontId="8" fillId="0" borderId="39" xfId="15" applyFont="true" applyBorder="true" applyAlignment="true" applyProtection="true">
      <alignment horizontal="center" vertical="bottom" textRotation="0" wrapText="false" indent="0" shrinkToFit="false"/>
      <protection locked="true" hidden="false"/>
    </xf>
    <xf numFmtId="169" fontId="8" fillId="15" borderId="81" xfId="17" applyFont="true" applyBorder="true" applyAlignment="true" applyProtection="true">
      <alignment horizontal="general" vertical="bottom" textRotation="0" wrapText="false" indent="0" shrinkToFit="false"/>
      <protection locked="true" hidden="false"/>
    </xf>
    <xf numFmtId="193" fontId="8" fillId="0" borderId="0" xfId="15" applyFont="true" applyBorder="true" applyAlignment="true" applyProtection="true">
      <alignment horizontal="center" vertical="bottom" textRotation="0" wrapText="false" indent="0" shrinkToFit="false"/>
      <protection locked="true" hidden="false"/>
    </xf>
    <xf numFmtId="169" fontId="8" fillId="15" borderId="60" xfId="17" applyFont="true" applyBorder="true" applyAlignment="true" applyProtection="true">
      <alignment horizontal="general" vertical="bottom" textRotation="0" wrapText="false" indent="0" shrinkToFit="false"/>
      <protection locked="true" hidden="false"/>
    </xf>
    <xf numFmtId="193" fontId="8" fillId="0" borderId="0" xfId="0" applyFont="true" applyBorder="false" applyAlignment="true" applyProtection="true">
      <alignment horizontal="right" vertical="bottom" textRotation="0" wrapText="false" indent="0" shrinkToFit="false"/>
      <protection locked="false" hidden="false"/>
    </xf>
    <xf numFmtId="169" fontId="8" fillId="15" borderId="19" xfId="0" applyFont="true" applyBorder="true" applyAlignment="false" applyProtection="false">
      <alignment horizontal="general" vertical="bottom" textRotation="0" wrapText="false" indent="0" shrinkToFit="false"/>
      <protection locked="true" hidden="false"/>
    </xf>
    <xf numFmtId="183" fontId="8" fillId="3" borderId="19" xfId="19" applyFont="true" applyBorder="true" applyAlignment="true" applyProtection="true">
      <alignment horizontal="general" vertical="bottom" textRotation="0" wrapText="false" indent="0" shrinkToFit="false"/>
      <protection locked="true" hidden="false"/>
    </xf>
    <xf numFmtId="193" fontId="8" fillId="0" borderId="118" xfId="15" applyFont="true" applyBorder="true" applyAlignment="true" applyProtection="true">
      <alignment horizontal="center" vertical="bottom" textRotation="0" wrapText="false" indent="0" shrinkToFit="false"/>
      <protection locked="true" hidden="false"/>
    </xf>
    <xf numFmtId="179" fontId="8" fillId="9" borderId="119" xfId="17" applyFont="true" applyBorder="true" applyAlignment="true" applyProtection="true">
      <alignment horizontal="center" vertical="bottom" textRotation="0" wrapText="false" indent="0" shrinkToFit="false"/>
      <protection locked="true" hidden="false"/>
    </xf>
    <xf numFmtId="169" fontId="8" fillId="3" borderId="37" xfId="17" applyFont="true" applyBorder="true" applyAlignment="true" applyProtection="true">
      <alignment horizontal="center" vertical="bottom" textRotation="0" wrapText="false" indent="0" shrinkToFit="false"/>
      <protection locked="true" hidden="false"/>
    </xf>
    <xf numFmtId="201" fontId="8" fillId="6" borderId="109" xfId="15" applyFont="true" applyBorder="true" applyAlignment="true" applyProtection="true">
      <alignment horizontal="center" vertical="center" textRotation="0" wrapText="false" indent="0" shrinkToFit="false"/>
      <protection locked="true" hidden="false"/>
    </xf>
    <xf numFmtId="179" fontId="4" fillId="9" borderId="17" xfId="17" applyFont="true" applyBorder="true" applyAlignment="true" applyProtection="true">
      <alignment horizontal="center" vertical="bottom" textRotation="0" wrapText="false" indent="0" shrinkToFit="false"/>
      <protection locked="true" hidden="false"/>
    </xf>
    <xf numFmtId="179" fontId="4" fillId="9" borderId="8" xfId="17" applyFont="true" applyBorder="true" applyAlignment="true" applyProtection="true">
      <alignment horizontal="center" vertical="bottom" textRotation="0" wrapText="false" indent="0" shrinkToFit="false"/>
      <protection locked="true" hidden="false"/>
    </xf>
    <xf numFmtId="169" fontId="8" fillId="25" borderId="37" xfId="17" applyFont="true" applyBorder="true" applyAlignment="true" applyProtection="true">
      <alignment horizontal="center" vertical="bottom" textRotation="0" wrapText="false" indent="0" shrinkToFit="false"/>
      <protection locked="true" hidden="false"/>
    </xf>
    <xf numFmtId="164" fontId="8" fillId="25" borderId="0" xfId="0" applyFont="true" applyBorder="false" applyAlignment="false" applyProtection="false">
      <alignment horizontal="general" vertical="bottom" textRotation="0" wrapText="false" indent="0" shrinkToFit="false"/>
      <protection locked="true" hidden="false"/>
    </xf>
    <xf numFmtId="193" fontId="8" fillId="25" borderId="0" xfId="15" applyFont="true" applyBorder="true" applyAlignment="true" applyProtection="true">
      <alignment horizontal="center" vertical="bottom" textRotation="0" wrapText="false" indent="0" shrinkToFit="false"/>
      <protection locked="true" hidden="false"/>
    </xf>
    <xf numFmtId="179" fontId="8" fillId="3" borderId="86" xfId="17" applyFont="true" applyBorder="true" applyAlignment="true" applyProtection="true">
      <alignment horizontal="center" vertical="bottom" textRotation="0" wrapText="false" indent="0" shrinkToFit="false"/>
      <protection locked="true" hidden="false"/>
    </xf>
    <xf numFmtId="179" fontId="4" fillId="9" borderId="61" xfId="17" applyFont="true" applyBorder="true" applyAlignment="true" applyProtection="true">
      <alignment horizontal="center" vertical="bottom" textRotation="0" wrapText="false" indent="0" shrinkToFit="false"/>
      <protection locked="true" hidden="false"/>
    </xf>
    <xf numFmtId="179" fontId="4" fillId="9" borderId="13" xfId="17" applyFont="true" applyBorder="true" applyAlignment="true" applyProtection="true">
      <alignment horizontal="center" vertical="bottom" textRotation="0" wrapText="false" indent="0" shrinkToFit="false"/>
      <protection locked="true" hidden="false"/>
    </xf>
    <xf numFmtId="164" fontId="6" fillId="6" borderId="9" xfId="0" applyFont="true" applyBorder="true" applyAlignment="true" applyProtection="false">
      <alignment horizontal="left" vertical="bottom" textRotation="0" wrapText="false" indent="0" shrinkToFit="false"/>
      <protection locked="true" hidden="false"/>
    </xf>
    <xf numFmtId="164" fontId="6" fillId="6" borderId="17" xfId="0" applyFont="true" applyBorder="true" applyAlignment="true" applyProtection="false">
      <alignment horizontal="left" vertical="bottom" textRotation="0" wrapText="false" indent="0" shrinkToFit="false"/>
      <protection locked="true" hidden="false"/>
    </xf>
    <xf numFmtId="193" fontId="0" fillId="0" borderId="0" xfId="0" applyFont="false" applyBorder="false" applyAlignment="false" applyProtection="true">
      <alignment horizontal="general" vertical="bottom" textRotation="0" wrapText="false" indent="0" shrinkToFit="false"/>
      <protection locked="false" hidden="false"/>
    </xf>
    <xf numFmtId="169" fontId="0" fillId="0" borderId="0" xfId="0" applyFont="false" applyBorder="false" applyAlignment="false" applyProtection="true">
      <alignment horizontal="general" vertical="bottom" textRotation="0" wrapText="false" indent="0" shrinkToFit="false"/>
      <protection locked="false" hidden="false"/>
    </xf>
    <xf numFmtId="193" fontId="8" fillId="3" borderId="109" xfId="0" applyFont="true" applyBorder="true" applyAlignment="false" applyProtection="false">
      <alignment horizontal="general" vertical="bottom" textRotation="0" wrapText="false" indent="0" shrinkToFit="false"/>
      <protection locked="true" hidden="false"/>
    </xf>
    <xf numFmtId="179" fontId="8" fillId="15" borderId="109" xfId="17" applyFont="true" applyBorder="true" applyAlignment="true" applyProtection="true">
      <alignment horizontal="general" vertical="bottom" textRotation="0" wrapText="false" indent="0" shrinkToFit="false"/>
      <protection locked="true" hidden="false"/>
    </xf>
    <xf numFmtId="193" fontId="8" fillId="3" borderId="1" xfId="0" applyFont="true" applyBorder="true" applyAlignment="false" applyProtection="false">
      <alignment horizontal="general" vertical="bottom" textRotation="0" wrapText="false" indent="0" shrinkToFit="false"/>
      <protection locked="true" hidden="false"/>
    </xf>
    <xf numFmtId="179" fontId="8" fillId="15" borderId="1" xfId="17" applyFont="true" applyBorder="true" applyAlignment="true" applyProtection="true">
      <alignment horizontal="general" vertical="bottom" textRotation="0" wrapText="false" indent="0" shrinkToFit="false"/>
      <protection locked="true" hidden="false"/>
    </xf>
    <xf numFmtId="193" fontId="8" fillId="3" borderId="72" xfId="0" applyFont="true" applyBorder="true" applyAlignment="false" applyProtection="false">
      <alignment horizontal="general" vertical="bottom" textRotation="0" wrapText="false" indent="0" shrinkToFit="false"/>
      <protection locked="true" hidden="false"/>
    </xf>
    <xf numFmtId="179" fontId="8" fillId="15" borderId="72" xfId="17" applyFont="true" applyBorder="true" applyAlignment="true" applyProtection="true">
      <alignment horizontal="general" vertical="bottom" textRotation="0" wrapText="false" indent="0" shrinkToFit="false"/>
      <protection locked="true" hidden="false"/>
    </xf>
    <xf numFmtId="164" fontId="6" fillId="6" borderId="8" xfId="0" applyFont="true" applyBorder="true" applyAlignment="true" applyProtection="false">
      <alignment horizontal="left" vertical="bottom" textRotation="0" wrapText="false" indent="0" shrinkToFit="false"/>
      <protection locked="true" hidden="false"/>
    </xf>
    <xf numFmtId="193" fontId="8" fillId="3" borderId="67" xfId="0" applyFont="true" applyBorder="true" applyAlignment="false" applyProtection="false">
      <alignment horizontal="general" vertical="bottom" textRotation="0" wrapText="false" indent="0" shrinkToFit="false"/>
      <protection locked="true" hidden="false"/>
    </xf>
    <xf numFmtId="164" fontId="8" fillId="0" borderId="18" xfId="0" applyFont="true" applyBorder="true" applyAlignment="true" applyProtection="false">
      <alignment horizontal="left" vertical="bottom" textRotation="0" wrapText="false" indent="0" shrinkToFit="false"/>
      <protection locked="true" hidden="false"/>
    </xf>
    <xf numFmtId="169" fontId="8" fillId="3" borderId="109" xfId="17" applyFont="true" applyBorder="true" applyAlignment="true" applyProtection="true">
      <alignment horizontal="left" vertical="bottom" textRotation="0" wrapText="false" indent="0" shrinkToFit="false"/>
      <protection locked="true" hidden="false"/>
    </xf>
    <xf numFmtId="193" fontId="8" fillId="6" borderId="109" xfId="15" applyFont="true" applyBorder="true" applyAlignment="true" applyProtection="true">
      <alignment horizontal="center" vertical="bottom" textRotation="0" wrapText="false" indent="0" shrinkToFit="false"/>
      <protection locked="true" hidden="false"/>
    </xf>
    <xf numFmtId="164" fontId="23" fillId="0" borderId="9" xfId="0" applyFont="true" applyBorder="true" applyAlignment="true" applyProtection="false">
      <alignment horizontal="center" vertical="bottom" textRotation="0" wrapText="false" indent="0" shrinkToFit="false"/>
      <protection locked="true" hidden="false"/>
    </xf>
    <xf numFmtId="164" fontId="8" fillId="3" borderId="109" xfId="0" applyFont="true" applyBorder="true" applyAlignment="true" applyProtection="false">
      <alignment horizontal="center" vertical="bottom" textRotation="0" wrapText="false" indent="0" shrinkToFit="false"/>
      <protection locked="true" hidden="false"/>
    </xf>
    <xf numFmtId="169" fontId="8" fillId="3" borderId="1" xfId="17" applyFont="true" applyBorder="true" applyAlignment="true" applyProtection="true">
      <alignment horizontal="general" vertical="bottom" textRotation="0" wrapText="false" indent="0" shrinkToFit="false"/>
      <protection locked="true" hidden="false"/>
    </xf>
    <xf numFmtId="193" fontId="8" fillId="6" borderId="1" xfId="15" applyFont="true" applyBorder="true" applyAlignment="true" applyProtection="true">
      <alignment horizontal="center" vertical="bottom" textRotation="0" wrapText="false" indent="0" shrinkToFit="false"/>
      <protection locked="true" hidden="false"/>
    </xf>
    <xf numFmtId="164" fontId="8" fillId="3" borderId="1" xfId="0" applyFont="true" applyBorder="true" applyAlignment="true" applyProtection="false">
      <alignment horizontal="center" vertical="center" textRotation="0" wrapText="false" indent="0" shrinkToFit="false"/>
      <protection locked="true" hidden="false"/>
    </xf>
    <xf numFmtId="169" fontId="8" fillId="3" borderId="55" xfId="17" applyFont="true" applyBorder="true" applyAlignment="true" applyProtection="true">
      <alignment horizontal="general" vertical="bottom" textRotation="0" wrapText="false" indent="0" shrinkToFit="false"/>
      <protection locked="true" hidden="false"/>
    </xf>
    <xf numFmtId="193" fontId="8" fillId="6" borderId="55" xfId="15" applyFont="true" applyBorder="true" applyAlignment="true" applyProtection="true">
      <alignment horizontal="center" vertical="bottom" textRotation="0" wrapText="false" indent="0" shrinkToFit="false"/>
      <protection locked="true" hidden="false"/>
    </xf>
    <xf numFmtId="193" fontId="8" fillId="3" borderId="67" xfId="15" applyFont="true" applyBorder="true" applyAlignment="true" applyProtection="true">
      <alignment horizontal="center" vertical="bottom" textRotation="0" wrapText="false" indent="0" shrinkToFit="false"/>
      <protection locked="true" hidden="false"/>
    </xf>
    <xf numFmtId="193" fontId="8" fillId="6" borderId="1" xfId="0" applyFont="true" applyBorder="true" applyAlignment="true" applyProtection="false">
      <alignment horizontal="center" vertical="bottom" textRotation="0" wrapText="false" indent="0" shrinkToFit="false"/>
      <protection locked="true" hidden="false"/>
    </xf>
    <xf numFmtId="169" fontId="8" fillId="3" borderId="67" xfId="17" applyFont="true" applyBorder="true" applyAlignment="true" applyProtection="true">
      <alignment horizontal="general" vertical="bottom" textRotation="0" wrapText="false" indent="0" shrinkToFit="false"/>
      <protection locked="true" hidden="false"/>
    </xf>
    <xf numFmtId="179" fontId="8" fillId="3" borderId="1" xfId="17" applyFont="true" applyBorder="true" applyAlignment="true" applyProtection="true">
      <alignment horizontal="center" vertical="bottom" textRotation="0" wrapText="false" indent="0" shrinkToFit="false"/>
      <protection locked="true" hidden="false"/>
    </xf>
    <xf numFmtId="164" fontId="76" fillId="0" borderId="69" xfId="0" applyFont="true" applyBorder="true" applyAlignment="true" applyProtection="false">
      <alignment horizontal="left" vertical="bottom" textRotation="0" wrapText="false" indent="0" shrinkToFit="false"/>
      <protection locked="true" hidden="false"/>
    </xf>
    <xf numFmtId="185" fontId="8" fillId="3" borderId="1" xfId="19" applyFont="true" applyBorder="true" applyAlignment="true" applyProtection="true">
      <alignment horizontal="general" vertical="bottom" textRotation="0" wrapText="false" indent="0" shrinkToFit="false"/>
      <protection locked="true" hidden="false"/>
    </xf>
    <xf numFmtId="179" fontId="8" fillId="3" borderId="67" xfId="17" applyFont="true" applyBorder="true" applyAlignment="true" applyProtection="true">
      <alignment horizontal="center" vertical="bottom" textRotation="0" wrapText="false" indent="0" shrinkToFit="false"/>
      <protection locked="true" hidden="false"/>
    </xf>
    <xf numFmtId="164" fontId="76" fillId="0" borderId="2" xfId="0" applyFont="true" applyBorder="true" applyAlignment="false" applyProtection="false">
      <alignment horizontal="general" vertical="bottom" textRotation="0" wrapText="false" indent="0" shrinkToFit="false"/>
      <protection locked="true" hidden="false"/>
    </xf>
    <xf numFmtId="179" fontId="8" fillId="9" borderId="68" xfId="17" applyFont="true" applyBorder="true" applyAlignment="true" applyProtection="true">
      <alignment horizontal="center" vertical="bottom" textRotation="0" wrapText="false" indent="0" shrinkToFit="false"/>
      <protection locked="true" hidden="false"/>
    </xf>
    <xf numFmtId="193" fontId="8" fillId="0" borderId="6" xfId="0" applyFont="true" applyBorder="true" applyAlignment="false" applyProtection="false">
      <alignment horizontal="general" vertical="bottom" textRotation="0" wrapText="false" indent="0" shrinkToFit="false"/>
      <protection locked="true" hidden="false"/>
    </xf>
    <xf numFmtId="164" fontId="8" fillId="26" borderId="12" xfId="0" applyFont="true" applyBorder="true" applyAlignment="true" applyProtection="false">
      <alignment horizontal="left" vertical="bottom" textRotation="0" wrapText="false" indent="0" shrinkToFit="false"/>
      <protection locked="true" hidden="false"/>
    </xf>
    <xf numFmtId="185" fontId="8" fillId="26" borderId="19" xfId="19" applyFont="true" applyBorder="true" applyAlignment="true" applyProtection="true">
      <alignment horizontal="general" vertical="bottom" textRotation="0" wrapText="false" indent="0" shrinkToFit="false"/>
      <protection locked="true" hidden="false"/>
    </xf>
    <xf numFmtId="164" fontId="8" fillId="26" borderId="6" xfId="0" applyFont="true" applyBorder="true" applyAlignment="false" applyProtection="false">
      <alignment horizontal="general" vertical="bottom" textRotation="0" wrapText="false" indent="0" shrinkToFit="false"/>
      <protection locked="true" hidden="false"/>
    </xf>
    <xf numFmtId="179" fontId="8" fillId="26" borderId="19" xfId="17" applyFont="true" applyBorder="true" applyAlignment="true" applyProtection="true">
      <alignment horizontal="center" vertical="bottom" textRotation="0" wrapText="false" indent="0" shrinkToFit="false"/>
      <protection locked="true" hidden="false"/>
    </xf>
    <xf numFmtId="164" fontId="8" fillId="36" borderId="6" xfId="0" applyFont="true" applyBorder="true" applyAlignment="false" applyProtection="false">
      <alignment horizontal="general" vertical="bottom" textRotation="0" wrapText="false" indent="0" shrinkToFit="false"/>
      <protection locked="true" hidden="false"/>
    </xf>
    <xf numFmtId="164" fontId="76" fillId="36" borderId="6" xfId="0" applyFont="true" applyBorder="true" applyAlignment="false" applyProtection="false">
      <alignment horizontal="general" vertical="bottom" textRotation="0" wrapText="false" indent="0" shrinkToFit="false"/>
      <protection locked="true" hidden="false"/>
    </xf>
    <xf numFmtId="179" fontId="8" fillId="36" borderId="13" xfId="17" applyFont="true" applyBorder="true" applyAlignment="true" applyProtection="true">
      <alignment horizontal="center" vertical="bottom" textRotation="0" wrapText="false" indent="0" shrinkToFit="false"/>
      <protection locked="true" hidden="false"/>
    </xf>
    <xf numFmtId="183" fontId="8" fillId="0" borderId="6" xfId="19" applyFont="true" applyBorder="true" applyAlignment="true" applyProtection="true">
      <alignment horizontal="general" vertical="bottom" textRotation="0" wrapText="false" indent="0" shrinkToFit="false"/>
      <protection locked="false" hidden="false"/>
    </xf>
    <xf numFmtId="179" fontId="8" fillId="0" borderId="6" xfId="17" applyFont="true" applyBorder="true" applyAlignment="true" applyProtection="true">
      <alignment horizontal="center" vertical="bottom" textRotation="0" wrapText="false" indent="0" shrinkToFit="false"/>
      <protection locked="true" hidden="false"/>
    </xf>
    <xf numFmtId="179" fontId="8" fillId="0" borderId="22" xfId="17" applyFont="true" applyBorder="true" applyAlignment="true" applyProtection="true">
      <alignment horizontal="center" vertical="bottom" textRotation="0" wrapText="false" indent="0" shrinkToFit="false"/>
      <protection locked="true" hidden="false"/>
    </xf>
    <xf numFmtId="164" fontId="4" fillId="6" borderId="75" xfId="0" applyFont="true" applyBorder="true" applyAlignment="true" applyProtection="false">
      <alignment horizontal="left" vertical="top" textRotation="0" wrapText="false" indent="0" shrinkToFit="false"/>
      <protection locked="true" hidden="false"/>
    </xf>
    <xf numFmtId="164" fontId="4" fillId="6" borderId="90" xfId="0" applyFont="true" applyBorder="true" applyAlignment="true" applyProtection="false">
      <alignment horizontal="left" vertical="top" textRotation="0" wrapText="false" indent="0" shrinkToFit="false"/>
      <protection locked="true" hidden="false"/>
    </xf>
    <xf numFmtId="164" fontId="24" fillId="6" borderId="126" xfId="0" applyFont="true" applyBorder="true" applyAlignment="true" applyProtection="false">
      <alignment horizontal="left" vertical="bottom" textRotation="0" wrapText="false" indent="0" shrinkToFit="false"/>
      <protection locked="true" hidden="false"/>
    </xf>
    <xf numFmtId="164" fontId="8" fillId="0" borderId="11" xfId="0" applyFont="true" applyBorder="true" applyAlignment="true" applyProtection="false">
      <alignment horizontal="right" vertical="bottom" textRotation="0" wrapText="false" indent="0" shrinkToFit="false"/>
      <protection locked="true" hidden="false"/>
    </xf>
    <xf numFmtId="164" fontId="8" fillId="3" borderId="1" xfId="0" applyFont="true" applyBorder="true" applyAlignment="fals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right" vertical="bottom" textRotation="0" wrapText="false" indent="0" shrinkToFit="false"/>
      <protection locked="true" hidden="false"/>
    </xf>
    <xf numFmtId="164" fontId="8" fillId="3" borderId="55" xfId="0" applyFont="true" applyBorder="true" applyAlignment="false" applyProtection="false">
      <alignment horizontal="general" vertical="bottom" textRotation="0" wrapText="false" indent="0" shrinkToFit="false"/>
      <protection locked="true" hidden="false"/>
    </xf>
    <xf numFmtId="164" fontId="6" fillId="3" borderId="97" xfId="0" applyFont="true" applyBorder="true" applyAlignment="true" applyProtection="false">
      <alignment horizontal="center" vertical="center" textRotation="0" wrapText="true" indent="0" shrinkToFit="false"/>
      <protection locked="true" hidden="false"/>
    </xf>
    <xf numFmtId="171" fontId="6" fillId="3" borderId="98" xfId="0" applyFont="true" applyBorder="true" applyAlignment="true" applyProtection="false">
      <alignment horizontal="center" vertical="bottom" textRotation="0" wrapText="true" indent="0" shrinkToFit="false"/>
      <protection locked="true" hidden="false"/>
    </xf>
    <xf numFmtId="164" fontId="0" fillId="3" borderId="102" xfId="0" applyFont="true" applyBorder="true" applyAlignment="true" applyProtection="false">
      <alignment horizontal="center" vertical="bottom" textRotation="0" wrapText="true" indent="0" shrinkToFit="false"/>
      <protection locked="true" hidden="false"/>
    </xf>
    <xf numFmtId="164" fontId="6" fillId="3" borderId="10" xfId="0" applyFont="true" applyBorder="true" applyAlignment="true" applyProtection="false">
      <alignment horizontal="center" vertical="bottom" textRotation="0" wrapText="false" indent="0" shrinkToFit="false"/>
      <protection locked="true" hidden="false"/>
    </xf>
    <xf numFmtId="164" fontId="8" fillId="0" borderId="74" xfId="0" applyFont="true" applyBorder="true" applyAlignment="false" applyProtection="false">
      <alignment horizontal="general" vertical="bottom" textRotation="0" wrapText="false" indent="0" shrinkToFit="false"/>
      <protection locked="true" hidden="false"/>
    </xf>
    <xf numFmtId="164" fontId="8" fillId="0" borderId="41" xfId="0" applyFont="true" applyBorder="true" applyAlignment="false" applyProtection="false">
      <alignment horizontal="general" vertical="bottom" textRotation="0" wrapText="false" indent="0" shrinkToFit="false"/>
      <protection locked="true" hidden="false"/>
    </xf>
    <xf numFmtId="164" fontId="8" fillId="0" borderId="66" xfId="0" applyFont="true" applyBorder="true" applyAlignment="false" applyProtection="false">
      <alignment horizontal="general" vertical="bottom" textRotation="0" wrapText="false" indent="0" shrinkToFit="false"/>
      <protection locked="true" hidden="false"/>
    </xf>
    <xf numFmtId="164" fontId="8" fillId="0" borderId="92" xfId="0" applyFont="true" applyBorder="true" applyAlignment="true" applyProtection="false">
      <alignment horizontal="center" vertical="bottom" textRotation="0" wrapText="true" indent="0" shrinkToFit="false"/>
      <protection locked="true" hidden="false"/>
    </xf>
    <xf numFmtId="164" fontId="8" fillId="0" borderId="0" xfId="0" applyFont="true" applyBorder="true" applyAlignment="true" applyProtection="false">
      <alignment horizontal="center" vertical="bottom" textRotation="0" wrapText="false" indent="0" shrinkToFit="false"/>
      <protection locked="true" hidden="false"/>
    </xf>
    <xf numFmtId="164" fontId="8" fillId="0" borderId="86" xfId="0" applyFont="true" applyBorder="true" applyAlignment="true" applyProtection="false">
      <alignment horizontal="center" vertical="bottom" textRotation="0" wrapText="false" indent="0" shrinkToFit="false"/>
      <protection locked="true" hidden="false"/>
    </xf>
    <xf numFmtId="164" fontId="8" fillId="0" borderId="78" xfId="0" applyFont="true" applyBorder="true" applyAlignment="true" applyProtection="false">
      <alignment horizontal="center" vertical="bottom" textRotation="0" wrapText="false" indent="0" shrinkToFit="false"/>
      <protection locked="true" hidden="false"/>
    </xf>
    <xf numFmtId="164" fontId="8" fillId="0" borderId="61" xfId="0" applyFont="true" applyBorder="true" applyAlignment="false" applyProtection="false">
      <alignment horizontal="general" vertical="bottom" textRotation="0" wrapText="false" indent="0" shrinkToFit="false"/>
      <protection locked="true" hidden="false"/>
    </xf>
    <xf numFmtId="201" fontId="11" fillId="3" borderId="37" xfId="15" applyFont="true" applyBorder="true" applyAlignment="true" applyProtection="true">
      <alignment horizontal="center" vertical="bottom" textRotation="0" wrapText="false" indent="0" shrinkToFit="false"/>
      <protection locked="false" hidden="false"/>
    </xf>
    <xf numFmtId="164" fontId="8" fillId="0" borderId="64" xfId="0" applyFont="true" applyBorder="true" applyAlignment="true" applyProtection="true">
      <alignment horizontal="center" vertical="bottom" textRotation="0" wrapText="false" indent="0" shrinkToFit="false"/>
      <protection locked="false" hidden="false"/>
    </xf>
    <xf numFmtId="164" fontId="8" fillId="0" borderId="40" xfId="0" applyFont="true" applyBorder="true" applyAlignment="true" applyProtection="true">
      <alignment horizontal="center" vertical="bottom" textRotation="0" wrapText="false" indent="0" shrinkToFit="false"/>
      <protection locked="false" hidden="false"/>
    </xf>
    <xf numFmtId="164" fontId="8" fillId="3" borderId="81" xfId="0" applyFont="true" applyBorder="true" applyAlignment="true" applyProtection="true">
      <alignment horizontal="center" vertical="bottom" textRotation="0" wrapText="false" indent="0" shrinkToFit="false"/>
      <protection locked="false" hidden="false"/>
    </xf>
    <xf numFmtId="201" fontId="8" fillId="0" borderId="108" xfId="15" applyFont="true" applyBorder="true" applyAlignment="true" applyProtection="true">
      <alignment horizontal="general" vertical="bottom" textRotation="0" wrapText="false" indent="0" shrinkToFit="false"/>
      <protection locked="false" hidden="false"/>
    </xf>
    <xf numFmtId="164" fontId="11" fillId="0" borderId="65" xfId="0" applyFont="true" applyBorder="true" applyAlignment="true" applyProtection="true">
      <alignment horizontal="center" vertical="bottom" textRotation="0" wrapText="false" indent="0" shrinkToFit="false"/>
      <protection locked="false" hidden="false"/>
    </xf>
    <xf numFmtId="193" fontId="8" fillId="0" borderId="65" xfId="0" applyFont="true" applyBorder="true" applyAlignment="true" applyProtection="true">
      <alignment horizontal="center" vertical="bottom" textRotation="0" wrapText="false" indent="0" shrinkToFit="false"/>
      <protection locked="false" hidden="false"/>
    </xf>
    <xf numFmtId="196" fontId="8" fillId="0" borderId="40" xfId="0" applyFont="true" applyBorder="true" applyAlignment="false" applyProtection="true">
      <alignment horizontal="general" vertical="bottom" textRotation="0" wrapText="false" indent="0" shrinkToFit="false"/>
      <protection locked="false" hidden="false"/>
    </xf>
    <xf numFmtId="196" fontId="8" fillId="0" borderId="108" xfId="0" applyFont="true" applyBorder="true" applyAlignment="false" applyProtection="true">
      <alignment horizontal="general" vertical="bottom" textRotation="0" wrapText="false" indent="0" shrinkToFit="false"/>
      <protection locked="false" hidden="false"/>
    </xf>
    <xf numFmtId="169" fontId="6" fillId="15" borderId="65" xfId="17" applyFont="true" applyBorder="true" applyAlignment="true" applyProtection="true">
      <alignment horizontal="general" vertical="bottom" textRotation="0" wrapText="false" indent="0" shrinkToFit="false"/>
      <protection locked="true" hidden="false"/>
    </xf>
    <xf numFmtId="179" fontId="8" fillId="3" borderId="7" xfId="17" applyFont="true" applyBorder="true" applyAlignment="true" applyProtection="true">
      <alignment horizontal="general" vertical="bottom" textRotation="0" wrapText="false" indent="0" shrinkToFit="false"/>
      <protection locked="true" hidden="false"/>
    </xf>
    <xf numFmtId="179" fontId="8" fillId="3" borderId="37" xfId="17" applyFont="true" applyBorder="true" applyAlignment="true" applyProtection="true">
      <alignment horizontal="general" vertical="bottom" textRotation="0" wrapText="false" indent="0" shrinkToFit="false"/>
      <protection locked="true" hidden="false"/>
    </xf>
    <xf numFmtId="179" fontId="8" fillId="3" borderId="45" xfId="17" applyFont="true" applyBorder="true" applyAlignment="true" applyProtection="true">
      <alignment horizontal="general" vertical="bottom" textRotation="0" wrapText="false" indent="0" shrinkToFit="false"/>
      <protection locked="true" hidden="false"/>
    </xf>
    <xf numFmtId="179" fontId="8" fillId="3" borderId="8" xfId="17" applyFont="true" applyBorder="true" applyAlignment="true" applyProtection="true">
      <alignment horizontal="general" vertical="bottom" textRotation="0" wrapText="false" indent="0" shrinkToFit="false"/>
      <protection locked="true" hidden="false"/>
    </xf>
    <xf numFmtId="164" fontId="8" fillId="0" borderId="69" xfId="0" applyFont="true" applyBorder="true" applyAlignment="true" applyProtection="true">
      <alignment horizontal="left" vertical="bottom" textRotation="0" wrapText="false" indent="0" shrinkToFit="false"/>
      <protection locked="false" hidden="false"/>
    </xf>
    <xf numFmtId="201" fontId="11" fillId="3" borderId="75" xfId="15" applyFont="true" applyBorder="true" applyAlignment="true" applyProtection="true">
      <alignment horizontal="center" vertical="bottom" textRotation="0" wrapText="false" indent="0" shrinkToFit="false"/>
      <protection locked="false" hidden="false"/>
    </xf>
    <xf numFmtId="201" fontId="8" fillId="0" borderId="68" xfId="15" applyFont="true" applyBorder="true" applyAlignment="true" applyProtection="true">
      <alignment horizontal="general" vertical="bottom" textRotation="0" wrapText="false" indent="0" shrinkToFit="false"/>
      <protection locked="false" hidden="false"/>
    </xf>
    <xf numFmtId="196" fontId="8" fillId="0" borderId="0" xfId="0" applyFont="true" applyBorder="false" applyAlignment="false" applyProtection="true">
      <alignment horizontal="general" vertical="bottom" textRotation="0" wrapText="false" indent="0" shrinkToFit="false"/>
      <protection locked="false" hidden="false"/>
    </xf>
    <xf numFmtId="196" fontId="8" fillId="0" borderId="8" xfId="0" applyFont="true" applyBorder="true" applyAlignment="false" applyProtection="true">
      <alignment horizontal="general" vertical="bottom" textRotation="0" wrapText="false" indent="0" shrinkToFit="false"/>
      <protection locked="false" hidden="false"/>
    </xf>
    <xf numFmtId="201" fontId="8" fillId="6" borderId="69" xfId="15" applyFont="true" applyBorder="true" applyAlignment="true" applyProtection="true">
      <alignment horizontal="general" vertical="bottom" textRotation="0" wrapText="false" indent="0" shrinkToFit="false"/>
      <protection locked="false" hidden="false"/>
    </xf>
    <xf numFmtId="171" fontId="8" fillId="6" borderId="2" xfId="0" applyFont="true" applyBorder="true" applyAlignment="false" applyProtection="true">
      <alignment horizontal="general" vertical="bottom" textRotation="0" wrapText="false" indent="0" shrinkToFit="false"/>
      <protection locked="false" hidden="false"/>
    </xf>
    <xf numFmtId="169" fontId="6" fillId="15" borderId="45" xfId="17" applyFont="true" applyBorder="true" applyAlignment="true" applyProtection="true">
      <alignment horizontal="general" vertical="bottom" textRotation="0" wrapText="false" indent="0" shrinkToFit="false"/>
      <protection locked="true" hidden="false"/>
    </xf>
    <xf numFmtId="164" fontId="8" fillId="0" borderId="41" xfId="0" applyFont="true" applyBorder="true" applyAlignment="true" applyProtection="true">
      <alignment horizontal="left" vertical="bottom" textRotation="0" wrapText="false" indent="0" shrinkToFit="false"/>
      <protection locked="false" hidden="false"/>
    </xf>
    <xf numFmtId="164" fontId="8" fillId="0" borderId="15" xfId="0" applyFont="true" applyBorder="true" applyAlignment="true" applyProtection="true">
      <alignment horizontal="center" vertical="bottom" textRotation="0" wrapText="false" indent="0" shrinkToFit="false"/>
      <protection locked="false" hidden="false"/>
    </xf>
    <xf numFmtId="196" fontId="8" fillId="0" borderId="66" xfId="0" applyFont="true" applyBorder="true" applyAlignment="true" applyProtection="true">
      <alignment horizontal="center" vertical="bottom" textRotation="0" wrapText="false" indent="0" shrinkToFit="false"/>
      <protection locked="false" hidden="false"/>
    </xf>
    <xf numFmtId="201" fontId="8" fillId="0" borderId="8" xfId="15" applyFont="true" applyBorder="true" applyAlignment="true" applyProtection="true">
      <alignment horizontal="general" vertical="bottom" textRotation="0" wrapText="false" indent="0" shrinkToFit="false"/>
      <protection locked="false" hidden="false"/>
    </xf>
    <xf numFmtId="193" fontId="8" fillId="0" borderId="66" xfId="0" applyFont="true" applyBorder="true" applyAlignment="true" applyProtection="true">
      <alignment horizontal="center" vertical="bottom" textRotation="0" wrapText="false" indent="0" shrinkToFit="false"/>
      <protection locked="false" hidden="false"/>
    </xf>
    <xf numFmtId="196" fontId="8" fillId="0" borderId="41" xfId="0" applyFont="true" applyBorder="true" applyAlignment="false" applyProtection="true">
      <alignment horizontal="general" vertical="bottom" textRotation="0" wrapText="false" indent="0" shrinkToFit="false"/>
      <protection locked="false" hidden="false"/>
    </xf>
    <xf numFmtId="196" fontId="8" fillId="0" borderId="122" xfId="0" applyFont="true" applyBorder="true" applyAlignment="false" applyProtection="true">
      <alignment horizontal="general" vertical="bottom" textRotation="0" wrapText="false" indent="0" shrinkToFit="false"/>
      <protection locked="false" hidden="false"/>
    </xf>
    <xf numFmtId="169" fontId="6" fillId="15" borderId="66" xfId="17" applyFont="true" applyBorder="true" applyAlignment="true" applyProtection="true">
      <alignment horizontal="general" vertical="bottom" textRotation="0" wrapText="false" indent="0" shrinkToFit="false"/>
      <protection locked="true" hidden="false"/>
    </xf>
    <xf numFmtId="164" fontId="8" fillId="0" borderId="2" xfId="0" applyFont="true" applyBorder="true" applyAlignment="true" applyProtection="true">
      <alignment horizontal="left" vertical="bottom" textRotation="0" wrapText="false" indent="0" shrinkToFit="false"/>
      <protection locked="false" hidden="false"/>
    </xf>
    <xf numFmtId="196" fontId="8" fillId="0" borderId="89" xfId="0" applyFont="true" applyBorder="true" applyAlignment="true" applyProtection="true">
      <alignment horizontal="center" vertical="bottom" textRotation="0" wrapText="false" indent="0" shrinkToFit="false"/>
      <protection locked="false" hidden="false"/>
    </xf>
    <xf numFmtId="196" fontId="8" fillId="0" borderId="2" xfId="0" applyFont="true" applyBorder="true" applyAlignment="false" applyProtection="true">
      <alignment horizontal="general" vertical="bottom" textRotation="0" wrapText="false" indent="0" shrinkToFit="false"/>
      <protection locked="false" hidden="false"/>
    </xf>
    <xf numFmtId="196" fontId="8" fillId="0" borderId="68" xfId="0" applyFont="true" applyBorder="true" applyAlignment="false" applyProtection="true">
      <alignment horizontal="general" vertical="bottom" textRotation="0" wrapText="false" indent="0" shrinkToFit="false"/>
      <protection locked="false" hidden="false"/>
    </xf>
    <xf numFmtId="169" fontId="6" fillId="15" borderId="89" xfId="17" applyFont="true" applyBorder="true" applyAlignment="true" applyProtection="true">
      <alignment horizontal="general" vertical="bottom" textRotation="0" wrapText="false" indent="0" shrinkToFit="false"/>
      <protection locked="true" hidden="false"/>
    </xf>
    <xf numFmtId="201" fontId="11" fillId="3" borderId="74" xfId="15" applyFont="true" applyBorder="true" applyAlignment="true" applyProtection="true">
      <alignment horizontal="center" vertical="bottom" textRotation="0" wrapText="false" indent="0" shrinkToFit="false"/>
      <protection locked="false" hidden="false"/>
    </xf>
    <xf numFmtId="164" fontId="11" fillId="0" borderId="0" xfId="0" applyFont="true" applyBorder="false" applyAlignment="true" applyProtection="true">
      <alignment horizontal="center" vertical="bottom" textRotation="0" wrapText="false" indent="0" shrinkToFit="false"/>
      <protection locked="false" hidden="false"/>
    </xf>
    <xf numFmtId="164" fontId="8" fillId="0" borderId="131" xfId="0" applyFont="true" applyBorder="true" applyAlignment="true" applyProtection="true">
      <alignment horizontal="left" vertical="bottom" textRotation="0" wrapText="false" indent="0" shrinkToFit="false"/>
      <protection locked="false" hidden="false"/>
    </xf>
    <xf numFmtId="164" fontId="8" fillId="0" borderId="66" xfId="0" applyFont="true" applyBorder="true" applyAlignment="true" applyProtection="true">
      <alignment horizontal="left" vertical="bottom" textRotation="0" wrapText="false" indent="0" shrinkToFit="false"/>
      <protection locked="false" hidden="false"/>
    </xf>
    <xf numFmtId="164" fontId="11" fillId="0" borderId="66" xfId="0" applyFont="true" applyBorder="true" applyAlignment="true" applyProtection="true">
      <alignment horizontal="center" vertical="bottom" textRotation="0" wrapText="false" indent="0" shrinkToFit="false"/>
      <protection locked="false" hidden="false"/>
    </xf>
    <xf numFmtId="164" fontId="8" fillId="0" borderId="89" xfId="0" applyFont="true" applyBorder="true" applyAlignment="true" applyProtection="true">
      <alignment horizontal="left" vertical="bottom" textRotation="0" wrapText="false" indent="0" shrinkToFit="false"/>
      <protection locked="false" hidden="false"/>
    </xf>
    <xf numFmtId="201" fontId="8" fillId="3" borderId="75" xfId="15" applyFont="true" applyBorder="true" applyAlignment="true" applyProtection="true">
      <alignment horizontal="center" vertical="bottom" textRotation="0" wrapText="false" indent="0" shrinkToFit="false"/>
      <protection locked="false" hidden="false"/>
    </xf>
    <xf numFmtId="201" fontId="8" fillId="3" borderId="74" xfId="15" applyFont="true" applyBorder="true" applyAlignment="true" applyProtection="true">
      <alignment horizontal="center" vertical="bottom" textRotation="0" wrapText="false" indent="0" shrinkToFit="false"/>
      <protection locked="false" hidden="false"/>
    </xf>
    <xf numFmtId="201" fontId="8" fillId="0" borderId="122" xfId="15" applyFont="true" applyBorder="true" applyAlignment="true" applyProtection="true">
      <alignment horizontal="general" vertical="bottom" textRotation="0" wrapText="false" indent="0" shrinkToFit="false"/>
      <protection locked="false" hidden="false"/>
    </xf>
    <xf numFmtId="193" fontId="8" fillId="0" borderId="56" xfId="0" applyFont="true" applyBorder="true" applyAlignment="false" applyProtection="false">
      <alignment horizontal="general" vertical="bottom" textRotation="0" wrapText="false" indent="0" shrinkToFit="false"/>
      <protection locked="true" hidden="false"/>
    </xf>
    <xf numFmtId="196" fontId="8" fillId="0" borderId="89" xfId="0" applyFont="true" applyBorder="true" applyAlignment="false" applyProtection="true">
      <alignment horizontal="general" vertical="bottom" textRotation="0" wrapText="false" indent="0" shrinkToFit="false"/>
      <protection locked="false" hidden="false"/>
    </xf>
    <xf numFmtId="201" fontId="8" fillId="3" borderId="0" xfId="15" applyFont="true" applyBorder="true" applyAlignment="true" applyProtection="true">
      <alignment horizontal="center" vertical="bottom" textRotation="0" wrapText="false" indent="0" shrinkToFit="false"/>
      <protection locked="false" hidden="false"/>
    </xf>
    <xf numFmtId="196" fontId="8" fillId="0" borderId="51" xfId="0" applyFont="true" applyBorder="true" applyAlignment="true" applyProtection="true">
      <alignment horizontal="center" vertical="bottom" textRotation="0" wrapText="false" indent="0" shrinkToFit="false"/>
      <protection locked="false" hidden="false"/>
    </xf>
    <xf numFmtId="201" fontId="8" fillId="0" borderId="13" xfId="15" applyFont="true" applyBorder="true" applyAlignment="true" applyProtection="true">
      <alignment horizontal="general" vertical="bottom" textRotation="0" wrapText="false" indent="0" shrinkToFit="false"/>
      <protection locked="false" hidden="false"/>
    </xf>
    <xf numFmtId="193" fontId="8" fillId="0" borderId="51" xfId="0" applyFont="true" applyBorder="true" applyAlignment="true" applyProtection="true">
      <alignment horizontal="center" vertical="bottom" textRotation="0" wrapText="false" indent="0" shrinkToFit="false"/>
      <protection locked="false" hidden="false"/>
    </xf>
    <xf numFmtId="196" fontId="8" fillId="0" borderId="6" xfId="0" applyFont="true" applyBorder="true" applyAlignment="false" applyProtection="true">
      <alignment horizontal="general" vertical="bottom" textRotation="0" wrapText="false" indent="0" shrinkToFit="false"/>
      <protection locked="false" hidden="false"/>
    </xf>
    <xf numFmtId="196" fontId="8" fillId="0" borderId="13" xfId="0" applyFont="true" applyBorder="true" applyAlignment="false" applyProtection="true">
      <alignment horizontal="general" vertical="bottom" textRotation="0" wrapText="false" indent="0" shrinkToFit="false"/>
      <protection locked="false" hidden="false"/>
    </xf>
    <xf numFmtId="169" fontId="6" fillId="15" borderId="51" xfId="17" applyFont="true" applyBorder="true" applyAlignment="true" applyProtection="true">
      <alignment horizontal="general" vertical="bottom" textRotation="0" wrapText="false" indent="0" shrinkToFit="false"/>
      <protection locked="true" hidden="false"/>
    </xf>
    <xf numFmtId="164" fontId="8" fillId="0" borderId="89" xfId="0" applyFont="true" applyBorder="true" applyAlignment="false" applyProtection="false">
      <alignment horizontal="general" vertical="bottom" textRotation="0" wrapText="false" indent="0" shrinkToFit="false"/>
      <protection locked="true" hidden="false"/>
    </xf>
    <xf numFmtId="182" fontId="8" fillId="0" borderId="2" xfId="0" applyFont="true" applyBorder="true" applyAlignment="false" applyProtection="false">
      <alignment horizontal="general" vertical="bottom" textRotation="0" wrapText="false" indent="0" shrinkToFit="false"/>
      <protection locked="true" hidden="false"/>
    </xf>
    <xf numFmtId="201" fontId="8" fillId="0" borderId="2" xfId="0" applyFont="true" applyBorder="true" applyAlignment="false" applyProtection="false">
      <alignment horizontal="general" vertical="bottom" textRotation="0" wrapText="false" indent="0" shrinkToFit="false"/>
      <protection locked="true" hidden="false"/>
    </xf>
    <xf numFmtId="179" fontId="8" fillId="0" borderId="2" xfId="17" applyFont="true" applyBorder="true" applyAlignment="true" applyProtection="true">
      <alignment horizontal="general" vertical="bottom" textRotation="0" wrapText="false" indent="0" shrinkToFit="false"/>
      <protection locked="true" hidden="false"/>
    </xf>
    <xf numFmtId="179" fontId="8" fillId="3" borderId="2" xfId="17" applyFont="true" applyBorder="true" applyAlignment="true" applyProtection="true">
      <alignment horizontal="general" vertical="bottom" textRotation="0" wrapText="false" indent="0" shrinkToFit="false"/>
      <protection locked="true" hidden="false"/>
    </xf>
    <xf numFmtId="179" fontId="8" fillId="3" borderId="75" xfId="17" applyFont="true" applyBorder="true" applyAlignment="true" applyProtection="true">
      <alignment horizontal="general" vertical="bottom" textRotation="0" wrapText="false" indent="0" shrinkToFit="false"/>
      <protection locked="true" hidden="false"/>
    </xf>
    <xf numFmtId="179" fontId="8" fillId="3" borderId="89" xfId="17" applyFont="true" applyBorder="true" applyAlignment="true" applyProtection="true">
      <alignment horizontal="general" vertical="bottom" textRotation="0" wrapText="false" indent="0" shrinkToFit="false"/>
      <protection locked="true" hidden="false"/>
    </xf>
    <xf numFmtId="179" fontId="8" fillId="3" borderId="68" xfId="17" applyFont="true" applyBorder="true" applyAlignment="true" applyProtection="true">
      <alignment horizontal="general" vertical="bottom" textRotation="0" wrapText="false" indent="0" shrinkToFit="false"/>
      <protection locked="true" hidden="false"/>
    </xf>
    <xf numFmtId="201" fontId="8" fillId="3" borderId="26" xfId="15" applyFont="true" applyBorder="true" applyAlignment="true" applyProtection="true">
      <alignment horizontal="center" vertical="bottom" textRotation="0" wrapText="false" indent="0" shrinkToFit="false"/>
      <protection locked="false" hidden="false"/>
    </xf>
    <xf numFmtId="196" fontId="8" fillId="9" borderId="37" xfId="0" applyFont="true" applyBorder="true" applyAlignment="true" applyProtection="false">
      <alignment horizontal="center" vertical="bottom" textRotation="0" wrapText="false" indent="0" shrinkToFit="false"/>
      <protection locked="true" hidden="false"/>
    </xf>
    <xf numFmtId="179" fontId="8" fillId="0" borderId="55" xfId="17" applyFont="true" applyBorder="true" applyAlignment="true" applyProtection="true">
      <alignment horizontal="general" vertical="bottom" textRotation="0" wrapText="false" indent="0" shrinkToFit="false"/>
      <protection locked="true" hidden="false"/>
    </xf>
    <xf numFmtId="179" fontId="8" fillId="0" borderId="74" xfId="17" applyFont="true" applyBorder="true" applyAlignment="true" applyProtection="true">
      <alignment horizontal="general" vertical="bottom" textRotation="0" wrapText="false" indent="0" shrinkToFit="false"/>
      <protection locked="true" hidden="false"/>
    </xf>
    <xf numFmtId="179" fontId="8" fillId="0" borderId="41" xfId="17" applyFont="true" applyBorder="true" applyAlignment="true" applyProtection="true">
      <alignment horizontal="general" vertical="bottom" textRotation="0" wrapText="false" indent="0" shrinkToFit="false"/>
      <protection locked="true" hidden="false"/>
    </xf>
    <xf numFmtId="179" fontId="8" fillId="0" borderId="66" xfId="17" applyFont="true" applyBorder="true" applyAlignment="true" applyProtection="true">
      <alignment horizontal="general" vertical="bottom" textRotation="0" wrapText="false" indent="0" shrinkToFit="false"/>
      <protection locked="true" hidden="false"/>
    </xf>
    <xf numFmtId="179" fontId="8" fillId="0" borderId="37" xfId="17" applyFont="true" applyBorder="true" applyAlignment="true" applyProtection="true">
      <alignment horizontal="general" vertical="bottom" textRotation="0" wrapText="false" indent="0" shrinkToFit="false"/>
      <protection locked="true" hidden="false"/>
    </xf>
    <xf numFmtId="179" fontId="8" fillId="0" borderId="45" xfId="17" applyFont="true" applyBorder="true" applyAlignment="true" applyProtection="true">
      <alignment horizontal="general" vertical="bottom" textRotation="0" wrapText="false" indent="0" shrinkToFit="false"/>
      <protection locked="true" hidden="false"/>
    </xf>
    <xf numFmtId="179" fontId="8" fillId="0" borderId="8" xfId="17" applyFont="true" applyBorder="true" applyAlignment="true" applyProtection="true">
      <alignment horizontal="general" vertical="bottom" textRotation="0" wrapText="false" indent="0" shrinkToFit="false"/>
      <protection locked="true" hidden="false"/>
    </xf>
    <xf numFmtId="164" fontId="6" fillId="0" borderId="35" xfId="0" applyFont="true" applyBorder="true" applyAlignment="true" applyProtection="false">
      <alignment horizontal="center" vertical="bottom" textRotation="0" wrapText="false" indent="0" shrinkToFit="false"/>
      <protection locked="true" hidden="false"/>
    </xf>
    <xf numFmtId="164" fontId="6" fillId="0" borderId="36" xfId="0" applyFont="true" applyBorder="true" applyAlignment="true" applyProtection="false">
      <alignment horizontal="center" vertical="bottom" textRotation="0" wrapText="false" indent="0" shrinkToFit="false"/>
      <protection locked="true" hidden="false"/>
    </xf>
    <xf numFmtId="212" fontId="6" fillId="3" borderId="1" xfId="0" applyFont="true" applyBorder="true" applyAlignment="false" applyProtection="false">
      <alignment horizontal="general" vertical="bottom" textRotation="0" wrapText="false" indent="0" shrinkToFit="false"/>
      <protection locked="true" hidden="false"/>
    </xf>
    <xf numFmtId="179" fontId="76" fillId="9" borderId="0" xfId="0" applyFont="true" applyBorder="true" applyAlignment="true" applyProtection="false">
      <alignment horizontal="center" vertical="bottom" textRotation="0" wrapText="false" indent="0" shrinkToFit="false"/>
      <protection locked="true" hidden="false"/>
    </xf>
    <xf numFmtId="179" fontId="8" fillId="0" borderId="67" xfId="17" applyFont="true" applyBorder="true" applyAlignment="true" applyProtection="true">
      <alignment horizontal="general" vertical="bottom" textRotation="0" wrapText="false" indent="0" shrinkToFit="false"/>
      <protection locked="true" hidden="false"/>
    </xf>
    <xf numFmtId="179" fontId="8" fillId="0" borderId="75" xfId="0" applyFont="true" applyBorder="true" applyAlignment="false" applyProtection="false">
      <alignment horizontal="general" vertical="bottom" textRotation="0" wrapText="false" indent="0" shrinkToFit="false"/>
      <protection locked="true" hidden="false"/>
    </xf>
    <xf numFmtId="179" fontId="8" fillId="0" borderId="2" xfId="0" applyFont="true" applyBorder="true" applyAlignment="false" applyProtection="false">
      <alignment horizontal="general" vertical="bottom" textRotation="0" wrapText="false" indent="0" shrinkToFit="false"/>
      <protection locked="true" hidden="false"/>
    </xf>
    <xf numFmtId="179" fontId="8" fillId="0" borderId="89" xfId="0" applyFont="true" applyBorder="true" applyAlignment="false" applyProtection="false">
      <alignment horizontal="general" vertical="bottom" textRotation="0" wrapText="false" indent="0" shrinkToFit="false"/>
      <protection locked="true" hidden="false"/>
    </xf>
    <xf numFmtId="181" fontId="6" fillId="3" borderId="1" xfId="0" applyFont="true" applyBorder="true" applyAlignment="false" applyProtection="false">
      <alignment horizontal="general" vertical="bottom" textRotation="0" wrapText="false" indent="0" shrinkToFit="false"/>
      <protection locked="true" hidden="false"/>
    </xf>
    <xf numFmtId="196" fontId="8" fillId="0" borderId="107" xfId="0" applyFont="true" applyBorder="true" applyAlignment="true" applyProtection="true">
      <alignment horizontal="center" vertical="bottom" textRotation="0" wrapText="false" indent="0" shrinkToFit="false"/>
      <protection locked="false" hidden="false"/>
    </xf>
    <xf numFmtId="196" fontId="8" fillId="0" borderId="65" xfId="0" applyFont="true" applyBorder="true" applyAlignment="true" applyProtection="true">
      <alignment horizontal="center" vertical="bottom" textRotation="0" wrapText="false" indent="0" shrinkToFit="false"/>
      <protection locked="false" hidden="false"/>
    </xf>
    <xf numFmtId="218" fontId="8" fillId="0" borderId="24" xfId="0" applyFont="true" applyBorder="true" applyAlignment="true" applyProtection="false">
      <alignment horizontal="center" vertical="bottom" textRotation="0" wrapText="false" indent="0" shrinkToFit="false"/>
      <protection locked="true" hidden="false"/>
    </xf>
    <xf numFmtId="164" fontId="8" fillId="0" borderId="38" xfId="0" applyFont="true" applyBorder="true" applyAlignment="false" applyProtection="true">
      <alignment horizontal="general" vertical="bottom" textRotation="0" wrapText="false" indent="0" shrinkToFit="false"/>
      <protection locked="false" hidden="false"/>
    </xf>
    <xf numFmtId="164" fontId="8" fillId="0" borderId="13" xfId="0" applyFont="true" applyBorder="true" applyAlignment="false" applyProtection="true">
      <alignment horizontal="general" vertical="bottom" textRotation="0" wrapText="false" indent="0" shrinkToFit="false"/>
      <protection locked="false" hidden="false"/>
    </xf>
    <xf numFmtId="218" fontId="8" fillId="0" borderId="20" xfId="0" applyFont="true" applyBorder="true" applyAlignment="true" applyProtection="false">
      <alignment horizontal="center" vertical="bottom" textRotation="0" wrapText="false" indent="0" shrinkToFit="false"/>
      <protection locked="true" hidden="false"/>
    </xf>
    <xf numFmtId="164" fontId="8" fillId="14" borderId="22" xfId="0" applyFont="true" applyBorder="true" applyAlignment="false" applyProtection="false">
      <alignment horizontal="general" vertical="bottom" textRotation="0" wrapText="false" indent="0" shrinkToFit="false"/>
      <protection locked="true" hidden="false"/>
    </xf>
    <xf numFmtId="164" fontId="69" fillId="14" borderId="22" xfId="0" applyFont="true" applyBorder="true" applyAlignment="false" applyProtection="false">
      <alignment horizontal="general" vertical="bottom" textRotation="0" wrapText="false" indent="0" shrinkToFit="false"/>
      <protection locked="true" hidden="false"/>
    </xf>
    <xf numFmtId="179" fontId="8" fillId="14" borderId="22" xfId="0" applyFont="true" applyBorder="true" applyAlignment="true" applyProtection="false">
      <alignment horizontal="center" vertical="bottom" textRotation="0" wrapText="false" indent="0" shrinkToFit="false"/>
      <protection locked="true" hidden="false"/>
    </xf>
    <xf numFmtId="179" fontId="8" fillId="14" borderId="22" xfId="17" applyFont="true" applyBorder="true" applyAlignment="true" applyProtection="true">
      <alignment horizontal="center" vertical="bottom" textRotation="0" wrapText="false" indent="0" shrinkToFit="false"/>
      <protection locked="false" hidden="false"/>
    </xf>
    <xf numFmtId="164" fontId="6" fillId="14" borderId="9" xfId="0" applyFont="true" applyBorder="true" applyAlignment="false" applyProtection="false">
      <alignment horizontal="general" vertical="bottom" textRotation="0" wrapText="false" indent="0" shrinkToFit="false"/>
      <protection locked="true" hidden="false"/>
    </xf>
    <xf numFmtId="179" fontId="79" fillId="14" borderId="22" xfId="0" applyFont="true" applyBorder="true" applyAlignment="true" applyProtection="false">
      <alignment horizontal="center" vertical="bottom" textRotation="0" wrapText="false" indent="0" shrinkToFit="false"/>
      <protection locked="true" hidden="false"/>
    </xf>
    <xf numFmtId="164" fontId="8" fillId="14" borderId="23" xfId="0" applyFont="true" applyBorder="true" applyAlignment="false" applyProtection="false">
      <alignment horizontal="general" vertical="bottom" textRotation="0" wrapText="false" indent="0" shrinkToFit="false"/>
      <protection locked="true" hidden="false"/>
    </xf>
    <xf numFmtId="171" fontId="8" fillId="9" borderId="0" xfId="0" applyFont="true" applyBorder="false" applyAlignment="false" applyProtection="false">
      <alignment horizontal="general" vertical="bottom" textRotation="0" wrapText="false" indent="0" shrinkToFit="false"/>
      <protection locked="true" hidden="false"/>
    </xf>
    <xf numFmtId="171" fontId="8" fillId="9" borderId="0" xfId="0" applyFont="true" applyBorder="false" applyAlignment="true" applyProtection="false">
      <alignment horizontal="left" vertical="bottom" textRotation="0" wrapText="false" indent="0" shrinkToFit="false"/>
      <protection locked="true" hidden="false"/>
    </xf>
    <xf numFmtId="164" fontId="8" fillId="9" borderId="55" xfId="0" applyFont="true" applyBorder="true" applyAlignment="false" applyProtection="false">
      <alignment horizontal="general" vertical="bottom" textRotation="0" wrapText="false" indent="0" shrinkToFit="false"/>
      <protection locked="true" hidden="false"/>
    </xf>
    <xf numFmtId="179" fontId="8" fillId="31" borderId="66" xfId="17" applyFont="true" applyBorder="true" applyAlignment="true" applyProtection="true">
      <alignment horizontal="general" vertical="bottom" textRotation="0" wrapText="false" indent="0" shrinkToFit="false"/>
      <protection locked="true" hidden="false"/>
    </xf>
    <xf numFmtId="169" fontId="8" fillId="9" borderId="9" xfId="17" applyFont="true" applyBorder="true" applyAlignment="true" applyProtection="true">
      <alignment horizontal="center" vertical="bottom" textRotation="0" wrapText="false" indent="0" shrinkToFit="false"/>
      <protection locked="true" hidden="false"/>
    </xf>
    <xf numFmtId="179" fontId="8" fillId="3" borderId="0" xfId="17" applyFont="true" applyBorder="true" applyAlignment="true" applyProtection="true">
      <alignment horizontal="left" vertical="bottom" textRotation="0" wrapText="false" indent="0" shrinkToFit="false"/>
      <protection locked="true" hidden="false"/>
    </xf>
    <xf numFmtId="164" fontId="8" fillId="20" borderId="21" xfId="0" applyFont="true" applyBorder="true" applyAlignment="true" applyProtection="false">
      <alignment horizontal="center" vertical="bottom" textRotation="0" wrapText="false" indent="0" shrinkToFit="false"/>
      <protection locked="true" hidden="false"/>
    </xf>
    <xf numFmtId="164" fontId="8" fillId="9" borderId="67" xfId="0" applyFont="true" applyBorder="true" applyAlignment="false" applyProtection="false">
      <alignment horizontal="general" vertical="bottom" textRotation="0" wrapText="false" indent="0" shrinkToFit="false"/>
      <protection locked="true" hidden="false"/>
    </xf>
    <xf numFmtId="179" fontId="8" fillId="9" borderId="89" xfId="0" applyFont="true" applyBorder="true" applyAlignment="false" applyProtection="false">
      <alignment horizontal="general" vertical="bottom" textRotation="0" wrapText="false" indent="0" shrinkToFit="false"/>
      <protection locked="true" hidden="false"/>
    </xf>
    <xf numFmtId="164" fontId="6" fillId="9" borderId="21" xfId="0" applyFont="true" applyBorder="true" applyAlignment="false" applyProtection="false">
      <alignment horizontal="general" vertical="bottom" textRotation="0" wrapText="false" indent="0" shrinkToFit="false"/>
      <protection locked="true" hidden="false"/>
    </xf>
    <xf numFmtId="182" fontId="6" fillId="9" borderId="22" xfId="0" applyFont="true" applyBorder="true" applyAlignment="false" applyProtection="false">
      <alignment horizontal="general" vertical="bottom" textRotation="0" wrapText="false" indent="0" shrinkToFit="false"/>
      <protection locked="true" hidden="false"/>
    </xf>
    <xf numFmtId="164" fontId="6" fillId="9" borderId="23" xfId="0" applyFont="true" applyBorder="true" applyAlignment="false" applyProtection="false">
      <alignment horizontal="general" vertical="bottom" textRotation="0" wrapText="false" indent="0" shrinkToFit="false"/>
      <protection locked="true" hidden="false"/>
    </xf>
    <xf numFmtId="201" fontId="8" fillId="3" borderId="0" xfId="0" applyFont="true" applyBorder="false" applyAlignment="true" applyProtection="false">
      <alignment horizontal="left" vertical="bottom" textRotation="0" wrapText="false" indent="0" shrinkToFit="false"/>
      <protection locked="true" hidden="false"/>
    </xf>
    <xf numFmtId="182" fontId="8" fillId="3" borderId="0" xfId="0" applyFont="true" applyBorder="true" applyAlignment="true" applyProtection="false">
      <alignment horizontal="center" vertical="bottom" textRotation="0" wrapText="false" indent="0" shrinkToFit="false"/>
      <protection locked="true" hidden="false"/>
    </xf>
    <xf numFmtId="169" fontId="8" fillId="9" borderId="66" xfId="17" applyFont="true" applyBorder="true" applyAlignment="true" applyProtection="true">
      <alignment horizontal="general" vertical="bottom" textRotation="0" wrapText="false" indent="0" shrinkToFit="false"/>
      <protection locked="true" hidden="false"/>
    </xf>
    <xf numFmtId="232" fontId="8" fillId="9" borderId="74" xfId="17" applyFont="true" applyBorder="true" applyAlignment="true" applyProtection="true">
      <alignment horizontal="general" vertical="bottom" textRotation="0" wrapText="false" indent="0" shrinkToFit="false"/>
      <protection locked="true" hidden="false"/>
    </xf>
    <xf numFmtId="233" fontId="8" fillId="9" borderId="41" xfId="0" applyFont="true" applyBorder="true" applyAlignment="false" applyProtection="false">
      <alignment horizontal="general" vertical="bottom" textRotation="0" wrapText="false" indent="0" shrinkToFit="false"/>
      <protection locked="true" hidden="false"/>
    </xf>
    <xf numFmtId="234" fontId="8" fillId="9" borderId="41" xfId="0" applyFont="true" applyBorder="true" applyAlignment="false" applyProtection="false">
      <alignment horizontal="general" vertical="bottom" textRotation="0" wrapText="false" indent="0" shrinkToFit="false"/>
      <protection locked="true" hidden="false"/>
    </xf>
    <xf numFmtId="201" fontId="8" fillId="3" borderId="0" xfId="0" applyFont="true" applyBorder="true" applyAlignment="true" applyProtection="false">
      <alignment horizontal="left" vertical="bottom" textRotation="0" wrapText="false" indent="0" shrinkToFit="false"/>
      <protection locked="true" hidden="false"/>
    </xf>
    <xf numFmtId="235" fontId="8" fillId="3" borderId="0" xfId="0" applyFont="true" applyBorder="true" applyAlignment="true" applyProtection="false">
      <alignment horizontal="center" vertical="bottom" textRotation="0" wrapText="false" indent="0" shrinkToFit="false"/>
      <protection locked="true" hidden="false"/>
    </xf>
    <xf numFmtId="171" fontId="8" fillId="3" borderId="0" xfId="0" applyFont="true" applyBorder="false" applyAlignment="true" applyProtection="false">
      <alignment horizontal="left" vertical="bottom" textRotation="0" wrapText="false" indent="0" shrinkToFit="false"/>
      <protection locked="true" hidden="false"/>
    </xf>
    <xf numFmtId="179" fontId="8" fillId="9" borderId="75" xfId="0" applyFont="true" applyBorder="true" applyAlignment="false" applyProtection="false">
      <alignment horizontal="general" vertical="bottom" textRotation="0" wrapText="false" indent="0" shrinkToFit="false"/>
      <protection locked="true" hidden="false"/>
    </xf>
    <xf numFmtId="169" fontId="8" fillId="9" borderId="2" xfId="17" applyFont="true" applyBorder="true" applyAlignment="true" applyProtection="true">
      <alignment horizontal="general" vertical="bottom" textRotation="0" wrapText="false" indent="0" shrinkToFit="false"/>
      <protection locked="true" hidden="false"/>
    </xf>
    <xf numFmtId="232" fontId="8" fillId="9" borderId="67" xfId="17" applyFont="true" applyBorder="true" applyAlignment="true" applyProtection="true">
      <alignment horizontal="general" vertical="bottom" textRotation="0" wrapText="false" indent="0" shrinkToFit="false"/>
      <protection locked="true" hidden="false"/>
    </xf>
    <xf numFmtId="233" fontId="8" fillId="9" borderId="75" xfId="0" applyFont="true" applyBorder="true" applyAlignment="false" applyProtection="false">
      <alignment horizontal="general" vertical="bottom" textRotation="0" wrapText="false" indent="0" shrinkToFit="false"/>
      <protection locked="true" hidden="false"/>
    </xf>
    <xf numFmtId="234" fontId="8" fillId="9" borderId="2" xfId="0" applyFont="true" applyBorder="true" applyAlignment="false" applyProtection="false">
      <alignment horizontal="general" vertical="bottom" textRotation="0" wrapText="false" indent="0" shrinkToFit="false"/>
      <protection locked="true" hidden="false"/>
    </xf>
    <xf numFmtId="201" fontId="6" fillId="9" borderId="0" xfId="15" applyFont="true" applyBorder="true" applyAlignment="true" applyProtection="true">
      <alignment horizontal="general" vertical="bottom" textRotation="0" wrapText="false" indent="0" shrinkToFit="false"/>
      <protection locked="true" hidden="false"/>
    </xf>
    <xf numFmtId="164" fontId="8" fillId="3" borderId="6" xfId="0" applyFont="true" applyBorder="true" applyAlignment="true" applyProtection="false">
      <alignment horizontal="center" vertical="bottom" textRotation="0" wrapText="false" indent="0" shrinkToFit="false"/>
      <protection locked="true" hidden="false"/>
    </xf>
    <xf numFmtId="164" fontId="6" fillId="6" borderId="5" xfId="0" applyFont="true" applyBorder="true" applyAlignment="true" applyProtection="false">
      <alignment horizontal="left" vertical="bottom" textRotation="0" wrapText="false" indent="0" shrinkToFit="false"/>
      <protection locked="true" hidden="false"/>
    </xf>
    <xf numFmtId="179" fontId="6" fillId="6" borderId="5" xfId="17" applyFont="true" applyBorder="true" applyAlignment="true" applyProtection="true">
      <alignment horizontal="left" vertical="bottom" textRotation="0" wrapText="false" indent="0" shrinkToFit="false"/>
      <protection locked="true" hidden="false"/>
    </xf>
    <xf numFmtId="164" fontId="6" fillId="6" borderId="102" xfId="0" applyFont="true" applyBorder="true" applyAlignment="true" applyProtection="false">
      <alignment horizontal="left" vertical="bottom" textRotation="0" wrapText="false" indent="0" shrinkToFit="false"/>
      <protection locked="true" hidden="false"/>
    </xf>
    <xf numFmtId="164" fontId="8" fillId="0" borderId="102" xfId="0" applyFont="true" applyBorder="true" applyAlignment="false" applyProtection="false">
      <alignment horizontal="general" vertical="bottom" textRotation="0" wrapText="false" indent="0" shrinkToFit="false"/>
      <protection locked="true" hidden="false"/>
    </xf>
    <xf numFmtId="164" fontId="8" fillId="0" borderId="25" xfId="0" applyFont="true" applyBorder="true" applyAlignment="true" applyProtection="false">
      <alignment horizontal="center" vertical="bottom" textRotation="0" wrapText="true" indent="0" shrinkToFit="false"/>
      <protection locked="true" hidden="false"/>
    </xf>
    <xf numFmtId="164" fontId="8" fillId="0" borderId="26" xfId="0" applyFont="true" applyBorder="true" applyAlignment="true" applyProtection="false">
      <alignment horizontal="center" vertical="bottom" textRotation="0" wrapText="true" indent="0" shrinkToFit="false"/>
      <protection locked="true" hidden="false"/>
    </xf>
    <xf numFmtId="164" fontId="8" fillId="0" borderId="104" xfId="0" applyFont="true" applyBorder="true" applyAlignment="true" applyProtection="false">
      <alignment horizontal="center" vertical="bottom" textRotation="0" wrapText="true" indent="0" shrinkToFit="false"/>
      <protection locked="true" hidden="false"/>
    </xf>
    <xf numFmtId="164" fontId="6" fillId="0" borderId="3" xfId="0" applyFont="true" applyBorder="true" applyAlignment="true" applyProtection="false">
      <alignment horizontal="center" vertical="bottom" textRotation="0" wrapText="true" indent="0" shrinkToFit="false"/>
      <protection locked="true" hidden="false"/>
    </xf>
    <xf numFmtId="164" fontId="8" fillId="0" borderId="22" xfId="0" applyFont="true" applyBorder="true" applyAlignment="true" applyProtection="false">
      <alignment horizontal="center" vertical="bottom" textRotation="0" wrapText="true" indent="0" shrinkToFit="false"/>
      <protection locked="true" hidden="false"/>
    </xf>
    <xf numFmtId="164" fontId="8" fillId="0" borderId="3" xfId="0" applyFont="true" applyBorder="true" applyAlignment="true" applyProtection="false">
      <alignment horizontal="center" vertical="bottom" textRotation="0" wrapText="true" indent="0"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64" fontId="7" fillId="3" borderId="132" xfId="0" applyFont="true" applyBorder="true" applyAlignment="true" applyProtection="true">
      <alignment horizontal="center" vertical="bottom" textRotation="0" wrapText="false" indent="0" shrinkToFit="false"/>
      <protection locked="false" hidden="false"/>
    </xf>
    <xf numFmtId="164" fontId="7" fillId="0" borderId="7" xfId="0" applyFont="true" applyBorder="true" applyAlignment="false" applyProtection="false">
      <alignment horizontal="general" vertical="bottom" textRotation="0" wrapText="false" indent="0" shrinkToFit="false"/>
      <protection locked="true" hidden="false"/>
    </xf>
    <xf numFmtId="164" fontId="7" fillId="0" borderId="40" xfId="0" applyFont="true" applyBorder="true" applyAlignment="false" applyProtection="false">
      <alignment horizontal="general" vertical="bottom" textRotation="0" wrapText="false" indent="0" shrinkToFit="false"/>
      <protection locked="true" hidden="false"/>
    </xf>
    <xf numFmtId="169" fontId="7" fillId="15" borderId="15" xfId="17" applyFont="true" applyBorder="true" applyAlignment="true" applyProtection="true">
      <alignment horizontal="center" vertical="bottom" textRotation="0" wrapText="false" indent="0" shrinkToFit="false"/>
      <protection locked="false" hidden="false"/>
    </xf>
    <xf numFmtId="183" fontId="7" fillId="0" borderId="115" xfId="19" applyFont="true" applyBorder="true" applyAlignment="true" applyProtection="true">
      <alignment horizontal="center" vertical="center" textRotation="0" wrapText="true" indent="0" shrinkToFit="false"/>
      <protection locked="false" hidden="false"/>
    </xf>
    <xf numFmtId="183" fontId="7" fillId="3" borderId="116" xfId="19" applyFont="true" applyBorder="true" applyAlignment="true" applyProtection="true">
      <alignment horizontal="center" vertical="center" textRotation="0" wrapText="false" indent="0" shrinkToFit="false"/>
      <protection locked="false" hidden="false"/>
    </xf>
    <xf numFmtId="193" fontId="7" fillId="0" borderId="107" xfId="15" applyFont="true" applyBorder="true" applyAlignment="true" applyProtection="true">
      <alignment horizontal="center" vertical="bottom" textRotation="0" wrapText="false" indent="0" shrinkToFit="false"/>
      <protection locked="true" hidden="false"/>
    </xf>
    <xf numFmtId="164" fontId="7" fillId="0" borderId="40" xfId="0" applyFont="true" applyBorder="true" applyAlignment="true" applyProtection="false">
      <alignment horizontal="left" vertical="bottom" textRotation="0" wrapText="false" indent="0" shrinkToFit="false"/>
      <protection locked="true" hidden="false"/>
    </xf>
    <xf numFmtId="179" fontId="7" fillId="9" borderId="108" xfId="0" applyFont="true" applyBorder="true" applyAlignment="true" applyProtection="false">
      <alignment horizontal="center" vertical="bottom" textRotation="0" wrapText="false" indent="0" shrinkToFit="false"/>
      <protection locked="true" hidden="false"/>
    </xf>
    <xf numFmtId="179" fontId="7" fillId="9" borderId="8" xfId="17" applyFont="true" applyBorder="true" applyAlignment="true" applyProtection="true">
      <alignment horizontal="center" vertical="bottom" textRotation="0" wrapText="false" indent="0" shrinkToFit="false"/>
      <protection locked="false" hidden="false"/>
    </xf>
    <xf numFmtId="236" fontId="6" fillId="3" borderId="70" xfId="0" applyFont="true" applyBorder="true" applyAlignment="false" applyProtection="false">
      <alignment horizontal="general" vertical="bottom" textRotation="0" wrapText="false" indent="0" shrinkToFit="false"/>
      <protection locked="true" hidden="false"/>
    </xf>
    <xf numFmtId="193" fontId="6" fillId="0" borderId="70" xfId="0" applyFont="true" applyBorder="true" applyAlignment="false" applyProtection="false">
      <alignment horizontal="general" vertical="bottom" textRotation="0" wrapText="false" indent="0" shrinkToFit="false"/>
      <protection locked="true" hidden="false"/>
    </xf>
    <xf numFmtId="164" fontId="7" fillId="3" borderId="47" xfId="0" applyFont="true" applyBorder="true" applyAlignment="true" applyProtection="true">
      <alignment horizontal="center" vertical="bottom" textRotation="0" wrapText="false" indent="0" shrinkToFit="false"/>
      <protection locked="false" hidden="false"/>
    </xf>
    <xf numFmtId="193" fontId="7" fillId="0" borderId="37" xfId="15" applyFont="true" applyBorder="true" applyAlignment="true" applyProtection="true">
      <alignment horizontal="center" vertical="bottom" textRotation="0" wrapText="false" indent="0" shrinkToFit="false"/>
      <protection locked="true" hidden="false"/>
    </xf>
    <xf numFmtId="179" fontId="7" fillId="9" borderId="8" xfId="0" applyFont="true" applyBorder="true" applyAlignment="true" applyProtection="false">
      <alignment horizontal="center" vertical="bottom" textRotation="0" wrapText="false" indent="0" shrinkToFit="false"/>
      <protection locked="true" hidden="false"/>
    </xf>
    <xf numFmtId="179" fontId="7" fillId="9" borderId="8" xfId="17" applyFont="true" applyBorder="true" applyAlignment="true" applyProtection="true">
      <alignment horizontal="center" vertical="bottom" textRotation="0" wrapText="false" indent="0" shrinkToFit="false"/>
      <protection locked="true" hidden="false"/>
    </xf>
    <xf numFmtId="164" fontId="8" fillId="0" borderId="1" xfId="0" applyFont="true" applyBorder="true" applyAlignment="false" applyProtection="false">
      <alignment horizontal="general" vertical="bottom" textRotation="0" wrapText="false" indent="0" shrinkToFit="false"/>
      <protection locked="true" hidden="false"/>
    </xf>
    <xf numFmtId="236" fontId="6" fillId="3" borderId="47" xfId="0" applyFont="true" applyBorder="true" applyAlignment="false" applyProtection="false">
      <alignment horizontal="general" vertical="bottom" textRotation="0" wrapText="false" indent="0" shrinkToFit="false"/>
      <protection locked="true" hidden="false"/>
    </xf>
    <xf numFmtId="193" fontId="6" fillId="0" borderId="47" xfId="0" applyFont="true" applyBorder="true" applyAlignment="false" applyProtection="false">
      <alignment horizontal="general" vertical="bottom" textRotation="0" wrapText="false" indent="0" shrinkToFit="false"/>
      <protection locked="true" hidden="false"/>
    </xf>
    <xf numFmtId="164" fontId="7" fillId="3" borderId="125" xfId="0" applyFont="true" applyBorder="true" applyAlignment="true" applyProtection="true">
      <alignment horizontal="center" vertical="bottom" textRotation="0" wrapText="false" indent="0" shrinkToFit="false"/>
      <protection locked="false" hidden="false"/>
    </xf>
    <xf numFmtId="164" fontId="7" fillId="3" borderId="106" xfId="0" applyFont="true" applyBorder="true" applyAlignment="true" applyProtection="true">
      <alignment horizontal="center" vertical="bottom" textRotation="0" wrapText="false" indent="0" shrinkToFit="false"/>
      <protection locked="false" hidden="false"/>
    </xf>
    <xf numFmtId="164" fontId="7" fillId="0" borderId="59" xfId="0" applyFont="true" applyBorder="true" applyAlignment="false" applyProtection="false">
      <alignment horizontal="general" vertical="bottom" textRotation="0" wrapText="false" indent="0" shrinkToFit="false"/>
      <protection locked="true" hidden="false"/>
    </xf>
    <xf numFmtId="164" fontId="7" fillId="0" borderId="39" xfId="0" applyFont="true" applyBorder="true" applyAlignment="false" applyProtection="false">
      <alignment horizontal="general" vertical="bottom" textRotation="0" wrapText="false" indent="0" shrinkToFit="false"/>
      <protection locked="true" hidden="false"/>
    </xf>
    <xf numFmtId="169" fontId="7" fillId="15" borderId="60" xfId="17" applyFont="true" applyBorder="true" applyAlignment="true" applyProtection="true">
      <alignment horizontal="center" vertical="bottom" textRotation="0" wrapText="false" indent="0" shrinkToFit="false"/>
      <protection locked="false" hidden="false"/>
    </xf>
    <xf numFmtId="193" fontId="7" fillId="0" borderId="86" xfId="15" applyFont="true" applyBorder="true" applyAlignment="true" applyProtection="true">
      <alignment horizontal="center" vertical="bottom" textRotation="0" wrapText="false" indent="0" shrinkToFit="false"/>
      <protection locked="true" hidden="false"/>
    </xf>
    <xf numFmtId="164" fontId="7" fillId="0" borderId="39" xfId="0" applyFont="true" applyBorder="true" applyAlignment="true" applyProtection="false">
      <alignment horizontal="left" vertical="bottom" textRotation="0" wrapText="false" indent="0" shrinkToFit="false"/>
      <protection locked="true" hidden="false"/>
    </xf>
    <xf numFmtId="179" fontId="7" fillId="9" borderId="61" xfId="0" applyFont="true" applyBorder="true" applyAlignment="true" applyProtection="false">
      <alignment horizontal="center" vertical="bottom" textRotation="0" wrapText="false" indent="0" shrinkToFit="false"/>
      <protection locked="true" hidden="false"/>
    </xf>
    <xf numFmtId="193" fontId="87" fillId="0" borderId="105"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false" applyAlignment="false" applyProtection="true">
      <alignment horizontal="general" vertical="bottom" textRotation="0" wrapText="false" indent="0" shrinkToFit="false"/>
      <protection locked="false" hidden="false"/>
    </xf>
    <xf numFmtId="164" fontId="7" fillId="0" borderId="40" xfId="0" applyFont="true" applyBorder="true" applyAlignment="false" applyProtection="true">
      <alignment horizontal="general" vertical="bottom" textRotation="0" wrapText="false" indent="0" shrinkToFit="false"/>
      <protection locked="false" hidden="false"/>
    </xf>
    <xf numFmtId="164" fontId="7" fillId="0" borderId="65" xfId="0" applyFont="true" applyBorder="true" applyAlignment="false" applyProtection="true">
      <alignment horizontal="general" vertical="bottom" textRotation="0" wrapText="false" indent="0" shrinkToFit="false"/>
      <protection locked="false" hidden="false"/>
    </xf>
    <xf numFmtId="169" fontId="7" fillId="15" borderId="67" xfId="17" applyFont="true" applyBorder="true" applyAlignment="true" applyProtection="true">
      <alignment horizontal="center" vertical="bottom" textRotation="0" wrapText="false" indent="0" shrinkToFit="false"/>
      <protection locked="false" hidden="false"/>
    </xf>
    <xf numFmtId="164" fontId="7" fillId="0" borderId="45" xfId="0" applyFont="true" applyBorder="true" applyAlignment="true" applyProtection="false">
      <alignment horizontal="right" vertical="bottom" textRotation="0" wrapText="false" indent="0" shrinkToFit="false"/>
      <protection locked="true" hidden="false"/>
    </xf>
    <xf numFmtId="183" fontId="7" fillId="3" borderId="67" xfId="19" applyFont="true" applyBorder="true" applyAlignment="true" applyProtection="true">
      <alignment horizontal="general" vertical="bottom" textRotation="0" wrapText="false" indent="0" shrinkToFit="false"/>
      <protection locked="false" hidden="false"/>
    </xf>
    <xf numFmtId="164" fontId="7" fillId="0" borderId="7" xfId="0" applyFont="true" applyBorder="true" applyAlignment="true" applyProtection="true">
      <alignment horizontal="left" vertical="bottom" textRotation="0" wrapText="false" indent="0" shrinkToFit="false"/>
      <protection locked="false" hidden="false"/>
    </xf>
    <xf numFmtId="164" fontId="7" fillId="0" borderId="0" xfId="0" applyFont="true" applyBorder="false" applyAlignment="true" applyProtection="true">
      <alignment horizontal="left" vertical="bottom" textRotation="0" wrapText="false" indent="0" shrinkToFit="false"/>
      <protection locked="false" hidden="false"/>
    </xf>
    <xf numFmtId="164" fontId="7" fillId="15" borderId="55" xfId="0" applyFont="true" applyBorder="true" applyAlignment="true" applyProtection="true">
      <alignment horizontal="center" vertical="bottom" textRotation="0" wrapText="false" indent="0" shrinkToFit="false"/>
      <protection locked="false" hidden="false"/>
    </xf>
    <xf numFmtId="164" fontId="7" fillId="0" borderId="45" xfId="0" applyFont="true" applyBorder="true" applyAlignment="true" applyProtection="true">
      <alignment horizontal="left" vertical="bottom" textRotation="0" wrapText="false" indent="0" shrinkToFit="false"/>
      <protection locked="false" hidden="false"/>
    </xf>
    <xf numFmtId="169" fontId="7" fillId="15" borderId="1" xfId="17" applyFont="true" applyBorder="true" applyAlignment="true" applyProtection="true">
      <alignment horizontal="center" vertical="bottom" textRotation="0" wrapText="false" indent="0" shrinkToFit="false"/>
      <protection locked="false" hidden="false"/>
    </xf>
    <xf numFmtId="182" fontId="7" fillId="15" borderId="1" xfId="0" applyFont="true" applyBorder="true" applyAlignment="false" applyProtection="false">
      <alignment horizontal="general" vertical="bottom" textRotation="0" wrapText="false" indent="0" shrinkToFit="false"/>
      <protection locked="true" hidden="false"/>
    </xf>
    <xf numFmtId="164" fontId="7" fillId="0" borderId="45" xfId="0" applyFont="true" applyBorder="true" applyAlignment="true" applyProtection="false">
      <alignment horizontal="left" vertical="bottom" textRotation="0" wrapText="false" indent="0" shrinkToFit="false"/>
      <protection locked="true" hidden="false"/>
    </xf>
    <xf numFmtId="183" fontId="7" fillId="3" borderId="55" xfId="19" applyFont="true" applyBorder="true" applyAlignment="true" applyProtection="true">
      <alignment horizontal="general" vertical="bottom" textRotation="0" wrapText="false" indent="0" shrinkToFit="false"/>
      <protection locked="false" hidden="false"/>
    </xf>
    <xf numFmtId="164" fontId="7" fillId="0" borderId="69" xfId="0" applyFont="true" applyBorder="true" applyAlignment="false" applyProtection="true">
      <alignment horizontal="general" vertical="bottom" textRotation="0" wrapText="false" indent="0" shrinkToFit="false"/>
      <protection locked="false" hidden="false"/>
    </xf>
    <xf numFmtId="164" fontId="7" fillId="0" borderId="2" xfId="0" applyFont="true" applyBorder="tru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true">
      <alignment horizontal="center" vertical="bottom" textRotation="0" wrapText="false" indent="0" shrinkToFit="false"/>
      <protection locked="false" hidden="false"/>
    </xf>
    <xf numFmtId="164" fontId="7" fillId="0" borderId="2" xfId="0" applyFont="true" applyBorder="true" applyAlignment="false" applyProtection="false">
      <alignment horizontal="general" vertical="bottom" textRotation="0" wrapText="false" indent="0" shrinkToFit="false"/>
      <protection locked="true" hidden="false"/>
    </xf>
    <xf numFmtId="179" fontId="7" fillId="3" borderId="1" xfId="17" applyFont="true" applyBorder="true" applyAlignment="true" applyProtection="true">
      <alignment horizontal="center" vertical="bottom" textRotation="0" wrapText="false" indent="0" shrinkToFit="false"/>
      <protection locked="false" hidden="false"/>
    </xf>
    <xf numFmtId="193" fontId="7" fillId="0" borderId="2" xfId="15" applyFont="true" applyBorder="true" applyAlignment="true" applyProtection="true">
      <alignment horizontal="center" vertical="bottom" textRotation="0" wrapText="false" indent="0" shrinkToFit="false"/>
      <protection locked="true" hidden="false"/>
    </xf>
    <xf numFmtId="179" fontId="7" fillId="9" borderId="68" xfId="17" applyFont="true" applyBorder="true" applyAlignment="true" applyProtection="true">
      <alignment horizontal="center" vertical="bottom" textRotation="0" wrapText="false" indent="0" shrinkToFit="false"/>
      <protection locked="true" hidden="false"/>
    </xf>
    <xf numFmtId="164" fontId="7" fillId="0" borderId="111" xfId="0" applyFont="true" applyBorder="true" applyAlignment="true" applyProtection="true">
      <alignment horizontal="left" vertical="bottom" textRotation="0" wrapText="false" indent="0" shrinkToFit="false"/>
      <protection locked="false" hidden="false"/>
    </xf>
    <xf numFmtId="169" fontId="7" fillId="0" borderId="1" xfId="0" applyFont="true" applyBorder="true" applyAlignment="false" applyProtection="true">
      <alignment horizontal="general" vertical="bottom" textRotation="0" wrapText="false" indent="0" shrinkToFit="false"/>
      <protection locked="false" hidden="false"/>
    </xf>
    <xf numFmtId="183" fontId="7" fillId="3" borderId="1" xfId="19" applyFont="true" applyBorder="true" applyAlignment="true" applyProtection="true">
      <alignment horizontal="general" vertical="bottom" textRotation="0" wrapText="false" indent="0" shrinkToFit="false"/>
      <protection locked="false" hidden="false"/>
    </xf>
    <xf numFmtId="193" fontId="7" fillId="0" borderId="0" xfId="0" applyFont="true" applyBorder="true" applyAlignment="true" applyProtection="false">
      <alignment horizontal="center" vertical="bottom" textRotation="0" wrapText="false" indent="0" shrinkToFit="false"/>
      <protection locked="true" hidden="false"/>
    </xf>
    <xf numFmtId="164" fontId="7" fillId="0" borderId="14" xfId="0" applyFont="true" applyBorder="true" applyAlignment="true" applyProtection="true">
      <alignment horizontal="left" vertical="bottom" textRotation="0" wrapText="false" indent="0" shrinkToFit="false"/>
      <protection locked="false" hidden="false"/>
    </xf>
    <xf numFmtId="181" fontId="7" fillId="3" borderId="1" xfId="0" applyFont="true" applyBorder="true" applyAlignment="false" applyProtection="true">
      <alignment horizontal="general" vertical="bottom" textRotation="0" wrapText="false" indent="0" shrinkToFit="false"/>
      <protection locked="false" hidden="false"/>
    </xf>
    <xf numFmtId="193" fontId="7" fillId="0" borderId="0" xfId="15" applyFont="true" applyBorder="true" applyAlignment="true" applyProtection="true">
      <alignment horizontal="center" vertical="bottom" textRotation="0" wrapText="false" indent="0" shrinkToFit="false"/>
      <protection locked="true" hidden="false"/>
    </xf>
    <xf numFmtId="169" fontId="7" fillId="15" borderId="1" xfId="17" applyFont="true" applyBorder="true" applyAlignment="true" applyProtection="true">
      <alignment horizontal="general" vertical="bottom" textRotation="0" wrapText="false" indent="0" shrinkToFit="false"/>
      <protection locked="false" hidden="false"/>
    </xf>
    <xf numFmtId="183" fontId="7" fillId="3" borderId="72" xfId="19" applyFont="true" applyBorder="true" applyAlignment="true" applyProtection="true">
      <alignment horizontal="center" vertical="bottom" textRotation="0" wrapText="false" indent="0" shrinkToFit="false"/>
      <protection locked="false" hidden="false"/>
    </xf>
    <xf numFmtId="164" fontId="7" fillId="0" borderId="18" xfId="0" applyFont="true" applyBorder="true" applyAlignment="true" applyProtection="true">
      <alignment horizontal="left" vertical="bottom" textRotation="0" wrapText="false" indent="0" shrinkToFit="false"/>
      <protection locked="false" hidden="false"/>
    </xf>
    <xf numFmtId="169" fontId="7" fillId="15" borderId="72" xfId="17" applyFont="true" applyBorder="true" applyAlignment="true" applyProtection="true">
      <alignment horizontal="general" vertical="bottom" textRotation="0" wrapText="false" indent="0" shrinkToFit="false"/>
      <protection locked="false" hidden="false"/>
    </xf>
    <xf numFmtId="164" fontId="7" fillId="0" borderId="6" xfId="0" applyFont="true" applyBorder="true" applyAlignment="false" applyProtection="false">
      <alignment horizontal="general" vertical="bottom" textRotation="0" wrapText="false" indent="0" shrinkToFit="false"/>
      <protection locked="true" hidden="false"/>
    </xf>
    <xf numFmtId="193" fontId="7" fillId="0" borderId="6" xfId="15" applyFont="true" applyBorder="true" applyAlignment="true" applyProtection="true">
      <alignment horizontal="center" vertical="bottom" textRotation="0" wrapText="false" indent="0" shrinkToFit="false"/>
      <protection locked="true" hidden="false"/>
    </xf>
    <xf numFmtId="179" fontId="7" fillId="9" borderId="13" xfId="0" applyFont="true" applyBorder="true" applyAlignment="true" applyProtection="false">
      <alignment horizontal="center" vertical="bottom" textRotation="0" wrapText="false" indent="0" shrinkToFit="false"/>
      <protection locked="true" hidden="false"/>
    </xf>
    <xf numFmtId="164" fontId="7" fillId="9" borderId="12" xfId="0" applyFont="true" applyBorder="true" applyAlignment="false" applyProtection="false">
      <alignment horizontal="general" vertical="bottom" textRotation="0" wrapText="false" indent="0" shrinkToFit="false"/>
      <protection locked="true" hidden="false"/>
    </xf>
    <xf numFmtId="164" fontId="7" fillId="9" borderId="6" xfId="0" applyFont="true" applyBorder="true" applyAlignment="false" applyProtection="false">
      <alignment horizontal="general" vertical="bottom" textRotation="0" wrapText="false" indent="0" shrinkToFit="false"/>
      <protection locked="true" hidden="false"/>
    </xf>
    <xf numFmtId="164" fontId="7" fillId="9" borderId="6" xfId="0" applyFont="true" applyBorder="true" applyAlignment="true" applyProtection="false">
      <alignment horizontal="center" vertical="bottom" textRotation="0" wrapText="false" indent="0" shrinkToFit="false"/>
      <protection locked="true" hidden="false"/>
    </xf>
    <xf numFmtId="183" fontId="7" fillId="9" borderId="6" xfId="19" applyFont="true" applyBorder="true" applyAlignment="true" applyProtection="true">
      <alignment horizontal="general" vertical="bottom" textRotation="0" wrapText="false" indent="0" shrinkToFit="false"/>
      <protection locked="false" hidden="false"/>
    </xf>
    <xf numFmtId="201" fontId="7" fillId="9" borderId="6" xfId="15" applyFont="true" applyBorder="true" applyAlignment="true" applyProtection="true">
      <alignment horizontal="center" vertical="bottom" textRotation="0" wrapText="false" indent="0" shrinkToFit="false"/>
      <protection locked="true" hidden="false"/>
    </xf>
    <xf numFmtId="179" fontId="7" fillId="9" borderId="6" xfId="17" applyFont="true" applyBorder="true" applyAlignment="true" applyProtection="true">
      <alignment horizontal="center" vertical="bottom" textRotation="0" wrapText="false" indent="0" shrinkToFit="false"/>
      <protection locked="true" hidden="false"/>
    </xf>
    <xf numFmtId="179" fontId="7" fillId="9" borderId="13" xfId="17" applyFont="true" applyBorder="true" applyAlignment="true" applyProtection="true">
      <alignment horizontal="center" vertical="bottom" textRotation="0" wrapText="false" indent="0" shrinkToFit="false"/>
      <protection locked="true" hidden="false"/>
    </xf>
    <xf numFmtId="164" fontId="87" fillId="6" borderId="21" xfId="0" applyFont="true" applyBorder="true" applyAlignment="true" applyProtection="false">
      <alignment horizontal="left" vertical="bottom" textRotation="0" wrapText="false" indent="0" shrinkToFit="false"/>
      <protection locked="true" hidden="false"/>
    </xf>
    <xf numFmtId="164" fontId="87" fillId="6" borderId="22" xfId="0" applyFont="true" applyBorder="true" applyAlignment="true" applyProtection="false">
      <alignment horizontal="center" vertical="bottom" textRotation="0" wrapText="false" indent="0" shrinkToFit="false"/>
      <protection locked="true" hidden="false"/>
    </xf>
    <xf numFmtId="164" fontId="87" fillId="6" borderId="9" xfId="0" applyFont="true" applyBorder="true" applyAlignment="true" applyProtection="false">
      <alignment horizontal="center" vertical="bottom" textRotation="0" wrapText="false" indent="0" shrinkToFit="false"/>
      <protection locked="true" hidden="false"/>
    </xf>
    <xf numFmtId="164" fontId="87" fillId="6" borderId="23" xfId="0" applyFont="true" applyBorder="true" applyAlignment="true" applyProtection="false">
      <alignment horizontal="center" vertical="bottom" textRotation="0" wrapText="false" indent="0" shrinkToFit="false"/>
      <protection locked="true" hidden="false"/>
    </xf>
    <xf numFmtId="164" fontId="7" fillId="0" borderId="7" xfId="0" applyFont="true" applyBorder="true" applyAlignment="false" applyProtection="true">
      <alignment horizontal="general" vertical="bottom" textRotation="0" wrapText="false" indent="0" shrinkToFit="false"/>
      <protection locked="false" hidden="false"/>
    </xf>
    <xf numFmtId="164" fontId="7" fillId="0" borderId="67" xfId="0" applyFont="true" applyBorder="true" applyAlignment="true" applyProtection="true">
      <alignment horizontal="center" vertical="bottom" textRotation="0" wrapText="false" indent="0" shrinkToFit="false"/>
      <protection locked="false" hidden="false"/>
    </xf>
    <xf numFmtId="169" fontId="7" fillId="3" borderId="37" xfId="17" applyFont="true" applyBorder="true" applyAlignment="true" applyProtection="true">
      <alignment horizontal="center" vertical="bottom" textRotation="0" wrapText="false" indent="0" shrinkToFit="false"/>
      <protection locked="false" hidden="false"/>
    </xf>
    <xf numFmtId="169" fontId="7" fillId="6" borderId="1" xfId="17" applyFont="true" applyBorder="true" applyAlignment="true" applyProtection="true">
      <alignment horizontal="center" vertical="center" textRotation="0" wrapText="false" indent="0" shrinkToFit="false"/>
      <protection locked="true" hidden="false"/>
    </xf>
    <xf numFmtId="201" fontId="7" fillId="6" borderId="109" xfId="15" applyFont="true" applyBorder="true" applyAlignment="true" applyProtection="true">
      <alignment horizontal="center" vertical="center" textRotation="0" wrapText="false" indent="0" shrinkToFit="false"/>
      <protection locked="true" hidden="false"/>
    </xf>
    <xf numFmtId="169" fontId="7" fillId="0" borderId="0" xfId="17" applyFont="true" applyBorder="true" applyAlignment="true" applyProtection="true">
      <alignment horizontal="center" vertical="bottom" textRotation="0" wrapText="false" indent="0" shrinkToFit="false"/>
      <protection locked="true" hidden="false"/>
    </xf>
    <xf numFmtId="164" fontId="68" fillId="0" borderId="0" xfId="0" applyFont="true" applyBorder="false" applyAlignment="false" applyProtection="false">
      <alignment horizontal="general" vertical="bottom" textRotation="0" wrapText="false" indent="0" shrinkToFit="false"/>
      <protection locked="true" hidden="false"/>
    </xf>
    <xf numFmtId="236" fontId="6" fillId="3" borderId="53" xfId="0" applyFont="true" applyBorder="true" applyAlignment="false" applyProtection="false">
      <alignment horizontal="general" vertical="bottom" textRotation="0" wrapText="false" indent="0" shrinkToFit="false"/>
      <protection locked="true" hidden="false"/>
    </xf>
    <xf numFmtId="193" fontId="6" fillId="0" borderId="53" xfId="0" applyFont="true" applyBorder="true" applyAlignment="false" applyProtection="false">
      <alignment horizontal="general" vertical="bottom" textRotation="0" wrapText="false" indent="0" shrinkToFit="false"/>
      <protection locked="true" hidden="false"/>
    </xf>
    <xf numFmtId="164" fontId="7" fillId="0" borderId="55" xfId="0" applyFont="true" applyBorder="true" applyAlignment="true" applyProtection="true">
      <alignment horizontal="center" vertical="bottom" textRotation="0" wrapText="false" indent="0" shrinkToFit="false"/>
      <protection locked="false" hidden="false"/>
    </xf>
    <xf numFmtId="179" fontId="7" fillId="9" borderId="61" xfId="17" applyFont="true" applyBorder="true" applyAlignment="true" applyProtection="true">
      <alignment horizontal="center" vertical="bottom" textRotation="0" wrapText="false" indent="0" shrinkToFit="false"/>
      <protection locked="true" hidden="false"/>
    </xf>
    <xf numFmtId="164" fontId="7" fillId="0" borderId="2" xfId="0" applyFont="true" applyBorder="true" applyAlignment="true" applyProtection="true">
      <alignment horizontal="left" vertical="bottom" textRotation="0" wrapText="false" indent="0" shrinkToFit="false"/>
      <protection locked="false" hidden="false"/>
    </xf>
    <xf numFmtId="164" fontId="7" fillId="0" borderId="2" xfId="0" applyFont="true" applyBorder="true" applyAlignment="true" applyProtection="false">
      <alignment horizontal="center" vertical="bottom" textRotation="0" wrapText="false" indent="0" shrinkToFit="false"/>
      <protection locked="true" hidden="false"/>
    </xf>
    <xf numFmtId="169" fontId="7" fillId="3" borderId="2" xfId="17" applyFont="true" applyBorder="true" applyAlignment="true" applyProtection="true">
      <alignment horizontal="center" vertical="bottom" textRotation="0" wrapText="false" indent="0" shrinkToFit="false"/>
      <protection locked="false" hidden="false"/>
    </xf>
    <xf numFmtId="169" fontId="7" fillId="6" borderId="67" xfId="17" applyFont="true" applyBorder="true" applyAlignment="true" applyProtection="true">
      <alignment horizontal="center" vertical="center" textRotation="0" wrapText="false" indent="0" shrinkToFit="false"/>
      <protection locked="true" hidden="false"/>
    </xf>
    <xf numFmtId="201" fontId="7" fillId="5" borderId="1" xfId="15" applyFont="true" applyBorder="true" applyAlignment="true" applyProtection="true">
      <alignment horizontal="center" vertical="bottom" textRotation="0" wrapText="false" indent="0" shrinkToFit="false"/>
      <protection locked="true" hidden="false"/>
    </xf>
    <xf numFmtId="164" fontId="7" fillId="0" borderId="75" xfId="0" applyFont="true" applyBorder="true" applyAlignment="false" applyProtection="false">
      <alignment horizontal="general" vertical="bottom" textRotation="0" wrapText="false" indent="0" shrinkToFit="false"/>
      <protection locked="true" hidden="false"/>
    </xf>
    <xf numFmtId="169" fontId="7" fillId="0" borderId="2" xfId="17" applyFont="true" applyBorder="true" applyAlignment="true" applyProtection="true">
      <alignment horizontal="center" vertical="bottom" textRotation="0" wrapText="false" indent="0" shrinkToFit="false"/>
      <protection locked="true" hidden="false"/>
    </xf>
    <xf numFmtId="164" fontId="68" fillId="0" borderId="2" xfId="0" applyFont="true" applyBorder="true" applyAlignment="false" applyProtection="false">
      <alignment horizontal="general" vertical="bottom" textRotation="0" wrapText="false" indent="0" shrinkToFit="false"/>
      <protection locked="true" hidden="false"/>
    </xf>
    <xf numFmtId="164" fontId="7" fillId="0" borderId="94" xfId="0" applyFont="true" applyBorder="true" applyAlignment="true" applyProtection="true">
      <alignment horizontal="left" vertical="bottom" textRotation="0" wrapText="false" indent="0" shrinkToFit="false"/>
      <protection locked="false" hidden="false"/>
    </xf>
    <xf numFmtId="164" fontId="7" fillId="0" borderId="56" xfId="0" applyFont="true" applyBorder="true" applyAlignment="true" applyProtection="false">
      <alignment horizontal="center" vertical="bottom" textRotation="0" wrapText="false" indent="0" shrinkToFit="false"/>
      <protection locked="true" hidden="false"/>
    </xf>
    <xf numFmtId="169" fontId="7" fillId="3" borderId="46" xfId="17" applyFont="true" applyBorder="true" applyAlignment="true" applyProtection="true">
      <alignment horizontal="center" vertical="bottom" textRotation="0" wrapText="false" indent="0" shrinkToFit="false"/>
      <protection locked="false" hidden="false"/>
    </xf>
    <xf numFmtId="164" fontId="7" fillId="0" borderId="56" xfId="0" applyFont="true" applyBorder="true" applyAlignment="false" applyProtection="true">
      <alignment horizontal="general" vertical="bottom" textRotation="0" wrapText="false" indent="0" shrinkToFit="false"/>
      <protection locked="false" hidden="false"/>
    </xf>
    <xf numFmtId="169" fontId="7" fillId="0" borderId="57" xfId="17" applyFont="true" applyBorder="true" applyAlignment="true" applyProtection="true">
      <alignment horizontal="center" vertical="center" textRotation="0" wrapText="false" indent="0" shrinkToFit="false"/>
      <protection locked="true" hidden="false"/>
    </xf>
    <xf numFmtId="201" fontId="7" fillId="3" borderId="55" xfId="15" applyFont="true" applyBorder="true" applyAlignment="true" applyProtection="true">
      <alignment horizontal="center" vertical="bottom" textRotation="0" wrapText="false" indent="0" shrinkToFit="false"/>
      <protection locked="true" hidden="false"/>
    </xf>
    <xf numFmtId="169" fontId="7" fillId="0" borderId="0" xfId="17" applyFont="true" applyBorder="true" applyAlignment="true" applyProtection="true">
      <alignment horizontal="center" vertical="center" textRotation="0" wrapText="false" indent="0" shrinkToFit="false"/>
      <protection locked="true" hidden="false"/>
    </xf>
    <xf numFmtId="201" fontId="7" fillId="6" borderId="41" xfId="15" applyFont="true" applyBorder="true" applyAlignment="true" applyProtection="true">
      <alignment horizontal="center" vertical="bottom" textRotation="0" wrapText="false" indent="0" shrinkToFit="false"/>
      <protection locked="true" hidden="false"/>
    </xf>
    <xf numFmtId="164" fontId="7" fillId="0" borderId="41" xfId="0" applyFont="true" applyBorder="true" applyAlignment="false" applyProtection="false">
      <alignment horizontal="general" vertical="bottom" textRotation="0" wrapText="false" indent="0" shrinkToFit="false"/>
      <protection locked="true" hidden="false"/>
    </xf>
    <xf numFmtId="169" fontId="7" fillId="0" borderId="41" xfId="17" applyFont="true" applyBorder="true" applyAlignment="true" applyProtection="true">
      <alignment horizontal="center" vertical="bottom" textRotation="0" wrapText="false" indent="0" shrinkToFit="false"/>
      <protection locked="true" hidden="false"/>
    </xf>
    <xf numFmtId="164" fontId="68" fillId="0" borderId="41" xfId="0" applyFont="true" applyBorder="true" applyAlignment="false" applyProtection="false">
      <alignment horizontal="general" vertical="bottom" textRotation="0" wrapText="false" indent="0" shrinkToFit="false"/>
      <protection locked="true" hidden="false"/>
    </xf>
    <xf numFmtId="179" fontId="7" fillId="9" borderId="122" xfId="17" applyFont="true" applyBorder="true" applyAlignment="true" applyProtection="true">
      <alignment horizontal="center" vertical="bottom" textRotation="0" wrapText="false" indent="0" shrinkToFit="false"/>
      <protection locked="true" hidden="false"/>
    </xf>
    <xf numFmtId="201" fontId="7" fillId="6" borderId="0" xfId="15" applyFont="true" applyBorder="true" applyAlignment="true" applyProtection="true">
      <alignment horizontal="center" vertical="bottom" textRotation="0" wrapText="false" indent="0" shrinkToFit="false"/>
      <protection locked="true" hidden="false"/>
    </xf>
    <xf numFmtId="171" fontId="7" fillId="0" borderId="0" xfId="0" applyFont="true" applyBorder="false" applyAlignment="false" applyProtection="false">
      <alignment horizontal="general" vertical="bottom" textRotation="0" wrapText="false" indent="0" shrinkToFit="false"/>
      <protection locked="true" hidden="false"/>
    </xf>
    <xf numFmtId="201" fontId="7" fillId="0" borderId="0" xfId="15" applyFont="true" applyBorder="true" applyAlignment="true" applyProtection="true">
      <alignment horizontal="center" vertical="bottom" textRotation="0" wrapText="false" indent="0" shrinkToFit="false"/>
      <protection locked="true" hidden="false"/>
    </xf>
    <xf numFmtId="164" fontId="7" fillId="0" borderId="59" xfId="0" applyFont="true" applyBorder="true" applyAlignment="true" applyProtection="true">
      <alignment horizontal="left" vertical="bottom" textRotation="0" wrapText="false" indent="0" shrinkToFit="false"/>
      <protection locked="false" hidden="false"/>
    </xf>
    <xf numFmtId="164" fontId="7" fillId="0" borderId="39" xfId="0" applyFont="true" applyBorder="true" applyAlignment="true" applyProtection="false">
      <alignment horizontal="center" vertical="bottom" textRotation="0" wrapText="false" indent="0" shrinkToFit="false"/>
      <protection locked="true" hidden="false"/>
    </xf>
    <xf numFmtId="164" fontId="7" fillId="0" borderId="91" xfId="0" applyFont="true" applyBorder="true" applyAlignment="true" applyProtection="true">
      <alignment horizontal="center" vertical="bottom" textRotation="0" wrapText="false" indent="0" shrinkToFit="false"/>
      <protection locked="false" hidden="false"/>
    </xf>
    <xf numFmtId="169" fontId="7" fillId="3" borderId="86" xfId="17" applyFont="true" applyBorder="true" applyAlignment="true" applyProtection="true">
      <alignment horizontal="center" vertical="bottom" textRotation="0" wrapText="false" indent="0" shrinkToFit="false"/>
      <protection locked="false" hidden="false"/>
    </xf>
    <xf numFmtId="164" fontId="7" fillId="0" borderId="39" xfId="0" applyFont="true" applyBorder="true" applyAlignment="false" applyProtection="true">
      <alignment horizontal="general" vertical="bottom" textRotation="0" wrapText="false" indent="0" shrinkToFit="false"/>
      <protection locked="false" hidden="false"/>
    </xf>
    <xf numFmtId="201" fontId="7" fillId="0" borderId="39" xfId="15" applyFont="true" applyBorder="true" applyAlignment="true" applyProtection="true">
      <alignment horizontal="center" vertical="bottom" textRotation="0" wrapText="false" indent="0" shrinkToFit="false"/>
      <protection locked="true" hidden="false"/>
    </xf>
    <xf numFmtId="169" fontId="7" fillId="0" borderId="39" xfId="17" applyFont="true" applyBorder="true" applyAlignment="true" applyProtection="true">
      <alignment horizontal="center" vertical="bottom" textRotation="0" wrapText="false" indent="0" shrinkToFit="false"/>
      <protection locked="true" hidden="false"/>
    </xf>
    <xf numFmtId="164" fontId="68" fillId="0" borderId="39" xfId="0" applyFont="true" applyBorder="true" applyAlignment="false" applyProtection="false">
      <alignment horizontal="general" vertical="bottom" textRotation="0" wrapText="false" indent="0" shrinkToFit="false"/>
      <protection locked="true" hidden="false"/>
    </xf>
    <xf numFmtId="164" fontId="87" fillId="0" borderId="12" xfId="0" applyFont="true" applyBorder="true" applyAlignment="true" applyProtection="false">
      <alignment horizontal="left" vertical="bottom" textRotation="0" wrapText="false" indent="0" shrinkToFit="false"/>
      <protection locked="true" hidden="false"/>
    </xf>
    <xf numFmtId="164" fontId="87" fillId="0" borderId="6" xfId="0" applyFont="true" applyBorder="true" applyAlignment="true" applyProtection="false">
      <alignment horizontal="center" vertical="bottom" textRotation="0" wrapText="false" indent="0" shrinkToFit="false"/>
      <protection locked="true" hidden="false"/>
    </xf>
    <xf numFmtId="164" fontId="87" fillId="0" borderId="51" xfId="0" applyFont="true" applyBorder="true" applyAlignment="true" applyProtection="false">
      <alignment horizontal="center" vertical="bottom" textRotation="0" wrapText="false" indent="0" shrinkToFit="false"/>
      <protection locked="true" hidden="false"/>
    </xf>
    <xf numFmtId="169" fontId="7" fillId="6" borderId="38" xfId="17" applyFont="true" applyBorder="true" applyAlignment="true" applyProtection="true">
      <alignment horizontal="center" vertical="bottom" textRotation="0" wrapText="false" indent="0" shrinkToFit="false"/>
      <protection locked="false" hidden="false"/>
    </xf>
    <xf numFmtId="169" fontId="87" fillId="0" borderId="6" xfId="17" applyFont="true" applyBorder="true" applyAlignment="true" applyProtection="true">
      <alignment horizontal="center" vertical="bottom" textRotation="0" wrapText="false" indent="0" shrinkToFit="false"/>
      <protection locked="true" hidden="false"/>
    </xf>
    <xf numFmtId="164" fontId="68" fillId="0" borderId="6" xfId="0" applyFont="true" applyBorder="true" applyAlignment="false" applyProtection="false">
      <alignment horizontal="general" vertical="bottom" textRotation="0" wrapText="false" indent="0" shrinkToFit="false"/>
      <protection locked="true" hidden="false"/>
    </xf>
    <xf numFmtId="164" fontId="87" fillId="6" borderId="22" xfId="0" applyFont="true" applyBorder="true" applyAlignment="true" applyProtection="false">
      <alignment horizontal="left" vertical="bottom" textRotation="0" wrapText="false" indent="0" shrinkToFit="false"/>
      <protection locked="true" hidden="false"/>
    </xf>
    <xf numFmtId="164" fontId="7" fillId="0" borderId="16" xfId="0" applyFont="true" applyBorder="true" applyAlignment="true" applyProtection="false">
      <alignment horizontal="left" vertical="bottom" textRotation="0" wrapText="false" indent="0" shrinkToFit="false"/>
      <protection locked="true" hidden="false"/>
    </xf>
    <xf numFmtId="164" fontId="7" fillId="0" borderId="9" xfId="0" applyFont="true" applyBorder="true" applyAlignment="false" applyProtection="false">
      <alignment horizontal="general" vertical="bottom" textRotation="0" wrapText="false" indent="0" shrinkToFit="false"/>
      <protection locked="true" hidden="false"/>
    </xf>
    <xf numFmtId="193" fontId="7" fillId="0" borderId="9" xfId="0" applyFont="true" applyBorder="true" applyAlignment="false" applyProtection="true">
      <alignment horizontal="general" vertical="bottom" textRotation="0" wrapText="false" indent="0" shrinkToFit="false"/>
      <protection locked="false" hidden="false"/>
    </xf>
    <xf numFmtId="193" fontId="7" fillId="3" borderId="109" xfId="0" applyFont="true" applyBorder="true" applyAlignment="false" applyProtection="true">
      <alignment horizontal="general" vertical="bottom" textRotation="0" wrapText="false" indent="0" shrinkToFit="false"/>
      <protection locked="false" hidden="false"/>
    </xf>
    <xf numFmtId="179" fontId="7" fillId="15" borderId="109" xfId="17" applyFont="true" applyBorder="true" applyAlignment="true" applyProtection="true">
      <alignment horizontal="general" vertical="bottom" textRotation="0" wrapText="false" indent="0" shrinkToFit="false"/>
      <protection locked="false" hidden="false"/>
    </xf>
    <xf numFmtId="171" fontId="7" fillId="0" borderId="9" xfId="0" applyFont="true" applyBorder="true" applyAlignment="false" applyProtection="false">
      <alignment horizontal="general" vertical="bottom" textRotation="0" wrapText="false" indent="0" shrinkToFit="false"/>
      <protection locked="true" hidden="false"/>
    </xf>
    <xf numFmtId="183" fontId="7" fillId="22" borderId="55" xfId="19" applyFont="true" applyBorder="true" applyAlignment="true" applyProtection="true">
      <alignment horizontal="center" vertical="bottom" textRotation="0" wrapText="false" indent="0" shrinkToFit="false"/>
      <protection locked="true" hidden="false"/>
    </xf>
    <xf numFmtId="179" fontId="7" fillId="9" borderId="17" xfId="17" applyFont="true" applyBorder="true" applyAlignment="true" applyProtection="true">
      <alignment horizontal="center" vertical="bottom" textRotation="0" wrapText="false" indent="0" shrinkToFit="false"/>
      <protection locked="true" hidden="false"/>
    </xf>
    <xf numFmtId="164" fontId="7" fillId="0" borderId="7" xfId="0" applyFont="true" applyBorder="true" applyAlignment="true" applyProtection="false">
      <alignment horizontal="left" vertical="bottom" textRotation="0" wrapText="false" indent="0" shrinkToFit="false"/>
      <protection locked="true" hidden="false"/>
    </xf>
    <xf numFmtId="193" fontId="7" fillId="3" borderId="1" xfId="0" applyFont="true" applyBorder="true" applyAlignment="false" applyProtection="true">
      <alignment horizontal="general" vertical="bottom" textRotation="0" wrapText="false" indent="0" shrinkToFit="false"/>
      <protection locked="false" hidden="false"/>
    </xf>
    <xf numFmtId="179" fontId="7" fillId="15" borderId="1" xfId="17" applyFont="true" applyBorder="true" applyAlignment="true" applyProtection="true">
      <alignment horizontal="general" vertical="bottom" textRotation="0" wrapText="false" indent="0" shrinkToFit="false"/>
      <protection locked="false" hidden="false"/>
    </xf>
    <xf numFmtId="169" fontId="7" fillId="0" borderId="67" xfId="0" applyFont="true" applyBorder="true" applyAlignment="true" applyProtection="false">
      <alignment horizontal="center"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false" indent="0" shrinkToFit="false"/>
      <protection locked="true" hidden="false"/>
    </xf>
    <xf numFmtId="193" fontId="7" fillId="3" borderId="72" xfId="0" applyFont="true" applyBorder="true" applyAlignment="false" applyProtection="true">
      <alignment horizontal="general" vertical="bottom" textRotation="0" wrapText="false" indent="0" shrinkToFit="false"/>
      <protection locked="false" hidden="false"/>
    </xf>
    <xf numFmtId="179" fontId="7" fillId="15" borderId="72" xfId="17" applyFont="true" applyBorder="true" applyAlignment="true" applyProtection="true">
      <alignment horizontal="general" vertical="bottom" textRotation="0" wrapText="false" indent="0" shrinkToFit="false"/>
      <protection locked="false" hidden="false"/>
    </xf>
    <xf numFmtId="164" fontId="87" fillId="6" borderId="6" xfId="0" applyFont="true" applyBorder="true" applyAlignment="true" applyProtection="false">
      <alignment horizontal="left" vertical="bottom" textRotation="0" wrapText="false" indent="0" shrinkToFit="false"/>
      <protection locked="true" hidden="false"/>
    </xf>
    <xf numFmtId="164" fontId="7" fillId="0" borderId="34" xfId="0" applyFont="true" applyBorder="true" applyAlignment="true" applyProtection="true">
      <alignment horizontal="left" vertical="bottom" textRotation="0" wrapText="false" indent="0" shrinkToFit="false"/>
      <protection locked="false" hidden="false"/>
    </xf>
    <xf numFmtId="164" fontId="7" fillId="0" borderId="9" xfId="0" applyFont="true" applyBorder="true" applyAlignment="false" applyProtection="true">
      <alignment horizontal="general" vertical="bottom" textRotation="0" wrapText="false" indent="0" shrinkToFit="false"/>
      <protection locked="false" hidden="false"/>
    </xf>
    <xf numFmtId="164" fontId="87" fillId="0" borderId="91" xfId="0" applyFont="true" applyBorder="true" applyAlignment="true" applyProtection="false">
      <alignment horizontal="center" vertical="bottom" textRotation="0" wrapText="false" indent="0" shrinkToFit="false"/>
      <protection locked="true" hidden="false"/>
    </xf>
    <xf numFmtId="169" fontId="8" fillId="0" borderId="61" xfId="17" applyFont="true" applyBorder="true" applyAlignment="true" applyProtection="true">
      <alignment horizontal="general" vertical="bottom" textRotation="0" wrapText="false" indent="0" shrinkToFit="false"/>
      <protection locked="false" hidden="false"/>
    </xf>
    <xf numFmtId="183" fontId="7" fillId="15" borderId="67" xfId="19" applyFont="true" applyBorder="true" applyAlignment="true" applyProtection="true">
      <alignment horizontal="center" vertical="bottom" textRotation="0" wrapText="false" indent="0" shrinkToFit="false"/>
      <protection locked="false" hidden="false"/>
    </xf>
    <xf numFmtId="179" fontId="7" fillId="9" borderId="24" xfId="17" applyFont="true" applyBorder="true" applyAlignment="true" applyProtection="true">
      <alignment horizontal="center" vertical="bottom" textRotation="0" wrapText="false" indent="0" shrinkToFit="false"/>
      <protection locked="true" hidden="false"/>
    </xf>
    <xf numFmtId="193" fontId="7" fillId="3" borderId="67" xfId="0" applyFont="true" applyBorder="true" applyAlignment="false" applyProtection="true">
      <alignment horizontal="general" vertical="bottom" textRotation="0" wrapText="false" indent="0" shrinkToFit="false"/>
      <protection locked="false" hidden="false"/>
    </xf>
    <xf numFmtId="164" fontId="7" fillId="0" borderId="6" xfId="0" applyFont="true" applyBorder="true" applyAlignment="false" applyProtection="true">
      <alignment horizontal="general" vertical="bottom" textRotation="0" wrapText="false" indent="0" shrinkToFit="false"/>
      <protection locked="false" hidden="false"/>
    </xf>
    <xf numFmtId="179" fontId="7" fillId="0" borderId="6" xfId="0" applyFont="true" applyBorder="true" applyAlignment="false" applyProtection="false">
      <alignment horizontal="general" vertical="bottom" textRotation="0" wrapText="false" indent="0" shrinkToFit="false"/>
      <protection locked="true" hidden="false"/>
    </xf>
    <xf numFmtId="201" fontId="7" fillId="3" borderId="109" xfId="15" applyFont="true" applyBorder="true" applyAlignment="true" applyProtection="true">
      <alignment horizontal="left" vertical="bottom" textRotation="0" wrapText="false" indent="0" shrinkToFit="false"/>
      <protection locked="false" hidden="false"/>
    </xf>
    <xf numFmtId="164" fontId="7" fillId="0" borderId="9" xfId="0" applyFont="true" applyBorder="true" applyAlignment="true" applyProtection="true">
      <alignment horizontal="left" vertical="bottom" textRotation="0" wrapText="false" indent="0" shrinkToFit="false"/>
      <protection locked="false" hidden="false"/>
    </xf>
    <xf numFmtId="169" fontId="7" fillId="15" borderId="35" xfId="17" applyFont="true" applyBorder="true" applyAlignment="true" applyProtection="true">
      <alignment horizontal="right" vertical="bottom" textRotation="0" wrapText="false" indent="0" shrinkToFit="false"/>
      <protection locked="false" hidden="false"/>
    </xf>
    <xf numFmtId="164" fontId="68" fillId="0" borderId="9" xfId="0" applyFont="true" applyBorder="true" applyAlignment="false" applyProtection="false">
      <alignment horizontal="general" vertical="bottom" textRotation="0" wrapText="false" indent="0" shrinkToFit="false"/>
      <protection locked="true" hidden="false"/>
    </xf>
    <xf numFmtId="201" fontId="7" fillId="3" borderId="1" xfId="15" applyFont="true" applyBorder="true" applyAlignment="true" applyProtection="true">
      <alignment horizontal="general" vertical="bottom" textRotation="0" wrapText="false" indent="0" shrinkToFit="false"/>
      <protection locked="false" hidden="false"/>
    </xf>
    <xf numFmtId="164" fontId="7" fillId="0" borderId="45" xfId="0" applyFont="true" applyBorder="true" applyAlignment="true" applyProtection="false">
      <alignment horizontal="right" vertical="center" textRotation="0" wrapText="false" indent="0" shrinkToFit="false"/>
      <protection locked="true" hidden="false"/>
    </xf>
    <xf numFmtId="164" fontId="7" fillId="3" borderId="1" xfId="0" applyFont="true" applyBorder="true" applyAlignment="true" applyProtection="true">
      <alignment horizontal="center" vertical="center" textRotation="0" wrapText="false" indent="0" shrinkToFit="false"/>
      <protection locked="false" hidden="false"/>
    </xf>
    <xf numFmtId="201" fontId="7" fillId="3" borderId="55" xfId="15" applyFont="true" applyBorder="true" applyAlignment="true" applyProtection="true">
      <alignment horizontal="general" vertical="bottom" textRotation="0" wrapText="false" indent="0" shrinkToFit="false"/>
      <protection locked="false" hidden="false"/>
    </xf>
    <xf numFmtId="164" fontId="7" fillId="0" borderId="37" xfId="0" applyFont="true" applyBorder="true" applyAlignment="false" applyProtection="true">
      <alignment horizontal="general" vertical="bottom" textRotation="0" wrapText="false" indent="0" shrinkToFit="false"/>
      <protection locked="false" hidden="false"/>
    </xf>
    <xf numFmtId="169" fontId="7" fillId="0" borderId="0" xfId="17" applyFont="true" applyBorder="true" applyAlignment="true" applyProtection="true">
      <alignment horizontal="general" vertical="bottom" textRotation="0" wrapText="false" indent="0" shrinkToFit="false"/>
      <protection locked="false" hidden="false"/>
    </xf>
    <xf numFmtId="179" fontId="7" fillId="15" borderId="15" xfId="17" applyFont="true" applyBorder="true" applyAlignment="true" applyProtection="true">
      <alignment horizontal="center" vertical="bottom" textRotation="0" wrapText="false" indent="0" shrinkToFit="false"/>
      <protection locked="false" hidden="false"/>
    </xf>
    <xf numFmtId="201" fontId="7" fillId="3" borderId="67" xfId="15" applyFont="true" applyBorder="true" applyAlignment="true" applyProtection="true">
      <alignment horizontal="general" vertical="bottom" textRotation="0" wrapText="false" indent="0" shrinkToFit="false"/>
      <protection locked="false" hidden="false"/>
    </xf>
    <xf numFmtId="179" fontId="7" fillId="25" borderId="108" xfId="17" applyFont="true" applyBorder="true" applyAlignment="true" applyProtection="true">
      <alignment horizontal="center" vertical="bottom" textRotation="0" wrapText="false" indent="0" shrinkToFit="false"/>
      <protection locked="true" hidden="false"/>
    </xf>
    <xf numFmtId="193" fontId="7" fillId="3" borderId="1" xfId="17" applyFont="true" applyBorder="true" applyAlignment="true" applyProtection="true">
      <alignment horizontal="general" vertical="bottom" textRotation="0" wrapText="false" indent="0" shrinkToFit="false"/>
      <protection locked="false" hidden="false"/>
    </xf>
    <xf numFmtId="179" fontId="7" fillId="25" borderId="8" xfId="0" applyFont="true" applyBorder="true" applyAlignment="true" applyProtection="false">
      <alignment horizontal="center" vertical="bottom" textRotation="0" wrapText="false" indent="0" shrinkToFit="false"/>
      <protection locked="true" hidden="false"/>
    </xf>
    <xf numFmtId="164" fontId="7" fillId="0" borderId="69" xfId="0" applyFont="true" applyBorder="true" applyAlignment="true" applyProtection="true">
      <alignment horizontal="left" vertical="bottom" textRotation="0" wrapText="false" indent="0" shrinkToFit="false"/>
      <protection locked="false" hidden="false"/>
    </xf>
    <xf numFmtId="164" fontId="7" fillId="0" borderId="89" xfId="0" applyFont="true" applyBorder="true" applyAlignment="true" applyProtection="true">
      <alignment horizontal="left" vertical="bottom" textRotation="0" wrapText="false" indent="0" shrinkToFit="false"/>
      <protection locked="false" hidden="false"/>
    </xf>
    <xf numFmtId="169" fontId="7" fillId="0" borderId="2" xfId="17" applyFont="true" applyBorder="true" applyAlignment="true" applyProtection="true">
      <alignment horizontal="general" vertical="bottom" textRotation="0" wrapText="false" indent="0" shrinkToFit="false"/>
      <protection locked="false" hidden="false"/>
    </xf>
    <xf numFmtId="164" fontId="8" fillId="21" borderId="6" xfId="0" applyFont="true" applyBorder="true" applyAlignment="true" applyProtection="false">
      <alignment horizontal="center" vertical="bottom" textRotation="0" wrapText="false" indent="0" shrinkToFit="false"/>
      <protection locked="true" hidden="false"/>
    </xf>
    <xf numFmtId="164" fontId="7" fillId="26" borderId="18" xfId="0" applyFont="true" applyBorder="true" applyAlignment="true" applyProtection="true">
      <alignment horizontal="left" vertical="bottom" textRotation="0" wrapText="false" indent="0" shrinkToFit="false"/>
      <protection locked="false" hidden="false"/>
    </xf>
    <xf numFmtId="183" fontId="7" fillId="26" borderId="19" xfId="19" applyFont="true" applyBorder="true" applyAlignment="true" applyProtection="true">
      <alignment horizontal="general" vertical="bottom" textRotation="0" wrapText="false" indent="0" shrinkToFit="false"/>
      <protection locked="false" hidden="false"/>
    </xf>
    <xf numFmtId="164" fontId="7" fillId="26" borderId="6" xfId="0" applyFont="true" applyBorder="true" applyAlignment="false" applyProtection="true">
      <alignment horizontal="general" vertical="bottom" textRotation="0" wrapText="false" indent="0" shrinkToFit="false"/>
      <protection locked="false" hidden="false"/>
    </xf>
    <xf numFmtId="179" fontId="7" fillId="26" borderId="19" xfId="17" applyFont="true" applyBorder="true" applyAlignment="true" applyProtection="true">
      <alignment horizontal="center" vertical="bottom" textRotation="0" wrapText="false" indent="0" shrinkToFit="false"/>
      <protection locked="false" hidden="false"/>
    </xf>
    <xf numFmtId="164" fontId="7" fillId="27" borderId="6" xfId="0" applyFont="true" applyBorder="true" applyAlignment="false" applyProtection="false">
      <alignment horizontal="general" vertical="bottom" textRotation="0" wrapText="false" indent="0" shrinkToFit="false"/>
      <protection locked="true" hidden="false"/>
    </xf>
    <xf numFmtId="164" fontId="68" fillId="27" borderId="6" xfId="0" applyFont="true" applyBorder="true" applyAlignment="false" applyProtection="false">
      <alignment horizontal="general" vertical="bottom" textRotation="0" wrapText="false" indent="0" shrinkToFit="false"/>
      <protection locked="true" hidden="false"/>
    </xf>
    <xf numFmtId="179" fontId="7" fillId="27" borderId="13" xfId="17" applyFont="true" applyBorder="true" applyAlignment="true" applyProtection="true">
      <alignment horizontal="center" vertical="bottom" textRotation="0" wrapText="false" indent="0" shrinkToFit="false"/>
      <protection locked="true" hidden="false"/>
    </xf>
    <xf numFmtId="179" fontId="7" fillId="8" borderId="13" xfId="17" applyFont="true" applyBorder="true" applyAlignment="true" applyProtection="true">
      <alignment horizontal="center" vertical="bottom" textRotation="0" wrapText="false" indent="0" shrinkToFit="false"/>
      <protection locked="true" hidden="false"/>
    </xf>
    <xf numFmtId="169" fontId="8" fillId="0" borderId="0" xfId="0" applyFont="true" applyBorder="false" applyAlignment="true" applyProtection="true">
      <alignment horizontal="center" vertical="bottom" textRotation="0" wrapText="false" indent="0" shrinkToFit="false"/>
      <protection locked="false" hidden="false"/>
    </xf>
    <xf numFmtId="164" fontId="8" fillId="37" borderId="0" xfId="0" applyFont="true" applyBorder="false" applyAlignment="false" applyProtection="false">
      <alignment horizontal="general" vertical="bottom" textRotation="0" wrapText="false" indent="0" shrinkToFit="false"/>
      <protection locked="true" hidden="false"/>
    </xf>
    <xf numFmtId="164" fontId="13" fillId="3" borderId="16" xfId="0" applyFont="true" applyBorder="true" applyAlignment="true" applyProtection="false">
      <alignment horizontal="center" vertical="bottom" textRotation="0" wrapText="false" indent="0" shrinkToFit="false"/>
      <protection locked="true" hidden="false"/>
    </xf>
    <xf numFmtId="164" fontId="11" fillId="0" borderId="41" xfId="15" applyFont="true" applyBorder="true" applyAlignment="true" applyProtection="true">
      <alignment horizontal="center" vertical="bottom" textRotation="0" wrapText="false" indent="0" shrinkToFit="false"/>
      <protection locked="false" hidden="false"/>
    </xf>
    <xf numFmtId="164" fontId="11" fillId="0" borderId="89" xfId="0" applyFont="true" applyBorder="true" applyAlignment="true" applyProtection="true">
      <alignment horizontal="center" vertical="bottom" textRotation="0" wrapText="false" indent="0" shrinkToFit="false"/>
      <protection locked="false" hidden="false"/>
    </xf>
    <xf numFmtId="164" fontId="11" fillId="0" borderId="45" xfId="15" applyFont="true" applyBorder="true" applyAlignment="true" applyProtection="true">
      <alignment horizontal="center" vertical="bottom" textRotation="0" wrapText="false" indent="0" shrinkToFit="false"/>
      <protection locked="false" hidden="false"/>
    </xf>
    <xf numFmtId="164" fontId="6" fillId="0" borderId="111" xfId="0" applyFont="true" applyBorder="true" applyAlignment="false" applyProtection="false">
      <alignment horizontal="general" vertical="bottom" textRotation="0" wrapText="false" indent="0" shrinkToFit="false"/>
      <protection locked="true" hidden="false"/>
    </xf>
    <xf numFmtId="164" fontId="69" fillId="3" borderId="37" xfId="0" applyFont="true" applyBorder="true" applyAlignment="false" applyProtection="true">
      <alignment horizontal="general" vertical="bottom" textRotation="0" wrapText="false" indent="0" shrinkToFit="false"/>
      <protection locked="false" hidden="false"/>
    </xf>
    <xf numFmtId="169" fontId="8" fillId="3" borderId="0" xfId="17" applyFont="true" applyBorder="true" applyAlignment="true" applyProtection="true">
      <alignment horizontal="center" vertical="bottom" textRotation="0" wrapText="false" indent="0" shrinkToFit="false"/>
      <protection locked="false" hidden="false"/>
    </xf>
    <xf numFmtId="181" fontId="8" fillId="3" borderId="0" xfId="0" applyFont="true" applyBorder="false" applyAlignment="true" applyProtection="true">
      <alignment horizontal="center" vertical="bottom" textRotation="0" wrapText="false" indent="0" shrinkToFit="false"/>
      <protection locked="false" hidden="false"/>
    </xf>
    <xf numFmtId="164" fontId="8" fillId="3" borderId="37" xfId="0" applyFont="true" applyBorder="true" applyAlignment="false" applyProtection="true">
      <alignment horizontal="general" vertical="bottom" textRotation="0" wrapText="false" indent="0" shrinkToFit="false"/>
      <protection locked="false" hidden="false"/>
    </xf>
    <xf numFmtId="169" fontId="8" fillId="3" borderId="0" xfId="0" applyFont="true" applyBorder="false" applyAlignment="true" applyProtection="true">
      <alignment horizontal="center" vertical="bottom" textRotation="0" wrapText="false" indent="0" shrinkToFit="false"/>
      <protection locked="false" hidden="false"/>
    </xf>
    <xf numFmtId="179" fontId="8" fillId="3" borderId="0" xfId="0" applyFont="true" applyBorder="false" applyAlignment="true" applyProtection="true">
      <alignment horizontal="center" vertical="bottom" textRotation="0" wrapText="false" indent="0" shrinkToFit="false"/>
      <protection locked="false" hidden="false"/>
    </xf>
    <xf numFmtId="164" fontId="8" fillId="3" borderId="0" xfId="0" applyFont="true" applyBorder="false" applyAlignment="true" applyProtection="true">
      <alignment horizontal="center" vertical="bottom" textRotation="0" wrapText="false" indent="0" shrinkToFit="false"/>
      <protection locked="false" hidden="false"/>
    </xf>
    <xf numFmtId="164" fontId="8" fillId="3" borderId="38" xfId="0" applyFont="true" applyBorder="true" applyAlignment="false" applyProtection="true">
      <alignment horizontal="general" vertical="bottom" textRotation="0" wrapText="false" indent="0" shrinkToFit="false"/>
      <protection locked="false" hidden="false"/>
    </xf>
    <xf numFmtId="169" fontId="8" fillId="15" borderId="15" xfId="17" applyFont="true" applyBorder="true" applyAlignment="true" applyProtection="true">
      <alignment horizontal="center" vertical="bottom" textRotation="0" wrapText="false" indent="0" shrinkToFit="false"/>
      <protection locked="false" hidden="false"/>
    </xf>
    <xf numFmtId="169" fontId="8" fillId="15" borderId="60" xfId="17" applyFont="true" applyBorder="true" applyAlignment="true" applyProtection="true">
      <alignment horizontal="center" vertical="bottom" textRotation="0" wrapText="false" indent="0" shrinkToFit="false"/>
      <protection locked="false" hidden="false"/>
    </xf>
    <xf numFmtId="193" fontId="8" fillId="5" borderId="92" xfId="15" applyFont="true" applyBorder="true" applyAlignment="true" applyProtection="true">
      <alignment horizontal="center" vertical="bottom" textRotation="0" wrapText="false" indent="0" shrinkToFit="false"/>
      <protection locked="true" hidden="false"/>
    </xf>
    <xf numFmtId="183" fontId="8" fillId="22" borderId="15" xfId="19" applyFont="true" applyBorder="true" applyAlignment="true" applyProtection="true">
      <alignment horizontal="center" vertical="bottom" textRotation="0" wrapText="false" indent="0" shrinkToFit="false"/>
      <protection locked="true" hidden="false"/>
    </xf>
    <xf numFmtId="164" fontId="6" fillId="6" borderId="6" xfId="0" applyFont="true" applyBorder="true" applyAlignment="true" applyProtection="false">
      <alignment horizontal="center" vertical="bottom" textRotation="0" wrapText="false" indent="0" shrinkToFit="false"/>
      <protection locked="true" hidden="false"/>
    </xf>
    <xf numFmtId="179" fontId="8" fillId="26" borderId="104" xfId="15" applyFont="true" applyBorder="true" applyAlignment="true" applyProtection="true">
      <alignment horizontal="center" vertical="bottom" textRotation="0" wrapText="false" indent="0" shrinkToFit="false"/>
      <protection locked="false" hidden="false"/>
    </xf>
    <xf numFmtId="208" fontId="4" fillId="27" borderId="91" xfId="0" applyFont="true" applyBorder="true" applyAlignment="true" applyProtection="false">
      <alignment horizontal="right" vertical="bottom" textRotation="0" wrapText="false" indent="0" shrinkToFit="false"/>
      <protection locked="true" hidden="false"/>
    </xf>
    <xf numFmtId="164" fontId="4" fillId="27" borderId="90" xfId="0" applyFont="true" applyBorder="true" applyAlignment="false" applyProtection="false">
      <alignment horizontal="general" vertical="bottom" textRotation="0" wrapText="false" indent="0" shrinkToFit="false"/>
      <protection locked="true" hidden="false"/>
    </xf>
    <xf numFmtId="164" fontId="8" fillId="9" borderId="7" xfId="0" applyFont="true" applyBorder="true" applyAlignment="true" applyProtection="false">
      <alignment horizontal="left" vertical="bottom" textRotation="0" wrapText="false" indent="0" shrinkToFit="false"/>
      <protection locked="true" hidden="false"/>
    </xf>
    <xf numFmtId="164" fontId="8" fillId="0" borderId="0" xfId="0" applyFont="true" applyBorder="true" applyAlignment="true" applyProtection="false">
      <alignment horizontal="left"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4" fontId="4" fillId="0" borderId="29" xfId="0" applyFont="true" applyBorder="true" applyAlignment="false" applyProtection="false">
      <alignment horizontal="general" vertical="bottom" textRotation="0" wrapText="false" indent="0" shrinkToFit="false"/>
      <protection locked="true" hidden="false"/>
    </xf>
    <xf numFmtId="164" fontId="4" fillId="0" borderId="30" xfId="0" applyFont="true" applyBorder="true" applyAlignment="false" applyProtection="false">
      <alignment horizontal="general" vertical="bottom" textRotation="0" wrapText="false" indent="0" shrinkToFit="false"/>
      <protection locked="true" hidden="false"/>
    </xf>
    <xf numFmtId="171" fontId="8" fillId="3" borderId="35" xfId="0" applyFont="true" applyBorder="true" applyAlignment="true" applyProtection="false">
      <alignment horizontal="center" vertical="bottom" textRotation="0" wrapText="true" indent="0" shrinkToFit="false"/>
      <protection locked="true" hidden="false"/>
    </xf>
    <xf numFmtId="164" fontId="6" fillId="3" borderId="42" xfId="0" applyFont="true" applyBorder="true" applyAlignment="true" applyProtection="false">
      <alignment horizontal="center" vertical="bottom" textRotation="0" wrapText="true" indent="0" shrinkToFit="false"/>
      <protection locked="true" hidden="false"/>
    </xf>
    <xf numFmtId="171" fontId="6" fillId="3" borderId="35" xfId="0" applyFont="true" applyBorder="true" applyAlignment="true" applyProtection="false">
      <alignment horizontal="center" vertical="bottom" textRotation="0" wrapText="true" indent="0" shrinkToFit="true"/>
      <protection locked="true" hidden="false"/>
    </xf>
    <xf numFmtId="164" fontId="0" fillId="0" borderId="131" xfId="0" applyFont="false" applyBorder="true" applyAlignment="false" applyProtection="false">
      <alignment horizontal="general" vertical="bottom" textRotation="0" wrapText="false" indent="0" shrinkToFit="false"/>
      <protection locked="true" hidden="false"/>
    </xf>
    <xf numFmtId="164" fontId="0" fillId="0" borderId="41" xfId="0" applyFont="false" applyBorder="true" applyAlignment="false" applyProtection="false">
      <alignment horizontal="general" vertical="bottom" textRotation="0" wrapText="false" indent="0" shrinkToFit="false"/>
      <protection locked="true" hidden="false"/>
    </xf>
    <xf numFmtId="164" fontId="0" fillId="0" borderId="74" xfId="0" applyFont="false" applyBorder="true" applyAlignment="false" applyProtection="false">
      <alignment horizontal="general" vertical="bottom" textRotation="0" wrapText="false" indent="0" shrinkToFit="false"/>
      <protection locked="true" hidden="false"/>
    </xf>
    <xf numFmtId="164" fontId="0" fillId="0" borderId="66" xfId="0" applyFont="false" applyBorder="true" applyAlignment="false" applyProtection="false">
      <alignment horizontal="general" vertical="bottom" textRotation="0" wrapText="false" indent="0" shrinkToFit="false"/>
      <protection locked="true" hidden="false"/>
    </xf>
    <xf numFmtId="164" fontId="0" fillId="0" borderId="122" xfId="0" applyFont="false" applyBorder="true" applyAlignment="false" applyProtection="false">
      <alignment horizontal="general" vertical="bottom" textRotation="0" wrapText="false" indent="0" shrinkToFit="false"/>
      <protection locked="true" hidden="false"/>
    </xf>
    <xf numFmtId="164" fontId="8" fillId="3" borderId="37" xfId="0" applyFont="true" applyBorder="true" applyAlignment="true" applyProtection="false">
      <alignment horizontal="center" vertical="bottom" textRotation="0" wrapText="false" indent="0" shrinkToFit="false"/>
      <protection locked="true" hidden="false"/>
    </xf>
    <xf numFmtId="164" fontId="8" fillId="3" borderId="45" xfId="0" applyFont="true" applyBorder="true" applyAlignment="false" applyProtection="false">
      <alignment horizontal="general" vertical="bottom" textRotation="0" wrapText="false" indent="0" shrinkToFit="false"/>
      <protection locked="true" hidden="false"/>
    </xf>
    <xf numFmtId="164" fontId="8" fillId="3" borderId="15" xfId="0" applyFont="true" applyBorder="true" applyAlignment="false" applyProtection="false">
      <alignment horizontal="general" vertical="bottom" textRotation="0" wrapText="false" indent="0" shrinkToFit="false"/>
      <protection locked="true" hidden="false"/>
    </xf>
    <xf numFmtId="164" fontId="0" fillId="0" borderId="59" xfId="0" applyFont="true" applyBorder="true" applyAlignment="true" applyProtection="false">
      <alignment horizontal="center" vertical="bottom" textRotation="0" wrapText="false" indent="0" shrinkToFit="false"/>
      <protection locked="true" hidden="false"/>
    </xf>
    <xf numFmtId="164" fontId="4" fillId="0" borderId="86" xfId="0" applyFont="true" applyBorder="true" applyAlignment="true" applyProtection="false">
      <alignment horizontal="center" vertical="bottom" textRotation="0" wrapText="false" indent="0" shrinkToFit="false"/>
      <protection locked="true" hidden="false"/>
    </xf>
    <xf numFmtId="164" fontId="4" fillId="0" borderId="78" xfId="0" applyFont="true" applyBorder="true" applyAlignment="true" applyProtection="false">
      <alignment horizontal="center" vertical="bottom" textRotation="0" wrapText="false" indent="0" shrinkToFit="false"/>
      <protection locked="true" hidden="false"/>
    </xf>
    <xf numFmtId="164" fontId="0" fillId="0" borderId="61" xfId="0" applyFont="false" applyBorder="true" applyAlignment="true" applyProtection="false">
      <alignment horizontal="center" vertical="bottom" textRotation="0" wrapText="false" indent="0" shrinkToFit="false"/>
      <protection locked="true" hidden="false"/>
    </xf>
    <xf numFmtId="164" fontId="8" fillId="0" borderId="133" xfId="21" applyFont="true" applyBorder="true" applyAlignment="true" applyProtection="true">
      <alignment horizontal="left" vertical="bottom" textRotation="0" wrapText="false" indent="0" shrinkToFit="false"/>
      <protection locked="false" hidden="false"/>
    </xf>
    <xf numFmtId="164" fontId="8" fillId="0" borderId="134" xfId="21" applyFont="true" applyBorder="true" applyAlignment="false" applyProtection="true">
      <alignment horizontal="general" vertical="bottom" textRotation="0" wrapText="false" indent="0" shrinkToFit="false"/>
      <protection locked="false" hidden="false"/>
    </xf>
    <xf numFmtId="237" fontId="7" fillId="3" borderId="135" xfId="21" applyFont="true" applyBorder="true" applyAlignment="false" applyProtection="false">
      <alignment horizontal="general" vertical="bottom" textRotation="0" wrapText="false" indent="0" shrinkToFit="false"/>
      <protection locked="true" hidden="false"/>
    </xf>
    <xf numFmtId="201" fontId="11" fillId="0" borderId="134" xfId="21" applyFont="true" applyBorder="true" applyAlignment="false" applyProtection="false">
      <alignment horizontal="general" vertical="bottom" textRotation="0" wrapText="false" indent="0" shrinkToFit="false"/>
      <protection locked="true" hidden="false"/>
    </xf>
    <xf numFmtId="164" fontId="8" fillId="0" borderId="134" xfId="21" applyFont="true" applyBorder="true" applyAlignment="true" applyProtection="true">
      <alignment horizontal="center" vertical="bottom" textRotation="0" wrapText="false" indent="0" shrinkToFit="false"/>
      <protection locked="false" hidden="false"/>
    </xf>
    <xf numFmtId="164" fontId="8" fillId="0" borderId="135" xfId="21" applyFont="true" applyBorder="true" applyAlignment="true" applyProtection="true">
      <alignment horizontal="center" vertical="bottom" textRotation="0" wrapText="false" indent="0" shrinkToFit="false"/>
      <protection locked="false" hidden="false"/>
    </xf>
    <xf numFmtId="164" fontId="8" fillId="3" borderId="135" xfId="21" applyFont="true" applyBorder="true" applyAlignment="true" applyProtection="true">
      <alignment horizontal="center" vertical="bottom" textRotation="0" wrapText="false" indent="0" shrinkToFit="false"/>
      <protection locked="false" hidden="false"/>
    </xf>
    <xf numFmtId="169" fontId="8" fillId="0" borderId="136" xfId="17" applyFont="true" applyBorder="true" applyAlignment="true" applyProtection="true">
      <alignment horizontal="center" vertical="bottom" textRotation="0" wrapText="false" indent="0" shrinkToFit="false"/>
      <protection locked="false" hidden="false"/>
    </xf>
    <xf numFmtId="164" fontId="8" fillId="0" borderId="136" xfId="21" applyFont="true" applyBorder="true" applyAlignment="false" applyProtection="true">
      <alignment horizontal="general" vertical="bottom" textRotation="0" wrapText="false" indent="0" shrinkToFit="false"/>
      <protection locked="false" hidden="false"/>
    </xf>
    <xf numFmtId="164" fontId="8" fillId="0" borderId="137" xfId="21" applyFont="true" applyBorder="true" applyAlignment="true" applyProtection="true">
      <alignment horizontal="center" vertical="bottom" textRotation="0" wrapText="false" indent="0" shrinkToFit="false"/>
      <protection locked="false" hidden="false"/>
    </xf>
    <xf numFmtId="196" fontId="8" fillId="6" borderId="110" xfId="0" applyFont="true" applyBorder="true" applyAlignment="true" applyProtection="true">
      <alignment horizontal="center" vertical="bottom" textRotation="0" wrapText="false" indent="0" shrinkToFit="false"/>
      <protection locked="false" hidden="false"/>
    </xf>
    <xf numFmtId="201" fontId="8" fillId="6" borderId="9" xfId="15" applyFont="true" applyBorder="true" applyAlignment="true" applyProtection="true">
      <alignment horizontal="general" vertical="bottom" textRotation="0" wrapText="false" indent="0" shrinkToFit="false"/>
      <protection locked="false" hidden="false"/>
    </xf>
    <xf numFmtId="171" fontId="8" fillId="6" borderId="42" xfId="0" applyFont="true" applyBorder="true" applyAlignment="false" applyProtection="true">
      <alignment horizontal="general" vertical="bottom" textRotation="0" wrapText="false" indent="0" shrinkToFit="false"/>
      <protection locked="false" hidden="false"/>
    </xf>
    <xf numFmtId="169" fontId="8" fillId="15" borderId="42" xfId="17" applyFont="true" applyBorder="true" applyAlignment="true" applyProtection="true">
      <alignment horizontal="general" vertical="bottom" textRotation="0" wrapText="false" indent="0" shrinkToFit="false"/>
      <protection locked="true" hidden="false"/>
    </xf>
    <xf numFmtId="179" fontId="8" fillId="0" borderId="17" xfId="17" applyFont="true" applyBorder="true" applyAlignment="true" applyProtection="true">
      <alignment horizontal="center" vertical="bottom" textRotation="0" wrapText="false" indent="0" shrinkToFit="false"/>
      <protection locked="false" hidden="false"/>
    </xf>
    <xf numFmtId="201" fontId="4" fillId="0" borderId="74" xfId="15" applyFont="true" applyBorder="true" applyAlignment="true" applyProtection="true">
      <alignment horizontal="general" vertical="bottom" textRotation="0" wrapText="false" indent="0" shrinkToFit="false"/>
      <protection locked="true" hidden="false"/>
    </xf>
    <xf numFmtId="201" fontId="4" fillId="0" borderId="41" xfId="15" applyFont="true" applyBorder="true" applyAlignment="true" applyProtection="true">
      <alignment horizontal="general" vertical="bottom" textRotation="0" wrapText="false" indent="0" shrinkToFit="false"/>
      <protection locked="true" hidden="false"/>
    </xf>
    <xf numFmtId="201" fontId="4" fillId="0" borderId="66" xfId="15" applyFont="true" applyBorder="true" applyAlignment="true" applyProtection="true">
      <alignment horizontal="general" vertical="bottom" textRotation="0" wrapText="false" indent="0" shrinkToFit="false"/>
      <protection locked="true" hidden="false"/>
    </xf>
    <xf numFmtId="179" fontId="4" fillId="0" borderId="7" xfId="17" applyFont="true" applyBorder="true" applyAlignment="true" applyProtection="true">
      <alignment horizontal="general" vertical="bottom" textRotation="0" wrapText="false" indent="0" shrinkToFit="false"/>
      <protection locked="true" hidden="false"/>
    </xf>
    <xf numFmtId="179" fontId="4" fillId="0" borderId="37" xfId="17" applyFont="true" applyBorder="true" applyAlignment="true" applyProtection="true">
      <alignment horizontal="general" vertical="bottom" textRotation="0" wrapText="false" indent="0" shrinkToFit="false"/>
      <protection locked="true" hidden="false"/>
    </xf>
    <xf numFmtId="179" fontId="4" fillId="0" borderId="8" xfId="17" applyFont="true" applyBorder="true" applyAlignment="true" applyProtection="true">
      <alignment horizontal="general" vertical="bottom" textRotation="0" wrapText="false" indent="0" shrinkToFit="false"/>
      <protection locked="true" hidden="false"/>
    </xf>
    <xf numFmtId="164" fontId="0" fillId="9" borderId="7" xfId="0" applyFont="false" applyBorder="true" applyAlignment="false" applyProtection="false">
      <alignment horizontal="general" vertical="bottom" textRotation="0" wrapText="false" indent="0" shrinkToFit="false"/>
      <protection locked="true" hidden="false"/>
    </xf>
    <xf numFmtId="203" fontId="0" fillId="9" borderId="8" xfId="0" applyFont="false" applyBorder="true" applyAlignment="false" applyProtection="false">
      <alignment horizontal="general" vertical="bottom" textRotation="0" wrapText="false" indent="0" shrinkToFit="false"/>
      <protection locked="true" hidden="false"/>
    </xf>
    <xf numFmtId="164" fontId="8" fillId="0" borderId="138" xfId="21" applyFont="true" applyBorder="true" applyAlignment="true" applyProtection="true">
      <alignment horizontal="left" vertical="bottom" textRotation="0" wrapText="false" indent="0" shrinkToFit="false"/>
      <protection locked="false" hidden="false"/>
    </xf>
    <xf numFmtId="164" fontId="8" fillId="0" borderId="139" xfId="21" applyFont="true" applyBorder="true" applyAlignment="false" applyProtection="true">
      <alignment horizontal="general" vertical="bottom" textRotation="0" wrapText="false" indent="0" shrinkToFit="false"/>
      <protection locked="false" hidden="false"/>
    </xf>
    <xf numFmtId="237" fontId="7" fillId="3" borderId="140" xfId="21" applyFont="true" applyBorder="true" applyAlignment="false" applyProtection="false">
      <alignment horizontal="general" vertical="bottom" textRotation="0" wrapText="false" indent="0" shrinkToFit="false"/>
      <protection locked="true" hidden="false"/>
    </xf>
    <xf numFmtId="201" fontId="11" fillId="0" borderId="139" xfId="21" applyFont="true" applyBorder="true" applyAlignment="false" applyProtection="false">
      <alignment horizontal="general" vertical="bottom" textRotation="0" wrapText="false" indent="0" shrinkToFit="false"/>
      <protection locked="true" hidden="false"/>
    </xf>
    <xf numFmtId="164" fontId="8" fillId="0" borderId="139" xfId="21" applyFont="true" applyBorder="true" applyAlignment="true" applyProtection="true">
      <alignment horizontal="center" vertical="bottom" textRotation="0" wrapText="false" indent="0" shrinkToFit="false"/>
      <protection locked="false" hidden="false"/>
    </xf>
    <xf numFmtId="164" fontId="8" fillId="0" borderId="140" xfId="21" applyFont="true" applyBorder="true" applyAlignment="true" applyProtection="true">
      <alignment horizontal="center" vertical="bottom" textRotation="0" wrapText="false" indent="0" shrinkToFit="false"/>
      <protection locked="false" hidden="false"/>
    </xf>
    <xf numFmtId="164" fontId="8" fillId="3" borderId="140" xfId="21" applyFont="true" applyBorder="true" applyAlignment="true" applyProtection="true">
      <alignment horizontal="center" vertical="bottom" textRotation="0" wrapText="false" indent="0" shrinkToFit="false"/>
      <protection locked="false" hidden="false"/>
    </xf>
    <xf numFmtId="169" fontId="8" fillId="0" borderId="141" xfId="17" applyFont="true" applyBorder="true" applyAlignment="true" applyProtection="true">
      <alignment horizontal="center" vertical="bottom" textRotation="0" wrapText="false" indent="0" shrinkToFit="false"/>
      <protection locked="false" hidden="false"/>
    </xf>
    <xf numFmtId="164" fontId="8" fillId="0" borderId="141" xfId="21" applyFont="true" applyBorder="true" applyAlignment="false" applyProtection="true">
      <alignment horizontal="general" vertical="bottom" textRotation="0" wrapText="false" indent="0" shrinkToFit="false"/>
      <protection locked="false" hidden="false"/>
    </xf>
    <xf numFmtId="164" fontId="8" fillId="0" borderId="142" xfId="21" applyFont="true" applyBorder="true" applyAlignment="true" applyProtection="true">
      <alignment horizontal="center" vertical="bottom" textRotation="0" wrapText="false" indent="0" shrinkToFit="false"/>
      <protection locked="false" hidden="false"/>
    </xf>
    <xf numFmtId="171" fontId="8" fillId="6" borderId="45" xfId="0" applyFont="true" applyBorder="true" applyAlignment="false" applyProtection="true">
      <alignment horizontal="general" vertical="bottom" textRotation="0" wrapText="false" indent="0" shrinkToFit="false"/>
      <protection locked="false" hidden="false"/>
    </xf>
    <xf numFmtId="201" fontId="4" fillId="0" borderId="37" xfId="15" applyFont="true" applyBorder="true" applyAlignment="true" applyProtection="true">
      <alignment horizontal="general" vertical="bottom" textRotation="0" wrapText="false" indent="0" shrinkToFit="false"/>
      <protection locked="true" hidden="false"/>
    </xf>
    <xf numFmtId="201" fontId="4" fillId="0" borderId="45" xfId="15" applyFont="true" applyBorder="true" applyAlignment="true" applyProtection="true">
      <alignment horizontal="general" vertical="bottom" textRotation="0" wrapText="false" indent="0" shrinkToFit="false"/>
      <protection locked="true" hidden="false"/>
    </xf>
    <xf numFmtId="237" fontId="7" fillId="3" borderId="140" xfId="21" applyFont="true" applyBorder="true" applyAlignment="false" applyProtection="true">
      <alignment horizontal="general" vertical="bottom" textRotation="0" wrapText="false" indent="0" shrinkToFit="false"/>
      <protection locked="false" hidden="false"/>
    </xf>
    <xf numFmtId="201" fontId="11" fillId="0" borderId="139" xfId="21" applyFont="true" applyBorder="true" applyAlignment="false" applyProtection="true">
      <alignment horizontal="general" vertical="bottom" textRotation="0" wrapText="false" indent="0" shrinkToFit="false"/>
      <protection locked="false" hidden="false"/>
    </xf>
    <xf numFmtId="164" fontId="13" fillId="0" borderId="7" xfId="0" applyFont="true" applyBorder="true" applyAlignment="false" applyProtection="false">
      <alignment horizontal="general" vertical="bottom" textRotation="0" wrapText="false" indent="0" shrinkToFit="false"/>
      <protection locked="true" hidden="false"/>
    </xf>
    <xf numFmtId="164" fontId="8" fillId="0" borderId="139" xfId="0" applyFont="true" applyBorder="true" applyAlignment="true" applyProtection="true">
      <alignment horizontal="left" vertical="bottom" textRotation="0" wrapText="false" indent="0" shrinkToFit="false"/>
      <protection locked="false" hidden="false"/>
    </xf>
    <xf numFmtId="237" fontId="11" fillId="3" borderId="140" xfId="15" applyFont="true" applyBorder="true" applyAlignment="true" applyProtection="true">
      <alignment horizontal="general" vertical="bottom" textRotation="0" wrapText="false" indent="0" shrinkToFit="false"/>
      <protection locked="false" hidden="false"/>
    </xf>
    <xf numFmtId="201" fontId="8" fillId="0" borderId="139" xfId="15" applyFont="true" applyBorder="true" applyAlignment="true" applyProtection="true">
      <alignment horizontal="general" vertical="bottom" textRotation="0" wrapText="false" indent="0" shrinkToFit="false"/>
      <protection locked="false" hidden="false"/>
    </xf>
    <xf numFmtId="164" fontId="8" fillId="0" borderId="139" xfId="0" applyFont="true" applyBorder="true" applyAlignment="true" applyProtection="true">
      <alignment horizontal="center" vertical="bottom" textRotation="0" wrapText="false" indent="0" shrinkToFit="false"/>
      <protection locked="false" hidden="false"/>
    </xf>
    <xf numFmtId="164" fontId="8" fillId="0" borderId="140" xfId="0" applyFont="true" applyBorder="true" applyAlignment="true" applyProtection="true">
      <alignment horizontal="center" vertical="bottom" textRotation="0" wrapText="false" indent="0" shrinkToFit="false"/>
      <protection locked="false" hidden="false"/>
    </xf>
    <xf numFmtId="164" fontId="8" fillId="3" borderId="140" xfId="0" applyFont="true" applyBorder="true" applyAlignment="true" applyProtection="true">
      <alignment horizontal="center" vertical="bottom" textRotation="0" wrapText="false" indent="0" shrinkToFit="false"/>
      <protection locked="false" hidden="false"/>
    </xf>
    <xf numFmtId="164" fontId="8" fillId="0" borderId="141" xfId="0" applyFont="true" applyBorder="true" applyAlignment="false" applyProtection="true">
      <alignment horizontal="general" vertical="bottom" textRotation="0" wrapText="false" indent="0" shrinkToFit="false"/>
      <protection locked="false" hidden="false"/>
    </xf>
    <xf numFmtId="164" fontId="8" fillId="0" borderId="142" xfId="0" applyFont="true" applyBorder="true" applyAlignment="true" applyProtection="true">
      <alignment horizontal="center" vertical="bottom" textRotation="0" wrapText="false" indent="0" shrinkToFit="false"/>
      <protection locked="false" hidden="false"/>
    </xf>
    <xf numFmtId="164" fontId="8" fillId="0" borderId="138" xfId="0" applyFont="true" applyBorder="true" applyAlignment="true" applyProtection="true">
      <alignment horizontal="left" vertical="bottom" textRotation="0" wrapText="false" indent="0" shrinkToFit="false"/>
      <protection locked="false" hidden="false"/>
    </xf>
    <xf numFmtId="237" fontId="8" fillId="3" borderId="140" xfId="15" applyFont="true" applyBorder="true" applyAlignment="true" applyProtection="true">
      <alignment horizontal="general" vertical="bottom" textRotation="0" wrapText="false" indent="0" shrinkToFit="false"/>
      <protection locked="false" hidden="false"/>
    </xf>
    <xf numFmtId="237" fontId="11" fillId="3" borderId="140" xfId="21" applyFont="true" applyBorder="true" applyAlignment="false" applyProtection="false">
      <alignment horizontal="general" vertical="bottom" textRotation="0" wrapText="false" indent="0" shrinkToFit="false"/>
      <protection locked="true" hidden="false"/>
    </xf>
    <xf numFmtId="237" fontId="11" fillId="3" borderId="140" xfId="21" applyFont="true" applyBorder="true" applyAlignment="false" applyProtection="true">
      <alignment horizontal="general" vertical="bottom" textRotation="0" wrapText="false" indent="0" shrinkToFit="false"/>
      <protection locked="false" hidden="false"/>
    </xf>
    <xf numFmtId="164" fontId="8" fillId="0" borderId="143" xfId="0" applyFont="true" applyBorder="true" applyAlignment="true" applyProtection="true">
      <alignment horizontal="left" vertical="bottom" textRotation="0" wrapText="false" indent="0" shrinkToFit="false"/>
      <protection locked="false" hidden="false"/>
    </xf>
    <xf numFmtId="164" fontId="8" fillId="0" borderId="144" xfId="0" applyFont="true" applyBorder="true" applyAlignment="true" applyProtection="true">
      <alignment horizontal="left" vertical="bottom" textRotation="0" wrapText="false" indent="0" shrinkToFit="false"/>
      <protection locked="false" hidden="false"/>
    </xf>
    <xf numFmtId="237" fontId="8" fillId="3" borderId="145" xfId="15" applyFont="true" applyBorder="true" applyAlignment="true" applyProtection="true">
      <alignment horizontal="general" vertical="bottom" textRotation="0" wrapText="false" indent="0" shrinkToFit="false"/>
      <protection locked="false" hidden="false"/>
    </xf>
    <xf numFmtId="201" fontId="8" fillId="0" borderId="144" xfId="15" applyFont="true" applyBorder="true" applyAlignment="true" applyProtection="true">
      <alignment horizontal="general" vertical="bottom" textRotation="0" wrapText="false" indent="0" shrinkToFit="false"/>
      <protection locked="false" hidden="false"/>
    </xf>
    <xf numFmtId="164" fontId="8" fillId="0" borderId="144" xfId="0" applyFont="true" applyBorder="true" applyAlignment="true" applyProtection="true">
      <alignment horizontal="center" vertical="bottom" textRotation="0" wrapText="false" indent="0" shrinkToFit="false"/>
      <protection locked="false" hidden="false"/>
    </xf>
    <xf numFmtId="164" fontId="8" fillId="0" borderId="145" xfId="0" applyFont="true" applyBorder="true" applyAlignment="true" applyProtection="true">
      <alignment horizontal="center" vertical="bottom" textRotation="0" wrapText="false" indent="0" shrinkToFit="false"/>
      <protection locked="false" hidden="false"/>
    </xf>
    <xf numFmtId="164" fontId="8" fillId="3" borderId="145" xfId="0" applyFont="true" applyBorder="true" applyAlignment="true" applyProtection="true">
      <alignment horizontal="center" vertical="bottom" textRotation="0" wrapText="false" indent="0" shrinkToFit="false"/>
      <protection locked="false" hidden="false"/>
    </xf>
    <xf numFmtId="169" fontId="8" fillId="0" borderId="146" xfId="17" applyFont="true" applyBorder="true" applyAlignment="true" applyProtection="true">
      <alignment horizontal="center" vertical="bottom" textRotation="0" wrapText="false" indent="0" shrinkToFit="false"/>
      <protection locked="false" hidden="false"/>
    </xf>
    <xf numFmtId="164" fontId="8" fillId="0" borderId="146" xfId="0" applyFont="true" applyBorder="true" applyAlignment="false" applyProtection="true">
      <alignment horizontal="general" vertical="bottom" textRotation="0" wrapText="false" indent="0" shrinkToFit="false"/>
      <protection locked="false" hidden="false"/>
    </xf>
    <xf numFmtId="164" fontId="8" fillId="0" borderId="146" xfId="0" applyFont="true" applyBorder="true" applyAlignment="true" applyProtection="true">
      <alignment horizontal="center" vertical="bottom" textRotation="0" wrapText="false" indent="0" shrinkToFit="false"/>
      <protection locked="false" hidden="false"/>
    </xf>
    <xf numFmtId="196" fontId="8" fillId="6" borderId="19" xfId="0" applyFont="true" applyBorder="true" applyAlignment="true" applyProtection="true">
      <alignment horizontal="center" vertical="bottom" textRotation="0" wrapText="false" indent="0" shrinkToFit="false"/>
      <protection locked="false" hidden="false"/>
    </xf>
    <xf numFmtId="171" fontId="8" fillId="6" borderId="51" xfId="0" applyFont="true" applyBorder="true" applyAlignment="false" applyProtection="true">
      <alignment horizontal="general" vertical="bottom" textRotation="0" wrapText="false" indent="0" shrinkToFit="false"/>
      <protection locked="false" hidden="false"/>
    </xf>
    <xf numFmtId="179" fontId="8" fillId="0" borderId="13" xfId="17" applyFont="true" applyBorder="true" applyAlignment="true" applyProtection="true">
      <alignment horizontal="center" vertical="bottom" textRotation="0" wrapText="false" indent="0" shrinkToFit="false"/>
      <protection locked="false" hidden="false"/>
    </xf>
    <xf numFmtId="201" fontId="4" fillId="0" borderId="75" xfId="15" applyFont="true" applyBorder="true" applyAlignment="true" applyProtection="true">
      <alignment horizontal="general" vertical="bottom" textRotation="0" wrapText="false" indent="0" shrinkToFit="false"/>
      <protection locked="true" hidden="false"/>
    </xf>
    <xf numFmtId="201" fontId="4" fillId="0" borderId="2" xfId="15" applyFont="true" applyBorder="true" applyAlignment="true" applyProtection="true">
      <alignment horizontal="general" vertical="bottom" textRotation="0" wrapText="false" indent="0" shrinkToFit="false"/>
      <protection locked="true" hidden="false"/>
    </xf>
    <xf numFmtId="201" fontId="4" fillId="0" borderId="89" xfId="15" applyFont="true" applyBorder="true" applyAlignment="true" applyProtection="true">
      <alignment horizontal="general" vertical="bottom" textRotation="0" wrapText="false" indent="0" shrinkToFit="false"/>
      <protection locked="true" hidden="false"/>
    </xf>
    <xf numFmtId="164" fontId="0" fillId="9" borderId="12" xfId="0" applyFont="false" applyBorder="true" applyAlignment="false" applyProtection="false">
      <alignment horizontal="general" vertical="bottom" textRotation="0" wrapText="false" indent="0" shrinkToFit="false"/>
      <protection locked="true" hidden="false"/>
    </xf>
    <xf numFmtId="201" fontId="0" fillId="9" borderId="6" xfId="0" applyFont="false" applyBorder="true" applyAlignment="false" applyProtection="false">
      <alignment horizontal="general" vertical="bottom" textRotation="0" wrapText="false" indent="0" shrinkToFit="false"/>
      <protection locked="true" hidden="false"/>
    </xf>
    <xf numFmtId="203" fontId="0" fillId="9" borderId="13" xfId="0" applyFont="false" applyBorder="true" applyAlignment="false" applyProtection="false">
      <alignment horizontal="general" vertical="bottom" textRotation="0" wrapText="false" indent="0" shrinkToFit="false"/>
      <protection locked="true" hidden="false"/>
    </xf>
    <xf numFmtId="201" fontId="8" fillId="3" borderId="3" xfId="15" applyFont="true" applyBorder="true" applyAlignment="true" applyProtection="true">
      <alignment horizontal="center" vertical="bottom" textRotation="0" wrapText="false" indent="0" shrinkToFit="false"/>
      <protection locked="false" hidden="false"/>
    </xf>
    <xf numFmtId="179" fontId="0" fillId="0" borderId="16" xfId="17" applyFont="true" applyBorder="true" applyAlignment="true" applyProtection="true">
      <alignment horizontal="general" vertical="bottom" textRotation="0" wrapText="false" indent="0" shrinkToFit="false"/>
      <protection locked="true" hidden="false"/>
    </xf>
    <xf numFmtId="179" fontId="0" fillId="0" borderId="9" xfId="17" applyFont="true" applyBorder="true" applyAlignment="true" applyProtection="true">
      <alignment horizontal="general" vertical="bottom" textRotation="0" wrapText="false" indent="0" shrinkToFit="false"/>
      <protection locked="true" hidden="false"/>
    </xf>
    <xf numFmtId="179" fontId="0" fillId="0" borderId="110" xfId="17" applyFont="true" applyBorder="true" applyAlignment="true" applyProtection="true">
      <alignment horizontal="general" vertical="bottom" textRotation="0" wrapText="false" indent="0" shrinkToFit="false"/>
      <protection locked="true" hidden="false"/>
    </xf>
    <xf numFmtId="179" fontId="0" fillId="0" borderId="42" xfId="17" applyFont="true" applyBorder="true" applyAlignment="true" applyProtection="true">
      <alignment horizontal="general" vertical="bottom" textRotation="0" wrapText="false" indent="0" shrinkToFit="false"/>
      <protection locked="true" hidden="false"/>
    </xf>
    <xf numFmtId="179" fontId="0" fillId="0" borderId="17" xfId="17" applyFont="true" applyBorder="true" applyAlignment="true" applyProtection="true">
      <alignment horizontal="general" vertical="bottom" textRotation="0" wrapText="false" indent="0" shrinkToFit="false"/>
      <protection locked="true" hidden="false"/>
    </xf>
    <xf numFmtId="179" fontId="88" fillId="9" borderId="0" xfId="0" applyFont="true" applyBorder="false" applyAlignment="false" applyProtection="false">
      <alignment horizontal="general" vertical="bottom" textRotation="0" wrapText="false" indent="0" shrinkToFit="false"/>
      <protection locked="true" hidden="false"/>
    </xf>
    <xf numFmtId="179" fontId="0" fillId="0" borderId="38" xfId="17" applyFont="true" applyBorder="true" applyAlignment="true" applyProtection="true">
      <alignment horizontal="general" vertical="bottom" textRotation="0" wrapText="false" indent="0" shrinkToFit="false"/>
      <protection locked="true" hidden="false"/>
    </xf>
    <xf numFmtId="179" fontId="0" fillId="0" borderId="51" xfId="17" applyFont="true" applyBorder="true" applyAlignment="true" applyProtection="true">
      <alignment horizontal="general" vertical="bottom" textRotation="0" wrapText="false" indent="0" shrinkToFit="false"/>
      <protection locked="true" hidden="false"/>
    </xf>
    <xf numFmtId="193" fontId="8" fillId="3" borderId="55" xfId="0" applyFont="true" applyBorder="true" applyAlignment="true" applyProtection="true">
      <alignment horizontal="center" vertical="bottom" textRotation="0" wrapText="false" indent="0" shrinkToFit="false"/>
      <protection locked="false" hidden="false"/>
    </xf>
    <xf numFmtId="184" fontId="8" fillId="3" borderId="32" xfId="19" applyFont="true" applyBorder="true" applyAlignment="true" applyProtection="true">
      <alignment horizontal="general" vertical="bottom" textRotation="0" wrapText="false" indent="0" shrinkToFit="false"/>
      <protection locked="false" hidden="false"/>
    </xf>
    <xf numFmtId="164" fontId="6" fillId="9" borderId="7" xfId="0" applyFont="true" applyBorder="true" applyAlignment="false" applyProtection="true">
      <alignment horizontal="general" vertical="bottom" textRotation="0" wrapText="false" indent="0" shrinkToFit="false"/>
      <protection locked="false" hidden="false"/>
    </xf>
    <xf numFmtId="179" fontId="8" fillId="9" borderId="11" xfId="17" applyFont="true" applyBorder="true" applyAlignment="true" applyProtection="true">
      <alignment horizontal="center" vertical="bottom" textRotation="0" wrapText="false" indent="0" shrinkToFit="false"/>
      <protection locked="false" hidden="false"/>
    </xf>
    <xf numFmtId="185" fontId="6" fillId="9" borderId="0" xfId="19" applyFont="true" applyBorder="true" applyAlignment="true" applyProtection="true">
      <alignment horizontal="center" vertical="bottom" textRotation="0" wrapText="false" indent="0" shrinkToFit="false"/>
      <protection locked="true" hidden="false"/>
    </xf>
    <xf numFmtId="169" fontId="8" fillId="9" borderId="11" xfId="17" applyFont="true" applyBorder="true" applyAlignment="true" applyProtection="true">
      <alignment horizontal="center" vertical="bottom" textRotation="0" wrapText="false" indent="0" shrinkToFit="false"/>
      <protection locked="false" hidden="false"/>
    </xf>
    <xf numFmtId="185" fontId="8" fillId="3" borderId="11" xfId="19" applyFont="true" applyBorder="true" applyAlignment="true" applyProtection="true">
      <alignment horizontal="center" vertical="bottom" textRotation="0" wrapText="false" indent="0" shrinkToFit="false"/>
      <protection locked="false" hidden="false"/>
    </xf>
    <xf numFmtId="179" fontId="6" fillId="0" borderId="3" xfId="0" applyFont="true" applyBorder="true" applyAlignment="true" applyProtection="false">
      <alignment horizontal="center" vertical="bottom" textRotation="0" wrapText="false" indent="0" shrinkToFit="false"/>
      <protection locked="true" hidden="false"/>
    </xf>
    <xf numFmtId="164" fontId="6" fillId="34" borderId="21" xfId="0" applyFont="true" applyBorder="true" applyAlignment="false" applyProtection="true">
      <alignment horizontal="general" vertical="bottom" textRotation="0" wrapText="false" indent="0" shrinkToFit="false"/>
      <protection locked="false" hidden="false"/>
    </xf>
    <xf numFmtId="169" fontId="69" fillId="34" borderId="22" xfId="17" applyFont="true" applyBorder="true" applyAlignment="true" applyProtection="true">
      <alignment horizontal="center" vertical="bottom" textRotation="0" wrapText="false" indent="0" shrinkToFit="false"/>
      <protection locked="false" hidden="false"/>
    </xf>
    <xf numFmtId="185" fontId="6" fillId="34" borderId="22" xfId="19" applyFont="true" applyBorder="true" applyAlignment="true" applyProtection="true">
      <alignment horizontal="center" vertical="bottom" textRotation="0" wrapText="false" indent="0" shrinkToFit="false"/>
      <protection locked="true" hidden="false"/>
    </xf>
    <xf numFmtId="185" fontId="8" fillId="34" borderId="22" xfId="19" applyFont="true" applyBorder="true" applyAlignment="true" applyProtection="true">
      <alignment horizontal="center" vertical="bottom" textRotation="0" wrapText="false" indent="0" shrinkToFit="false"/>
      <protection locked="false" hidden="false"/>
    </xf>
    <xf numFmtId="184" fontId="8" fillId="34" borderId="22" xfId="19" applyFont="true" applyBorder="true" applyAlignment="true" applyProtection="true">
      <alignment horizontal="center" vertical="bottom" textRotation="0" wrapText="false" indent="0" shrinkToFit="false"/>
      <protection locked="false" hidden="false"/>
    </xf>
    <xf numFmtId="184" fontId="8" fillId="34" borderId="23" xfId="19" applyFont="true" applyBorder="true" applyAlignment="true" applyProtection="true">
      <alignment horizontal="center" vertical="bottom" textRotation="0" wrapText="false" indent="0" shrinkToFit="false"/>
      <protection locked="false" hidden="false"/>
    </xf>
    <xf numFmtId="179" fontId="89" fillId="0" borderId="9" xfId="0" applyFont="true" applyBorder="true" applyAlignment="true" applyProtection="false">
      <alignment horizontal="center" vertical="bottom" textRotation="0" wrapText="false" indent="0" shrinkToFit="false"/>
      <protection locked="true" hidden="false"/>
    </xf>
    <xf numFmtId="179" fontId="8" fillId="14" borderId="6" xfId="17" applyFont="true" applyBorder="true" applyAlignment="true" applyProtection="true">
      <alignment horizontal="center" vertical="bottom" textRotation="0" wrapText="false" indent="0" shrinkToFit="false"/>
      <protection locked="true" hidden="false"/>
    </xf>
    <xf numFmtId="179" fontId="8" fillId="15" borderId="33" xfId="17" applyFont="true" applyBorder="true" applyAlignment="true" applyProtection="true">
      <alignment horizontal="center" vertical="bottom" textRotation="0" wrapText="false" indent="0" shrinkToFit="false"/>
      <protection locked="true" hidden="false"/>
    </xf>
    <xf numFmtId="201" fontId="69" fillId="14" borderId="51" xfId="0" applyFont="true" applyBorder="true" applyAlignment="true" applyProtection="false">
      <alignment horizontal="center" vertical="bottom" textRotation="0" wrapText="false" indent="0" shrinkToFit="false"/>
      <protection locked="true" hidden="false"/>
    </xf>
    <xf numFmtId="179" fontId="90" fillId="14" borderId="6" xfId="0" applyFont="true" applyBorder="true" applyAlignment="true" applyProtection="false">
      <alignment horizontal="center" vertical="bottom" textRotation="0" wrapText="false" indent="0" shrinkToFit="false"/>
      <protection locked="true" hidden="false"/>
    </xf>
    <xf numFmtId="171" fontId="69" fillId="3" borderId="0" xfId="0" applyFont="true" applyBorder="false" applyAlignment="false" applyProtection="true">
      <alignment horizontal="general" vertical="bottom" textRotation="0" wrapText="false" indent="0" shrinkToFit="false"/>
      <protection locked="false" hidden="false"/>
    </xf>
    <xf numFmtId="171" fontId="8" fillId="3" borderId="0" xfId="0" applyFont="true" applyBorder="false" applyAlignment="false" applyProtection="true">
      <alignment horizontal="general" vertical="bottom" textRotation="0" wrapText="false" indent="0" shrinkToFit="false"/>
      <protection locked="false" hidden="false"/>
    </xf>
    <xf numFmtId="180" fontId="8" fillId="3" borderId="0" xfId="0" applyFont="true" applyBorder="false" applyAlignment="false" applyProtection="true">
      <alignment horizontal="general" vertical="bottom" textRotation="0" wrapText="false" indent="0" shrinkToFit="false"/>
      <protection locked="false" hidden="false"/>
    </xf>
    <xf numFmtId="171" fontId="8" fillId="3" borderId="0" xfId="0" applyFont="true" applyBorder="false" applyAlignment="true" applyProtection="true">
      <alignment horizontal="left" vertical="bottom" textRotation="0" wrapText="false" indent="0" shrinkToFit="false"/>
      <protection locked="false" hidden="false"/>
    </xf>
    <xf numFmtId="164" fontId="8" fillId="6" borderId="100" xfId="0" applyFont="true" applyBorder="true" applyAlignment="false" applyProtection="false">
      <alignment horizontal="general" vertical="bottom" textRotation="0" wrapText="false" indent="0" shrinkToFit="false"/>
      <protection locked="true" hidden="false"/>
    </xf>
    <xf numFmtId="164" fontId="8" fillId="6" borderId="4" xfId="0" applyFont="true" applyBorder="true" applyAlignment="true" applyProtection="false">
      <alignment horizontal="right" vertical="bottom" textRotation="0" wrapText="false" indent="1" shrinkToFit="false"/>
      <protection locked="true" hidden="false"/>
    </xf>
    <xf numFmtId="164" fontId="8" fillId="6" borderId="5" xfId="0" applyFont="true" applyBorder="true" applyAlignment="false" applyProtection="false">
      <alignment horizontal="general" vertical="bottom" textRotation="0" wrapText="false" indent="0" shrinkToFit="false"/>
      <protection locked="true" hidden="false"/>
    </xf>
    <xf numFmtId="164" fontId="8" fillId="6" borderId="102" xfId="0" applyFont="true" applyBorder="true" applyAlignment="false" applyProtection="false">
      <alignment horizontal="general" vertical="bottom" textRotation="0" wrapText="false" indent="0" shrinkToFit="false"/>
      <protection locked="true" hidden="false"/>
    </xf>
    <xf numFmtId="164" fontId="8" fillId="21"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6" shrinkToFit="false"/>
      <protection locked="true" hidden="false"/>
    </xf>
    <xf numFmtId="183" fontId="8" fillId="9" borderId="6" xfId="19" applyFont="true" applyBorder="true" applyAlignment="true" applyProtection="true">
      <alignment horizontal="general" vertical="bottom" textRotation="0" wrapText="false" indent="0" shrinkToFit="false"/>
      <protection locked="false" hidden="false"/>
    </xf>
    <xf numFmtId="201" fontId="8" fillId="9" borderId="6" xfId="15" applyFont="true" applyBorder="true" applyAlignment="true" applyProtection="true">
      <alignment horizontal="center" vertical="bottom" textRotation="0" wrapText="false" indent="0" shrinkToFit="false"/>
      <protection locked="true" hidden="false"/>
    </xf>
    <xf numFmtId="179" fontId="8" fillId="9" borderId="6" xfId="17" applyFont="true" applyBorder="true" applyAlignment="true" applyProtection="true">
      <alignment horizontal="center" vertical="bottom" textRotation="0" wrapText="false" indent="0" shrinkToFit="false"/>
      <protection locked="true" hidden="false"/>
    </xf>
    <xf numFmtId="164" fontId="69" fillId="0" borderId="0" xfId="0" applyFont="true" applyBorder="false" applyAlignment="false" applyProtection="false">
      <alignment horizontal="general" vertical="bottom" textRotation="0" wrapText="false" indent="0" shrinkToFit="false"/>
      <protection locked="true" hidden="false"/>
    </xf>
    <xf numFmtId="164" fontId="6" fillId="6" borderId="8" xfId="0" applyFont="true" applyBorder="true" applyAlignment="true" applyProtection="false">
      <alignment horizontal="center" vertical="bottom" textRotation="0" wrapText="false" indent="0" shrinkToFit="false"/>
      <protection locked="true" hidden="false"/>
    </xf>
    <xf numFmtId="179" fontId="8" fillId="9" borderId="17" xfId="17" applyFont="true" applyBorder="true" applyAlignment="true" applyProtection="true">
      <alignment horizontal="center" vertical="bottom" textRotation="0" wrapText="false" indent="0" shrinkToFit="false"/>
      <protection locked="false" hidden="false"/>
    </xf>
    <xf numFmtId="164" fontId="6" fillId="0" borderId="91" xfId="0" applyFont="true" applyBorder="true" applyAlignment="true" applyProtection="true">
      <alignment horizontal="center" vertical="bottom" textRotation="0" wrapText="false" indent="0" shrinkToFit="false"/>
      <protection locked="false" hidden="false"/>
    </xf>
    <xf numFmtId="183" fontId="8" fillId="22" borderId="55" xfId="19" applyFont="true" applyBorder="true" applyAlignment="true" applyProtection="true">
      <alignment horizontal="center" vertical="bottom" textRotation="0" wrapText="false" indent="0" shrinkToFit="false"/>
      <protection locked="false" hidden="false"/>
    </xf>
    <xf numFmtId="179" fontId="8" fillId="9" borderId="8" xfId="17" applyFont="true" applyBorder="true" applyAlignment="true" applyProtection="true">
      <alignment horizontal="center" vertical="bottom" textRotation="0" wrapText="false" indent="0" shrinkToFit="false"/>
      <protection locked="false" hidden="false"/>
    </xf>
    <xf numFmtId="169" fontId="8" fillId="0" borderId="67" xfId="0" applyFont="true" applyBorder="true" applyAlignment="true" applyProtection="true">
      <alignment horizontal="center" vertical="bottom" textRotation="0" wrapText="false" indent="0" shrinkToFit="false"/>
      <protection locked="false" hidden="false"/>
    </xf>
    <xf numFmtId="179" fontId="8" fillId="0" borderId="6" xfId="0" applyFont="true" applyBorder="true" applyAlignment="false" applyProtection="true">
      <alignment horizontal="general" vertical="bottom" textRotation="0" wrapText="false" indent="0" shrinkToFit="false"/>
      <protection locked="false" hidden="false"/>
    </xf>
    <xf numFmtId="179" fontId="8" fillId="9" borderId="13" xfId="17" applyFont="true" applyBorder="true" applyAlignment="true" applyProtection="true">
      <alignment horizontal="center" vertical="bottom" textRotation="0" wrapText="false" indent="0" shrinkToFit="false"/>
      <protection locked="false" hidden="false"/>
    </xf>
    <xf numFmtId="164" fontId="6" fillId="6" borderId="8" xfId="0" applyFont="true" applyBorder="true" applyAlignment="true" applyProtection="true">
      <alignment horizontal="center" vertical="bottom" textRotation="0" wrapText="false" indent="0" shrinkToFit="false"/>
      <protection locked="false" hidden="false"/>
    </xf>
    <xf numFmtId="169" fontId="8" fillId="15" borderId="110" xfId="17" applyFont="true" applyBorder="true" applyAlignment="true" applyProtection="true">
      <alignment horizontal="right" vertical="bottom" textRotation="0" wrapText="false" indent="0" shrinkToFit="false"/>
      <protection locked="false" hidden="false"/>
    </xf>
    <xf numFmtId="193" fontId="8" fillId="9" borderId="42" xfId="15" applyFont="true" applyBorder="true" applyAlignment="true" applyProtection="true">
      <alignment horizontal="general" vertical="bottom" textRotation="0" wrapText="false" indent="0" shrinkToFit="false"/>
      <protection locked="false" hidden="false"/>
    </xf>
    <xf numFmtId="164" fontId="8" fillId="3" borderId="109" xfId="0" applyFont="true" applyBorder="true" applyAlignment="true" applyProtection="true">
      <alignment horizontal="center" vertical="bottom" textRotation="0" wrapText="false" indent="0" shrinkToFit="false"/>
      <protection locked="false" hidden="false"/>
    </xf>
    <xf numFmtId="193" fontId="8" fillId="9" borderId="45" xfId="15" applyFont="true" applyBorder="true" applyAlignment="true" applyProtection="true">
      <alignment horizontal="general" vertical="bottom" textRotation="0" wrapText="false" indent="0" shrinkToFit="false"/>
      <protection locked="false" hidden="false"/>
    </xf>
    <xf numFmtId="164" fontId="8" fillId="0" borderId="111" xfId="0" applyFont="true" applyBorder="true" applyAlignment="true" applyProtection="true">
      <alignment horizontal="left" vertical="bottom" textRotation="0" wrapText="false" indent="0" shrinkToFit="false"/>
      <protection locked="false" hidden="false"/>
    </xf>
    <xf numFmtId="201" fontId="8" fillId="3" borderId="55" xfId="15" applyFont="true" applyBorder="true" applyAlignment="true" applyProtection="true">
      <alignment horizontal="left" vertical="bottom" textRotation="0" wrapText="false" indent="0" shrinkToFit="false"/>
      <protection locked="false" hidden="false"/>
    </xf>
    <xf numFmtId="193" fontId="8" fillId="9" borderId="45" xfId="15" applyFont="true" applyBorder="true" applyAlignment="true" applyProtection="true">
      <alignment horizontal="left" vertical="bottom" textRotation="0" wrapText="false" indent="0" shrinkToFit="false"/>
      <protection locked="false" hidden="false"/>
    </xf>
    <xf numFmtId="164" fontId="8" fillId="9" borderId="57" xfId="0" applyFont="true" applyBorder="true" applyAlignment="false" applyProtection="false">
      <alignment horizontal="general" vertical="bottom" textRotation="0" wrapText="false" indent="0" shrinkToFit="false"/>
      <protection locked="true" hidden="false"/>
    </xf>
    <xf numFmtId="193" fontId="8" fillId="9" borderId="45" xfId="0" applyFont="true" applyBorder="true" applyAlignment="false" applyProtection="true">
      <alignment horizontal="general" vertical="bottom" textRotation="0" wrapText="false" indent="0" shrinkToFit="false"/>
      <protection locked="false" hidden="false"/>
    </xf>
    <xf numFmtId="164" fontId="8" fillId="36" borderId="7" xfId="0" applyFont="true" applyBorder="true" applyAlignment="true" applyProtection="true">
      <alignment horizontal="left" vertical="bottom" textRotation="0" wrapText="false" indent="0" shrinkToFit="false"/>
      <protection locked="false" hidden="false"/>
    </xf>
    <xf numFmtId="201" fontId="8" fillId="36" borderId="67" xfId="15" applyFont="true" applyBorder="true" applyAlignment="true" applyProtection="true">
      <alignment horizontal="general" vertical="bottom" textRotation="0" wrapText="false" indent="0" shrinkToFit="false"/>
      <protection locked="false" hidden="false"/>
    </xf>
    <xf numFmtId="164" fontId="8" fillId="36" borderId="0" xfId="0" applyFont="true" applyBorder="false" applyAlignment="false" applyProtection="true">
      <alignment horizontal="general" vertical="bottom" textRotation="0" wrapText="false" indent="0" shrinkToFit="false"/>
      <protection locked="false" hidden="false"/>
    </xf>
    <xf numFmtId="169" fontId="8" fillId="36" borderId="37" xfId="17" applyFont="true" applyBorder="true" applyAlignment="true" applyProtection="true">
      <alignment horizontal="right" vertical="bottom" textRotation="0" wrapText="false" indent="0" shrinkToFit="false"/>
      <protection locked="false" hidden="false"/>
    </xf>
    <xf numFmtId="193" fontId="8" fillId="36" borderId="45" xfId="0" applyFont="true" applyBorder="true" applyAlignment="false" applyProtection="true">
      <alignment horizontal="general" vertical="bottom" textRotation="0" wrapText="false" indent="0" shrinkToFit="false"/>
      <protection locked="false" hidden="false"/>
    </xf>
    <xf numFmtId="164" fontId="8" fillId="36" borderId="0" xfId="0" applyFont="true" applyBorder="false" applyAlignment="false" applyProtection="false">
      <alignment horizontal="general" vertical="bottom" textRotation="0" wrapText="false" indent="0" shrinkToFit="false"/>
      <protection locked="true" hidden="false"/>
    </xf>
    <xf numFmtId="164" fontId="24" fillId="36" borderId="0" xfId="0" applyFont="true" applyBorder="false" applyAlignment="false" applyProtection="false">
      <alignment horizontal="general" vertical="bottom" textRotation="0" wrapText="false" indent="0" shrinkToFit="false"/>
      <protection locked="true" hidden="false"/>
    </xf>
    <xf numFmtId="179" fontId="8" fillId="36" borderId="8" xfId="17" applyFont="true" applyBorder="true" applyAlignment="true" applyProtection="true">
      <alignment horizontal="center" vertical="bottom" textRotation="0" wrapText="false" indent="0" shrinkToFit="false"/>
      <protection locked="true" hidden="false"/>
    </xf>
    <xf numFmtId="179" fontId="8" fillId="15" borderId="37" xfId="17" applyFont="true" applyBorder="true" applyAlignment="true" applyProtection="true">
      <alignment horizontal="right" vertical="bottom" textRotation="0" wrapText="false" indent="0" shrinkToFit="false"/>
      <protection locked="false" hidden="false"/>
    </xf>
    <xf numFmtId="179" fontId="8" fillId="9" borderId="45" xfId="17" applyFont="true" applyBorder="true" applyAlignment="true" applyProtection="true">
      <alignment horizontal="left" vertical="bottom" textRotation="0" wrapText="false" indent="0" shrinkToFit="false"/>
      <protection locked="false" hidden="false"/>
    </xf>
    <xf numFmtId="201" fontId="8" fillId="3" borderId="72" xfId="15" applyFont="true" applyBorder="true" applyAlignment="true" applyProtection="true">
      <alignment horizontal="general" vertical="bottom" textRotation="0" wrapText="false" indent="0" shrinkToFit="false"/>
      <protection locked="false" hidden="false"/>
    </xf>
    <xf numFmtId="179" fontId="8" fillId="15" borderId="38" xfId="17" applyFont="true" applyBorder="true" applyAlignment="true" applyProtection="true">
      <alignment horizontal="right" vertical="bottom" textRotation="0" wrapText="false" indent="0" shrinkToFit="false"/>
      <protection locked="false" hidden="false"/>
    </xf>
    <xf numFmtId="179" fontId="8" fillId="9" borderId="51" xfId="17" applyFont="true" applyBorder="true" applyAlignment="true" applyProtection="true">
      <alignment horizontal="general" vertical="bottom" textRotation="0" wrapText="false" indent="0" shrinkToFit="false"/>
      <protection locked="false" hidden="false"/>
    </xf>
    <xf numFmtId="169" fontId="8" fillId="0" borderId="17" xfId="0" applyFont="true" applyBorder="true" applyAlignment="true" applyProtection="false">
      <alignment horizontal="center" vertical="bottom" textRotation="0" wrapText="false" indent="0" shrinkToFit="false"/>
      <protection locked="true" hidden="false"/>
    </xf>
    <xf numFmtId="164" fontId="8" fillId="34" borderId="9" xfId="0" applyFont="true" applyBorder="true" applyAlignment="false" applyProtection="true">
      <alignment horizontal="general" vertical="bottom" textRotation="0" wrapText="false" indent="0" shrinkToFit="false"/>
      <protection locked="false" hidden="false"/>
    </xf>
    <xf numFmtId="164" fontId="8" fillId="0" borderId="41" xfId="0" applyFont="true" applyBorder="true" applyAlignment="true" applyProtection="false">
      <alignment horizontal="right" vertical="bottom" textRotation="0" wrapText="false" indent="0" shrinkToFit="false"/>
      <protection locked="true" hidden="false"/>
    </xf>
    <xf numFmtId="164" fontId="0" fillId="34" borderId="0" xfId="0" applyFont="false" applyBorder="false" applyAlignment="false" applyProtection="false">
      <alignment horizontal="general" vertical="bottom" textRotation="0" wrapText="false" indent="0" shrinkToFit="false"/>
      <protection locked="true" hidden="false"/>
    </xf>
    <xf numFmtId="164" fontId="6" fillId="0" borderId="75" xfId="0" applyFont="true" applyBorder="true" applyAlignment="false" applyProtection="false">
      <alignment horizontal="general" vertical="bottom" textRotation="0" wrapText="false" indent="0" shrinkToFit="false"/>
      <protection locked="true" hidden="false"/>
    </xf>
    <xf numFmtId="179" fontId="6" fillId="0" borderId="2" xfId="0" applyFont="true" applyBorder="true" applyAlignment="true" applyProtection="false">
      <alignment horizontal="center" vertical="bottom" textRotation="0" wrapText="false" indent="0" shrinkToFit="false"/>
      <protection locked="true" hidden="false"/>
    </xf>
    <xf numFmtId="164" fontId="8" fillId="34" borderId="8" xfId="0" applyFont="true" applyBorder="true" applyAlignment="false" applyProtection="false">
      <alignment horizontal="general" vertical="bottom" textRotation="0" wrapText="false" indent="0" shrinkToFit="false"/>
      <protection locked="true" hidden="false"/>
    </xf>
    <xf numFmtId="164" fontId="8" fillId="34" borderId="6" xfId="0" applyFont="true" applyBorder="true" applyAlignment="false" applyProtection="false">
      <alignment horizontal="general" vertical="bottom" textRotation="0" wrapText="false" indent="0" shrinkToFit="false"/>
      <protection locked="true" hidden="false"/>
    </xf>
    <xf numFmtId="171" fontId="8" fillId="0" borderId="0" xfId="0" applyFont="true" applyBorder="false" applyAlignment="true" applyProtection="false">
      <alignment horizontal="left" vertical="bottom" textRotation="0" wrapText="false" indent="0" shrinkToFit="false"/>
      <protection locked="true" hidden="false"/>
    </xf>
    <xf numFmtId="180" fontId="8" fillId="0" borderId="0" xfId="0" applyFont="true" applyBorder="false" applyAlignment="false" applyProtection="false">
      <alignment horizontal="general" vertical="bottom" textRotation="0" wrapText="false" indent="0" shrinkToFit="false"/>
      <protection locked="true" hidden="false"/>
    </xf>
    <xf numFmtId="164" fontId="4" fillId="6" borderId="43" xfId="0" applyFont="true" applyBorder="true" applyAlignment="true" applyProtection="false">
      <alignment horizontal="left" vertical="bottom" textRotation="0" wrapText="false" indent="0" shrinkToFit="false"/>
      <protection locked="true" hidden="false"/>
    </xf>
    <xf numFmtId="164" fontId="4" fillId="6" borderId="75" xfId="0" applyFont="true" applyBorder="true" applyAlignment="true" applyProtection="false">
      <alignment horizontal="left" vertical="bottom" textRotation="0" wrapText="false" indent="0" shrinkToFit="false"/>
      <protection locked="true" hidden="false"/>
    </xf>
    <xf numFmtId="164" fontId="4" fillId="6" borderId="90" xfId="0" applyFont="true" applyBorder="true" applyAlignment="true" applyProtection="false">
      <alignment horizontal="left" vertical="bottom" textRotation="0" wrapText="false" indent="0" shrinkToFit="false"/>
      <protection locked="true" hidden="false"/>
    </xf>
    <xf numFmtId="187" fontId="6" fillId="0" borderId="23" xfId="0" applyFont="true" applyBorder="true" applyAlignment="true" applyProtection="false">
      <alignment horizontal="center" vertical="bottom" textRotation="0" wrapText="false" indent="0" shrinkToFit="false"/>
      <protection locked="true" hidden="false"/>
    </xf>
    <xf numFmtId="164" fontId="8" fillId="9" borderId="0" xfId="0" applyFont="true" applyBorder="false" applyAlignment="true" applyProtection="false">
      <alignment horizontal="left" vertical="bottom" textRotation="0" wrapText="false" indent="0" shrinkToFit="false"/>
      <protection locked="true" hidden="false"/>
    </xf>
    <xf numFmtId="164" fontId="8" fillId="14" borderId="113" xfId="0" applyFont="true" applyBorder="true" applyAlignment="true" applyProtection="true">
      <alignment horizontal="center" vertical="bottom" textRotation="0" wrapText="false" indent="0" shrinkToFit="false"/>
      <protection locked="false" hidden="false"/>
    </xf>
    <xf numFmtId="164" fontId="8" fillId="14" borderId="31" xfId="0" applyFont="true" applyBorder="true" applyAlignment="true" applyProtection="true">
      <alignment horizontal="center" vertical="bottom" textRotation="0" wrapText="false" indent="0" shrinkToFit="false"/>
      <protection locked="false" hidden="false"/>
    </xf>
    <xf numFmtId="168" fontId="8" fillId="9" borderId="0" xfId="0" applyFont="true" applyBorder="false" applyAlignment="true" applyProtection="true">
      <alignment horizontal="center" vertical="bottom" textRotation="0" wrapText="false" indent="0" shrinkToFit="false"/>
      <protection locked="false" hidden="false"/>
    </xf>
    <xf numFmtId="164" fontId="8" fillId="14" borderId="71" xfId="0" applyFont="true" applyBorder="true" applyAlignment="true" applyProtection="true">
      <alignment horizontal="center" vertical="bottom" textRotation="0" wrapText="false" indent="0" shrinkToFit="false"/>
      <protection locked="false" hidden="false"/>
    </xf>
    <xf numFmtId="164" fontId="8" fillId="0" borderId="22" xfId="0" applyFont="true" applyBorder="true" applyAlignment="true" applyProtection="false">
      <alignment horizontal="right" vertical="bottom" textRotation="0" wrapText="false" indent="0" shrinkToFit="false"/>
      <protection locked="true" hidden="false"/>
    </xf>
    <xf numFmtId="164" fontId="13" fillId="0" borderId="21" xfId="0" applyFont="true" applyBorder="true" applyAlignment="true" applyProtection="false">
      <alignment horizontal="center" vertical="bottom" textRotation="0" wrapText="true" indent="0" shrinkToFit="false"/>
      <protection locked="true" hidden="false"/>
    </xf>
    <xf numFmtId="179" fontId="13" fillId="0" borderId="21" xfId="0" applyFont="true" applyBorder="true" applyAlignment="true" applyProtection="false">
      <alignment horizontal="center" vertical="bottom" textRotation="0" wrapText="true" indent="0" shrinkToFit="false"/>
      <protection locked="true" hidden="false"/>
    </xf>
    <xf numFmtId="164" fontId="8" fillId="3" borderId="26" xfId="0" applyFont="true" applyBorder="true" applyAlignment="true" applyProtection="false">
      <alignment horizontal="center" vertical="bottom" textRotation="0" wrapText="false" indent="0" shrinkToFit="false"/>
      <protection locked="true" hidden="false"/>
    </xf>
    <xf numFmtId="164" fontId="8" fillId="3" borderId="22" xfId="0" applyFont="true" applyBorder="true" applyAlignment="true" applyProtection="false">
      <alignment horizontal="center" vertical="bottom" textRotation="0" wrapText="false" indent="0" shrinkToFit="false"/>
      <protection locked="true" hidden="false"/>
    </xf>
    <xf numFmtId="164" fontId="8" fillId="3" borderId="103" xfId="0" applyFont="true" applyBorder="true" applyAlignment="true" applyProtection="false">
      <alignment horizontal="center" vertical="bottom" textRotation="0" wrapText="false" indent="0" shrinkToFit="false"/>
      <protection locked="true" hidden="false"/>
    </xf>
    <xf numFmtId="164" fontId="8" fillId="0" borderId="23" xfId="0" applyFont="true" applyBorder="true" applyAlignment="true" applyProtection="false">
      <alignment horizontal="left" vertical="bottom" textRotation="0" wrapText="true" indent="0" shrinkToFit="false"/>
      <protection locked="true" hidden="false"/>
    </xf>
    <xf numFmtId="169" fontId="8" fillId="0" borderId="3" xfId="17" applyFont="true" applyBorder="true" applyAlignment="true" applyProtection="true">
      <alignment horizontal="left" vertical="bottom" textRotation="0" wrapText="false" indent="0" shrinkToFit="false"/>
      <protection locked="true" hidden="false"/>
    </xf>
    <xf numFmtId="164" fontId="8" fillId="3" borderId="3" xfId="0" applyFont="true" applyBorder="true" applyAlignment="true" applyProtection="false">
      <alignment horizontal="center" vertical="bottom" textRotation="0" wrapText="false" indent="0" shrinkToFit="false"/>
      <protection locked="true" hidden="false"/>
    </xf>
    <xf numFmtId="169" fontId="8" fillId="0" borderId="3" xfId="17" applyFont="true" applyBorder="true" applyAlignment="true" applyProtection="true">
      <alignment horizontal="general" vertical="bottom" textRotation="0" wrapText="false" indent="0" shrinkToFit="false"/>
      <protection locked="true" hidden="false"/>
    </xf>
    <xf numFmtId="164" fontId="8" fillId="0" borderId="8" xfId="0" applyFont="true" applyBorder="true" applyAlignment="true" applyProtection="false">
      <alignment horizontal="center" vertical="bottom" textRotation="0" wrapText="false" indent="0" shrinkToFit="false"/>
      <protection locked="true" hidden="false"/>
    </xf>
    <xf numFmtId="164" fontId="12" fillId="3" borderId="97" xfId="0" applyFont="true" applyBorder="true" applyAlignment="true" applyProtection="false">
      <alignment horizontal="center" vertical="bottom" textRotation="0" wrapText="false" indent="0" shrinkToFit="false"/>
      <protection locked="true" hidden="false"/>
    </xf>
    <xf numFmtId="164" fontId="13" fillId="3" borderId="101" xfId="0" applyFont="true" applyBorder="true" applyAlignment="true" applyProtection="false">
      <alignment horizontal="center" vertical="bottom" textRotation="0" wrapText="true" indent="0" shrinkToFit="false"/>
      <protection locked="true" hidden="false"/>
    </xf>
    <xf numFmtId="164" fontId="6" fillId="3" borderId="101" xfId="0" applyFont="true" applyBorder="true" applyAlignment="true" applyProtection="false">
      <alignment horizontal="center" vertical="bottom" textRotation="0" wrapText="false" indent="0" shrinkToFit="false"/>
      <protection locked="true" hidden="false"/>
    </xf>
    <xf numFmtId="164" fontId="6" fillId="13" borderId="101" xfId="0" applyFont="true" applyBorder="true" applyAlignment="true" applyProtection="false">
      <alignment horizontal="center" vertical="bottom" textRotation="0" wrapText="true" indent="0" shrinkToFit="false"/>
      <protection locked="true" hidden="false"/>
    </xf>
    <xf numFmtId="164" fontId="6" fillId="38" borderId="101" xfId="0" applyFont="true" applyBorder="true" applyAlignment="true" applyProtection="false">
      <alignment horizontal="center" vertical="bottom" textRotation="0" wrapText="false" indent="0" shrinkToFit="false"/>
      <protection locked="true" hidden="false"/>
    </xf>
    <xf numFmtId="164" fontId="8" fillId="38" borderId="101" xfId="0" applyFont="true" applyBorder="true" applyAlignment="true" applyProtection="false">
      <alignment horizontal="center" vertical="bottom" textRotation="0" wrapText="false" indent="0" shrinkToFit="false"/>
      <protection locked="true" hidden="false"/>
    </xf>
    <xf numFmtId="164" fontId="6" fillId="10" borderId="101" xfId="0" applyFont="true" applyBorder="true" applyAlignment="true" applyProtection="false">
      <alignment horizontal="center" vertical="bottom" textRotation="0" wrapText="true" indent="0" shrinkToFit="false"/>
      <protection locked="true" hidden="false"/>
    </xf>
    <xf numFmtId="164" fontId="6" fillId="21" borderId="101" xfId="0" applyFont="true" applyBorder="true" applyAlignment="true" applyProtection="false">
      <alignment horizontal="center" vertical="bottom" textRotation="0" wrapText="false" indent="0" shrinkToFit="false"/>
      <protection locked="true" hidden="false"/>
    </xf>
    <xf numFmtId="164" fontId="6" fillId="21" borderId="101" xfId="0" applyFont="true" applyBorder="true" applyAlignment="true" applyProtection="false">
      <alignment horizontal="center" vertical="bottom" textRotation="0" wrapText="true" indent="0" shrinkToFit="false"/>
      <protection locked="true" hidden="false"/>
    </xf>
    <xf numFmtId="164" fontId="6" fillId="20" borderId="101" xfId="0" applyFont="true" applyBorder="true" applyAlignment="true" applyProtection="false">
      <alignment horizontal="center" vertical="bottom" textRotation="0" wrapText="true" indent="0" shrinkToFit="false"/>
      <protection locked="true" hidden="false"/>
    </xf>
    <xf numFmtId="164" fontId="6" fillId="36" borderId="102" xfId="0" applyFont="true" applyBorder="true" applyAlignment="true" applyProtection="false">
      <alignment horizontal="center" vertical="bottom" textRotation="0" wrapText="true" indent="0" shrinkToFit="false"/>
      <protection locked="true" hidden="false"/>
    </xf>
    <xf numFmtId="204" fontId="8" fillId="0" borderId="0" xfId="0" applyFont="true" applyBorder="false" applyAlignment="false" applyProtection="false">
      <alignment horizontal="general" vertical="bottom" textRotation="0" wrapText="false" indent="0" shrinkToFit="false"/>
      <protection locked="true" hidden="false"/>
    </xf>
    <xf numFmtId="164" fontId="6" fillId="0" borderId="147" xfId="0" applyFont="true" applyBorder="true" applyAlignment="false" applyProtection="false">
      <alignment horizontal="general" vertical="bottom" textRotation="0" wrapText="false" indent="0" shrinkToFit="false"/>
      <protection locked="true" hidden="false"/>
    </xf>
    <xf numFmtId="164" fontId="8" fillId="0" borderId="147" xfId="0" applyFont="true" applyBorder="true" applyAlignment="false" applyProtection="false">
      <alignment horizontal="general" vertical="bottom" textRotation="0" wrapText="false" indent="0" shrinkToFit="false"/>
      <protection locked="true" hidden="false"/>
    </xf>
    <xf numFmtId="164" fontId="4" fillId="0" borderId="7" xfId="0" applyFont="true" applyBorder="true" applyAlignment="true" applyProtection="false">
      <alignment horizontal="center" vertical="center" textRotation="0" wrapText="false" indent="0" shrinkToFit="false"/>
      <protection locked="true" hidden="false"/>
    </xf>
    <xf numFmtId="164" fontId="4" fillId="0" borderId="8" xfId="0" applyFont="true" applyBorder="true" applyAlignment="true" applyProtection="false">
      <alignment horizontal="right" vertical="center" textRotation="0" wrapText="false" indent="0" shrinkToFit="false"/>
      <protection locked="true" hidden="false"/>
    </xf>
    <xf numFmtId="164" fontId="4" fillId="0" borderId="7" xfId="0" applyFont="true" applyBorder="true" applyAlignment="true" applyProtection="false">
      <alignment horizontal="right" vertical="center" textRotation="0" wrapText="false" indent="0" shrinkToFit="false"/>
      <protection locked="true" hidden="false"/>
    </xf>
    <xf numFmtId="164" fontId="8" fillId="0" borderId="148" xfId="0" applyFont="true" applyBorder="true" applyAlignment="false" applyProtection="true">
      <alignment horizontal="general" vertical="bottom" textRotation="0" wrapText="false" indent="0" shrinkToFit="false"/>
      <protection locked="false" hidden="false"/>
    </xf>
    <xf numFmtId="164" fontId="8" fillId="0" borderId="83" xfId="0" applyFont="true" applyBorder="true" applyAlignment="false" applyProtection="true">
      <alignment horizontal="general" vertical="bottom" textRotation="0" wrapText="false" indent="0" shrinkToFit="false"/>
      <protection locked="false" hidden="false"/>
    </xf>
    <xf numFmtId="164" fontId="8" fillId="0" borderId="149" xfId="0" applyFont="true" applyBorder="true" applyAlignment="false" applyProtection="true">
      <alignment horizontal="general" vertical="bottom" textRotation="0" wrapText="false" indent="0" shrinkToFit="false"/>
      <protection locked="false" hidden="false"/>
    </xf>
    <xf numFmtId="164" fontId="11" fillId="0" borderId="81" xfId="21" applyFont="true" applyBorder="true" applyAlignment="true" applyProtection="true">
      <alignment horizontal="center" vertical="bottom" textRotation="0" wrapText="false" indent="0" shrinkToFit="false"/>
      <protection locked="false" hidden="false"/>
    </xf>
    <xf numFmtId="164" fontId="8" fillId="0" borderId="81" xfId="21" applyFont="true" applyBorder="true" applyAlignment="true" applyProtection="true">
      <alignment horizontal="center" vertical="bottom" textRotation="0" wrapText="false" indent="0" shrinkToFit="false"/>
      <protection locked="false" hidden="false"/>
    </xf>
    <xf numFmtId="204" fontId="8" fillId="39" borderId="82" xfId="21" applyFont="true" applyBorder="true" applyAlignment="false" applyProtection="true">
      <alignment horizontal="general" vertical="bottom" textRotation="0" wrapText="false" indent="0" shrinkToFit="false"/>
      <protection locked="false" hidden="false"/>
    </xf>
    <xf numFmtId="204" fontId="14" fillId="39" borderId="81" xfId="21" applyFont="true" applyBorder="true" applyAlignment="true" applyProtection="true">
      <alignment horizontal="center" vertical="bottom" textRotation="0" wrapText="false" indent="0" shrinkToFit="false"/>
      <protection locked="false" hidden="false"/>
    </xf>
    <xf numFmtId="192" fontId="8" fillId="0" borderId="81" xfId="17" applyFont="true" applyBorder="true" applyAlignment="true" applyProtection="true">
      <alignment horizontal="general" vertical="bottom" textRotation="0" wrapText="false" indent="0" shrinkToFit="false"/>
      <protection locked="false" hidden="false"/>
    </xf>
    <xf numFmtId="204" fontId="8" fillId="0" borderId="89" xfId="0" applyFont="true" applyBorder="true" applyAlignment="false" applyProtection="true">
      <alignment horizontal="general" vertical="bottom" textRotation="0" wrapText="false" indent="0" shrinkToFit="false"/>
      <protection locked="false" hidden="false"/>
    </xf>
    <xf numFmtId="164" fontId="8" fillId="40" borderId="89" xfId="0" applyFont="true" applyBorder="true" applyAlignment="true" applyProtection="true">
      <alignment horizontal="center" vertical="bottom" textRotation="0" wrapText="false" indent="0" shrinkToFit="false"/>
      <protection locked="false" hidden="false"/>
    </xf>
    <xf numFmtId="164" fontId="8" fillId="40" borderId="67" xfId="0" applyFont="true" applyBorder="true" applyAlignment="true" applyProtection="true">
      <alignment horizontal="center" vertical="bottom" textRotation="0" wrapText="false" indent="0" shrinkToFit="false"/>
      <protection locked="false" hidden="false"/>
    </xf>
    <xf numFmtId="164" fontId="8" fillId="40" borderId="81" xfId="0" applyFont="true" applyBorder="true" applyAlignment="false" applyProtection="true">
      <alignment horizontal="general" vertical="bottom" textRotation="0" wrapText="false" indent="0" shrinkToFit="false"/>
      <protection locked="false" hidden="false"/>
    </xf>
    <xf numFmtId="164" fontId="8" fillId="41" borderId="67" xfId="0" applyFont="true" applyBorder="true" applyAlignment="true" applyProtection="false">
      <alignment horizontal="center" vertical="bottom" textRotation="0" wrapText="false" indent="0" shrinkToFit="false"/>
      <protection locked="true" hidden="false"/>
    </xf>
    <xf numFmtId="201" fontId="8" fillId="41" borderId="89" xfId="15" applyFont="true" applyBorder="true" applyAlignment="true" applyProtection="true">
      <alignment horizontal="general" vertical="bottom" textRotation="0" wrapText="false" indent="0" shrinkToFit="false"/>
      <protection locked="true" hidden="false"/>
    </xf>
    <xf numFmtId="192" fontId="8" fillId="42" borderId="89" xfId="0" applyFont="true" applyBorder="true" applyAlignment="false" applyProtection="false">
      <alignment horizontal="general" vertical="bottom" textRotation="0" wrapText="false" indent="0" shrinkToFit="false"/>
      <protection locked="true" hidden="false"/>
    </xf>
    <xf numFmtId="192" fontId="8" fillId="42" borderId="89" xfId="17" applyFont="true" applyBorder="true" applyAlignment="true" applyProtection="true">
      <alignment horizontal="general" vertical="bottom" textRotation="0" wrapText="false" indent="0" shrinkToFit="false"/>
      <protection locked="true" hidden="false"/>
    </xf>
    <xf numFmtId="192" fontId="8" fillId="43" borderId="89" xfId="17" applyFont="true" applyBorder="true" applyAlignment="true" applyProtection="true">
      <alignment horizontal="general" vertical="bottom" textRotation="0" wrapText="false" indent="0" shrinkToFit="false"/>
      <protection locked="true" hidden="false"/>
    </xf>
    <xf numFmtId="179" fontId="6" fillId="44" borderId="84" xfId="17" applyFont="true" applyBorder="true" applyAlignment="true" applyProtection="true">
      <alignment horizontal="right" vertical="bottom" textRotation="0" wrapText="false" indent="0" shrinkToFit="false"/>
      <protection locked="true" hidden="false"/>
    </xf>
    <xf numFmtId="183" fontId="8" fillId="0" borderId="0" xfId="19" applyFont="true" applyBorder="true" applyAlignment="true" applyProtection="true">
      <alignment horizontal="general" vertical="bottom" textRotation="0" wrapText="false" indent="0" shrinkToFit="false"/>
      <protection locked="true" hidden="false"/>
    </xf>
    <xf numFmtId="169" fontId="8" fillId="0" borderId="45" xfId="0" applyFont="true" applyBorder="true" applyAlignment="false" applyProtection="false">
      <alignment horizontal="general" vertical="bottom" textRotation="0" wrapText="false" indent="0" shrinkToFit="false"/>
      <protection locked="true" hidden="false"/>
    </xf>
    <xf numFmtId="220" fontId="4" fillId="0" borderId="17" xfId="0" applyFont="true" applyBorder="true" applyAlignment="false" applyProtection="false">
      <alignment horizontal="general" vertical="bottom" textRotation="0" wrapText="false" indent="0" shrinkToFit="false"/>
      <protection locked="true" hidden="false"/>
    </xf>
    <xf numFmtId="208" fontId="4" fillId="0" borderId="16" xfId="0" applyFont="true" applyBorder="true" applyAlignment="false" applyProtection="false">
      <alignment horizontal="general" vertical="bottom" textRotation="0" wrapText="false" indent="0" shrinkToFit="false"/>
      <protection locked="true" hidden="false"/>
    </xf>
    <xf numFmtId="179" fontId="0" fillId="0" borderId="114" xfId="0" applyFont="fals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false" applyProtection="true">
      <alignment horizontal="general" vertical="bottom" textRotation="0" wrapText="false" indent="0" shrinkToFit="false"/>
      <protection locked="false" hidden="false"/>
    </xf>
    <xf numFmtId="164" fontId="8" fillId="0" borderId="89" xfId="0" applyFont="true" applyBorder="true" applyAlignment="false" applyProtection="true">
      <alignment horizontal="general" vertical="bottom" textRotation="0" wrapText="false" indent="0" shrinkToFit="false"/>
      <protection locked="false" hidden="false"/>
    </xf>
    <xf numFmtId="164" fontId="11" fillId="0" borderId="67" xfId="21" applyFont="true" applyBorder="true" applyAlignment="true" applyProtection="true">
      <alignment horizontal="center" vertical="bottom" textRotation="0" wrapText="false" indent="0" shrinkToFit="false"/>
      <protection locked="false" hidden="false"/>
    </xf>
    <xf numFmtId="164" fontId="8" fillId="0" borderId="67" xfId="21" applyFont="true" applyBorder="true" applyAlignment="true" applyProtection="true">
      <alignment horizontal="center" vertical="bottom" textRotation="0" wrapText="false" indent="0" shrinkToFit="false"/>
      <protection locked="false" hidden="false"/>
    </xf>
    <xf numFmtId="204" fontId="8" fillId="39" borderId="75" xfId="21" applyFont="true" applyBorder="true" applyAlignment="false" applyProtection="true">
      <alignment horizontal="general" vertical="bottom" textRotation="0" wrapText="false" indent="0" shrinkToFit="false"/>
      <protection locked="false" hidden="false"/>
    </xf>
    <xf numFmtId="204" fontId="14" fillId="39" borderId="67" xfId="21" applyFont="true" applyBorder="true" applyAlignment="true" applyProtection="true">
      <alignment horizontal="center" vertical="bottom" textRotation="0" wrapText="false" indent="0" shrinkToFit="false"/>
      <protection locked="false" hidden="false"/>
    </xf>
    <xf numFmtId="192" fontId="8" fillId="0" borderId="67" xfId="17" applyFont="true" applyBorder="true" applyAlignment="true" applyProtection="true">
      <alignment horizontal="general" vertical="bottom" textRotation="0" wrapText="false" indent="0" shrinkToFit="false"/>
      <protection locked="false" hidden="false"/>
    </xf>
    <xf numFmtId="164" fontId="8" fillId="40" borderId="57" xfId="0" applyFont="true" applyBorder="true" applyAlignment="true" applyProtection="true">
      <alignment horizontal="center" vertical="bottom" textRotation="0" wrapText="false" indent="0" shrinkToFit="false"/>
      <protection locked="false" hidden="false"/>
    </xf>
    <xf numFmtId="164" fontId="8" fillId="40" borderId="1" xfId="0" applyFont="true" applyBorder="true" applyAlignment="true" applyProtection="true">
      <alignment horizontal="center" vertical="bottom" textRotation="0" wrapText="false" indent="0" shrinkToFit="false"/>
      <protection locked="false" hidden="false"/>
    </xf>
    <xf numFmtId="164" fontId="8" fillId="40" borderId="1" xfId="0" applyFont="true" applyBorder="true" applyAlignment="false" applyProtection="true">
      <alignment horizontal="general" vertical="bottom" textRotation="0" wrapText="false" indent="0" shrinkToFit="false"/>
      <protection locked="false" hidden="false"/>
    </xf>
    <xf numFmtId="179" fontId="6" fillId="44" borderId="77" xfId="17" applyFont="true" applyBorder="true" applyAlignment="true" applyProtection="true">
      <alignment horizontal="right" vertical="bottom" textRotation="0" wrapText="false" indent="0" shrinkToFit="false"/>
      <protection locked="true" hidden="false"/>
    </xf>
    <xf numFmtId="220" fontId="4" fillId="0" borderId="8" xfId="0" applyFont="true" applyBorder="true" applyAlignment="false" applyProtection="false">
      <alignment horizontal="general" vertical="bottom" textRotation="0" wrapText="false" indent="0" shrinkToFit="false"/>
      <protection locked="true" hidden="false"/>
    </xf>
    <xf numFmtId="192" fontId="8" fillId="0" borderId="0" xfId="0" applyFont="true" applyBorder="false" applyAlignment="false" applyProtection="false">
      <alignment horizontal="general" vertical="bottom" textRotation="0" wrapText="false" indent="0" shrinkToFit="false"/>
      <protection locked="true" hidden="false"/>
    </xf>
    <xf numFmtId="164" fontId="11" fillId="0" borderId="19" xfId="21" applyFont="true" applyBorder="true" applyAlignment="true" applyProtection="true">
      <alignment horizontal="center" vertical="bottom" textRotation="0" wrapText="false" indent="0" shrinkToFit="false"/>
      <protection locked="false" hidden="false"/>
    </xf>
    <xf numFmtId="164" fontId="8" fillId="0" borderId="19" xfId="21" applyFont="true" applyBorder="true" applyAlignment="true" applyProtection="true">
      <alignment horizontal="center" vertical="bottom" textRotation="0" wrapText="false" indent="0" shrinkToFit="false"/>
      <protection locked="false" hidden="false"/>
    </xf>
    <xf numFmtId="204" fontId="8" fillId="39" borderId="38" xfId="21" applyFont="true" applyBorder="true" applyAlignment="false" applyProtection="true">
      <alignment horizontal="general" vertical="bottom" textRotation="0" wrapText="false" indent="0" shrinkToFit="false"/>
      <protection locked="false" hidden="false"/>
    </xf>
    <xf numFmtId="204" fontId="14" fillId="39" borderId="19" xfId="21" applyFont="true" applyBorder="true" applyAlignment="true" applyProtection="true">
      <alignment horizontal="center" vertical="bottom" textRotation="0" wrapText="false" indent="0" shrinkToFit="false"/>
      <protection locked="false" hidden="false"/>
    </xf>
    <xf numFmtId="192" fontId="8" fillId="0" borderId="19" xfId="17" applyFont="true" applyBorder="true" applyAlignment="true" applyProtection="true">
      <alignment horizontal="general" vertical="bottom" textRotation="0" wrapText="false" indent="0" shrinkToFit="false"/>
      <protection locked="false" hidden="false"/>
    </xf>
    <xf numFmtId="204" fontId="8" fillId="0" borderId="51" xfId="0" applyFont="true" applyBorder="true" applyAlignment="false" applyProtection="true">
      <alignment horizontal="general" vertical="bottom" textRotation="0" wrapText="false" indent="0" shrinkToFit="false"/>
      <protection locked="false" hidden="false"/>
    </xf>
    <xf numFmtId="164" fontId="8" fillId="40" borderId="120" xfId="0" applyFont="true" applyBorder="true" applyAlignment="true" applyProtection="true">
      <alignment horizontal="center" vertical="bottom" textRotation="0" wrapText="false" indent="0" shrinkToFit="false"/>
      <protection locked="false" hidden="false"/>
    </xf>
    <xf numFmtId="164" fontId="8" fillId="40" borderId="72" xfId="0" applyFont="true" applyBorder="true" applyAlignment="true" applyProtection="true">
      <alignment horizontal="center" vertical="bottom" textRotation="0" wrapText="false" indent="0" shrinkToFit="false"/>
      <protection locked="false" hidden="false"/>
    </xf>
    <xf numFmtId="164" fontId="8" fillId="40" borderId="72" xfId="0" applyFont="true" applyBorder="true" applyAlignment="false" applyProtection="true">
      <alignment horizontal="general" vertical="bottom" textRotation="0" wrapText="false" indent="0" shrinkToFit="false"/>
      <protection locked="false" hidden="false"/>
    </xf>
    <xf numFmtId="164" fontId="8" fillId="41" borderId="51" xfId="0" applyFont="true" applyBorder="true" applyAlignment="true" applyProtection="false">
      <alignment horizontal="center" vertical="bottom" textRotation="0" wrapText="false" indent="0" shrinkToFit="false"/>
      <protection locked="true" hidden="false"/>
    </xf>
    <xf numFmtId="201" fontId="8" fillId="41" borderId="51" xfId="15" applyFont="true" applyBorder="true" applyAlignment="true" applyProtection="true">
      <alignment horizontal="general" vertical="bottom" textRotation="0" wrapText="false" indent="0" shrinkToFit="false"/>
      <protection locked="true" hidden="false"/>
    </xf>
    <xf numFmtId="192" fontId="8" fillId="42" borderId="51" xfId="0" applyFont="true" applyBorder="true" applyAlignment="false" applyProtection="false">
      <alignment horizontal="general" vertical="bottom" textRotation="0" wrapText="false" indent="0" shrinkToFit="false"/>
      <protection locked="true" hidden="false"/>
    </xf>
    <xf numFmtId="192" fontId="8" fillId="42" borderId="51" xfId="17" applyFont="true" applyBorder="true" applyAlignment="true" applyProtection="true">
      <alignment horizontal="general" vertical="bottom" textRotation="0" wrapText="false" indent="0" shrinkToFit="false"/>
      <protection locked="true" hidden="false"/>
    </xf>
    <xf numFmtId="192" fontId="8" fillId="43" borderId="51" xfId="17" applyFont="true" applyBorder="true" applyAlignment="true" applyProtection="true">
      <alignment horizontal="general" vertical="bottom" textRotation="0" wrapText="false" indent="0" shrinkToFit="false"/>
      <protection locked="true" hidden="false"/>
    </xf>
    <xf numFmtId="179" fontId="6" fillId="44" borderId="96" xfId="17" applyFont="true" applyBorder="true" applyAlignment="true" applyProtection="true">
      <alignment horizontal="right" vertical="bottom" textRotation="0" wrapText="false" indent="0" shrinkToFit="false"/>
      <protection locked="true" hidden="false"/>
    </xf>
    <xf numFmtId="169" fontId="8" fillId="0" borderId="2" xfId="0" applyFont="true" applyBorder="true" applyAlignment="false" applyProtection="false">
      <alignment horizontal="general" vertical="bottom" textRotation="0" wrapText="false" indent="0" shrinkToFit="false"/>
      <protection locked="true" hidden="false"/>
    </xf>
    <xf numFmtId="169" fontId="8" fillId="0" borderId="89" xfId="0" applyFont="true" applyBorder="true" applyAlignment="false" applyProtection="false">
      <alignment horizontal="general" vertical="bottom" textRotation="0" wrapText="false" indent="0" shrinkToFit="false"/>
      <protection locked="true" hidden="false"/>
    </xf>
    <xf numFmtId="220" fontId="4" fillId="0" borderId="13" xfId="0" applyFont="true" applyBorder="true" applyAlignment="false" applyProtection="false">
      <alignment horizontal="general" vertical="bottom" textRotation="0" wrapText="false" indent="0" shrinkToFit="false"/>
      <protection locked="true" hidden="false"/>
    </xf>
    <xf numFmtId="208" fontId="4" fillId="0" borderId="12" xfId="0" applyFont="true" applyBorder="true" applyAlignment="false" applyProtection="false">
      <alignment horizontal="general" vertical="bottom" textRotation="0" wrapText="false" indent="0" shrinkToFit="false"/>
      <protection locked="true" hidden="false"/>
    </xf>
    <xf numFmtId="179" fontId="0" fillId="0" borderId="20" xfId="0" applyFont="false" applyBorder="true" applyAlignment="false" applyProtection="false">
      <alignment horizontal="general" vertical="bottom" textRotation="0" wrapText="false" indent="0" shrinkToFit="false"/>
      <protection locked="true" hidden="false"/>
    </xf>
    <xf numFmtId="164" fontId="8" fillId="45" borderId="12" xfId="0" applyFont="true" applyBorder="true" applyAlignment="true" applyProtection="false">
      <alignment horizontal="left" vertical="bottom" textRotation="0" wrapText="false" indent="0" shrinkToFit="false"/>
      <protection locked="true" hidden="false"/>
    </xf>
    <xf numFmtId="164" fontId="8" fillId="45" borderId="6" xfId="0" applyFont="true" applyBorder="true" applyAlignment="true" applyProtection="false">
      <alignment horizontal="left" vertical="bottom" textRotation="0" wrapText="false" indent="0" shrinkToFit="false"/>
      <protection locked="true" hidden="false"/>
    </xf>
    <xf numFmtId="164" fontId="11" fillId="45" borderId="6" xfId="21" applyFont="true" applyBorder="true" applyAlignment="true" applyProtection="false">
      <alignment horizontal="center" vertical="bottom" textRotation="0" wrapText="false" indent="0" shrinkToFit="false"/>
      <protection locked="true" hidden="false"/>
    </xf>
    <xf numFmtId="164" fontId="8" fillId="45" borderId="6" xfId="21" applyFont="true" applyBorder="true" applyAlignment="true" applyProtection="true">
      <alignment horizontal="center" vertical="bottom" textRotation="0" wrapText="false" indent="0" shrinkToFit="false"/>
      <protection locked="false" hidden="false"/>
    </xf>
    <xf numFmtId="204" fontId="8" fillId="45" borderId="6" xfId="21" applyFont="true" applyBorder="true" applyAlignment="false" applyProtection="true">
      <alignment horizontal="general" vertical="bottom" textRotation="0" wrapText="false" indent="0" shrinkToFit="false"/>
      <protection locked="false" hidden="false"/>
    </xf>
    <xf numFmtId="204" fontId="8" fillId="45" borderId="6" xfId="21" applyFont="true" applyBorder="true" applyAlignment="true" applyProtection="true">
      <alignment horizontal="center" vertical="bottom" textRotation="0" wrapText="false" indent="0" shrinkToFit="false"/>
      <protection locked="false" hidden="false"/>
    </xf>
    <xf numFmtId="169" fontId="8" fillId="45" borderId="6" xfId="17" applyFont="true" applyBorder="true" applyAlignment="true" applyProtection="true">
      <alignment horizontal="general" vertical="bottom" textRotation="0" wrapText="false" indent="0" shrinkToFit="false"/>
      <protection locked="true" hidden="false"/>
    </xf>
    <xf numFmtId="204" fontId="8" fillId="45" borderId="6" xfId="0" applyFont="true" applyBorder="true" applyAlignment="false" applyProtection="false">
      <alignment horizontal="general" vertical="bottom" textRotation="0" wrapText="false" indent="0" shrinkToFit="false"/>
      <protection locked="true" hidden="false"/>
    </xf>
    <xf numFmtId="164" fontId="8" fillId="45" borderId="6" xfId="0" applyFont="true" applyBorder="true" applyAlignment="true" applyProtection="false">
      <alignment horizontal="center" vertical="bottom" textRotation="0" wrapText="false" indent="0" shrinkToFit="false"/>
      <protection locked="true" hidden="false"/>
    </xf>
    <xf numFmtId="164" fontId="8" fillId="45" borderId="6" xfId="0" applyFont="true" applyBorder="true" applyAlignment="false" applyProtection="false">
      <alignment horizontal="general" vertical="bottom" textRotation="0" wrapText="false" indent="0" shrinkToFit="false"/>
      <protection locked="true" hidden="false"/>
    </xf>
    <xf numFmtId="204" fontId="8" fillId="45" borderId="6" xfId="17" applyFont="true" applyBorder="true" applyAlignment="true" applyProtection="true">
      <alignment horizontal="general" vertical="bottom" textRotation="0" wrapText="false" indent="0" shrinkToFit="false"/>
      <protection locked="true" hidden="false"/>
    </xf>
    <xf numFmtId="179" fontId="6" fillId="45" borderId="6" xfId="17" applyFont="true" applyBorder="true" applyAlignment="true" applyProtection="true">
      <alignment horizontal="right" vertical="bottom" textRotation="0" wrapText="false" indent="0" shrinkToFit="false"/>
      <protection locked="true" hidden="false"/>
    </xf>
    <xf numFmtId="179" fontId="6" fillId="45" borderId="13" xfId="17" applyFont="true" applyBorder="true" applyAlignment="true" applyProtection="true">
      <alignment horizontal="right" vertical="bottom" textRotation="0" wrapText="false" indent="0" shrinkToFit="false"/>
      <protection locked="true" hidden="false"/>
    </xf>
    <xf numFmtId="169" fontId="8" fillId="0" borderId="41" xfId="0" applyFont="true" applyBorder="true" applyAlignment="false" applyProtection="false">
      <alignment horizontal="general" vertical="bottom" textRotation="0" wrapText="false" indent="0" shrinkToFit="false"/>
      <protection locked="true" hidden="false"/>
    </xf>
    <xf numFmtId="169" fontId="8" fillId="0" borderId="66" xfId="0" applyFont="true" applyBorder="true" applyAlignment="false" applyProtection="false">
      <alignment horizontal="general" vertical="bottom" textRotation="0" wrapText="false" indent="0" shrinkToFit="false"/>
      <protection locked="true" hidden="false"/>
    </xf>
    <xf numFmtId="179" fontId="0" fillId="0" borderId="24" xfId="0" applyFont="false" applyBorder="true" applyAlignment="false" applyProtection="false">
      <alignment horizontal="general" vertical="bottom" textRotation="0" wrapText="false" indent="0" shrinkToFit="false"/>
      <protection locked="true" hidden="false"/>
    </xf>
    <xf numFmtId="164" fontId="16" fillId="3" borderId="101" xfId="21" applyFont="true" applyBorder="true" applyAlignment="true" applyProtection="false">
      <alignment horizontal="center" vertical="bottom" textRotation="0" wrapText="true" indent="0" shrinkToFit="false"/>
      <protection locked="true" hidden="false"/>
    </xf>
    <xf numFmtId="164" fontId="6" fillId="3" borderId="101" xfId="21" applyFont="true" applyBorder="true" applyAlignment="true" applyProtection="true">
      <alignment horizontal="center" vertical="bottom" textRotation="0" wrapText="false" indent="0" shrinkToFit="false"/>
      <protection locked="false" hidden="false"/>
    </xf>
    <xf numFmtId="204" fontId="6" fillId="13" borderId="101" xfId="21" applyFont="true" applyBorder="true" applyAlignment="true" applyProtection="true">
      <alignment horizontal="center" vertical="bottom" textRotation="0" wrapText="false" indent="0" shrinkToFit="false"/>
      <protection locked="false" hidden="false"/>
    </xf>
    <xf numFmtId="169" fontId="6" fillId="3" borderId="101" xfId="17" applyFont="true" applyBorder="true" applyAlignment="true" applyProtection="true">
      <alignment horizontal="center" vertical="bottom" textRotation="0" wrapText="true" indent="0" shrinkToFit="false"/>
      <protection locked="true" hidden="false"/>
    </xf>
    <xf numFmtId="204" fontId="6" fillId="3" borderId="101" xfId="0" applyFont="true" applyBorder="true" applyAlignment="true" applyProtection="false">
      <alignment horizontal="center" vertical="bottom" textRotation="0" wrapText="true" indent="0" shrinkToFit="false"/>
      <protection locked="true" hidden="false"/>
    </xf>
    <xf numFmtId="164" fontId="6" fillId="38" borderId="101" xfId="0" applyFont="true" applyBorder="true" applyAlignment="true" applyProtection="false">
      <alignment horizontal="center" vertical="bottom" textRotation="0" wrapText="true" indent="0" shrinkToFit="false"/>
      <protection locked="true" hidden="false"/>
    </xf>
    <xf numFmtId="164" fontId="6" fillId="10" borderId="101" xfId="0" applyFont="true" applyBorder="true" applyAlignment="true" applyProtection="false">
      <alignment horizontal="center" vertical="bottom" textRotation="0" wrapText="true" indent="0" shrinkToFit="true"/>
      <protection locked="true" hidden="false"/>
    </xf>
    <xf numFmtId="204" fontId="6" fillId="21" borderId="101" xfId="0" applyFont="true" applyBorder="true" applyAlignment="true" applyProtection="false">
      <alignment horizontal="center" vertical="bottom" textRotation="0" wrapText="false" indent="0" shrinkToFit="false"/>
      <protection locked="true" hidden="false"/>
    </xf>
    <xf numFmtId="204" fontId="6" fillId="20" borderId="101" xfId="0" applyFont="true" applyBorder="true" applyAlignment="true" applyProtection="false">
      <alignment horizontal="center" vertical="bottom" textRotation="0" wrapText="true" indent="0" shrinkToFit="false"/>
      <protection locked="true" hidden="false"/>
    </xf>
    <xf numFmtId="179" fontId="6" fillId="36" borderId="102" xfId="17" applyFont="true" applyBorder="true" applyAlignment="true" applyProtection="true">
      <alignment horizontal="center" vertical="bottom" textRotation="0" wrapText="true" indent="0" shrinkToFit="false"/>
      <protection locked="true" hidden="false"/>
    </xf>
    <xf numFmtId="164" fontId="8" fillId="40" borderId="83" xfId="0" applyFont="true" applyBorder="true" applyAlignment="true" applyProtection="true">
      <alignment horizontal="center" vertical="bottom" textRotation="0" wrapText="false" indent="0" shrinkToFit="false"/>
      <protection locked="false" hidden="false"/>
    </xf>
    <xf numFmtId="164" fontId="8" fillId="40" borderId="81" xfId="0" applyFont="true" applyBorder="true" applyAlignment="true" applyProtection="true">
      <alignment horizontal="center" vertical="bottom" textRotation="0" wrapText="false" indent="0" shrinkToFit="false"/>
      <protection locked="false" hidden="false"/>
    </xf>
    <xf numFmtId="164" fontId="8" fillId="40" borderId="149" xfId="0" applyFont="true" applyBorder="true" applyAlignment="true" applyProtection="true">
      <alignment horizontal="center" vertical="bottom" textRotation="0" wrapText="false" indent="0" shrinkToFit="false"/>
      <protection locked="false" hidden="false"/>
    </xf>
    <xf numFmtId="164" fontId="8" fillId="41" borderId="81" xfId="0" applyFont="true" applyBorder="true" applyAlignment="true" applyProtection="false">
      <alignment horizontal="center" vertical="bottom" textRotation="0" wrapText="false" indent="0" shrinkToFit="false"/>
      <protection locked="true" hidden="false"/>
    </xf>
    <xf numFmtId="201" fontId="8" fillId="41" borderId="89" xfId="0" applyFont="true" applyBorder="true" applyAlignment="false" applyProtection="false">
      <alignment horizontal="general" vertical="bottom" textRotation="0" wrapText="false" indent="0" shrinkToFit="false"/>
      <protection locked="true" hidden="false"/>
    </xf>
    <xf numFmtId="204" fontId="8" fillId="43" borderId="89" xfId="17" applyFont="true" applyBorder="true" applyAlignment="true" applyProtection="true">
      <alignment horizontal="general" vertical="bottom" textRotation="0" wrapText="false" indent="0" shrinkToFit="false"/>
      <protection locked="true" hidden="false"/>
    </xf>
    <xf numFmtId="179" fontId="6" fillId="44" borderId="84" xfId="17" applyFont="true" applyBorder="true" applyAlignment="true" applyProtection="true">
      <alignment horizontal="center" vertical="bottom" textRotation="0" wrapText="false" indent="0" shrinkToFit="false"/>
      <protection locked="true" hidden="false"/>
    </xf>
    <xf numFmtId="164" fontId="8" fillId="40" borderId="56" xfId="0" applyFont="true" applyBorder="true" applyAlignment="true" applyProtection="true">
      <alignment horizontal="center" vertical="bottom" textRotation="0" wrapText="false" indent="0" shrinkToFit="false"/>
      <protection locked="false" hidden="false"/>
    </xf>
    <xf numFmtId="179" fontId="6" fillId="44" borderId="77" xfId="17" applyFont="true" applyBorder="true" applyAlignment="true" applyProtection="true">
      <alignment horizontal="center" vertical="bottom" textRotation="0" wrapText="false" indent="0" shrinkToFit="false"/>
      <protection locked="true" hidden="false"/>
    </xf>
    <xf numFmtId="178" fontId="14" fillId="39" borderId="67" xfId="21" applyFont="true" applyBorder="true" applyAlignment="true" applyProtection="true">
      <alignment horizontal="center" vertical="bottom" textRotation="0" wrapText="false" indent="0" shrinkToFit="false"/>
      <protection locked="false" hidden="false"/>
    </xf>
    <xf numFmtId="164" fontId="8" fillId="0" borderId="94" xfId="0" applyFont="true" applyBorder="true" applyAlignment="false" applyProtection="true">
      <alignment horizontal="general" vertical="bottom" textRotation="0" wrapText="false" indent="0" shrinkToFit="false"/>
      <protection locked="false" hidden="false"/>
    </xf>
    <xf numFmtId="164" fontId="8" fillId="0" borderId="56" xfId="0" applyFont="true" applyBorder="true" applyAlignment="true" applyProtection="true">
      <alignment horizontal="left" vertical="bottom" textRotation="0" wrapText="false" indent="0" shrinkToFit="false"/>
      <protection locked="false" hidden="false"/>
    </xf>
    <xf numFmtId="164" fontId="11" fillId="0" borderId="1" xfId="21" applyFont="true" applyBorder="true" applyAlignment="true" applyProtection="true">
      <alignment horizontal="center" vertical="bottom" textRotation="0" wrapText="false" indent="0" shrinkToFit="false"/>
      <protection locked="false" hidden="false"/>
    </xf>
    <xf numFmtId="164" fontId="8" fillId="0" borderId="1" xfId="21" applyFont="true" applyBorder="true" applyAlignment="true" applyProtection="true">
      <alignment horizontal="center" vertical="bottom" textRotation="0" wrapText="false" indent="0" shrinkToFit="false"/>
      <protection locked="false" hidden="false"/>
    </xf>
    <xf numFmtId="204" fontId="8" fillId="39" borderId="46" xfId="21" applyFont="true" applyBorder="true" applyAlignment="false" applyProtection="true">
      <alignment horizontal="general" vertical="bottom" textRotation="0" wrapText="false" indent="0" shrinkToFit="false"/>
      <protection locked="false" hidden="false"/>
    </xf>
    <xf numFmtId="178" fontId="14" fillId="39" borderId="1" xfId="21" applyFont="true" applyBorder="true" applyAlignment="true" applyProtection="true">
      <alignment horizontal="center" vertical="bottom" textRotation="0" wrapText="false" indent="0" shrinkToFit="false"/>
      <protection locked="false" hidden="false"/>
    </xf>
    <xf numFmtId="192" fontId="8" fillId="0" borderId="1" xfId="17" applyFont="true" applyBorder="true" applyAlignment="true" applyProtection="true">
      <alignment horizontal="general" vertical="bottom" textRotation="0" wrapText="false" indent="0" shrinkToFit="false"/>
      <protection locked="false" hidden="false"/>
    </xf>
    <xf numFmtId="204" fontId="8" fillId="0" borderId="57" xfId="0" applyFont="true" applyBorder="true" applyAlignment="false" applyProtection="true">
      <alignment horizontal="general" vertical="bottom" textRotation="0" wrapText="false" indent="0" shrinkToFit="false"/>
      <protection locked="false" hidden="false"/>
    </xf>
    <xf numFmtId="192" fontId="8" fillId="42" borderId="57" xfId="0" applyFont="true" applyBorder="true" applyAlignment="false" applyProtection="false">
      <alignment horizontal="general" vertical="bottom" textRotation="0" wrapText="false" indent="0" shrinkToFit="false"/>
      <protection locked="true" hidden="false"/>
    </xf>
    <xf numFmtId="192" fontId="8" fillId="42" borderId="57" xfId="17" applyFont="true" applyBorder="true" applyAlignment="true" applyProtection="true">
      <alignment horizontal="general" vertical="bottom" textRotation="0" wrapText="false" indent="0" shrinkToFit="false"/>
      <protection locked="true" hidden="false"/>
    </xf>
    <xf numFmtId="164" fontId="11" fillId="0" borderId="15" xfId="21" applyFont="true" applyBorder="true" applyAlignment="true" applyProtection="true">
      <alignment horizontal="center" vertical="bottom" textRotation="0" wrapText="false" indent="0" shrinkToFit="false"/>
      <protection locked="false" hidden="false"/>
    </xf>
    <xf numFmtId="164" fontId="8" fillId="0" borderId="15" xfId="21" applyFont="true" applyBorder="true" applyAlignment="true" applyProtection="true">
      <alignment horizontal="center" vertical="bottom" textRotation="0" wrapText="false" indent="0" shrinkToFit="false"/>
      <protection locked="false" hidden="false"/>
    </xf>
    <xf numFmtId="204" fontId="8" fillId="39" borderId="37" xfId="21" applyFont="true" applyBorder="true" applyAlignment="false" applyProtection="true">
      <alignment horizontal="general" vertical="bottom" textRotation="0" wrapText="false" indent="0" shrinkToFit="false"/>
      <protection locked="false" hidden="false"/>
    </xf>
    <xf numFmtId="178" fontId="14" fillId="39" borderId="15" xfId="21" applyFont="true" applyBorder="true" applyAlignment="true" applyProtection="true">
      <alignment horizontal="center" vertical="bottom" textRotation="0" wrapText="false" indent="0" shrinkToFit="false"/>
      <protection locked="false" hidden="false"/>
    </xf>
    <xf numFmtId="192" fontId="8" fillId="0" borderId="15" xfId="17" applyFont="true" applyBorder="true" applyAlignment="true" applyProtection="true">
      <alignment horizontal="general" vertical="bottom" textRotation="0" wrapText="false" indent="0" shrinkToFit="false"/>
      <protection locked="false" hidden="false"/>
    </xf>
    <xf numFmtId="204" fontId="8" fillId="0" borderId="45" xfId="0" applyFont="true" applyBorder="true" applyAlignment="false" applyProtection="true">
      <alignment horizontal="general" vertical="bottom" textRotation="0" wrapText="false" indent="0" shrinkToFit="false"/>
      <protection locked="false" hidden="false"/>
    </xf>
    <xf numFmtId="164" fontId="8" fillId="40" borderId="0" xfId="0" applyFont="true" applyBorder="false" applyAlignment="true" applyProtection="true">
      <alignment horizontal="center" vertical="bottom" textRotation="0" wrapText="false" indent="0" shrinkToFit="false"/>
      <protection locked="false" hidden="false"/>
    </xf>
    <xf numFmtId="164" fontId="8" fillId="40" borderId="15" xfId="0" applyFont="true" applyBorder="true" applyAlignment="true" applyProtection="true">
      <alignment horizontal="center" vertical="bottom" textRotation="0" wrapText="false" indent="0" shrinkToFit="false"/>
      <protection locked="false" hidden="false"/>
    </xf>
    <xf numFmtId="164" fontId="8" fillId="40" borderId="45" xfId="0" applyFont="true" applyBorder="true" applyAlignment="true" applyProtection="true">
      <alignment horizontal="center" vertical="bottom" textRotation="0" wrapText="false" indent="0" shrinkToFit="false"/>
      <protection locked="false" hidden="false"/>
    </xf>
    <xf numFmtId="164" fontId="8" fillId="41" borderId="15" xfId="0" applyFont="true" applyBorder="true" applyAlignment="true" applyProtection="false">
      <alignment horizontal="center" vertical="bottom" textRotation="0" wrapText="false" indent="0" shrinkToFit="false"/>
      <protection locked="true" hidden="false"/>
    </xf>
    <xf numFmtId="201" fontId="8" fillId="41" borderId="45" xfId="0" applyFont="true" applyBorder="true" applyAlignment="false" applyProtection="false">
      <alignment horizontal="general" vertical="bottom" textRotation="0" wrapText="false" indent="0" shrinkToFit="false"/>
      <protection locked="true" hidden="false"/>
    </xf>
    <xf numFmtId="192" fontId="8" fillId="42" borderId="45" xfId="0" applyFont="true" applyBorder="true" applyAlignment="false" applyProtection="false">
      <alignment horizontal="general" vertical="bottom" textRotation="0" wrapText="false" indent="0" shrinkToFit="false"/>
      <protection locked="true" hidden="false"/>
    </xf>
    <xf numFmtId="192" fontId="8" fillId="42" borderId="45" xfId="17" applyFont="true" applyBorder="true" applyAlignment="true" applyProtection="true">
      <alignment horizontal="general" vertical="bottom" textRotation="0" wrapText="false" indent="0" shrinkToFit="false"/>
      <protection locked="true" hidden="false"/>
    </xf>
    <xf numFmtId="204" fontId="8" fillId="43" borderId="45" xfId="17" applyFont="true" applyBorder="true" applyAlignment="true" applyProtection="true">
      <alignment horizontal="general" vertical="bottom" textRotation="0" wrapText="false" indent="0" shrinkToFit="false"/>
      <protection locked="true" hidden="false"/>
    </xf>
    <xf numFmtId="179" fontId="6" fillId="44" borderId="122" xfId="17" applyFont="true" applyBorder="true" applyAlignment="true" applyProtection="true">
      <alignment horizontal="center" vertical="bottom" textRotation="0" wrapText="false" indent="0" shrinkToFit="false"/>
      <protection locked="true" hidden="false"/>
    </xf>
    <xf numFmtId="164" fontId="8" fillId="45" borderId="21" xfId="0" applyFont="true" applyBorder="true" applyAlignment="true" applyProtection="false">
      <alignment horizontal="left" vertical="bottom" textRotation="0" wrapText="false" indent="0" shrinkToFit="false"/>
      <protection locked="true" hidden="false"/>
    </xf>
    <xf numFmtId="164" fontId="8" fillId="45" borderId="22" xfId="0" applyFont="true" applyBorder="true" applyAlignment="true" applyProtection="false">
      <alignment horizontal="left" vertical="bottom" textRotation="0" wrapText="false" indent="0" shrinkToFit="false"/>
      <protection locked="true" hidden="false"/>
    </xf>
    <xf numFmtId="164" fontId="8" fillId="45" borderId="22" xfId="21" applyFont="true" applyBorder="true" applyAlignment="true" applyProtection="false">
      <alignment horizontal="center" vertical="bottom" textRotation="0" wrapText="false" indent="0" shrinkToFit="false"/>
      <protection locked="true" hidden="false"/>
    </xf>
    <xf numFmtId="164" fontId="8" fillId="45" borderId="22" xfId="21" applyFont="true" applyBorder="true" applyAlignment="true" applyProtection="true">
      <alignment horizontal="center" vertical="bottom" textRotation="0" wrapText="false" indent="0" shrinkToFit="false"/>
      <protection locked="false" hidden="false"/>
    </xf>
    <xf numFmtId="178" fontId="8" fillId="45" borderId="22" xfId="21" applyFont="true" applyBorder="true" applyAlignment="false" applyProtection="true">
      <alignment horizontal="general" vertical="bottom" textRotation="0" wrapText="false" indent="0" shrinkToFit="false"/>
      <protection locked="false" hidden="false"/>
    </xf>
    <xf numFmtId="178" fontId="8" fillId="45" borderId="22" xfId="21" applyFont="true" applyBorder="true" applyAlignment="true" applyProtection="true">
      <alignment horizontal="center" vertical="bottom" textRotation="0" wrapText="false" indent="0" shrinkToFit="false"/>
      <protection locked="false" hidden="false"/>
    </xf>
    <xf numFmtId="169" fontId="8" fillId="45" borderId="22" xfId="17" applyFont="true" applyBorder="true" applyAlignment="true" applyProtection="true">
      <alignment horizontal="general" vertical="bottom" textRotation="0" wrapText="false" indent="0" shrinkToFit="false"/>
      <protection locked="true" hidden="false"/>
    </xf>
    <xf numFmtId="204" fontId="8" fillId="45" borderId="22" xfId="0" applyFont="true" applyBorder="true" applyAlignment="false" applyProtection="false">
      <alignment horizontal="general" vertical="bottom" textRotation="0" wrapText="false" indent="0" shrinkToFit="false"/>
      <protection locked="true" hidden="false"/>
    </xf>
    <xf numFmtId="164" fontId="8" fillId="45" borderId="22" xfId="0" applyFont="true" applyBorder="true" applyAlignment="true" applyProtection="false">
      <alignment horizontal="center" vertical="bottom" textRotation="0" wrapText="false" indent="0" shrinkToFit="false"/>
      <protection locked="true" hidden="false"/>
    </xf>
    <xf numFmtId="164" fontId="8" fillId="45" borderId="22" xfId="0" applyFont="true" applyBorder="true" applyAlignment="false" applyProtection="false">
      <alignment horizontal="general" vertical="bottom" textRotation="0" wrapText="false" indent="0" shrinkToFit="false"/>
      <protection locked="true" hidden="false"/>
    </xf>
    <xf numFmtId="169" fontId="8" fillId="45" borderId="22" xfId="0" applyFont="true" applyBorder="true" applyAlignment="false" applyProtection="false">
      <alignment horizontal="general" vertical="bottom" textRotation="0" wrapText="false" indent="0" shrinkToFit="false"/>
      <protection locked="true" hidden="false"/>
    </xf>
    <xf numFmtId="179" fontId="8" fillId="45" borderId="22" xfId="0" applyFont="true" applyBorder="true" applyAlignment="false" applyProtection="false">
      <alignment horizontal="general" vertical="bottom" textRotation="0" wrapText="false" indent="0" shrinkToFit="false"/>
      <protection locked="true" hidden="false"/>
    </xf>
    <xf numFmtId="179" fontId="6" fillId="45" borderId="22" xfId="17" applyFont="true" applyBorder="true" applyAlignment="true" applyProtection="true">
      <alignment horizontal="center" vertical="bottom" textRotation="0" wrapText="false" indent="0" shrinkToFit="false"/>
      <protection locked="true" hidden="false"/>
    </xf>
    <xf numFmtId="179" fontId="6" fillId="45" borderId="23" xfId="17" applyFont="true" applyBorder="true" applyAlignment="true" applyProtection="true">
      <alignment horizontal="center" vertical="bottom" textRotation="0" wrapText="false" indent="0" shrinkToFit="false"/>
      <protection locked="true" hidden="false"/>
    </xf>
    <xf numFmtId="164" fontId="13" fillId="3" borderId="101" xfId="21" applyFont="true" applyBorder="true" applyAlignment="true" applyProtection="false">
      <alignment horizontal="center" vertical="bottom" textRotation="0" wrapText="true" indent="0" shrinkToFit="false"/>
      <protection locked="true" hidden="false"/>
    </xf>
    <xf numFmtId="178" fontId="6" fillId="13" borderId="101" xfId="21" applyFont="true" applyBorder="true" applyAlignment="false" applyProtection="true">
      <alignment horizontal="general" vertical="bottom" textRotation="0" wrapText="false" indent="0" shrinkToFit="false"/>
      <protection locked="false" hidden="false"/>
    </xf>
    <xf numFmtId="178" fontId="6" fillId="13" borderId="101" xfId="21" applyFont="true" applyBorder="true" applyAlignment="true" applyProtection="true">
      <alignment horizontal="center" vertical="bottom" textRotation="0" wrapText="false" indent="0" shrinkToFit="false"/>
      <protection locked="false" hidden="false"/>
    </xf>
    <xf numFmtId="164" fontId="6" fillId="10" borderId="101" xfId="0" applyFont="true" applyBorder="true" applyAlignment="true" applyProtection="false">
      <alignment horizontal="center" vertical="bottom" textRotation="0" wrapText="false" indent="0" shrinkToFit="false"/>
      <protection locked="true" hidden="false"/>
    </xf>
    <xf numFmtId="169" fontId="6" fillId="21" borderId="101" xfId="0" applyFont="true" applyBorder="true" applyAlignment="true" applyProtection="false">
      <alignment horizontal="center" vertical="bottom" textRotation="0" wrapText="false" indent="0" shrinkToFit="false"/>
      <protection locked="true" hidden="false"/>
    </xf>
    <xf numFmtId="169" fontId="6" fillId="20" borderId="101" xfId="0" applyFont="true" applyBorder="true" applyAlignment="true" applyProtection="false">
      <alignment horizontal="center" vertical="bottom" textRotation="0" wrapText="true" indent="0" shrinkToFit="false"/>
      <protection locked="true" hidden="false"/>
    </xf>
    <xf numFmtId="179" fontId="6" fillId="36" borderId="102" xfId="17" applyFont="true" applyBorder="true" applyAlignment="true" applyProtection="true">
      <alignment horizontal="center" vertical="bottom" textRotation="0" wrapText="false" indent="0" shrinkToFit="false"/>
      <protection locked="true" hidden="false"/>
    </xf>
    <xf numFmtId="192" fontId="8" fillId="39" borderId="82" xfId="17" applyFont="true" applyBorder="true" applyAlignment="true" applyProtection="true">
      <alignment horizontal="general" vertical="bottom" textRotation="0" wrapText="false" indent="0" shrinkToFit="false"/>
      <protection locked="false" hidden="false"/>
    </xf>
    <xf numFmtId="179" fontId="14" fillId="39" borderId="81" xfId="17" applyFont="true" applyBorder="true" applyAlignment="true" applyProtection="true">
      <alignment horizontal="center" vertical="bottom" textRotation="0" wrapText="false" indent="0" shrinkToFit="false"/>
      <protection locked="false" hidden="false"/>
    </xf>
    <xf numFmtId="204" fontId="8" fillId="0" borderId="149" xfId="0" applyFont="true" applyBorder="true" applyAlignment="false" applyProtection="true">
      <alignment horizontal="general" vertical="bottom" textRotation="0" wrapText="false" indent="0" shrinkToFit="false"/>
      <protection locked="false" hidden="false"/>
    </xf>
    <xf numFmtId="201" fontId="8" fillId="41" borderId="67" xfId="15" applyFont="true" applyBorder="true" applyAlignment="true" applyProtection="true">
      <alignment horizontal="general" vertical="bottom" textRotation="0" wrapText="false" indent="0" shrinkToFit="false"/>
      <protection locked="true" hidden="false"/>
    </xf>
    <xf numFmtId="193" fontId="8" fillId="41" borderId="89" xfId="0" applyFont="true" applyBorder="true" applyAlignment="true" applyProtection="false">
      <alignment horizontal="center" vertical="bottom" textRotation="0" wrapText="false" indent="0" shrinkToFit="false"/>
      <protection locked="true" hidden="false"/>
    </xf>
    <xf numFmtId="192" fontId="8" fillId="39" borderId="75" xfId="17" applyFont="true" applyBorder="true" applyAlignment="true" applyProtection="true">
      <alignment horizontal="general" vertical="bottom" textRotation="0" wrapText="false" indent="0" shrinkToFit="false"/>
      <protection locked="false" hidden="false"/>
    </xf>
    <xf numFmtId="179" fontId="14" fillId="39" borderId="67" xfId="17" applyFont="true" applyBorder="true" applyAlignment="true" applyProtection="true">
      <alignment horizontal="center" vertical="bottom" textRotation="0" wrapText="false" indent="0" shrinkToFit="false"/>
      <protection locked="false" hidden="false"/>
    </xf>
    <xf numFmtId="181" fontId="8" fillId="40" borderId="1" xfId="0" applyFont="true" applyBorder="true" applyAlignment="true" applyProtection="true">
      <alignment horizontal="center" vertical="bottom" textRotation="0" wrapText="false" indent="0" shrinkToFit="false"/>
      <protection locked="false" hidden="false"/>
    </xf>
    <xf numFmtId="192" fontId="8" fillId="39" borderId="1" xfId="17" applyFont="true" applyBorder="true" applyAlignment="true" applyProtection="true">
      <alignment horizontal="general" vertical="bottom" textRotation="0" wrapText="false" indent="0" shrinkToFit="false"/>
      <protection locked="false" hidden="false"/>
    </xf>
    <xf numFmtId="164" fontId="14" fillId="39" borderId="1" xfId="21" applyFont="true" applyBorder="true" applyAlignment="true" applyProtection="true">
      <alignment horizontal="center" vertical="bottom" textRotation="0" wrapText="false" indent="0" shrinkToFit="false"/>
      <protection locked="false" hidden="false"/>
    </xf>
    <xf numFmtId="204" fontId="8" fillId="0" borderId="1" xfId="0" applyFont="true" applyBorder="true" applyAlignment="false" applyProtection="true">
      <alignment horizontal="general" vertical="bottom" textRotation="0" wrapText="false" indent="0" shrinkToFit="false"/>
      <protection locked="false" hidden="false"/>
    </xf>
    <xf numFmtId="164" fontId="8" fillId="0" borderId="1" xfId="0" applyFont="true" applyBorder="true" applyAlignment="false" applyProtection="true">
      <alignment horizontal="general" vertical="bottom" textRotation="0" wrapText="false" indent="0" shrinkToFit="false"/>
      <protection locked="false" hidden="false"/>
    </xf>
    <xf numFmtId="192" fontId="8" fillId="39" borderId="38" xfId="17" applyFont="true" applyBorder="true" applyAlignment="true" applyProtection="true">
      <alignment horizontal="general" vertical="bottom" textRotation="0" wrapText="false" indent="0" shrinkToFit="false"/>
      <protection locked="false" hidden="false"/>
    </xf>
    <xf numFmtId="164" fontId="14" fillId="39" borderId="19" xfId="21" applyFont="true" applyBorder="true" applyAlignment="true" applyProtection="true">
      <alignment horizontal="center" vertical="bottom" textRotation="0" wrapText="false" indent="0" shrinkToFit="false"/>
      <protection locked="false" hidden="false"/>
    </xf>
    <xf numFmtId="164" fontId="8" fillId="40" borderId="19" xfId="0" applyFont="true" applyBorder="true" applyAlignment="true" applyProtection="true">
      <alignment horizontal="center" vertical="bottom" textRotation="0" wrapText="false" indent="0" shrinkToFit="false"/>
      <protection locked="false" hidden="false"/>
    </xf>
    <xf numFmtId="201" fontId="8" fillId="41" borderId="45" xfId="15" applyFont="true" applyBorder="true" applyAlignment="true" applyProtection="true">
      <alignment horizontal="general" vertical="bottom" textRotation="0" wrapText="false" indent="0" shrinkToFit="false"/>
      <protection locked="true" hidden="false"/>
    </xf>
    <xf numFmtId="193" fontId="8" fillId="41" borderId="45" xfId="0" applyFont="true" applyBorder="true" applyAlignment="true" applyProtection="false">
      <alignment horizontal="center" vertical="bottom" textRotation="0" wrapText="false" indent="0" shrinkToFit="false"/>
      <protection locked="true" hidden="false"/>
    </xf>
    <xf numFmtId="179" fontId="6" fillId="44" borderId="96" xfId="17" applyFont="true" applyBorder="true" applyAlignment="true" applyProtection="true">
      <alignment horizontal="center" vertical="bottom" textRotation="0" wrapText="false" indent="0" shrinkToFit="false"/>
      <protection locked="true" hidden="false"/>
    </xf>
    <xf numFmtId="164" fontId="6" fillId="3" borderId="101" xfId="21" applyFont="true" applyBorder="true" applyAlignment="true" applyProtection="false">
      <alignment horizontal="center" vertical="bottom" textRotation="0" wrapText="false" indent="0" shrinkToFit="false"/>
      <protection locked="true" hidden="false"/>
    </xf>
    <xf numFmtId="164" fontId="6" fillId="13" borderId="101" xfId="21" applyFont="true" applyBorder="true" applyAlignment="false" applyProtection="false">
      <alignment horizontal="general" vertical="bottom" textRotation="0" wrapText="false" indent="0" shrinkToFit="false"/>
      <protection locked="true" hidden="false"/>
    </xf>
    <xf numFmtId="164" fontId="6" fillId="13" borderId="101" xfId="21" applyFont="true" applyBorder="true" applyAlignment="true" applyProtection="false">
      <alignment horizontal="center" vertical="bottom" textRotation="0" wrapText="false" indent="0" shrinkToFit="false"/>
      <protection locked="true" hidden="false"/>
    </xf>
    <xf numFmtId="183" fontId="8" fillId="0" borderId="7" xfId="19" applyFont="true" applyBorder="true" applyAlignment="true" applyProtection="true">
      <alignment horizontal="general" vertical="bottom" textRotation="0" wrapText="false" indent="0" shrinkToFit="false"/>
      <protection locked="true" hidden="false"/>
    </xf>
    <xf numFmtId="169" fontId="14" fillId="39" borderId="81" xfId="17" applyFont="true" applyBorder="true" applyAlignment="true" applyProtection="true">
      <alignment horizontal="center" vertical="bottom" textRotation="0" wrapText="false" indent="0" shrinkToFit="false"/>
      <protection locked="false" hidden="false"/>
    </xf>
    <xf numFmtId="201" fontId="8" fillId="41" borderId="89" xfId="15" applyFont="true" applyBorder="true" applyAlignment="true" applyProtection="true">
      <alignment horizontal="center" vertical="bottom" textRotation="0" wrapText="false" indent="0" shrinkToFit="false"/>
      <protection locked="true" hidden="false"/>
    </xf>
    <xf numFmtId="164" fontId="11" fillId="0" borderId="69" xfId="0" applyFont="true" applyBorder="true" applyAlignment="false" applyProtection="true">
      <alignment horizontal="general" vertical="bottom" textRotation="0" wrapText="false" indent="0" shrinkToFit="false"/>
      <protection locked="false" hidden="false"/>
    </xf>
    <xf numFmtId="164" fontId="11" fillId="0" borderId="2" xfId="0" applyFont="true" applyBorder="true" applyAlignment="false" applyProtection="true">
      <alignment horizontal="general" vertical="bottom" textRotation="0" wrapText="false" indent="0" shrinkToFit="false"/>
      <protection locked="false" hidden="false"/>
    </xf>
    <xf numFmtId="164" fontId="11" fillId="0" borderId="89" xfId="0" applyFont="true" applyBorder="true" applyAlignment="false" applyProtection="true">
      <alignment horizontal="general" vertical="bottom" textRotation="0" wrapText="false" indent="0" shrinkToFit="false"/>
      <protection locked="false" hidden="false"/>
    </xf>
    <xf numFmtId="169" fontId="14" fillId="39" borderId="67" xfId="17" applyFont="true" applyBorder="true" applyAlignment="true" applyProtection="true">
      <alignment horizontal="center" vertical="bottom" textRotation="0" wrapText="false" indent="0" shrinkToFit="false"/>
      <protection locked="false" hidden="false"/>
    </xf>
    <xf numFmtId="192" fontId="8" fillId="39" borderId="75" xfId="21" applyFont="true" applyBorder="true" applyAlignment="false" applyProtection="true">
      <alignment horizontal="general" vertical="bottom" textRotation="0" wrapText="false" indent="0" shrinkToFit="false"/>
      <protection locked="false" hidden="false"/>
    </xf>
    <xf numFmtId="164" fontId="8" fillId="0" borderId="112" xfId="0" applyFont="true" applyBorder="true" applyAlignment="false" applyProtection="false">
      <alignment horizontal="general" vertical="bottom" textRotation="0" wrapText="false" indent="0" shrinkToFit="false"/>
      <protection locked="true" hidden="false"/>
    </xf>
    <xf numFmtId="169" fontId="8" fillId="0" borderId="112" xfId="0" applyFont="true" applyBorder="true" applyAlignment="false" applyProtection="false">
      <alignment horizontal="general" vertical="bottom" textRotation="0" wrapText="false" indent="0" shrinkToFit="false"/>
      <protection locked="true" hidden="false"/>
    </xf>
    <xf numFmtId="192" fontId="8" fillId="39" borderId="38" xfId="21" applyFont="true" applyBorder="true" applyAlignment="false" applyProtection="true">
      <alignment horizontal="general" vertical="bottom" textRotation="0" wrapText="false" indent="0" shrinkToFit="false"/>
      <protection locked="false" hidden="false"/>
    </xf>
    <xf numFmtId="164" fontId="8" fillId="40" borderId="55" xfId="0" applyFont="true" applyBorder="true" applyAlignment="true" applyProtection="true">
      <alignment horizontal="center" vertical="bottom" textRotation="0" wrapText="false" indent="0" shrinkToFit="false"/>
      <protection locked="false" hidden="false"/>
    </xf>
    <xf numFmtId="164" fontId="8" fillId="41" borderId="45" xfId="0" applyFont="true" applyBorder="true" applyAlignment="true" applyProtection="false">
      <alignment horizontal="center" vertical="bottom" textRotation="0" wrapText="false" indent="0" shrinkToFit="false"/>
      <protection locked="true" hidden="false"/>
    </xf>
    <xf numFmtId="201" fontId="8" fillId="41" borderId="45" xfId="15" applyFont="true" applyBorder="true" applyAlignment="true" applyProtection="true">
      <alignment horizontal="center" vertical="bottom" textRotation="0" wrapText="false" indent="0" shrinkToFit="false"/>
      <protection locked="true" hidden="false"/>
    </xf>
    <xf numFmtId="179" fontId="8" fillId="44" borderId="96" xfId="0" applyFont="true" applyBorder="true" applyAlignment="true" applyProtection="false">
      <alignment horizontal="center" vertical="bottom" textRotation="0" wrapText="false" indent="0" shrinkToFit="false"/>
      <protection locked="true" hidden="false"/>
    </xf>
    <xf numFmtId="220" fontId="4" fillId="0" borderId="33" xfId="0" applyFont="true" applyBorder="true" applyAlignment="false" applyProtection="false">
      <alignment horizontal="general" vertical="bottom" textRotation="0" wrapText="false" indent="0" shrinkToFit="false"/>
      <protection locked="true" hidden="false"/>
    </xf>
    <xf numFmtId="204" fontId="8" fillId="0" borderId="9" xfId="0" applyFont="true" applyBorder="true" applyAlignment="false" applyProtection="false">
      <alignment horizontal="general" vertical="bottom" textRotation="0" wrapText="false" indent="0" shrinkToFit="false"/>
      <protection locked="true" hidden="false"/>
    </xf>
    <xf numFmtId="201" fontId="8" fillId="0" borderId="9" xfId="15" applyFont="true" applyBorder="true" applyAlignment="true" applyProtection="true">
      <alignment horizontal="general" vertical="bottom" textRotation="0" wrapText="false" indent="0" shrinkToFit="false"/>
      <protection locked="true" hidden="false"/>
    </xf>
    <xf numFmtId="179" fontId="8" fillId="0" borderId="9" xfId="17" applyFont="true" applyBorder="true" applyAlignment="true" applyProtection="true">
      <alignment horizontal="general" vertical="bottom" textRotation="0" wrapText="false" indent="0" shrinkToFit="false"/>
      <protection locked="true" hidden="false"/>
    </xf>
    <xf numFmtId="164" fontId="8" fillId="26" borderId="0" xfId="0" applyFont="true" applyBorder="false" applyAlignment="false" applyProtection="false">
      <alignment horizontal="general" vertical="bottom" textRotation="0" wrapText="false" indent="0" shrinkToFit="false"/>
      <protection locked="true" hidden="false"/>
    </xf>
    <xf numFmtId="164" fontId="8" fillId="26" borderId="0" xfId="0" applyFont="tru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8" fontId="8" fillId="3" borderId="32" xfId="0" applyFont="true" applyBorder="true" applyAlignment="true" applyProtection="false">
      <alignment horizontal="center" vertical="bottom" textRotation="0" wrapText="false" indent="0" shrinkToFit="false"/>
      <protection locked="true" hidden="false"/>
    </xf>
    <xf numFmtId="168" fontId="8" fillId="3" borderId="37" xfId="0" applyFont="true" applyBorder="true" applyAlignment="true" applyProtection="true">
      <alignment horizontal="center" vertical="bottom" textRotation="0" wrapText="false" indent="0" shrinkToFit="false"/>
      <protection locked="false" hidden="false"/>
    </xf>
    <xf numFmtId="168" fontId="8" fillId="3" borderId="73" xfId="0" applyFont="true" applyBorder="true" applyAlignment="true" applyProtection="false">
      <alignment horizontal="center" vertical="bottom" textRotation="0" wrapText="false" indent="0" shrinkToFit="false"/>
      <protection locked="true" hidden="false"/>
    </xf>
    <xf numFmtId="164" fontId="8" fillId="0" borderId="0" xfId="0" applyFont="true" applyBorder="true" applyAlignment="true" applyProtection="false">
      <alignment horizontal="right" vertical="bottom" textRotation="0" wrapText="false" indent="0" shrinkToFit="false"/>
      <protection locked="true" hidden="false"/>
    </xf>
    <xf numFmtId="164" fontId="6" fillId="3" borderId="100" xfId="0" applyFont="true" applyBorder="true" applyAlignment="true" applyProtection="false">
      <alignment horizontal="center" vertical="bottom" textRotation="0" wrapText="true" indent="0" shrinkToFit="false"/>
      <protection locked="true" hidden="false"/>
    </xf>
    <xf numFmtId="164" fontId="8" fillId="3" borderId="34" xfId="0" applyFont="true" applyBorder="true" applyAlignment="true" applyProtection="false">
      <alignment horizontal="center" vertical="bottom" textRotation="0" wrapText="false" indent="0" shrinkToFit="false"/>
      <protection locked="true" hidden="false"/>
    </xf>
    <xf numFmtId="164" fontId="0" fillId="3" borderId="35" xfId="0" applyFont="false" applyBorder="true" applyAlignment="false" applyProtection="false">
      <alignment horizontal="general" vertical="bottom" textRotation="0" wrapText="false" indent="0" shrinkToFit="false"/>
      <protection locked="true" hidden="false"/>
    </xf>
    <xf numFmtId="164" fontId="8" fillId="3" borderId="36" xfId="0" applyFont="true" applyBorder="true" applyAlignment="true" applyProtection="false">
      <alignment horizontal="center" vertical="bottom" textRotation="0" wrapText="false" indent="0" shrinkToFit="false"/>
      <protection locked="true" hidden="false"/>
    </xf>
    <xf numFmtId="164" fontId="0" fillId="3" borderId="42" xfId="0" applyFont="false" applyBorder="true" applyAlignment="false" applyProtection="false">
      <alignment horizontal="general" vertical="bottom" textRotation="0" wrapText="false" indent="0" shrinkToFit="false"/>
      <protection locked="true" hidden="false"/>
    </xf>
    <xf numFmtId="164" fontId="0" fillId="3" borderId="17" xfId="0" applyFont="false" applyBorder="true" applyAlignment="false" applyProtection="false">
      <alignment horizontal="general" vertical="bottom" textRotation="0" wrapText="false" indent="0" shrinkToFit="false"/>
      <protection locked="true" hidden="false"/>
    </xf>
    <xf numFmtId="164" fontId="8" fillId="0" borderId="129" xfId="0" applyFont="true" applyBorder="true" applyAlignment="true" applyProtection="false">
      <alignment horizontal="center" vertical="bottom" textRotation="0" wrapText="true" indent="0" shrinkToFit="false"/>
      <protection locked="true" hidden="false"/>
    </xf>
    <xf numFmtId="164" fontId="8" fillId="6" borderId="102" xfId="0" applyFont="true" applyBorder="true" applyAlignment="true" applyProtection="false">
      <alignment horizontal="center" vertical="bottom" textRotation="0" wrapText="tru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81" fontId="8" fillId="3" borderId="150" xfId="0" applyFont="true" applyBorder="true" applyAlignment="true" applyProtection="true">
      <alignment horizontal="right" vertical="bottom" textRotation="0" wrapText="false" indent="0" shrinkToFit="false"/>
      <protection locked="false" hidden="false"/>
    </xf>
    <xf numFmtId="218" fontId="8" fillId="0" borderId="0" xfId="0" applyFont="true" applyBorder="false" applyAlignment="true" applyProtection="true">
      <alignment horizontal="center" vertical="bottom" textRotation="0" wrapText="false" indent="0" shrinkToFit="false"/>
      <protection locked="false" hidden="false"/>
    </xf>
    <xf numFmtId="196" fontId="8" fillId="0" borderId="8" xfId="17" applyFont="true" applyBorder="true" applyAlignment="true" applyProtection="true">
      <alignment horizontal="center" vertical="bottom" textRotation="0" wrapText="false" indent="0" shrinkToFit="false"/>
      <protection locked="false" hidden="false"/>
    </xf>
    <xf numFmtId="193" fontId="8" fillId="6" borderId="0" xfId="0" applyFont="true" applyBorder="false" applyAlignment="false" applyProtection="false">
      <alignment horizontal="general" vertical="bottom" textRotation="0" wrapText="false" indent="0" shrinkToFit="false"/>
      <protection locked="true" hidden="false"/>
    </xf>
    <xf numFmtId="196" fontId="8" fillId="6" borderId="45" xfId="0" applyFont="true" applyBorder="true" applyAlignment="false" applyProtection="false">
      <alignment horizontal="general" vertical="bottom" textRotation="0" wrapText="false" indent="0" shrinkToFit="false"/>
      <protection locked="true" hidden="false"/>
    </xf>
    <xf numFmtId="169" fontId="0" fillId="3" borderId="0" xfId="0" applyFont="false" applyBorder="false" applyAlignment="false" applyProtection="false">
      <alignment horizontal="general" vertical="bottom" textRotation="0" wrapText="false" indent="0" shrinkToFit="false"/>
      <protection locked="true" hidden="false"/>
    </xf>
    <xf numFmtId="182" fontId="0" fillId="3" borderId="0" xfId="0" applyFont="false" applyBorder="false" applyAlignment="false" applyProtection="false">
      <alignment horizontal="general" vertical="bottom" textRotation="0" wrapText="false" indent="0" shrinkToFit="false"/>
      <protection locked="true" hidden="false"/>
    </xf>
    <xf numFmtId="179" fontId="0" fillId="3" borderId="0" xfId="0" applyFont="false" applyBorder="false" applyAlignment="false" applyProtection="false">
      <alignment horizontal="general" vertical="bottom" textRotation="0" wrapText="false" indent="0" shrinkToFit="false"/>
      <protection locked="true" hidden="false"/>
    </xf>
    <xf numFmtId="181" fontId="8" fillId="3" borderId="14" xfId="0" applyFont="true" applyBorder="true" applyAlignment="true" applyProtection="true">
      <alignment horizontal="right" vertical="bottom" textRotation="0" wrapText="false" indent="0" shrinkToFit="false"/>
      <protection locked="false" hidden="false"/>
    </xf>
    <xf numFmtId="181" fontId="8" fillId="3" borderId="14" xfId="0" applyFont="true" applyBorder="true" applyAlignment="false" applyProtection="true">
      <alignment horizontal="general" vertical="bottom" textRotation="0" wrapText="false" indent="0" shrinkToFit="false"/>
      <protection locked="false" hidden="false"/>
    </xf>
    <xf numFmtId="193" fontId="8" fillId="0" borderId="24" xfId="0" applyFont="true" applyBorder="true" applyAlignment="false" applyProtection="false">
      <alignment horizontal="general" vertical="bottom" textRotation="0" wrapText="false" indent="0" shrinkToFit="false"/>
      <protection locked="true" hidden="false"/>
    </xf>
    <xf numFmtId="180" fontId="8" fillId="0" borderId="6" xfId="0" applyFont="true" applyBorder="true" applyAlignment="false" applyProtection="false">
      <alignment horizontal="general" vertical="bottom" textRotation="0" wrapText="false" indent="0" shrinkToFit="false"/>
      <protection locked="true" hidden="false"/>
    </xf>
    <xf numFmtId="182" fontId="8" fillId="9" borderId="33" xfId="17" applyFont="true" applyBorder="true" applyAlignment="true" applyProtection="true">
      <alignment horizontal="center" vertical="bottom" textRotation="0" wrapText="false" indent="0" shrinkToFit="false"/>
      <protection locked="false" hidden="false"/>
    </xf>
    <xf numFmtId="164" fontId="8" fillId="9" borderId="0" xfId="0" applyFont="true" applyBorder="false" applyAlignment="false" applyProtection="true">
      <alignment horizontal="general" vertical="bottom" textRotation="0" wrapText="false" indent="0" shrinkToFit="false"/>
      <protection locked="false" hidden="false"/>
    </xf>
    <xf numFmtId="179" fontId="8" fillId="5" borderId="8" xfId="0" applyFont="true" applyBorder="true" applyAlignment="true" applyProtection="false">
      <alignment horizontal="center" vertical="bottom" textRotation="0" wrapText="false" indent="0" shrinkToFit="false"/>
      <protection locked="true" hidden="false"/>
    </xf>
    <xf numFmtId="164" fontId="8" fillId="15" borderId="0" xfId="0" applyFont="true" applyBorder="false" applyAlignment="false" applyProtection="false">
      <alignment horizontal="general" vertical="bottom" textRotation="0" wrapText="false" indent="0" shrinkToFit="false"/>
      <protection locked="true" hidden="false"/>
    </xf>
    <xf numFmtId="179" fontId="8" fillId="5" borderId="8" xfId="17" applyFont="true" applyBorder="true" applyAlignment="true" applyProtection="true">
      <alignment horizontal="center" vertical="bottom" textRotation="0" wrapText="false" indent="0" shrinkToFit="false"/>
      <protection locked="true" hidden="false"/>
    </xf>
    <xf numFmtId="179" fontId="8" fillId="5" borderId="61" xfId="0" applyFont="true" applyBorder="true" applyAlignment="true" applyProtection="false">
      <alignment horizontal="center" vertical="bottom" textRotation="0" wrapText="false" indent="0" shrinkToFit="false"/>
      <protection locked="true" hidden="false"/>
    </xf>
    <xf numFmtId="183" fontId="8" fillId="3" borderId="57" xfId="19" applyFont="true" applyBorder="true" applyAlignment="true" applyProtection="true">
      <alignment horizontal="center" vertical="bottom" textRotation="0" wrapText="false" indent="0" shrinkToFit="false"/>
      <protection locked="false" hidden="false"/>
    </xf>
    <xf numFmtId="183" fontId="8" fillId="3" borderId="15" xfId="19" applyFont="true" applyBorder="true" applyAlignment="true" applyProtection="true">
      <alignment horizontal="center" vertical="center" textRotation="0" wrapText="false" indent="0" shrinkToFit="false"/>
      <protection locked="false" hidden="false"/>
    </xf>
    <xf numFmtId="183" fontId="8" fillId="3" borderId="55" xfId="19" applyFont="true" applyBorder="true" applyAlignment="true" applyProtection="true">
      <alignment horizontal="center" vertical="bottom" textRotation="0" wrapText="false" indent="0" shrinkToFit="false"/>
      <protection locked="false" hidden="false"/>
    </xf>
    <xf numFmtId="164" fontId="8" fillId="0" borderId="39" xfId="0" applyFont="true" applyBorder="true" applyAlignment="true" applyProtection="false">
      <alignment horizontal="center" vertical="center" textRotation="0" wrapText="false" indent="0" shrinkToFit="false"/>
      <protection locked="true" hidden="false"/>
    </xf>
    <xf numFmtId="164" fontId="8" fillId="0" borderId="78" xfId="0" applyFont="true" applyBorder="true" applyAlignment="true" applyProtection="false">
      <alignment horizontal="center" vertical="center" textRotation="0" wrapText="false" indent="0" shrinkToFit="false"/>
      <protection locked="true" hidden="false"/>
    </xf>
    <xf numFmtId="169" fontId="8" fillId="15" borderId="0" xfId="17" applyFont="true" applyBorder="true" applyAlignment="true" applyProtection="true">
      <alignment horizontal="center" vertical="bottom" textRotation="0" wrapText="false" indent="0" shrinkToFit="false"/>
      <protection locked="false" hidden="false"/>
    </xf>
    <xf numFmtId="179" fontId="8" fillId="3" borderId="1" xfId="17" applyFont="true" applyBorder="true" applyAlignment="true" applyProtection="true">
      <alignment horizontal="center" vertical="bottom" textRotation="0" wrapText="false" indent="0" shrinkToFit="false"/>
      <protection locked="false" hidden="false"/>
    </xf>
    <xf numFmtId="183" fontId="8" fillId="3" borderId="19" xfId="19" applyFont="true" applyBorder="true" applyAlignment="true" applyProtection="true">
      <alignment horizontal="center" vertical="bottom" textRotation="0" wrapText="false" indent="0" shrinkToFit="false"/>
      <protection locked="false" hidden="false"/>
    </xf>
    <xf numFmtId="179" fontId="8" fillId="6" borderId="119" xfId="17" applyFont="true" applyBorder="true" applyAlignment="true" applyProtection="true">
      <alignment horizontal="center" vertical="bottom" textRotation="0" wrapText="false" indent="0" shrinkToFit="false"/>
      <protection locked="true" hidden="false"/>
    </xf>
    <xf numFmtId="179" fontId="8" fillId="5" borderId="9" xfId="17" applyFont="true" applyBorder="true" applyAlignment="true" applyProtection="true">
      <alignment horizontal="center" vertical="bottom" textRotation="0" wrapText="false" indent="0" shrinkToFit="false"/>
      <protection locked="true" hidden="false"/>
    </xf>
    <xf numFmtId="169" fontId="8" fillId="5" borderId="17" xfId="17" applyFont="true" applyBorder="true" applyAlignment="true" applyProtection="true">
      <alignment horizontal="center" vertical="bottom" textRotation="0" wrapText="false" indent="0" shrinkToFit="false"/>
      <protection locked="true" hidden="false"/>
    </xf>
    <xf numFmtId="201" fontId="8" fillId="6" borderId="1" xfId="15" applyFont="true" applyBorder="true" applyAlignment="true" applyProtection="true">
      <alignment horizontal="right" vertical="center" textRotation="0" wrapText="false" indent="0" shrinkToFit="false"/>
      <protection locked="true" hidden="false"/>
    </xf>
    <xf numFmtId="179" fontId="8" fillId="5" borderId="0" xfId="17" applyFont="true" applyBorder="true" applyAlignment="true" applyProtection="true">
      <alignment horizontal="center" vertical="bottom" textRotation="0" wrapText="false" indent="0" shrinkToFit="false"/>
      <protection locked="true" hidden="false"/>
    </xf>
    <xf numFmtId="169" fontId="8" fillId="5" borderId="8" xfId="17" applyFont="true" applyBorder="true" applyAlignment="true" applyProtection="true">
      <alignment horizontal="center" vertical="bottom" textRotation="0" wrapText="false" indent="0" shrinkToFit="false"/>
      <protection locked="true" hidden="false"/>
    </xf>
    <xf numFmtId="179" fontId="8" fillId="5" borderId="61" xfId="17" applyFont="true" applyBorder="true" applyAlignment="true" applyProtection="true">
      <alignment horizontal="center" vertical="bottom" textRotation="0" wrapText="false" indent="0" shrinkToFit="false"/>
      <protection locked="true" hidden="false"/>
    </xf>
    <xf numFmtId="164" fontId="8" fillId="0" borderId="69" xfId="0" applyFont="true" applyBorder="true" applyAlignment="true" applyProtection="false">
      <alignment horizontal="left" vertical="bottom" textRotation="0" wrapText="false" indent="0" shrinkToFit="false"/>
      <protection locked="true" hidden="false"/>
    </xf>
    <xf numFmtId="169" fontId="8" fillId="3" borderId="75" xfId="17" applyFont="true" applyBorder="true" applyAlignment="true" applyProtection="true">
      <alignment horizontal="center" vertical="bottom" textRotation="0" wrapText="false" indent="0" shrinkToFit="false"/>
      <protection locked="false" hidden="false"/>
    </xf>
    <xf numFmtId="201" fontId="8" fillId="0" borderId="2" xfId="15" applyFont="true" applyBorder="true" applyAlignment="true" applyProtection="true">
      <alignment horizontal="center" vertical="bottom" textRotation="0" wrapText="false" indent="0" shrinkToFit="false"/>
      <protection locked="true" hidden="false"/>
    </xf>
    <xf numFmtId="179" fontId="8" fillId="5" borderId="2" xfId="17" applyFont="true" applyBorder="true" applyAlignment="true" applyProtection="true">
      <alignment horizontal="center" vertical="bottom" textRotation="0" wrapText="false" indent="0" shrinkToFit="false"/>
      <protection locked="true" hidden="false"/>
    </xf>
    <xf numFmtId="169" fontId="8" fillId="5" borderId="68" xfId="17" applyFont="true" applyBorder="true" applyAlignment="true" applyProtection="true">
      <alignment horizontal="center" vertical="bottom" textRotation="0" wrapText="false" indent="0" shrinkToFit="false"/>
      <protection locked="true" hidden="false"/>
    </xf>
    <xf numFmtId="164" fontId="6" fillId="0" borderId="128" xfId="0" applyFont="true" applyBorder="true" applyAlignment="true" applyProtection="false">
      <alignment horizontal="center" vertical="bottom" textRotation="0" wrapText="false" indent="0" shrinkToFit="false"/>
      <protection locked="true" hidden="false"/>
    </xf>
    <xf numFmtId="164" fontId="6" fillId="6" borderId="7" xfId="0" applyFont="true" applyBorder="true" applyAlignment="true" applyProtection="false">
      <alignment horizontal="center" vertical="bottom" textRotation="0" wrapText="false" indent="0" shrinkToFit="false"/>
      <protection locked="true" hidden="false"/>
    </xf>
    <xf numFmtId="179" fontId="8" fillId="5" borderId="17" xfId="17" applyFont="true" applyBorder="true" applyAlignment="true" applyProtection="true">
      <alignment horizontal="center" vertical="bottom" textRotation="0" wrapText="false" indent="0" shrinkToFit="false"/>
      <protection locked="true" hidden="false"/>
    </xf>
    <xf numFmtId="179" fontId="8" fillId="5" borderId="13" xfId="17" applyFont="true" applyBorder="true" applyAlignment="true" applyProtection="true">
      <alignment horizontal="center" vertical="bottom" textRotation="0" wrapText="false" indent="0" shrinkToFit="false"/>
      <protection locked="true" hidden="false"/>
    </xf>
    <xf numFmtId="179" fontId="0" fillId="0" borderId="39" xfId="17" applyFont="true" applyBorder="true" applyAlignment="true" applyProtection="true">
      <alignment horizontal="general" vertical="bottom" textRotation="0" wrapText="false" indent="0" shrinkToFit="false"/>
      <protection locked="true" hidden="false"/>
    </xf>
    <xf numFmtId="201" fontId="8" fillId="15" borderId="109" xfId="15" applyFont="true" applyBorder="true" applyAlignment="true" applyProtection="true">
      <alignment horizontal="general" vertical="bottom" textRotation="0" wrapText="false" indent="0" shrinkToFit="false"/>
      <protection locked="false" hidden="false"/>
    </xf>
    <xf numFmtId="179" fontId="8" fillId="5" borderId="108" xfId="17" applyFont="true" applyBorder="true" applyAlignment="true" applyProtection="true">
      <alignment horizontal="center" vertical="bottom" textRotation="0" wrapText="false" indent="0" shrinkToFit="false"/>
      <protection locked="true" hidden="false"/>
    </xf>
    <xf numFmtId="201" fontId="8" fillId="15" borderId="1" xfId="15" applyFont="true" applyBorder="true" applyAlignment="true" applyProtection="true">
      <alignment horizontal="general" vertical="bottom" textRotation="0" wrapText="false" indent="0" shrinkToFit="false"/>
      <protection locked="false" hidden="false"/>
    </xf>
    <xf numFmtId="205" fontId="8" fillId="3" borderId="1" xfId="17" applyFont="true" applyBorder="true" applyAlignment="true" applyProtection="true">
      <alignment horizontal="center" vertical="bottom" textRotation="0" wrapText="false" indent="0" shrinkToFit="false"/>
      <protection locked="false" hidden="false"/>
    </xf>
    <xf numFmtId="193" fontId="8" fillId="0" borderId="39" xfId="0" applyFont="true" applyBorder="true" applyAlignment="true" applyProtection="true">
      <alignment horizontal="center" vertical="bottom" textRotation="0" wrapText="false" indent="0" shrinkToFit="false"/>
      <protection locked="false" hidden="false"/>
    </xf>
    <xf numFmtId="164" fontId="8" fillId="9" borderId="108" xfId="0" applyFont="true" applyBorder="true" applyAlignment="true" applyProtection="false">
      <alignment horizontal="center" vertical="bottom" textRotation="0" wrapText="false" indent="0" shrinkToFit="false"/>
      <protection locked="true" hidden="false"/>
    </xf>
    <xf numFmtId="179" fontId="8" fillId="15" borderId="55" xfId="17" applyFont="true" applyBorder="true" applyAlignment="true" applyProtection="true">
      <alignment horizontal="general" vertical="bottom" textRotation="0" wrapText="false" indent="0" shrinkToFit="false"/>
      <protection locked="false" hidden="false"/>
    </xf>
    <xf numFmtId="179" fontId="8" fillId="15" borderId="19" xfId="17" applyFont="true" applyBorder="true" applyAlignment="true" applyProtection="true">
      <alignment horizontal="general" vertical="bottom" textRotation="0" wrapText="false" indent="0" shrinkToFit="false"/>
      <protection locked="false" hidden="false"/>
    </xf>
    <xf numFmtId="183" fontId="8" fillId="26" borderId="19" xfId="19" applyFont="true" applyBorder="true" applyAlignment="true" applyProtection="true">
      <alignment horizontal="general" vertical="bottom" textRotation="0" wrapText="false" indent="0" shrinkToFit="false"/>
      <protection locked="true" hidden="false"/>
    </xf>
    <xf numFmtId="193" fontId="8" fillId="0" borderId="16" xfId="0" applyFont="true" applyBorder="true" applyAlignment="false" applyProtection="false">
      <alignment horizontal="general" vertical="bottom" textRotation="0" wrapText="false" indent="0" shrinkToFit="false"/>
      <protection locked="true" hidden="false"/>
    </xf>
    <xf numFmtId="193" fontId="8" fillId="0" borderId="9" xfId="0" applyFont="true" applyBorder="true" applyAlignment="false" applyProtection="false">
      <alignment horizontal="general" vertical="bottom" textRotation="0" wrapText="false" indent="0" shrinkToFit="false"/>
      <protection locked="true" hidden="false"/>
    </xf>
    <xf numFmtId="179" fontId="8" fillId="0" borderId="17" xfId="17" applyFont="true" applyBorder="true" applyAlignment="true" applyProtection="true">
      <alignment horizontal="general" vertical="bottom" textRotation="0" wrapText="false" indent="0" shrinkToFit="false"/>
      <protection locked="true" hidden="false"/>
    </xf>
    <xf numFmtId="193" fontId="8" fillId="0" borderId="7" xfId="0" applyFont="true" applyBorder="true" applyAlignment="false" applyProtection="false">
      <alignment horizontal="general" vertical="bottom" textRotation="0" wrapText="false" indent="0" shrinkToFit="false"/>
      <protection locked="true" hidden="false"/>
    </xf>
    <xf numFmtId="179" fontId="8" fillId="9" borderId="13" xfId="17" applyFont="true" applyBorder="true" applyAlignment="true" applyProtection="true">
      <alignment horizontal="right" vertical="bottom" textRotation="0" wrapText="false" indent="0" shrinkToFit="false"/>
      <protection locked="true" hidden="false"/>
    </xf>
    <xf numFmtId="193" fontId="8" fillId="0" borderId="1" xfId="0" applyFont="true" applyBorder="true" applyAlignment="false" applyProtection="false">
      <alignment horizontal="general" vertical="bottom" textRotation="0" wrapText="false" indent="0" shrinkToFit="false"/>
      <protection locked="true" hidden="false"/>
    </xf>
    <xf numFmtId="164" fontId="8" fillId="0" borderId="57" xfId="0" applyFont="true" applyBorder="true" applyAlignment="false" applyProtection="false">
      <alignment horizontal="general" vertical="bottom" textRotation="0" wrapText="false" indent="0" shrinkToFit="false"/>
      <protection locked="true" hidden="false"/>
    </xf>
    <xf numFmtId="211" fontId="4" fillId="6" borderId="67" xfId="0" applyFont="true" applyBorder="true" applyAlignment="true" applyProtection="false">
      <alignment horizontal="right" vertical="bottom" textRotation="0" wrapText="false" indent="0" shrinkToFit="false"/>
      <protection locked="true" hidden="false"/>
    </xf>
    <xf numFmtId="193" fontId="8" fillId="0" borderId="46" xfId="0" applyFont="true" applyBorder="true" applyAlignment="false" applyProtection="false">
      <alignment horizontal="general" vertical="bottom" textRotation="0" wrapText="false" indent="0" shrinkToFit="false"/>
      <protection locked="true" hidden="false"/>
    </xf>
    <xf numFmtId="179" fontId="8" fillId="0" borderId="1" xfId="0" applyFont="true" applyBorder="true" applyAlignment="false" applyProtection="false">
      <alignment horizontal="general" vertical="bottom" textRotation="0" wrapText="false" indent="0" shrinkToFit="false"/>
      <protection locked="true" hidden="false"/>
    </xf>
    <xf numFmtId="193" fontId="8" fillId="0" borderId="55" xfId="0" applyFont="true" applyBorder="true" applyAlignment="false" applyProtection="false">
      <alignment horizontal="general" vertical="bottom" textRotation="0" wrapText="false" indent="0" shrinkToFit="false"/>
      <protection locked="true" hidden="false"/>
    </xf>
    <xf numFmtId="193" fontId="8" fillId="0" borderId="74" xfId="0" applyFont="true" applyBorder="true" applyAlignment="false" applyProtection="false">
      <alignment horizontal="general" vertical="bottom" textRotation="0" wrapText="false" indent="0" shrinkToFit="false"/>
      <protection locked="true" hidden="false"/>
    </xf>
    <xf numFmtId="179" fontId="8" fillId="0" borderId="55" xfId="0" applyFont="true" applyBorder="true" applyAlignment="false" applyProtection="false">
      <alignment horizontal="general" vertical="bottom" textRotation="0" wrapText="false" indent="0" shrinkToFit="false"/>
      <protection locked="true" hidden="false"/>
    </xf>
    <xf numFmtId="193" fontId="8" fillId="0" borderId="25" xfId="0" applyFont="true" applyBorder="true" applyAlignment="false" applyProtection="false">
      <alignment horizontal="general" vertical="bottom" textRotation="0" wrapText="false" indent="0" shrinkToFit="false"/>
      <protection locked="true" hidden="false"/>
    </xf>
    <xf numFmtId="193" fontId="8" fillId="0" borderId="104" xfId="0" applyFont="true" applyBorder="true" applyAlignment="false" applyProtection="false">
      <alignment horizontal="general" vertical="bottom" textRotation="0" wrapText="false" indent="0" shrinkToFit="false"/>
      <protection locked="true" hidden="false"/>
    </xf>
    <xf numFmtId="164" fontId="8" fillId="0" borderId="103" xfId="0" applyFont="true" applyBorder="true" applyAlignment="false" applyProtection="false">
      <alignment horizontal="general" vertical="bottom" textRotation="0" wrapText="false" indent="0" shrinkToFit="false"/>
      <protection locked="true" hidden="false"/>
    </xf>
    <xf numFmtId="179" fontId="8" fillId="0" borderId="27" xfId="0" applyFont="true" applyBorder="true" applyAlignment="false" applyProtection="false">
      <alignment horizontal="general" vertical="bottom" textRotation="0" wrapText="false" indent="0" shrinkToFit="false"/>
      <protection locked="true" hidden="false"/>
    </xf>
    <xf numFmtId="193" fontId="8" fillId="0" borderId="67" xfId="0" applyFont="true" applyBorder="true" applyAlignment="false" applyProtection="false">
      <alignment horizontal="general" vertical="bottom" textRotation="0" wrapText="false" indent="0" shrinkToFit="false"/>
      <protection locked="true" hidden="false"/>
    </xf>
    <xf numFmtId="193" fontId="8" fillId="0" borderId="75" xfId="0" applyFont="true" applyBorder="true" applyAlignment="false" applyProtection="false">
      <alignment horizontal="general" vertical="bottom" textRotation="0" wrapText="false" indent="0" shrinkToFit="false"/>
      <protection locked="true" hidden="false"/>
    </xf>
    <xf numFmtId="179" fontId="8" fillId="0" borderId="67" xfId="0" applyFont="true" applyBorder="true" applyAlignment="false" applyProtection="false">
      <alignment horizontal="general" vertical="bottom" textRotation="0" wrapText="false" indent="0" shrinkToFit="false"/>
      <protection locked="true" hidden="false"/>
    </xf>
    <xf numFmtId="179" fontId="8" fillId="0" borderId="1" xfId="17" applyFont="true" applyBorder="true" applyAlignment="true" applyProtection="true">
      <alignment horizontal="general" vertical="bottom" textRotation="0" wrapText="false" indent="0" shrinkToFit="false"/>
      <protection locked="true" hidden="false"/>
    </xf>
    <xf numFmtId="164" fontId="8" fillId="14" borderId="0" xfId="0" applyFont="true" applyBorder="false" applyAlignment="true" applyProtection="false">
      <alignment horizontal="left" vertical="bottom" textRotation="0" wrapText="false" indent="0" shrinkToFit="false"/>
      <protection locked="true" hidden="false"/>
    </xf>
    <xf numFmtId="168" fontId="8" fillId="3" borderId="0" xfId="0" applyFont="true" applyBorder="false" applyAlignment="true" applyProtection="true">
      <alignment horizontal="center" vertical="bottom" textRotation="0" wrapText="false" indent="0" shrinkToFit="false"/>
      <protection locked="false" hidden="false"/>
    </xf>
    <xf numFmtId="168" fontId="8" fillId="3" borderId="38" xfId="0" applyFont="true" applyBorder="true" applyAlignment="true" applyProtection="true">
      <alignment horizontal="center" vertical="bottom" textRotation="0" wrapText="false" indent="0" shrinkToFit="false"/>
      <protection locked="false" hidden="false"/>
    </xf>
    <xf numFmtId="164" fontId="4" fillId="3" borderId="4" xfId="21" applyFont="true" applyBorder="true" applyAlignment="true" applyProtection="false">
      <alignment horizontal="center" vertical="center" textRotation="0" wrapText="false" indent="0" shrinkToFit="false"/>
      <protection locked="true" hidden="false"/>
    </xf>
    <xf numFmtId="164" fontId="4" fillId="0" borderId="46" xfId="21" applyFont="true" applyBorder="true" applyAlignment="false" applyProtection="false">
      <alignment horizontal="general" vertical="bottom" textRotation="0" wrapText="false" indent="0" shrinkToFit="false"/>
      <protection locked="true" hidden="false"/>
    </xf>
    <xf numFmtId="164" fontId="4" fillId="0" borderId="56" xfId="21" applyFont="true" applyBorder="true" applyAlignment="false" applyProtection="false">
      <alignment horizontal="general" vertical="bottom" textRotation="0" wrapText="false" indent="0" shrinkToFit="false"/>
      <protection locked="true" hidden="false"/>
    </xf>
    <xf numFmtId="174" fontId="4" fillId="0" borderId="57" xfId="21" applyFont="true" applyBorder="true" applyAlignment="true" applyProtection="false">
      <alignment horizontal="center" vertical="bottom" textRotation="0" wrapText="false" indent="0" shrinkToFit="false"/>
      <protection locked="true" hidden="false"/>
    </xf>
    <xf numFmtId="174" fontId="4" fillId="0" borderId="0" xfId="21" applyFont="true" applyBorder="false" applyAlignment="false" applyProtection="false">
      <alignment horizontal="general" vertical="bottom" textRotation="0" wrapText="false" indent="0" shrinkToFit="false"/>
      <protection locked="true" hidden="false"/>
    </xf>
    <xf numFmtId="192" fontId="4" fillId="0" borderId="57" xfId="21" applyFont="true" applyBorder="tru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13" fillId="0" borderId="1" xfId="0" applyFont="true" applyBorder="true" applyAlignment="true" applyProtection="false">
      <alignment horizontal="right" vertical="bottom" textRotation="0" wrapText="false" indent="0" shrinkToFit="false"/>
      <protection locked="true" hidden="false"/>
    </xf>
    <xf numFmtId="164" fontId="13" fillId="0" borderId="1" xfId="0" applyFont="true" applyBorder="true" applyAlignment="true" applyProtection="false">
      <alignment horizontal="center" vertical="bottom" textRotation="0" wrapText="false" indent="0" shrinkToFit="false"/>
      <protection locked="true" hidden="false"/>
    </xf>
    <xf numFmtId="164" fontId="13" fillId="0" borderId="55" xfId="0" applyFont="true" applyBorder="true" applyAlignment="true" applyProtection="false">
      <alignment horizontal="center" vertical="bottom" textRotation="0" wrapText="false" indent="0" shrinkToFit="false"/>
      <protection locked="true" hidden="false"/>
    </xf>
    <xf numFmtId="164" fontId="13" fillId="0" borderId="74" xfId="0" applyFont="true" applyBorder="true" applyAlignment="true" applyProtection="false">
      <alignment horizontal="right" vertical="bottom" textRotation="0" wrapText="false" indent="0" shrinkToFit="false"/>
      <protection locked="true" hidden="false"/>
    </xf>
    <xf numFmtId="164" fontId="13" fillId="0" borderId="10" xfId="0" applyFont="true" applyBorder="true" applyAlignment="true" applyProtection="false">
      <alignment horizontal="center" vertical="bottom" textRotation="0" wrapText="false" indent="0" shrinkToFit="false"/>
      <protection locked="true" hidden="false"/>
    </xf>
    <xf numFmtId="164" fontId="13" fillId="0" borderId="8" xfId="0" applyFont="true" applyBorder="true" applyAlignment="true" applyProtection="false">
      <alignment horizontal="right" vertical="bottom" textRotation="0" wrapText="false" indent="0" shrinkToFit="false"/>
      <protection locked="true" hidden="false"/>
    </xf>
    <xf numFmtId="164" fontId="13" fillId="0" borderId="33" xfId="0" applyFont="true" applyBorder="true" applyAlignment="true" applyProtection="false">
      <alignment horizontal="center" vertical="bottom" textRotation="0" wrapText="false" indent="0" shrinkToFit="false"/>
      <protection locked="true" hidden="false"/>
    </xf>
    <xf numFmtId="164" fontId="13" fillId="0" borderId="0" xfId="0" applyFont="true" applyBorder="true" applyAlignment="true" applyProtection="false">
      <alignment horizontal="right" vertical="bottom" textRotation="0" wrapText="false" indent="0" shrinkToFit="false"/>
      <protection locked="true" hidden="false"/>
    </xf>
    <xf numFmtId="164" fontId="13" fillId="0" borderId="37" xfId="0" applyFont="tru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center" vertical="bottom" textRotation="0" wrapText="false" indent="0" shrinkToFit="false"/>
      <protection locked="true" hidden="false"/>
    </xf>
    <xf numFmtId="169" fontId="13" fillId="0" borderId="0" xfId="0" applyFont="true" applyBorder="false" applyAlignment="true" applyProtection="false">
      <alignment horizontal="center" vertical="bottom" textRotation="0" wrapText="false" indent="0" shrinkToFit="false"/>
      <protection locked="true" hidden="false"/>
    </xf>
    <xf numFmtId="164" fontId="13" fillId="0" borderId="91" xfId="0" applyFont="true" applyBorder="true" applyAlignment="true" applyProtection="false">
      <alignment horizontal="center" vertical="bottom" textRotation="0" wrapText="false" indent="0" shrinkToFit="false"/>
      <protection locked="true" hidden="false"/>
    </xf>
    <xf numFmtId="164" fontId="0" fillId="0" borderId="121" xfId="0" applyFont="false" applyBorder="true" applyAlignment="false" applyProtection="false">
      <alignment horizontal="general" vertical="bottom" textRotation="0" wrapText="false" indent="0" shrinkToFit="false"/>
      <protection locked="true" hidden="false"/>
    </xf>
    <xf numFmtId="164" fontId="13" fillId="0" borderId="119" xfId="0" applyFont="true" applyBorder="true" applyAlignment="true" applyProtection="false">
      <alignment horizontal="center" vertical="center" textRotation="90" wrapText="false" indent="0" shrinkToFit="false"/>
      <protection locked="true" hidden="false"/>
    </xf>
    <xf numFmtId="164" fontId="4" fillId="0" borderId="47" xfId="0" applyFont="true" applyBorder="true" applyAlignment="false" applyProtection="false">
      <alignment horizontal="general" vertical="bottom" textRotation="0" wrapText="false" indent="0" shrinkToFit="false"/>
      <protection locked="true" hidden="false"/>
    </xf>
    <xf numFmtId="164" fontId="4" fillId="0" borderId="150" xfId="0" applyFont="true" applyBorder="true" applyAlignment="true" applyProtection="false">
      <alignment horizontal="center" vertical="bottom" textRotation="0" wrapText="false" indent="0" shrinkToFit="false"/>
      <protection locked="true" hidden="false"/>
    </xf>
    <xf numFmtId="169" fontId="0" fillId="0" borderId="1" xfId="17" applyFont="true" applyBorder="true" applyAlignment="true" applyProtection="true">
      <alignment horizontal="general" vertical="bottom" textRotation="0" wrapText="false" indent="0" shrinkToFit="false"/>
      <protection locked="true" hidden="false"/>
    </xf>
    <xf numFmtId="169" fontId="0" fillId="0" borderId="45" xfId="0" applyFont="fals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true" applyProtection="false">
      <alignment horizontal="center" vertical="bottom" textRotation="0" wrapText="false" indent="0" shrinkToFit="false"/>
      <protection locked="true" hidden="false"/>
    </xf>
    <xf numFmtId="164" fontId="8" fillId="0" borderId="14" xfId="0" applyFont="true" applyBorder="true" applyAlignment="true" applyProtection="false">
      <alignment horizontal="center" vertical="bottom" textRotation="0" wrapText="false" indent="0" shrinkToFit="false"/>
      <protection locked="true" hidden="false"/>
    </xf>
    <xf numFmtId="164" fontId="4" fillId="0" borderId="0" xfId="0" applyFont="true" applyBorder="true" applyAlignment="true" applyProtection="false">
      <alignment horizontal="left" vertical="bottom" textRotation="0" wrapText="false" indent="0" shrinkToFit="false"/>
      <protection locked="true" hidden="false"/>
    </xf>
    <xf numFmtId="164" fontId="4" fillId="0" borderId="53" xfId="0" applyFont="true" applyBorder="true" applyAlignment="false" applyProtection="false">
      <alignment horizontal="general" vertical="bottom" textRotation="0" wrapText="false" indent="0" shrinkToFit="false"/>
      <protection locked="true" hidden="false"/>
    </xf>
    <xf numFmtId="164" fontId="4" fillId="0" borderId="51" xfId="0" applyFont="true" applyBorder="true" applyAlignment="true" applyProtection="false">
      <alignment horizontal="left" vertical="bottom" textRotation="0" wrapText="false" indent="0" shrinkToFit="false"/>
      <protection locked="true" hidden="false"/>
    </xf>
    <xf numFmtId="169" fontId="0" fillId="0" borderId="72" xfId="17" applyFont="true" applyBorder="true" applyAlignment="true" applyProtection="true">
      <alignment horizontal="general" vertical="bottom" textRotation="0" wrapText="false" indent="0" shrinkToFit="false"/>
      <protection locked="true" hidden="false"/>
    </xf>
    <xf numFmtId="164" fontId="0" fillId="0" borderId="78" xfId="0" applyFont="false" applyBorder="true" applyAlignment="false" applyProtection="false">
      <alignment horizontal="general" vertical="bottom" textRotation="0" wrapText="false" indent="0" shrinkToFit="false"/>
      <protection locked="true" hidden="false"/>
    </xf>
    <xf numFmtId="164" fontId="4" fillId="0" borderId="98" xfId="0" applyFont="true" applyBorder="true" applyAlignment="false" applyProtection="false">
      <alignment horizontal="general" vertical="bottom" textRotation="0" wrapText="false" indent="0" shrinkToFit="false"/>
      <protection locked="true" hidden="false"/>
    </xf>
    <xf numFmtId="164" fontId="4" fillId="0" borderId="129" xfId="0" applyFont="true" applyBorder="true" applyAlignment="true" applyProtection="false">
      <alignment horizontal="left" vertical="bottom" textRotation="0" wrapText="false" indent="0" shrinkToFit="false"/>
      <protection locked="true" hidden="false"/>
    </xf>
    <xf numFmtId="169" fontId="0" fillId="0" borderId="98" xfId="17" applyFont="tru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9" fontId="0" fillId="0" borderId="101" xfId="0" applyFont="false" applyBorder="true" applyAlignment="false" applyProtection="false">
      <alignment horizontal="general" vertical="bottom" textRotation="0" wrapText="false" indent="0" shrinkToFit="false"/>
      <protection locked="true" hidden="false"/>
    </xf>
    <xf numFmtId="164" fontId="4" fillId="0" borderId="150" xfId="0" applyFont="true" applyBorder="true" applyAlignment="true" applyProtection="true">
      <alignment horizontal="center" vertical="bottom" textRotation="0" wrapText="false" indent="0" shrinkToFit="false"/>
      <protection locked="false" hidden="false"/>
    </xf>
    <xf numFmtId="172" fontId="0" fillId="0" borderId="1" xfId="17" applyFont="true" applyBorder="true" applyAlignment="true" applyProtection="true">
      <alignment horizontal="general" vertical="bottom" textRotation="0" wrapText="false" indent="0" shrinkToFit="false"/>
      <protection locked="true" hidden="false"/>
    </xf>
    <xf numFmtId="169" fontId="0" fillId="0" borderId="51" xfId="0" applyFont="false" applyBorder="true" applyAlignment="false" applyProtection="false">
      <alignment horizontal="general" vertical="bottom" textRotation="0" wrapText="false" indent="0" shrinkToFit="false"/>
      <protection locked="true" hidden="false"/>
    </xf>
    <xf numFmtId="164" fontId="4" fillId="0" borderId="60" xfId="0" applyFont="true" applyBorder="true" applyAlignment="false" applyProtection="false">
      <alignment horizontal="general" vertical="bottom" textRotation="0" wrapText="false" indent="0" shrinkToFit="false"/>
      <protection locked="true" hidden="false"/>
    </xf>
    <xf numFmtId="164" fontId="4" fillId="0" borderId="39" xfId="0" applyFont="true" applyBorder="true" applyAlignment="true" applyProtection="false">
      <alignment horizontal="left" vertical="bottom" textRotation="0" wrapText="false" indent="0" shrinkToFit="false"/>
      <protection locked="true" hidden="false"/>
    </xf>
    <xf numFmtId="169" fontId="0" fillId="0" borderId="60" xfId="17" applyFont="true" applyBorder="true" applyAlignment="true" applyProtection="true">
      <alignment horizontal="general" vertical="bottom" textRotation="0" wrapText="false" indent="0" shrinkToFit="false"/>
      <protection locked="true" hidden="false"/>
    </xf>
    <xf numFmtId="169" fontId="0" fillId="0" borderId="78" xfId="0" applyFont="false" applyBorder="true" applyAlignment="false" applyProtection="false">
      <alignment horizontal="general" vertical="bottom" textRotation="0" wrapText="false" indent="0" shrinkToFit="false"/>
      <protection locked="true" hidden="false"/>
    </xf>
    <xf numFmtId="164" fontId="4" fillId="0" borderId="132" xfId="0" applyFont="true" applyBorder="true" applyAlignment="false" applyProtection="false">
      <alignment horizontal="general" vertical="bottom" textRotation="0" wrapText="false" indent="0" shrinkToFit="false"/>
      <protection locked="true" hidden="false"/>
    </xf>
    <xf numFmtId="169" fontId="0" fillId="0" borderId="67" xfId="17" applyFont="true" applyBorder="true" applyAlignment="true" applyProtection="true">
      <alignment horizontal="general" vertical="bottom" textRotation="0" wrapText="false" indent="0" shrinkToFit="false"/>
      <protection locked="true" hidden="false"/>
    </xf>
    <xf numFmtId="169" fontId="0" fillId="0" borderId="5" xfId="17" applyFont="true" applyBorder="true" applyAlignment="true" applyProtection="true">
      <alignment horizontal="general" vertical="bottom" textRotation="0" wrapText="false" indent="0" shrinkToFit="false"/>
      <protection locked="true" hidden="false"/>
    </xf>
    <xf numFmtId="164" fontId="13" fillId="0" borderId="119" xfId="0" applyFont="true" applyBorder="true" applyAlignment="true" applyProtection="false">
      <alignment horizontal="center" vertical="center" textRotation="90" wrapText="true" indent="0" shrinkToFit="false"/>
      <protection locked="true" hidden="false"/>
    </xf>
    <xf numFmtId="164" fontId="13" fillId="0" borderId="119" xfId="0" applyFont="true" applyBorder="true" applyAlignment="true" applyProtection="false">
      <alignment horizontal="center" vertical="bottom" textRotation="90" wrapText="true" indent="0" shrinkToFit="false"/>
      <protection locked="true" hidden="false"/>
    </xf>
    <xf numFmtId="164" fontId="4" fillId="0" borderId="70" xfId="0" applyFont="true" applyBorder="true" applyAlignment="false" applyProtection="fals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_PIERS" xfId="22"/>
    <cellStyle name="*unknown*" xfId="20" builtinId="8"/>
    <cellStyle name="Excel Built-in Bad" xfId="23"/>
  </cellStyles>
  <dxfs count="20">
    <dxf>
      <font>
        <b val="1"/>
        <i val="0"/>
        <color rgb="FFFF0000"/>
      </font>
    </dxf>
    <dxf>
      <font>
        <b val="1"/>
        <i val="0"/>
        <color rgb="FFFF0000"/>
      </font>
    </dxf>
    <dxf>
      <font>
        <b val="1"/>
        <i val="0"/>
        <color rgb="FFFF0000"/>
      </font>
    </dxf>
    <dxf>
      <font>
        <b val="1"/>
        <i val="0"/>
        <color rgb="FFFF0000"/>
      </font>
    </dxf>
    <dxf>
      <font>
        <b val="1"/>
        <i val="0"/>
        <color rgb="FFFF0000"/>
      </font>
    </dxf>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ont>
        <b val="1"/>
        <i val="0"/>
        <color rgb="FFFF0000"/>
      </font>
    </dxf>
    <dxf>
      <fill>
        <patternFill>
          <bgColor rgb="FFFF0000"/>
        </patternFill>
      </fill>
    </dxf>
    <dxf>
      <font>
        <b val="1"/>
        <i val="0"/>
        <color rgb="FFFF0000"/>
      </font>
    </dxf>
    <dxf>
      <font>
        <b val="1"/>
        <i val="0"/>
        <color rgb="FFFF0000"/>
      </font>
    </dxf>
    <dxf>
      <font>
        <b val="1"/>
        <i val="0"/>
        <color rgb="FFFF0000"/>
      </font>
    </dxf>
    <dxf>
      <font>
        <b val="1"/>
        <i val="0"/>
        <color rgb="FFFF0000"/>
      </font>
    </dxf>
    <dxf>
      <font>
        <b val="1"/>
        <i val="0"/>
        <color rgb="FFFF0000"/>
      </font>
    </dxf>
    <dxf>
      <font>
        <b val="1"/>
        <i val="0"/>
        <color rgb="FFFF0000"/>
      </font>
    </dxf>
  </dxfs>
  <colors>
    <indexedColors>
      <rgbColor rgb="FF000000"/>
      <rgbColor rgb="FFFFFFFF"/>
      <rgbColor rgb="FFFF0000"/>
      <rgbColor rgb="FF99FF99"/>
      <rgbColor rgb="FF0000FF"/>
      <rgbColor rgb="FFFFFF00"/>
      <rgbColor rgb="FFF6E7E6"/>
      <rgbColor rgb="FF66FFFF"/>
      <rgbColor rgb="FF9C0006"/>
      <rgbColor rgb="FFE3E3E3"/>
      <rgbColor rgb="FF0D0D0D"/>
      <rgbColor rgb="FF7F7F7F"/>
      <rgbColor rgb="FFEEECE1"/>
      <rgbColor rgb="FFDDD9C3"/>
      <rgbColor rgb="FFC0C0C0"/>
      <rgbColor rgb="FF808080"/>
      <rgbColor rgb="FFA6A6A6"/>
      <rgbColor rgb="FFC0504D"/>
      <rgbColor rgb="FFFFFFCC"/>
      <rgbColor rgb="FFDFF1F5"/>
      <rgbColor rgb="FFEBF1DE"/>
      <rgbColor rgb="FFF76C65"/>
      <rgbColor rgb="FFDCE6F2"/>
      <rgbColor rgb="FFB9CDE5"/>
      <rgbColor rgb="FFFEF4EC"/>
      <rgbColor rgb="FFEDEAF2"/>
      <rgbColor rgb="FFFFFFC0"/>
      <rgbColor rgb="FF69FFFF"/>
      <rgbColor rgb="FFFDEADA"/>
      <rgbColor rgb="FFF2F2F2"/>
      <rgbColor rgb="FFD7E4BD"/>
      <rgbColor rgb="FFE5FFE5"/>
      <rgbColor rgb="FFC3D69B"/>
      <rgbColor rgb="FFDBEEF4"/>
      <rgbColor rgb="FFCCFFCC"/>
      <rgbColor rgb="FFFFFF99"/>
      <rgbColor rgb="FFB7DEE8"/>
      <rgbColor rgb="FFD99694"/>
      <rgbColor rgb="FFCCC1DA"/>
      <rgbColor rgb="FFFAC090"/>
      <rgbColor rgb="FFD9D9D9"/>
      <rgbColor rgb="FF47B3EA"/>
      <rgbColor rgb="FFC4BD97"/>
      <rgbColor rgb="FFFFC000"/>
      <rgbColor rgb="FFE6B9B8"/>
      <rgbColor rgb="FFFFC7CE"/>
      <rgbColor rgb="FF595959"/>
      <rgbColor rgb="FF969696"/>
      <rgbColor rgb="FF002060"/>
      <rgbColor rgb="FFBFBFBF"/>
      <rgbColor rgb="FF191919"/>
      <rgbColor rgb="FF663300"/>
      <rgbColor rgb="FFFCD5B5"/>
      <rgbColor rgb="FF996666"/>
      <rgbColor rgb="FFF2DCDB"/>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sharedStrings" Target="sharedStrings.xml"/><Relationship Id="rId28" Type="http://schemas.openxmlformats.org/officeDocument/2006/relationships/customXml" Target="../customXml/item1.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13</xdr:col>
          <xdr:colOff>200160</xdr:colOff>
          <xdr:row>0</xdr:row>
          <xdr:rowOff>138240</xdr:rowOff>
        </xdr:from>
        <xdr:to>
          <xdr:col>14</xdr:col>
          <xdr:colOff>-1621080</xdr:colOff>
          <xdr:row>1</xdr:row>
          <xdr:rowOff>252720</xdr:rowOff>
        </xdr:to>
        <xdr:sp>
          <xdr:nvSpPr>
            <xdr:cNvPr id="1001" name="Button 44" descr="Hide Empty Rows" hidden="0"/>
            <xdr:cNvSpPr/>
          </xdr:nvSpPr>
          <xdr:spPr>
            <a:xfrm>
              <a:off x="0" y="0"/>
              <a:ext cx="0" cy="0"/>
            </a:xfrm>
            <a:prstGeom prst="rect">
              <a:avLst/>
            </a:prstGeom>
          </xdr:spPr>
          <xdr:txBody>
            <a:bodyPr anchor="ctr">
              <a:noAutofit/>
            </a:bodyPr>
            <a:p>
              <a:r>
                <a:t>Hide Empty Rows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13</xdr:col>
          <xdr:colOff>200160</xdr:colOff>
          <xdr:row>2</xdr:row>
          <xdr:rowOff>162000</xdr:rowOff>
        </xdr:from>
        <xdr:to>
          <xdr:col>14</xdr:col>
          <xdr:colOff>-1621080</xdr:colOff>
          <xdr:row>5</xdr:row>
          <xdr:rowOff>28800</xdr:rowOff>
        </xdr:to>
        <xdr:sp>
          <xdr:nvSpPr>
            <xdr:cNvPr id="1002" name="Button 46" descr="Unhide" hidden="0"/>
            <xdr:cNvSpPr/>
          </xdr:nvSpPr>
          <xdr:spPr>
            <a:xfrm>
              <a:off x="0" y="0"/>
              <a:ext cx="0" cy="0"/>
            </a:xfrm>
            <a:prstGeom prst="rect">
              <a:avLst/>
            </a:prstGeom>
          </xdr:spPr>
          <xdr:txBody>
            <a:bodyPr anchor="ctr">
              <a:noAutofit/>
            </a:bodyPr>
            <a:p>
              <a:r>
                <a:t>Unhide</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hwiggins@amli.com" TargetMode="External"/><Relationship Id="rId2" Type="http://schemas.openxmlformats.org/officeDocument/2006/relationships/hyperlink" Target="mailto:mwilliams@amtexhousing.com" TargetMode="External"/><Relationship Id="rId3" Type="http://schemas.openxmlformats.org/officeDocument/2006/relationships/hyperlink" Target="mailto:stemple@bartlettecocke.com" TargetMode="External"/><Relationship Id="rId4" Type="http://schemas.openxmlformats.org/officeDocument/2006/relationships/hyperlink" Target="mailto:alacey@bartlettecocke.com" TargetMode="External"/><Relationship Id="rId5" Type="http://schemas.openxmlformats.org/officeDocument/2006/relationships/hyperlink" Target="mailto:jclanton@bartlettcocke.com" TargetMode="External"/><Relationship Id="rId6" Type="http://schemas.openxmlformats.org/officeDocument/2006/relationships/hyperlink" Target="mailto:fulloa@bblbuildingco.com" TargetMode="External"/><Relationship Id="rId7" Type="http://schemas.openxmlformats.org/officeDocument/2006/relationships/hyperlink" Target="mailto:jstaiger@bblbuildingco.com" TargetMode="External"/><Relationship Id="rId8" Type="http://schemas.openxmlformats.org/officeDocument/2006/relationships/hyperlink" Target="mailto:cbegis@bblbuildingco.com" TargetMode="External"/><Relationship Id="rId9" Type="http://schemas.openxmlformats.org/officeDocument/2006/relationships/hyperlink" Target="mailto:adockter@bccontracting.com" TargetMode="External"/><Relationship Id="rId10" Type="http://schemas.openxmlformats.org/officeDocument/2006/relationships/hyperlink" Target="mailto:gdaily@billingsleyco.com" TargetMode="External"/><Relationship Id="rId11" Type="http://schemas.openxmlformats.org/officeDocument/2006/relationships/hyperlink" Target="mailto:aabshire@generalcontractor.com" TargetMode="External"/><Relationship Id="rId12" Type="http://schemas.openxmlformats.org/officeDocument/2006/relationships/hyperlink" Target="mailto:dick@booneandboone.com" TargetMode="External"/><Relationship Id="rId13" Type="http://schemas.openxmlformats.org/officeDocument/2006/relationships/hyperlink" Target="mailto:dakotak@teliospc.com" TargetMode="External"/><Relationship Id="rId14" Type="http://schemas.openxmlformats.org/officeDocument/2006/relationships/hyperlink" Target="mailto:douglas.nguyen@jpi.com" TargetMode="External"/><Relationship Id="rId15" Type="http://schemas.openxmlformats.org/officeDocument/2006/relationships/hyperlink" Target="mailto:aellison@broaddususa.com" TargetMode="External"/><Relationship Id="rId16" Type="http://schemas.openxmlformats.org/officeDocument/2006/relationships/hyperlink" Target="mailto:larry@thebrownstonegroup.net" TargetMode="External"/><Relationship Id="rId17" Type="http://schemas.openxmlformats.org/officeDocument/2006/relationships/hyperlink" Target="mailto:davidg@thebrownstonegroup.net" TargetMode="External"/><Relationship Id="rId18" Type="http://schemas.openxmlformats.org/officeDocument/2006/relationships/hyperlink" Target="mailto:nnadiminti@cadencemcshane.com" TargetMode="External"/><Relationship Id="rId19" Type="http://schemas.openxmlformats.org/officeDocument/2006/relationships/hyperlink" Target="mailto:rshepherd@cadencemcshane.com" TargetMode="External"/><Relationship Id="rId20" Type="http://schemas.openxmlformats.org/officeDocument/2006/relationships/hyperlink" Target="mailto:czumida@cadencemcshane.com" TargetMode="External"/><Relationship Id="rId21" Type="http://schemas.openxmlformats.org/officeDocument/2006/relationships/hyperlink" Target="mailto:cwheeler@cadencemcshane.com" TargetMode="External"/><Relationship Id="rId22" Type="http://schemas.openxmlformats.org/officeDocument/2006/relationships/hyperlink" Target="mailto:susrey@cadencemcshane.com" TargetMode="External"/><Relationship Id="rId23" Type="http://schemas.openxmlformats.org/officeDocument/2006/relationships/hyperlink" Target="mailto:kurt@carbonlandmark.com" TargetMode="External"/><Relationship Id="rId24" Type="http://schemas.openxmlformats.org/officeDocument/2006/relationships/hyperlink" Target="mailto:scyler@carbonlandmark.com" TargetMode="External"/><Relationship Id="rId25" Type="http://schemas.openxmlformats.org/officeDocument/2006/relationships/hyperlink" Target="mailto:kurt.hunter@cbgbc.com" TargetMode="External"/><Relationship Id="rId26" Type="http://schemas.openxmlformats.org/officeDocument/2006/relationships/hyperlink" Target="mailto:jonathan.staiger@cbgbc.com" TargetMode="External"/><Relationship Id="rId27" Type="http://schemas.openxmlformats.org/officeDocument/2006/relationships/hyperlink" Target="mailto:cgustafson@ccgcommercialgroup.com" TargetMode="External"/><Relationship Id="rId28" Type="http://schemas.openxmlformats.org/officeDocument/2006/relationships/hyperlink" Target="mailto:klarey@ccgcommercialgroup.com" TargetMode="External"/><Relationship Id="rId29" Type="http://schemas.openxmlformats.org/officeDocument/2006/relationships/hyperlink" Target="mailto:abrewer@drhorton.com" TargetMode="External"/><Relationship Id="rId30" Type="http://schemas.openxmlformats.org/officeDocument/2006/relationships/hyperlink" Target="mailto:CAMartin@drhorton.com" TargetMode="External"/><Relationship Id="rId31" Type="http://schemas.openxmlformats.org/officeDocument/2006/relationships/hyperlink" Target="mailto:zgalligan@drhorton.com" TargetMode="External"/><Relationship Id="rId32" Type="http://schemas.openxmlformats.org/officeDocument/2006/relationships/hyperlink" Target="mailto:kstarkes@emjcorp.com" TargetMode="External"/><Relationship Id="rId33" Type="http://schemas.openxmlformats.org/officeDocument/2006/relationships/hyperlink" Target="mailto:jack.brown@emjcorp.com" TargetMode="External"/><Relationship Id="rId34" Type="http://schemas.openxmlformats.org/officeDocument/2006/relationships/hyperlink" Target="mailto:samb@galaxybuilders.com" TargetMode="External"/><Relationship Id="rId35" Type="http://schemas.openxmlformats.org/officeDocument/2006/relationships/hyperlink" Target="mailto:aliciaf@galaxybuilders.com" TargetMode="External"/><Relationship Id="rId36" Type="http://schemas.openxmlformats.org/officeDocument/2006/relationships/hyperlink" Target="mailto:bpatterson@hanoverco.com" TargetMode="External"/><Relationship Id="rId37" Type="http://schemas.openxmlformats.org/officeDocument/2006/relationships/hyperlink" Target="mailto:rusty@hirisepartners.com" TargetMode="External"/><Relationship Id="rId38" Type="http://schemas.openxmlformats.org/officeDocument/2006/relationships/hyperlink" Target="mailto:jwiggins@integratedreg.com" TargetMode="External"/><Relationship Id="rId39" Type="http://schemas.openxmlformats.org/officeDocument/2006/relationships/hyperlink" Target="mailto:btomlin@integratedreg.com" TargetMode="External"/><Relationship Id="rId40" Type="http://schemas.openxmlformats.org/officeDocument/2006/relationships/hyperlink" Target="mailto:dayneb@integritygroups.com" TargetMode="External"/><Relationship Id="rId41" Type="http://schemas.openxmlformats.org/officeDocument/2006/relationships/hyperlink" Target="mailto:cdaily@jlbpartners.com" TargetMode="External"/><Relationship Id="rId42" Type="http://schemas.openxmlformats.org/officeDocument/2006/relationships/hyperlink" Target="mailto:tcoleman@jlbpartners.com" TargetMode="External"/><Relationship Id="rId43" Type="http://schemas.openxmlformats.org/officeDocument/2006/relationships/hyperlink" Target="mailto:jmorris@jordanfosterconstruction.com" TargetMode="External"/><Relationship Id="rId44" Type="http://schemas.openxmlformats.org/officeDocument/2006/relationships/hyperlink" Target="mailto:sboyd@jordanfosterconstruction.com" TargetMode="External"/><Relationship Id="rId45" Type="http://schemas.openxmlformats.org/officeDocument/2006/relationships/hyperlink" Target="mailto:lwiley@jordanfosterconstruction.com" TargetMode="External"/><Relationship Id="rId46" Type="http://schemas.openxmlformats.org/officeDocument/2006/relationships/hyperlink" Target="mailto:adam.abshire@jpi.com" TargetMode="External"/><Relationship Id="rId47" Type="http://schemas.openxmlformats.org/officeDocument/2006/relationships/hyperlink" Target="mailto:nathan.brinkley@jpi.com" TargetMode="External"/><Relationship Id="rId48" Type="http://schemas.openxmlformats.org/officeDocument/2006/relationships/hyperlink" Target="mailto:ejones@gccbllc.com" TargetMode="External"/><Relationship Id="rId49" Type="http://schemas.openxmlformats.org/officeDocument/2006/relationships/hyperlink" Target="mailto:dboone@kwaconstruction.com" TargetMode="External"/><Relationship Id="rId50" Type="http://schemas.openxmlformats.org/officeDocument/2006/relationships/hyperlink" Target="mailto:jjones@kwaconstruction.com" TargetMode="External"/><Relationship Id="rId51" Type="http://schemas.openxmlformats.org/officeDocument/2006/relationships/hyperlink" Target="mailto:bids@kwaconstruction.com" TargetMode="External"/><Relationship Id="rId52" Type="http://schemas.openxmlformats.org/officeDocument/2006/relationships/hyperlink" Target="mailto:mskaggs@linksconstruction.com" TargetMode="External"/><Relationship Id="rId53" Type="http://schemas.openxmlformats.org/officeDocument/2006/relationships/hyperlink" Target="mailto:jbailey@makerbros.net" TargetMode="External"/><Relationship Id="rId54" Type="http://schemas.openxmlformats.org/officeDocument/2006/relationships/hyperlink" Target="mailto:panderson@makerbros.net" TargetMode="External"/><Relationship Id="rId55" Type="http://schemas.openxmlformats.org/officeDocument/2006/relationships/hyperlink" Target="mailto:kend@mcshane.com" TargetMode="External"/><Relationship Id="rId56" Type="http://schemas.openxmlformats.org/officeDocument/2006/relationships/hyperlink" Target="mailto:swilkins@mcrtrust.com" TargetMode="External"/><Relationship Id="rId57" Type="http://schemas.openxmlformats.org/officeDocument/2006/relationships/hyperlink" Target="mailto:jberry@mosscm.com" TargetMode="External"/><Relationship Id="rId58" Type="http://schemas.openxmlformats.org/officeDocument/2006/relationships/hyperlink" Target="mailto:emclellan@mosscm.com" TargetMode="External"/><Relationship Id="rId59" Type="http://schemas.openxmlformats.org/officeDocument/2006/relationships/hyperlink" Target="mailto:preconstruction@muckleroyfalls.com" TargetMode="External"/><Relationship Id="rId60" Type="http://schemas.openxmlformats.org/officeDocument/2006/relationships/hyperlink" Target="mailto:Estimating@Novelbuilders.com" TargetMode="External"/><Relationship Id="rId61" Type="http://schemas.openxmlformats.org/officeDocument/2006/relationships/hyperlink" Target="mailto:bbuchei@nrpgroup.com" TargetMode="External"/><Relationship Id="rId62" Type="http://schemas.openxmlformats.org/officeDocument/2006/relationships/hyperlink" Target="mailto:mbratton@odenhughesllc.com" TargetMode="External"/><Relationship Id="rId63" Type="http://schemas.openxmlformats.org/officeDocument/2006/relationships/hyperlink" Target="mailto:swilliams@odenhughesllc.com" TargetMode="External"/><Relationship Id="rId64" Type="http://schemas.openxmlformats.org/officeDocument/2006/relationships/hyperlink" Target="mailto:msweeney@odenhughsllc.com" TargetMode="External"/><Relationship Id="rId65" Type="http://schemas.openxmlformats.org/officeDocument/2006/relationships/hyperlink" Target="mailto:darreno@providentgc.com" TargetMode="External"/><Relationship Id="rId66" Type="http://schemas.openxmlformats.org/officeDocument/2006/relationships/hyperlink" Target="mailto:JThompson@ProvidentGC.com" TargetMode="External"/><Relationship Id="rId67" Type="http://schemas.openxmlformats.org/officeDocument/2006/relationships/hyperlink" Target="mailto:cgerstner@providentgc.com" TargetMode="External"/><Relationship Id="rId68" Type="http://schemas.openxmlformats.org/officeDocument/2006/relationships/hyperlink" Target="mailto:aschuelke@providentgc.com" TargetMode="External"/><Relationship Id="rId69" Type="http://schemas.openxmlformats.org/officeDocument/2006/relationships/hyperlink" Target="mailto:mbozeman@providentgc%20.com" TargetMode="External"/><Relationship Id="rId70" Type="http://schemas.openxmlformats.org/officeDocument/2006/relationships/hyperlink" Target="mailto:kpope@ramparttx.com" TargetMode="External"/><Relationship Id="rId71" Type="http://schemas.openxmlformats.org/officeDocument/2006/relationships/hyperlink" Target="mailto:brogers@ramparttx.com" TargetMode="External"/><Relationship Id="rId72" Type="http://schemas.openxmlformats.org/officeDocument/2006/relationships/hyperlink" Target="mailto:csittig@ramparttx.com" TargetMode="External"/><Relationship Id="rId73" Type="http://schemas.openxmlformats.org/officeDocument/2006/relationships/hyperlink" Target="mailto:cindy.west@ratcliffconstructors.com" TargetMode="External"/><Relationship Id="rId74" Type="http://schemas.openxmlformats.org/officeDocument/2006/relationships/hyperlink" Target="mailto:swilliams@resource-commercial.com" TargetMode="External"/><Relationship Id="rId75" Type="http://schemas.openxmlformats.org/officeDocument/2006/relationships/hyperlink" Target="mailto:mroberts@rudickgroup.com" TargetMode="External"/><Relationship Id="rId76" Type="http://schemas.openxmlformats.org/officeDocument/2006/relationships/hyperlink" Target="mailto:chris@royalgeneral.com" TargetMode="External"/><Relationship Id="rId77" Type="http://schemas.openxmlformats.org/officeDocument/2006/relationships/hyperlink" Target="mailto:mmosley@ridgemont.com" TargetMode="External"/><Relationship Id="rId78" Type="http://schemas.openxmlformats.org/officeDocument/2006/relationships/hyperlink" Target="mailto:Sgaffron@ridgmont.com" TargetMode="External"/><Relationship Id="rId79" Type="http://schemas.openxmlformats.org/officeDocument/2006/relationships/hyperlink" Target="mailto:Wgrant@ridgemon.com" TargetMode="External"/><Relationship Id="rId80" Type="http://schemas.openxmlformats.org/officeDocument/2006/relationships/hyperlink" Target="mailto:mroberts@rudickgroup.com" TargetMode="External"/><Relationship Id="rId81" Type="http://schemas.openxmlformats.org/officeDocument/2006/relationships/hyperlink" Target="mailto:ybalentine@shreveland.com" TargetMode="External"/><Relationship Id="rId82" Type="http://schemas.openxmlformats.org/officeDocument/2006/relationships/hyperlink" Target="mailto:jkarsten@skybeck.com" TargetMode="External"/><Relationship Id="rId83" Type="http://schemas.openxmlformats.org/officeDocument/2006/relationships/hyperlink" Target="mailto:lee.wiley@sparrow-partners.com" TargetMode="External"/><Relationship Id="rId84" Type="http://schemas.openxmlformats.org/officeDocument/2006/relationships/hyperlink" Target="mailto:lgriffith@svcc.biz" TargetMode="External"/><Relationship Id="rId85" Type="http://schemas.openxmlformats.org/officeDocument/2006/relationships/hyperlink" Target="mailto:dhayes@svcc.biz" TargetMode="External"/><Relationship Id="rId86" Type="http://schemas.openxmlformats.org/officeDocument/2006/relationships/hyperlink" Target="mailto:will.flanagan@stillwatercap.com" TargetMode="External"/><Relationship Id="rId87" Type="http://schemas.openxmlformats.org/officeDocument/2006/relationships/hyperlink" Target="mailto:msmith@strategicconstruction.com" TargetMode="External"/><Relationship Id="rId88" Type="http://schemas.openxmlformats.org/officeDocument/2006/relationships/hyperlink" Target="mailto:jfetters@srategicconstruction.com" TargetMode="External"/><Relationship Id="rId89" Type="http://schemas.openxmlformats.org/officeDocument/2006/relationships/hyperlink" Target="mailto:dwalker@strategicconstruction.com" TargetMode="External"/><Relationship Id="rId90" Type="http://schemas.openxmlformats.org/officeDocument/2006/relationships/hyperlink" Target="mailto:pclinard@strategicconstruction.com" TargetMode="External"/><Relationship Id="rId91" Type="http://schemas.openxmlformats.org/officeDocument/2006/relationships/hyperlink" Target="mailto:sbyington@swbc.com" TargetMode="External"/><Relationship Id="rId92" Type="http://schemas.openxmlformats.org/officeDocument/2006/relationships/hyperlink" Target="mailto:rkemp@talley-riggins.com" TargetMode="External"/><Relationship Id="rId93" Type="http://schemas.openxmlformats.org/officeDocument/2006/relationships/hyperlink" Target="mailto:mrossetti@talley-riggins.com" TargetMode="External"/><Relationship Id="rId94" Type="http://schemas.openxmlformats.org/officeDocument/2006/relationships/hyperlink" Target="mailto:rbaez@tritongc.com" TargetMode="External"/><Relationship Id="rId95" Type="http://schemas.openxmlformats.org/officeDocument/2006/relationships/hyperlink" Target="mailto:david@trumontgroup.com" TargetMode="External"/><Relationship Id="rId96" Type="http://schemas.openxmlformats.org/officeDocument/2006/relationships/hyperlink" Target="mailto:floyd@trupmontgroup.com" TargetMode="External"/><Relationship Id="rId97" Type="http://schemas.openxmlformats.org/officeDocument/2006/relationships/hyperlink" Target="mailto:rquillen@txmorrow.com" TargetMode="External"/><Relationship Id="rId98" Type="http://schemas.openxmlformats.org/officeDocument/2006/relationships/hyperlink" Target="mailto:chuffer@txmorrow.com" TargetMode="External"/><Relationship Id="rId99" Type="http://schemas.openxmlformats.org/officeDocument/2006/relationships/hyperlink" Target="mailto:billy.jay@wadeconstructiongroup.com" TargetMode="External"/><Relationship Id="rId100" Type="http://schemas.openxmlformats.org/officeDocument/2006/relationships/hyperlink" Target="mailto:egibson@wadeconstructiongroup.com" TargetMode="External"/><Relationship Id="rId101" Type="http://schemas.openxmlformats.org/officeDocument/2006/relationships/hyperlink" Target="mailto:ddeckard@wadeconstructiongroup.com" TargetMode="External"/><Relationship Id="rId102" Type="http://schemas.openxmlformats.org/officeDocument/2006/relationships/hyperlink" Target="mailto:bholt@wadeconstructiongroup.com" TargetMode="External"/><Relationship Id="rId103" Type="http://schemas.openxmlformats.org/officeDocument/2006/relationships/hyperlink" Target="mailto:sharper@wadeconstructiongroup.com" TargetMode="External"/><Relationship Id="rId104" Type="http://schemas.openxmlformats.org/officeDocument/2006/relationships/hyperlink" Target="mailto:kevinmoran@weisbuilders.com" TargetMode="External"/><Relationship Id="rId105" Type="http://schemas.openxmlformats.org/officeDocument/2006/relationships/hyperlink" Target="mailto:philipwelch@weisbuilders.com" TargetMode="External"/><Relationship Id="rId106" Type="http://schemas.openxmlformats.org/officeDocument/2006/relationships/hyperlink" Target="mailto:josh.atkins@woodpartners.com" TargetMode="External"/><Relationship Id="rId107" Type="http://schemas.openxmlformats.org/officeDocument/2006/relationships/hyperlink" Target="mailto:johnathon.radcliffe@woodpartners.com" TargetMode="External"/><Relationship Id="rId108" Type="http://schemas.openxmlformats.org/officeDocument/2006/relationships/hyperlink" Target="mailto:amado.flores@woodpartners.com" TargetMode="External"/><Relationship Id="rId109" Type="http://schemas.openxmlformats.org/officeDocument/2006/relationships/hyperlink" Target="mailto:brian.rodriguez@woodpartners.com" TargetMode="External"/>
</Relationships>
</file>

<file path=xl/worksheets/_rels/sheet2.xml.rels><?xml version="1.0" encoding="UTF-8"?>
<Relationships xmlns="http://schemas.openxmlformats.org/package/2006/relationships"><Relationship Id="rId1" Type="http://schemas.openxmlformats.org/officeDocument/2006/relationships/hyperlink" Target="mailto:xtreeme_007@hotmail.com" TargetMode="External"/><Relationship Id="rId2" Type="http://schemas.openxmlformats.org/officeDocument/2006/relationships/hyperlink" Target="mailto:clemke@readycable.net" TargetMode="External"/><Relationship Id="rId3" Type="http://schemas.openxmlformats.org/officeDocument/2006/relationships/hyperlink" Target="mailto:lbernhard@critexas.com" TargetMode="External"/><Relationship Id="rId4" Type="http://schemas.openxmlformats.org/officeDocument/2006/relationships/hyperlink" Target="mailto:clemke@readycable.net" TargetMode="External"/><Relationship Id="rId5" Type="http://schemas.openxmlformats.org/officeDocument/2006/relationships/hyperlink" Target="mailto:Brountree@suncoast-pt.com" TargetMode="External"/><Relationship Id="rId6" Type="http://schemas.openxmlformats.org/officeDocument/2006/relationships/hyperlink" Target="mailto:lbernhard@critexas.com" TargetMode="External"/><Relationship Id="rId7" Type="http://schemas.openxmlformats.org/officeDocument/2006/relationships/hyperlink" Target="mailto:Nicholas.Morgan@cmc.com" TargetMode="External"/><Relationship Id="rId8" Type="http://schemas.openxmlformats.org/officeDocument/2006/relationships/hyperlink" Target="mailto:jason.wright@tex-mixconcrete.com" TargetMode="External"/><Relationship Id="rId9" Type="http://schemas.openxmlformats.org/officeDocument/2006/relationships/hyperlink" Target="mailto:steve.roberts@martinmarietta.com" TargetMode="External"/><Relationship Id="rId10" Type="http://schemas.openxmlformats.org/officeDocument/2006/relationships/hyperlink" Target="mailto:rwhite@concrete.com" TargetMode="External"/><Relationship Id="rId11" Type="http://schemas.openxmlformats.org/officeDocument/2006/relationships/hyperlink" Target="mailto:Mike@bigdogdrilling.net" TargetMode="External"/><Relationship Id="rId12" Type="http://schemas.openxmlformats.org/officeDocument/2006/relationships/hyperlink" Target="mailto:stewart@beairddrilling.com" TargetMode="External"/><Relationship Id="rId13" Type="http://schemas.openxmlformats.org/officeDocument/2006/relationships/hyperlink" Target="mailto:mgeissel@suncoast-pt.com" TargetMode="External"/>
</Relationships>
</file>

<file path=xl/worksheets/_rels/sheet3.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Relationship Id="rId4" Type="http://schemas.openxmlformats.org/officeDocument/2006/relationships/ctrlProp" Target="../ctrlProps/ctrlProps3.xml"/>
</Relationships>
</file>

<file path=xl/worksheets/_rels/sheet5.xml.rels><?xml version="1.0" encoding="UTF-8"?>
<Relationships xmlns="http://schemas.openxmlformats.org/package/2006/relationships"><Relationship Id="rId1" Type="http://schemas.openxmlformats.org/officeDocument/2006/relationships/hyperlink" Target="mailto:DAYS@" TargetMode="Externa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2.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3.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4.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hyperlink" Target="mailto:DAYS@" TargetMode="External"/><Relationship Id="rId3" Type="http://schemas.openxmlformats.org/officeDocument/2006/relationships/vmlDrawing" Target="../drawings/vmlDrawing5.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vmlDrawing" Target="../drawings/vmlDrawing6.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vmlDrawing" Target="../drawings/vmlDrawing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AD112"/>
  <sheetViews>
    <sheetView showFormulas="false" showGridLines="true" showRowColHeaders="true" showZeros="true" rightToLeft="false" tabSelected="true" showOutlineSymbols="true" defaultGridColor="true" view="normal" topLeftCell="A1" colorId="64" zoomScale="90" zoomScaleNormal="90" zoomScalePageLayoutView="100" workbookViewId="0">
      <selection pane="topLeft" activeCell="H10" activeCellId="0" sqref="H10"/>
    </sheetView>
  </sheetViews>
  <sheetFormatPr defaultColWidth="8.34375" defaultRowHeight="12" customHeight="false" zeroHeight="false" outlineLevelRow="0" outlineLevelCol="0"/>
  <cols>
    <col collapsed="false" customWidth="true" hidden="false" outlineLevel="0" max="1" min="1" style="0" width="1.54"/>
    <col collapsed="false" customWidth="true" hidden="false" outlineLevel="0" max="2" min="2" style="0" width="19.82"/>
    <col collapsed="false" customWidth="true" hidden="false" outlineLevel="0" max="3" min="3" style="0" width="17.18"/>
    <col collapsed="false" customWidth="true" hidden="false" outlineLevel="0" max="4" min="4" style="0" width="8.18"/>
    <col collapsed="false" customWidth="true" hidden="false" outlineLevel="0" max="5" min="5" style="0" width="18.82"/>
    <col collapsed="false" customWidth="true" hidden="false" outlineLevel="0" max="6" min="6" style="0" width="0.18"/>
    <col collapsed="false" customWidth="true" hidden="false" outlineLevel="0" max="9" min="9" style="0" width="10.82"/>
    <col collapsed="false" customWidth="true" hidden="false" outlineLevel="0" max="10" min="10" style="0" width="14.82"/>
    <col collapsed="false" customWidth="true" hidden="false" outlineLevel="0" max="12" min="12" style="0" width="10.18"/>
    <col collapsed="false" customWidth="true" hidden="true" outlineLevel="0" max="20" min="14" style="0" width="11.53"/>
    <col collapsed="false" customWidth="true" hidden="false" outlineLevel="0" max="21" min="21" style="0" width="10.45"/>
    <col collapsed="false" customWidth="true" hidden="false" outlineLevel="0" max="22" min="22" style="1" width="31"/>
    <col collapsed="false" customWidth="true" hidden="false" outlineLevel="0" max="23" min="23" style="0" width="33.18"/>
    <col collapsed="false" customWidth="true" hidden="false" outlineLevel="0" max="26" min="26" style="0" width="11.54"/>
    <col collapsed="false" customWidth="true" hidden="false" outlineLevel="0" max="27" min="27" style="0" width="24.54"/>
    <col collapsed="false" customWidth="true" hidden="false" outlineLevel="0" max="28" min="28" style="2" width="17"/>
    <col collapsed="false" customWidth="true" hidden="false" outlineLevel="0" max="29" min="29" style="3" width="17"/>
    <col collapsed="false" customWidth="true" hidden="false" outlineLevel="0" max="30" min="30" style="1" width="37.82"/>
    <col collapsed="false" customWidth="true" hidden="false" outlineLevel="0" max="31" min="31" style="0" width="15.18"/>
  </cols>
  <sheetData>
    <row r="1" customFormat="false" ht="39.75" hidden="false" customHeight="true" outlineLevel="0" collapsed="false">
      <c r="I1" s="4" t="s">
        <v>0</v>
      </c>
      <c r="J1" s="4" t="s">
        <v>1</v>
      </c>
    </row>
    <row r="2" customFormat="false" ht="15" hidden="false" customHeight="false" outlineLevel="0" collapsed="false">
      <c r="B2" s="5" t="s">
        <v>2</v>
      </c>
      <c r="C2" s="6" t="s">
        <v>3</v>
      </c>
      <c r="D2" s="7"/>
      <c r="E2" s="7"/>
      <c r="F2" s="7"/>
      <c r="H2" s="5" t="s">
        <v>4</v>
      </c>
      <c r="I2" s="8"/>
      <c r="J2" s="9"/>
      <c r="U2" s="10" t="s">
        <v>5</v>
      </c>
      <c r="V2" s="11" t="s">
        <v>6</v>
      </c>
      <c r="W2" s="10" t="s">
        <v>7</v>
      </c>
      <c r="X2" s="10" t="s">
        <v>8</v>
      </c>
      <c r="Y2" s="10" t="s">
        <v>9</v>
      </c>
      <c r="Z2" s="10" t="s">
        <v>10</v>
      </c>
      <c r="AA2" s="10" t="s">
        <v>11</v>
      </c>
      <c r="AB2" s="12" t="s">
        <v>12</v>
      </c>
      <c r="AC2" s="13" t="s">
        <v>13</v>
      </c>
      <c r="AD2" s="11" t="s">
        <v>14</v>
      </c>
    </row>
    <row r="3" customFormat="false" ht="15" hidden="false" customHeight="false" outlineLevel="0" collapsed="false">
      <c r="B3" s="5" t="s">
        <v>15</v>
      </c>
      <c r="C3" s="6"/>
      <c r="D3" s="7"/>
      <c r="E3" s="7"/>
      <c r="F3" s="7"/>
      <c r="H3" s="5" t="s">
        <v>16</v>
      </c>
      <c r="I3" s="8"/>
      <c r="U3" s="14" t="n">
        <v>1</v>
      </c>
      <c r="V3" s="15" t="s">
        <v>17</v>
      </c>
      <c r="W3" s="16" t="s">
        <v>18</v>
      </c>
      <c r="X3" s="16" t="s">
        <v>19</v>
      </c>
      <c r="Y3" s="16" t="s">
        <v>20</v>
      </c>
      <c r="Z3" s="16" t="n">
        <v>30144</v>
      </c>
      <c r="AA3" s="16" t="s">
        <v>21</v>
      </c>
      <c r="AB3" s="17" t="s">
        <v>22</v>
      </c>
      <c r="AC3" s="17"/>
      <c r="AD3" s="18" t="s">
        <v>23</v>
      </c>
    </row>
    <row r="4" customFormat="false" ht="15" hidden="false" customHeight="false" outlineLevel="0" collapsed="false">
      <c r="B4" s="5" t="s">
        <v>8</v>
      </c>
      <c r="C4" s="19" t="s">
        <v>24</v>
      </c>
      <c r="D4" s="6"/>
      <c r="E4" s="19"/>
      <c r="F4" s="7"/>
      <c r="H4" s="5"/>
      <c r="U4" s="14" t="n">
        <v>2</v>
      </c>
      <c r="V4" s="15" t="s">
        <v>25</v>
      </c>
      <c r="W4" s="16" t="s">
        <v>26</v>
      </c>
      <c r="X4" s="16" t="s">
        <v>27</v>
      </c>
      <c r="Y4" s="16" t="s">
        <v>28</v>
      </c>
      <c r="Z4" s="16" t="n">
        <v>75040</v>
      </c>
      <c r="AA4" s="16" t="s">
        <v>29</v>
      </c>
      <c r="AB4" s="17" t="s">
        <v>30</v>
      </c>
      <c r="AC4" s="17"/>
      <c r="AD4" s="18" t="s">
        <v>31</v>
      </c>
    </row>
    <row r="5" customFormat="false" ht="15" hidden="false" customHeight="false" outlineLevel="0" collapsed="false">
      <c r="B5" s="5"/>
      <c r="C5" s="7"/>
      <c r="D5" s="7"/>
      <c r="E5" s="7"/>
      <c r="F5" s="7"/>
      <c r="H5" s="5"/>
      <c r="U5" s="14" t="n">
        <v>3</v>
      </c>
      <c r="V5" s="20" t="s">
        <v>32</v>
      </c>
      <c r="W5" s="16" t="s">
        <v>33</v>
      </c>
      <c r="X5" s="16" t="s">
        <v>34</v>
      </c>
      <c r="Y5" s="16" t="s">
        <v>28</v>
      </c>
      <c r="Z5" s="16" t="n">
        <v>78217</v>
      </c>
      <c r="AA5" s="20" t="s">
        <v>35</v>
      </c>
      <c r="AB5" s="21" t="s">
        <v>36</v>
      </c>
      <c r="AC5" s="22"/>
      <c r="AD5" s="23" t="s">
        <v>37</v>
      </c>
    </row>
    <row r="6" customFormat="false" ht="15" hidden="false" customHeight="false" outlineLevel="0" collapsed="false">
      <c r="B6" s="5" t="s">
        <v>38</v>
      </c>
      <c r="C6" s="24"/>
      <c r="D6" s="25"/>
      <c r="E6" s="7"/>
      <c r="F6" s="7"/>
      <c r="H6" s="5"/>
      <c r="U6" s="14" t="n">
        <v>4</v>
      </c>
      <c r="V6" s="20" t="s">
        <v>32</v>
      </c>
      <c r="W6" s="16" t="s">
        <v>33</v>
      </c>
      <c r="X6" s="16" t="s">
        <v>34</v>
      </c>
      <c r="Y6" s="16" t="s">
        <v>28</v>
      </c>
      <c r="Z6" s="16" t="n">
        <v>78217</v>
      </c>
      <c r="AA6" s="20" t="s">
        <v>39</v>
      </c>
      <c r="AB6" s="21" t="s">
        <v>40</v>
      </c>
      <c r="AC6" s="22"/>
      <c r="AD6" s="23" t="s">
        <v>41</v>
      </c>
    </row>
    <row r="7" customFormat="false" ht="15" hidden="false" customHeight="false" outlineLevel="0" collapsed="false">
      <c r="B7" s="5" t="s">
        <v>42</v>
      </c>
      <c r="C7" s="6"/>
      <c r="D7" s="7"/>
      <c r="E7" s="7"/>
      <c r="F7" s="7"/>
      <c r="U7" s="14" t="n">
        <v>5</v>
      </c>
      <c r="V7" s="20" t="s">
        <v>32</v>
      </c>
      <c r="W7" s="16" t="s">
        <v>33</v>
      </c>
      <c r="X7" s="16" t="s">
        <v>34</v>
      </c>
      <c r="Y7" s="16" t="s">
        <v>28</v>
      </c>
      <c r="Z7" s="16" t="n">
        <v>78217</v>
      </c>
      <c r="AA7" s="20" t="s">
        <v>43</v>
      </c>
      <c r="AB7" s="21" t="s">
        <v>36</v>
      </c>
      <c r="AC7" s="22"/>
      <c r="AD7" s="23" t="s">
        <v>44</v>
      </c>
    </row>
    <row r="8" customFormat="false" ht="15" hidden="false" customHeight="false" outlineLevel="0" collapsed="false">
      <c r="B8" s="5"/>
      <c r="C8" s="10"/>
      <c r="U8" s="14" t="n">
        <v>6</v>
      </c>
      <c r="V8" s="15" t="s">
        <v>45</v>
      </c>
      <c r="W8" s="16" t="s">
        <v>46</v>
      </c>
      <c r="X8" s="16" t="s">
        <v>47</v>
      </c>
      <c r="Y8" s="16" t="s">
        <v>28</v>
      </c>
      <c r="Z8" s="16" t="n">
        <v>75248</v>
      </c>
      <c r="AA8" s="16" t="s">
        <v>48</v>
      </c>
      <c r="AB8" s="17" t="s">
        <v>49</v>
      </c>
      <c r="AC8" s="22"/>
      <c r="AD8" s="18" t="s">
        <v>50</v>
      </c>
    </row>
    <row r="9" customFormat="false" ht="15.75" hidden="false" customHeight="true" outlineLevel="0" collapsed="false">
      <c r="B9" s="26"/>
      <c r="C9" s="10" t="s">
        <v>51</v>
      </c>
      <c r="U9" s="14" t="n">
        <v>7</v>
      </c>
      <c r="V9" s="15" t="s">
        <v>45</v>
      </c>
      <c r="W9" s="16" t="s">
        <v>46</v>
      </c>
      <c r="X9" s="16" t="s">
        <v>47</v>
      </c>
      <c r="Y9" s="16" t="s">
        <v>28</v>
      </c>
      <c r="Z9" s="16" t="n">
        <v>75248</v>
      </c>
      <c r="AA9" s="16" t="s">
        <v>52</v>
      </c>
      <c r="AB9" s="17" t="s">
        <v>53</v>
      </c>
      <c r="AC9" s="22"/>
      <c r="AD9" s="18" t="s">
        <v>54</v>
      </c>
    </row>
    <row r="10" customFormat="false" ht="15.75" hidden="false" customHeight="true" outlineLevel="0" collapsed="false">
      <c r="B10" s="27" t="s">
        <v>55</v>
      </c>
      <c r="C10" s="28"/>
      <c r="H10" s="26" t="s">
        <v>56</v>
      </c>
      <c r="J10" s="29" t="s">
        <v>57</v>
      </c>
      <c r="L10" s="29" t="s">
        <v>1</v>
      </c>
      <c r="U10" s="14" t="n">
        <v>8</v>
      </c>
      <c r="V10" s="15" t="s">
        <v>45</v>
      </c>
      <c r="W10" s="16" t="s">
        <v>46</v>
      </c>
      <c r="X10" s="16" t="s">
        <v>47</v>
      </c>
      <c r="Y10" s="16" t="s">
        <v>28</v>
      </c>
      <c r="Z10" s="16" t="n">
        <v>75248</v>
      </c>
      <c r="AA10" s="16" t="s">
        <v>58</v>
      </c>
      <c r="AB10" s="17" t="s">
        <v>59</v>
      </c>
      <c r="AC10" s="22"/>
      <c r="AD10" s="18" t="s">
        <v>60</v>
      </c>
    </row>
    <row r="11" customFormat="false" ht="15" hidden="false" customHeight="false" outlineLevel="0" collapsed="false">
      <c r="B11" s="30" t="s">
        <v>61</v>
      </c>
      <c r="C11" s="31" t="str">
        <f aca="false">IF(C10="","",VLOOKUP(C10,$U$3:$AE$356,2,TRUE()))</f>
        <v/>
      </c>
      <c r="D11" s="32"/>
      <c r="E11" s="32"/>
      <c r="F11" s="7"/>
      <c r="H11" s="26" t="s">
        <v>62</v>
      </c>
      <c r="I11" s="6"/>
      <c r="J11" s="7"/>
      <c r="K11" s="7"/>
      <c r="L11" s="33"/>
      <c r="M11" s="10"/>
      <c r="U11" s="14" t="n">
        <v>9</v>
      </c>
      <c r="V11" s="15" t="s">
        <v>63</v>
      </c>
      <c r="W11" s="16" t="s">
        <v>64</v>
      </c>
      <c r="X11" s="16" t="s">
        <v>65</v>
      </c>
      <c r="Y11" s="16" t="s">
        <v>66</v>
      </c>
      <c r="Z11" s="16" t="n">
        <v>58078</v>
      </c>
      <c r="AA11" s="16" t="s">
        <v>67</v>
      </c>
      <c r="AB11" s="17" t="s">
        <v>68</v>
      </c>
      <c r="AC11" s="22"/>
      <c r="AD11" s="18" t="s">
        <v>69</v>
      </c>
    </row>
    <row r="12" customFormat="false" ht="15" hidden="false" customHeight="false" outlineLevel="0" collapsed="false">
      <c r="B12" s="30" t="s">
        <v>70</v>
      </c>
      <c r="C12" s="31" t="str">
        <f aca="false">IF(C10="","",VLOOKUP(C10,$U$3:$AE$356,3,TRUE()))</f>
        <v/>
      </c>
      <c r="D12" s="32"/>
      <c r="E12" s="32"/>
      <c r="F12" s="7"/>
      <c r="H12" s="26" t="s">
        <v>71</v>
      </c>
      <c r="I12" s="6"/>
      <c r="J12" s="7"/>
      <c r="K12" s="7"/>
      <c r="L12" s="33"/>
      <c r="M12" s="10"/>
      <c r="U12" s="14" t="n">
        <v>10</v>
      </c>
      <c r="V12" s="15" t="s">
        <v>72</v>
      </c>
      <c r="W12" s="16" t="s">
        <v>73</v>
      </c>
      <c r="X12" s="16" t="s">
        <v>74</v>
      </c>
      <c r="Y12" s="16" t="s">
        <v>28</v>
      </c>
      <c r="Z12" s="16" t="n">
        <v>75056</v>
      </c>
      <c r="AA12" s="16" t="s">
        <v>75</v>
      </c>
      <c r="AB12" s="17" t="s">
        <v>76</v>
      </c>
      <c r="AC12" s="17" t="s">
        <v>77</v>
      </c>
      <c r="AD12" s="18" t="s">
        <v>78</v>
      </c>
    </row>
    <row r="13" customFormat="false" ht="15" hidden="false" customHeight="false" outlineLevel="0" collapsed="false">
      <c r="B13" s="30"/>
      <c r="C13" s="31" t="str">
        <f aca="false">IF(C10="","",VLOOKUP(C10,$U$3:$AE$356,4,TRUE()))</f>
        <v/>
      </c>
      <c r="D13" s="31" t="str">
        <f aca="false">IF(C10="","",VLOOKUP($C$10,$U$3:$AE$356,5,TRUE()))</f>
        <v/>
      </c>
      <c r="E13" s="32"/>
      <c r="F13" s="7"/>
      <c r="H13" s="26" t="s">
        <v>79</v>
      </c>
      <c r="I13" s="6"/>
      <c r="J13" s="7"/>
      <c r="K13" s="7"/>
      <c r="L13" s="33"/>
      <c r="M13" s="10"/>
      <c r="U13" s="14" t="n">
        <v>11</v>
      </c>
      <c r="V13" s="15" t="s">
        <v>80</v>
      </c>
      <c r="W13" s="16" t="s">
        <v>81</v>
      </c>
      <c r="X13" s="16" t="s">
        <v>82</v>
      </c>
      <c r="Y13" s="16" t="s">
        <v>28</v>
      </c>
      <c r="Z13" s="16" t="n">
        <v>76011</v>
      </c>
      <c r="AA13" s="16" t="s">
        <v>83</v>
      </c>
      <c r="AB13" s="17" t="s">
        <v>84</v>
      </c>
      <c r="AC13" s="17"/>
      <c r="AD13" s="18" t="s">
        <v>85</v>
      </c>
    </row>
    <row r="14" customFormat="false" ht="15" hidden="false" customHeight="false" outlineLevel="0" collapsed="false">
      <c r="B14" s="30" t="s">
        <v>86</v>
      </c>
      <c r="C14" s="34" t="str">
        <f aca="false">IF(C10="","",VLOOKUP(C10,$U$3:$AE$356,7,TRUE()))</f>
        <v/>
      </c>
      <c r="D14" s="32"/>
      <c r="E14" s="32"/>
      <c r="F14" s="7"/>
      <c r="H14" s="26" t="s">
        <v>87</v>
      </c>
      <c r="I14" s="6"/>
      <c r="J14" s="7"/>
      <c r="K14" s="7"/>
      <c r="L14" s="33"/>
      <c r="M14" s="10"/>
      <c r="U14" s="14" t="n">
        <v>12</v>
      </c>
      <c r="V14" s="15" t="s">
        <v>88</v>
      </c>
      <c r="W14" s="16" t="s">
        <v>89</v>
      </c>
      <c r="X14" s="16" t="s">
        <v>90</v>
      </c>
      <c r="Y14" s="16" t="s">
        <v>28</v>
      </c>
      <c r="Z14" s="16" t="n">
        <v>75703</v>
      </c>
      <c r="AA14" s="16" t="s">
        <v>91</v>
      </c>
      <c r="AB14" s="17" t="s">
        <v>92</v>
      </c>
      <c r="AC14" s="22"/>
      <c r="AD14" s="18" t="s">
        <v>93</v>
      </c>
    </row>
    <row r="15" customFormat="false" ht="15" hidden="false" customHeight="false" outlineLevel="0" collapsed="false">
      <c r="B15" s="30" t="s">
        <v>94</v>
      </c>
      <c r="C15" s="35" t="str">
        <f aca="false">IF(C10="","",VLOOKUP(C10,$U$3:$AE$356,8,TRUE()))</f>
        <v/>
      </c>
      <c r="D15" s="36" t="s">
        <v>95</v>
      </c>
      <c r="E15" s="35" t="str">
        <f aca="false">IF(C10="","",VLOOKUP(C10,$U$3:$AE$356,9,TRUE()))</f>
        <v/>
      </c>
      <c r="F15" s="7"/>
      <c r="H15" s="37"/>
      <c r="L15" s="38"/>
      <c r="U15" s="14" t="n">
        <v>13</v>
      </c>
      <c r="V15" s="15" t="s">
        <v>96</v>
      </c>
      <c r="W15" s="16" t="s">
        <v>97</v>
      </c>
      <c r="X15" s="16" t="s">
        <v>98</v>
      </c>
      <c r="Y15" s="16" t="s">
        <v>99</v>
      </c>
      <c r="Z15" s="16" t="n">
        <v>27612</v>
      </c>
      <c r="AA15" s="16" t="s">
        <v>100</v>
      </c>
      <c r="AB15" s="17" t="s">
        <v>101</v>
      </c>
      <c r="AC15" s="22"/>
      <c r="AD15" s="18" t="s">
        <v>102</v>
      </c>
    </row>
    <row r="16" customFormat="false" ht="15" hidden="false" customHeight="false" outlineLevel="0" collapsed="false">
      <c r="B16" s="30" t="s">
        <v>103</v>
      </c>
      <c r="C16" s="39" t="str">
        <f aca="false">IF(C10="","",VLOOKUP(C10,$U$3:$AE$356,10,TRUE()))</f>
        <v/>
      </c>
      <c r="D16" s="39"/>
      <c r="E16" s="39"/>
      <c r="F16" s="7"/>
      <c r="H16" s="26" t="s">
        <v>56</v>
      </c>
      <c r="J16" s="29" t="s">
        <v>57</v>
      </c>
      <c r="L16" s="29" t="s">
        <v>1</v>
      </c>
      <c r="U16" s="14" t="n">
        <v>14</v>
      </c>
      <c r="V16" s="15" t="s">
        <v>104</v>
      </c>
      <c r="W16" s="16" t="s">
        <v>105</v>
      </c>
      <c r="X16" s="16" t="s">
        <v>106</v>
      </c>
      <c r="Y16" s="16" t="s">
        <v>28</v>
      </c>
      <c r="Z16" s="16" t="n">
        <v>78746</v>
      </c>
      <c r="AA16" s="16" t="s">
        <v>107</v>
      </c>
      <c r="AB16" s="17" t="s">
        <v>108</v>
      </c>
      <c r="AC16" s="22"/>
      <c r="AD16" s="18" t="s">
        <v>109</v>
      </c>
    </row>
    <row r="17" customFormat="false" ht="15" hidden="false" customHeight="false" outlineLevel="0" collapsed="false">
      <c r="B17" s="30"/>
      <c r="C17" s="40"/>
      <c r="D17" s="40"/>
      <c r="E17" s="40"/>
      <c r="F17" s="40"/>
      <c r="H17" s="26"/>
      <c r="J17" s="29"/>
      <c r="L17" s="29"/>
      <c r="U17" s="14" t="n">
        <v>15</v>
      </c>
      <c r="V17" s="14" t="s">
        <v>110</v>
      </c>
      <c r="W17" s="14" t="s">
        <v>111</v>
      </c>
      <c r="X17" s="14" t="s">
        <v>112</v>
      </c>
      <c r="Y17" s="14" t="s">
        <v>28</v>
      </c>
      <c r="Z17" s="14" t="n">
        <v>77081</v>
      </c>
      <c r="AA17" s="14" t="s">
        <v>113</v>
      </c>
      <c r="AB17" s="41" t="s">
        <v>114</v>
      </c>
      <c r="AC17" s="14"/>
      <c r="AD17" s="42" t="s">
        <v>115</v>
      </c>
    </row>
    <row r="18" customFormat="false" ht="15" hidden="false" customHeight="false" outlineLevel="0" collapsed="false">
      <c r="B18" s="30"/>
      <c r="C18" s="28"/>
      <c r="F18" s="40"/>
      <c r="H18" s="26"/>
      <c r="J18" s="29"/>
      <c r="L18" s="29"/>
      <c r="U18" s="14" t="n">
        <v>16</v>
      </c>
      <c r="V18" s="14" t="s">
        <v>110</v>
      </c>
      <c r="W18" s="14" t="s">
        <v>111</v>
      </c>
      <c r="X18" s="14" t="s">
        <v>112</v>
      </c>
      <c r="Y18" s="14" t="s">
        <v>28</v>
      </c>
      <c r="Z18" s="14" t="n">
        <v>77081</v>
      </c>
      <c r="AA18" s="14" t="s">
        <v>116</v>
      </c>
      <c r="AB18" s="41" t="s">
        <v>117</v>
      </c>
      <c r="AC18" s="14"/>
      <c r="AD18" s="42" t="s">
        <v>118</v>
      </c>
    </row>
    <row r="19" customFormat="false" ht="15" hidden="false" customHeight="false" outlineLevel="0" collapsed="false">
      <c r="B19" s="30" t="s">
        <v>119</v>
      </c>
      <c r="C19" s="31" t="str">
        <f aca="false">IF(C18="","",VLOOKUP(C18,$U$3:$AE$356,2,TRUE()))</f>
        <v/>
      </c>
      <c r="D19" s="32"/>
      <c r="E19" s="32"/>
      <c r="F19" s="7"/>
      <c r="H19" s="26" t="s">
        <v>62</v>
      </c>
      <c r="I19" s="6"/>
      <c r="J19" s="7"/>
      <c r="K19" s="7"/>
      <c r="L19" s="43"/>
      <c r="U19" s="14" t="n">
        <v>17</v>
      </c>
      <c r="V19" s="15" t="s">
        <v>120</v>
      </c>
      <c r="W19" s="16" t="s">
        <v>121</v>
      </c>
      <c r="X19" s="16" t="s">
        <v>122</v>
      </c>
      <c r="Y19" s="16" t="s">
        <v>28</v>
      </c>
      <c r="Z19" s="16" t="n">
        <v>75001</v>
      </c>
      <c r="AA19" s="16" t="s">
        <v>123</v>
      </c>
      <c r="AB19" s="17" t="s">
        <v>124</v>
      </c>
      <c r="AC19" s="22"/>
      <c r="AD19" s="18" t="s">
        <v>125</v>
      </c>
    </row>
    <row r="20" customFormat="false" ht="15" hidden="false" customHeight="false" outlineLevel="0" collapsed="false">
      <c r="B20" s="30" t="s">
        <v>70</v>
      </c>
      <c r="C20" s="31" t="str">
        <f aca="false">IF(C18="","",VLOOKUP(C18,$U$3:$AE$356,3,TRUE()))</f>
        <v/>
      </c>
      <c r="D20" s="32"/>
      <c r="E20" s="32"/>
      <c r="F20" s="7"/>
      <c r="H20" s="26" t="s">
        <v>71</v>
      </c>
      <c r="I20" s="6"/>
      <c r="J20" s="7"/>
      <c r="K20" s="7"/>
      <c r="L20" s="43"/>
      <c r="U20" s="14" t="n">
        <v>18</v>
      </c>
      <c r="V20" s="15" t="s">
        <v>120</v>
      </c>
      <c r="W20" s="16" t="s">
        <v>121</v>
      </c>
      <c r="X20" s="16" t="s">
        <v>122</v>
      </c>
      <c r="Y20" s="16" t="s">
        <v>28</v>
      </c>
      <c r="Z20" s="16" t="n">
        <v>75001</v>
      </c>
      <c r="AA20" s="16" t="s">
        <v>126</v>
      </c>
      <c r="AB20" s="17" t="s">
        <v>127</v>
      </c>
      <c r="AC20" s="22"/>
      <c r="AD20" s="18" t="s">
        <v>128</v>
      </c>
    </row>
    <row r="21" customFormat="false" ht="15" hidden="false" customHeight="false" outlineLevel="0" collapsed="false">
      <c r="B21" s="30"/>
      <c r="C21" s="31"/>
      <c r="D21" s="32"/>
      <c r="E21" s="32"/>
      <c r="F21" s="7"/>
      <c r="H21" s="26" t="s">
        <v>79</v>
      </c>
      <c r="I21" s="6"/>
      <c r="J21" s="7"/>
      <c r="K21" s="7"/>
      <c r="L21" s="43"/>
      <c r="U21" s="14" t="n">
        <v>19</v>
      </c>
      <c r="V21" s="15" t="s">
        <v>120</v>
      </c>
      <c r="W21" s="16" t="s">
        <v>121</v>
      </c>
      <c r="X21" s="16" t="s">
        <v>122</v>
      </c>
      <c r="Y21" s="16" t="s">
        <v>28</v>
      </c>
      <c r="Z21" s="16" t="n">
        <v>75001</v>
      </c>
      <c r="AA21" s="16" t="s">
        <v>129</v>
      </c>
      <c r="AB21" s="17" t="s">
        <v>130</v>
      </c>
      <c r="AC21" s="22"/>
      <c r="AD21" s="18" t="s">
        <v>131</v>
      </c>
    </row>
    <row r="22" customFormat="false" ht="15" hidden="false" customHeight="false" outlineLevel="0" collapsed="false">
      <c r="B22" s="30" t="s">
        <v>86</v>
      </c>
      <c r="C22" s="34" t="str">
        <f aca="false">IF(C18="","",VLOOKUP(C18,$U$3:$AE$356,7,TRUE()))</f>
        <v/>
      </c>
      <c r="D22" s="32"/>
      <c r="E22" s="32"/>
      <c r="F22" s="7"/>
      <c r="H22" s="26" t="s">
        <v>87</v>
      </c>
      <c r="I22" s="6"/>
      <c r="J22" s="7"/>
      <c r="K22" s="7"/>
      <c r="L22" s="43"/>
      <c r="U22" s="14" t="n">
        <v>20</v>
      </c>
      <c r="V22" s="15" t="s">
        <v>120</v>
      </c>
      <c r="W22" s="16" t="s">
        <v>132</v>
      </c>
      <c r="X22" s="16" t="s">
        <v>106</v>
      </c>
      <c r="Y22" s="16" t="s">
        <v>28</v>
      </c>
      <c r="Z22" s="16" t="n">
        <v>78746</v>
      </c>
      <c r="AA22" s="16" t="s">
        <v>133</v>
      </c>
      <c r="AB22" s="17" t="s">
        <v>134</v>
      </c>
      <c r="AC22" s="44"/>
      <c r="AD22" s="45"/>
    </row>
    <row r="23" customFormat="false" ht="15" hidden="false" customHeight="false" outlineLevel="0" collapsed="false">
      <c r="B23" s="30" t="s">
        <v>12</v>
      </c>
      <c r="C23" s="35" t="str">
        <f aca="false">IF(C18="","",VLOOKUP(C18,$U$3:$AE$356,8,TRUE()))</f>
        <v/>
      </c>
      <c r="D23" s="36" t="s">
        <v>95</v>
      </c>
      <c r="E23" s="35" t="str">
        <f aca="false">IF(C18="","",VLOOKUP(C18,$U$3:$AE$356,9,TRUE()))</f>
        <v/>
      </c>
      <c r="F23" s="7"/>
      <c r="I23" s="46"/>
      <c r="J23" s="46"/>
      <c r="K23" s="46"/>
      <c r="L23" s="46"/>
      <c r="U23" s="14" t="n">
        <v>21</v>
      </c>
      <c r="V23" s="15" t="s">
        <v>120</v>
      </c>
      <c r="W23" s="16" t="s">
        <v>132</v>
      </c>
      <c r="X23" s="16" t="s">
        <v>106</v>
      </c>
      <c r="Y23" s="16" t="s">
        <v>28</v>
      </c>
      <c r="Z23" s="16" t="n">
        <v>78746</v>
      </c>
      <c r="AA23" s="16" t="s">
        <v>135</v>
      </c>
      <c r="AB23" s="17" t="s">
        <v>134</v>
      </c>
      <c r="AC23" s="22"/>
      <c r="AD23" s="18" t="s">
        <v>136</v>
      </c>
    </row>
    <row r="24" customFormat="false" ht="15" hidden="false" customHeight="false" outlineLevel="0" collapsed="false">
      <c r="B24" s="30" t="s">
        <v>137</v>
      </c>
      <c r="C24" s="47" t="str">
        <f aca="false">IF(C18="","",VLOOKUP(C18,$U$3:$AE$356,10,FALSE()))</f>
        <v/>
      </c>
      <c r="D24" s="47"/>
      <c r="E24" s="47"/>
      <c r="F24" s="7"/>
      <c r="H24" s="26" t="s">
        <v>56</v>
      </c>
      <c r="J24" s="29" t="s">
        <v>57</v>
      </c>
      <c r="L24" s="29" t="s">
        <v>1</v>
      </c>
      <c r="U24" s="14" t="n">
        <v>22</v>
      </c>
      <c r="V24" s="15" t="s">
        <v>120</v>
      </c>
      <c r="W24" s="16" t="s">
        <v>132</v>
      </c>
      <c r="X24" s="16" t="s">
        <v>106</v>
      </c>
      <c r="Y24" s="16" t="s">
        <v>28</v>
      </c>
      <c r="Z24" s="16" t="n">
        <v>78746</v>
      </c>
      <c r="AA24" s="16" t="s">
        <v>138</v>
      </c>
      <c r="AB24" s="17"/>
      <c r="AC24" s="22"/>
      <c r="AD24" s="18" t="s">
        <v>139</v>
      </c>
    </row>
    <row r="25" customFormat="false" ht="15" hidden="false" customHeight="false" outlineLevel="0" collapsed="false">
      <c r="F25" s="46"/>
      <c r="U25" s="14" t="n">
        <v>23</v>
      </c>
      <c r="V25" s="15" t="s">
        <v>140</v>
      </c>
      <c r="W25" s="16" t="s">
        <v>141</v>
      </c>
      <c r="X25" s="16" t="s">
        <v>142</v>
      </c>
      <c r="Y25" s="16" t="s">
        <v>28</v>
      </c>
      <c r="Z25" s="16" t="n">
        <v>75248</v>
      </c>
      <c r="AA25" s="16" t="s">
        <v>143</v>
      </c>
      <c r="AB25" s="17" t="s">
        <v>144</v>
      </c>
      <c r="AC25" s="22"/>
      <c r="AD25" s="18" t="s">
        <v>145</v>
      </c>
    </row>
    <row r="26" customFormat="false" ht="15" hidden="false" customHeight="false" outlineLevel="0" collapsed="false">
      <c r="B26" s="30"/>
      <c r="C26" s="28"/>
      <c r="F26" s="40"/>
      <c r="H26" s="26"/>
      <c r="J26" s="29"/>
      <c r="L26" s="29"/>
      <c r="U26" s="14" t="n">
        <v>24</v>
      </c>
      <c r="V26" s="15" t="s">
        <v>140</v>
      </c>
      <c r="W26" s="16" t="s">
        <v>141</v>
      </c>
      <c r="X26" s="16" t="s">
        <v>142</v>
      </c>
      <c r="Y26" s="16" t="s">
        <v>28</v>
      </c>
      <c r="Z26" s="16" t="n">
        <v>75248</v>
      </c>
      <c r="AA26" s="16" t="s">
        <v>146</v>
      </c>
      <c r="AB26" s="17" t="s">
        <v>147</v>
      </c>
      <c r="AC26" s="22"/>
      <c r="AD26" s="18" t="s">
        <v>148</v>
      </c>
    </row>
    <row r="27" customFormat="false" ht="15" hidden="false" customHeight="false" outlineLevel="0" collapsed="false">
      <c r="B27" s="30" t="s">
        <v>119</v>
      </c>
      <c r="C27" s="31" t="str">
        <f aca="false">IF(C26="","",VLOOKUP(C26,$U$3:$AE$356,2,TRUE()))</f>
        <v/>
      </c>
      <c r="D27" s="32"/>
      <c r="E27" s="32"/>
      <c r="F27" s="40"/>
      <c r="H27" s="26" t="s">
        <v>62</v>
      </c>
      <c r="I27" s="7"/>
      <c r="J27" s="7"/>
      <c r="K27" s="7"/>
      <c r="L27" s="43"/>
      <c r="U27" s="14" t="n">
        <v>25</v>
      </c>
      <c r="V27" s="15" t="s">
        <v>149</v>
      </c>
      <c r="W27" s="48" t="s">
        <v>150</v>
      </c>
      <c r="X27" s="16" t="s">
        <v>151</v>
      </c>
      <c r="Y27" s="16" t="s">
        <v>28</v>
      </c>
      <c r="Z27" s="16" t="n">
        <v>75067</v>
      </c>
      <c r="AA27" s="16" t="s">
        <v>152</v>
      </c>
      <c r="AB27" s="17" t="s">
        <v>153</v>
      </c>
      <c r="AC27" s="17"/>
      <c r="AD27" s="18" t="s">
        <v>154</v>
      </c>
    </row>
    <row r="28" customFormat="false" ht="15" hidden="false" customHeight="false" outlineLevel="0" collapsed="false">
      <c r="B28" s="30" t="s">
        <v>70</v>
      </c>
      <c r="C28" s="31" t="str">
        <f aca="false">IF(C26="","",VLOOKUP(C26,$U$3:$AE$356,3,TRUE()))</f>
        <v/>
      </c>
      <c r="D28" s="32"/>
      <c r="E28" s="32"/>
      <c r="F28" s="7"/>
      <c r="H28" s="26" t="s">
        <v>71</v>
      </c>
      <c r="I28" s="7"/>
      <c r="J28" s="7"/>
      <c r="K28" s="7"/>
      <c r="L28" s="43"/>
      <c r="U28" s="14" t="n">
        <v>26</v>
      </c>
      <c r="V28" s="15" t="s">
        <v>149</v>
      </c>
      <c r="W28" s="48" t="s">
        <v>150</v>
      </c>
      <c r="X28" s="16" t="s">
        <v>151</v>
      </c>
      <c r="Y28" s="16" t="s">
        <v>28</v>
      </c>
      <c r="Z28" s="16" t="n">
        <v>75067</v>
      </c>
      <c r="AA28" s="16" t="s">
        <v>52</v>
      </c>
      <c r="AB28" s="17" t="s">
        <v>155</v>
      </c>
      <c r="AC28" s="22"/>
      <c r="AD28" s="18" t="s">
        <v>156</v>
      </c>
    </row>
    <row r="29" customFormat="false" ht="15" hidden="false" customHeight="false" outlineLevel="0" collapsed="false">
      <c r="B29" s="30"/>
      <c r="C29" s="31" t="str">
        <f aca="false">IF(C26="","",VLOOKUP(C26,$U$3:$AE$356,4,TRUE()))</f>
        <v/>
      </c>
      <c r="D29" s="31" t="str">
        <f aca="false">IF(C26="","",VLOOKUP($C$26,$U$3:$AE$356,5,TRUE()))</f>
        <v/>
      </c>
      <c r="E29" s="32"/>
      <c r="F29" s="7"/>
      <c r="H29" s="26" t="s">
        <v>79</v>
      </c>
      <c r="I29" s="7"/>
      <c r="J29" s="7"/>
      <c r="K29" s="7"/>
      <c r="L29" s="43"/>
      <c r="U29" s="14" t="n">
        <v>27</v>
      </c>
      <c r="V29" s="15" t="s">
        <v>157</v>
      </c>
      <c r="W29" s="16" t="s">
        <v>158</v>
      </c>
      <c r="X29" s="16" t="s">
        <v>159</v>
      </c>
      <c r="Y29" s="16" t="s">
        <v>28</v>
      </c>
      <c r="Z29" s="16" t="n">
        <v>75032</v>
      </c>
      <c r="AA29" s="16" t="s">
        <v>160</v>
      </c>
      <c r="AB29" s="17" t="s">
        <v>161</v>
      </c>
      <c r="AC29" s="22"/>
      <c r="AD29" s="18" t="s">
        <v>162</v>
      </c>
    </row>
    <row r="30" customFormat="false" ht="15" hidden="false" customHeight="false" outlineLevel="0" collapsed="false">
      <c r="B30" s="30" t="s">
        <v>86</v>
      </c>
      <c r="C30" s="34" t="str">
        <f aca="false">IF(C26="","",VLOOKUP(C26,$U$3:$AE$356,7,TRUE()))</f>
        <v/>
      </c>
      <c r="D30" s="32"/>
      <c r="E30" s="32"/>
      <c r="F30" s="7"/>
      <c r="H30" s="26" t="s">
        <v>87</v>
      </c>
      <c r="I30" s="7"/>
      <c r="J30" s="7"/>
      <c r="K30" s="7"/>
      <c r="L30" s="43"/>
      <c r="U30" s="14" t="n">
        <v>28</v>
      </c>
      <c r="V30" s="15" t="s">
        <v>157</v>
      </c>
      <c r="W30" s="16" t="s">
        <v>158</v>
      </c>
      <c r="X30" s="16" t="s">
        <v>159</v>
      </c>
      <c r="Y30" s="16" t="s">
        <v>28</v>
      </c>
      <c r="Z30" s="16" t="n">
        <v>75032</v>
      </c>
      <c r="AA30" s="16" t="s">
        <v>163</v>
      </c>
      <c r="AB30" s="17" t="s">
        <v>164</v>
      </c>
      <c r="AC30" s="22"/>
      <c r="AD30" s="18" t="s">
        <v>165</v>
      </c>
    </row>
    <row r="31" customFormat="false" ht="15" hidden="false" customHeight="false" outlineLevel="0" collapsed="false">
      <c r="B31" s="30" t="s">
        <v>137</v>
      </c>
      <c r="C31" s="49" t="str">
        <f aca="false">IF(C26="","",VLOOKUP(C26,$U$3:$AE$356,10,FALSE()))</f>
        <v/>
      </c>
      <c r="D31" s="49"/>
      <c r="E31" s="49"/>
      <c r="F31" s="7"/>
      <c r="U31" s="14" t="n">
        <v>29</v>
      </c>
      <c r="V31" s="15" t="s">
        <v>166</v>
      </c>
      <c r="W31" s="16" t="s">
        <v>167</v>
      </c>
      <c r="X31" s="16" t="s">
        <v>168</v>
      </c>
      <c r="Y31" s="16" t="s">
        <v>169</v>
      </c>
      <c r="Z31" s="16" t="n">
        <v>85020</v>
      </c>
      <c r="AA31" s="16" t="s">
        <v>170</v>
      </c>
      <c r="AB31" s="17" t="s">
        <v>171</v>
      </c>
      <c r="AC31" s="17"/>
      <c r="AD31" s="18" t="s">
        <v>172</v>
      </c>
    </row>
    <row r="32" s="16" customFormat="true" ht="15" hidden="false" customHeight="false" outlineLevel="0" collapsed="false">
      <c r="U32" s="14" t="n">
        <v>30</v>
      </c>
      <c r="V32" s="15" t="s">
        <v>166</v>
      </c>
      <c r="W32" s="16" t="s">
        <v>167</v>
      </c>
      <c r="X32" s="16" t="s">
        <v>168</v>
      </c>
      <c r="Y32" s="16" t="s">
        <v>169</v>
      </c>
      <c r="Z32" s="16" t="n">
        <v>85020</v>
      </c>
      <c r="AA32" s="16" t="s">
        <v>173</v>
      </c>
      <c r="AB32" s="17" t="s">
        <v>174</v>
      </c>
      <c r="AC32" s="22"/>
      <c r="AD32" s="18" t="s">
        <v>175</v>
      </c>
    </row>
    <row r="33" s="16" customFormat="true" ht="15" hidden="false" customHeight="false" outlineLevel="0" collapsed="false">
      <c r="U33" s="14" t="n">
        <v>31</v>
      </c>
      <c r="V33" s="15" t="s">
        <v>166</v>
      </c>
      <c r="W33" s="16" t="s">
        <v>167</v>
      </c>
      <c r="X33" s="16" t="s">
        <v>168</v>
      </c>
      <c r="Y33" s="16" t="s">
        <v>169</v>
      </c>
      <c r="Z33" s="16" t="n">
        <v>85020</v>
      </c>
      <c r="AA33" s="16" t="s">
        <v>176</v>
      </c>
      <c r="AB33" s="17"/>
      <c r="AC33" s="22"/>
      <c r="AD33" s="18" t="s">
        <v>177</v>
      </c>
    </row>
    <row r="34" s="16" customFormat="true" ht="15" hidden="false" customHeight="false" outlineLevel="0" collapsed="false">
      <c r="U34" s="14" t="n">
        <v>32</v>
      </c>
      <c r="V34" s="15" t="s">
        <v>178</v>
      </c>
      <c r="W34" s="16" t="s">
        <v>179</v>
      </c>
      <c r="X34" s="16" t="s">
        <v>180</v>
      </c>
      <c r="Y34" s="16" t="s">
        <v>28</v>
      </c>
      <c r="Z34" s="16" t="n">
        <v>75038</v>
      </c>
      <c r="AA34" s="16" t="s">
        <v>181</v>
      </c>
      <c r="AB34" s="17"/>
      <c r="AC34" s="22"/>
      <c r="AD34" s="18" t="s">
        <v>182</v>
      </c>
    </row>
    <row r="35" s="16" customFormat="true" ht="15" hidden="false" customHeight="false" outlineLevel="0" collapsed="false">
      <c r="U35" s="14" t="n">
        <v>33</v>
      </c>
      <c r="V35" s="15" t="s">
        <v>178</v>
      </c>
      <c r="W35" s="16" t="s">
        <v>179</v>
      </c>
      <c r="X35" s="16" t="s">
        <v>180</v>
      </c>
      <c r="Y35" s="16" t="s">
        <v>28</v>
      </c>
      <c r="Z35" s="16" t="n">
        <v>75038</v>
      </c>
      <c r="AA35" s="16" t="s">
        <v>183</v>
      </c>
      <c r="AB35" s="17" t="s">
        <v>184</v>
      </c>
      <c r="AC35" s="22"/>
      <c r="AD35" s="18" t="s">
        <v>185</v>
      </c>
    </row>
    <row r="36" s="16" customFormat="true" ht="15" hidden="false" customHeight="false" outlineLevel="0" collapsed="false">
      <c r="U36" s="14" t="n">
        <v>34</v>
      </c>
      <c r="V36" s="15" t="s">
        <v>186</v>
      </c>
      <c r="W36" s="50" t="s">
        <v>187</v>
      </c>
      <c r="X36" s="16" t="s">
        <v>188</v>
      </c>
      <c r="Y36" s="16" t="s">
        <v>28</v>
      </c>
      <c r="Z36" s="16" t="n">
        <v>78249</v>
      </c>
      <c r="AA36" s="16" t="s">
        <v>189</v>
      </c>
      <c r="AB36" s="17" t="s">
        <v>190</v>
      </c>
      <c r="AC36" s="22"/>
      <c r="AD36" s="18" t="s">
        <v>191</v>
      </c>
    </row>
    <row r="37" s="16" customFormat="true" ht="15" hidden="false" customHeight="false" outlineLevel="0" collapsed="false">
      <c r="U37" s="14" t="n">
        <v>35</v>
      </c>
      <c r="V37" s="15" t="s">
        <v>186</v>
      </c>
      <c r="W37" s="50" t="s">
        <v>187</v>
      </c>
      <c r="X37" s="16" t="s">
        <v>188</v>
      </c>
      <c r="Y37" s="16" t="s">
        <v>28</v>
      </c>
      <c r="Z37" s="16" t="n">
        <v>78249</v>
      </c>
      <c r="AA37" s="16" t="s">
        <v>192</v>
      </c>
      <c r="AB37" s="17" t="s">
        <v>190</v>
      </c>
      <c r="AC37" s="22"/>
      <c r="AD37" s="18" t="s">
        <v>193</v>
      </c>
    </row>
    <row r="38" s="16" customFormat="true" ht="15" hidden="false" customHeight="false" outlineLevel="0" collapsed="false">
      <c r="U38" s="14" t="n">
        <v>36</v>
      </c>
      <c r="V38" s="15" t="s">
        <v>194</v>
      </c>
      <c r="W38" s="16" t="s">
        <v>195</v>
      </c>
      <c r="X38" s="16" t="s">
        <v>112</v>
      </c>
      <c r="Y38" s="16" t="s">
        <v>28</v>
      </c>
      <c r="Z38" s="16" t="n">
        <v>77056</v>
      </c>
      <c r="AA38" s="16" t="s">
        <v>196</v>
      </c>
      <c r="AB38" s="17" t="s">
        <v>197</v>
      </c>
      <c r="AC38" s="22"/>
      <c r="AD38" s="18" t="s">
        <v>198</v>
      </c>
    </row>
    <row r="39" s="16" customFormat="true" ht="15" hidden="false" customHeight="false" outlineLevel="0" collapsed="false">
      <c r="U39" s="14" t="n">
        <v>37</v>
      </c>
      <c r="V39" s="15" t="s">
        <v>199</v>
      </c>
      <c r="W39" s="16" t="s">
        <v>200</v>
      </c>
      <c r="X39" s="16" t="s">
        <v>201</v>
      </c>
      <c r="Y39" s="16" t="s">
        <v>28</v>
      </c>
      <c r="Z39" s="16" t="n">
        <v>76107</v>
      </c>
      <c r="AA39" s="16" t="s">
        <v>202</v>
      </c>
      <c r="AB39" s="17" t="s">
        <v>203</v>
      </c>
      <c r="AC39" s="22"/>
      <c r="AD39" s="18" t="s">
        <v>204</v>
      </c>
    </row>
    <row r="40" s="16" customFormat="true" ht="15" hidden="false" customHeight="false" outlineLevel="0" collapsed="false">
      <c r="U40" s="14" t="n">
        <v>38</v>
      </c>
      <c r="V40" s="15" t="s">
        <v>205</v>
      </c>
      <c r="W40" s="16" t="s">
        <v>206</v>
      </c>
      <c r="X40" s="16" t="s">
        <v>207</v>
      </c>
      <c r="Y40" s="16" t="s">
        <v>28</v>
      </c>
      <c r="Z40" s="16" t="n">
        <v>76292</v>
      </c>
      <c r="AA40" s="16" t="s">
        <v>208</v>
      </c>
      <c r="AB40" s="17" t="s">
        <v>209</v>
      </c>
      <c r="AC40" s="22"/>
      <c r="AD40" s="18" t="s">
        <v>210</v>
      </c>
    </row>
    <row r="41" s="16" customFormat="true" ht="15" hidden="false" customHeight="false" outlineLevel="0" collapsed="false">
      <c r="U41" s="14" t="n">
        <v>39</v>
      </c>
      <c r="V41" s="15" t="s">
        <v>205</v>
      </c>
      <c r="W41" s="16" t="s">
        <v>206</v>
      </c>
      <c r="X41" s="16" t="s">
        <v>207</v>
      </c>
      <c r="Y41" s="16" t="s">
        <v>28</v>
      </c>
      <c r="Z41" s="16" t="n">
        <v>76292</v>
      </c>
      <c r="AA41" s="16" t="s">
        <v>211</v>
      </c>
      <c r="AB41" s="17" t="s">
        <v>212</v>
      </c>
      <c r="AC41" s="22"/>
      <c r="AD41" s="18" t="s">
        <v>213</v>
      </c>
    </row>
    <row r="42" s="16" customFormat="true" ht="15" hidden="false" customHeight="false" outlineLevel="0" collapsed="false">
      <c r="U42" s="14" t="n">
        <v>40</v>
      </c>
      <c r="V42" s="15" t="s">
        <v>214</v>
      </c>
      <c r="W42" s="16" t="s">
        <v>215</v>
      </c>
      <c r="X42" s="16" t="s">
        <v>216</v>
      </c>
      <c r="Y42" s="16" t="s">
        <v>28</v>
      </c>
      <c r="Z42" s="16" t="n">
        <v>76262</v>
      </c>
      <c r="AA42" s="16" t="s">
        <v>217</v>
      </c>
      <c r="AB42" s="17" t="s">
        <v>218</v>
      </c>
      <c r="AC42" s="51"/>
      <c r="AD42" s="18" t="s">
        <v>219</v>
      </c>
    </row>
    <row r="43" s="16" customFormat="true" ht="15" hidden="false" customHeight="false" outlineLevel="0" collapsed="false">
      <c r="U43" s="14" t="n">
        <v>41</v>
      </c>
      <c r="V43" s="15" t="s">
        <v>220</v>
      </c>
      <c r="W43" s="16" t="s">
        <v>221</v>
      </c>
      <c r="X43" s="16" t="s">
        <v>222</v>
      </c>
      <c r="Y43" s="16" t="s">
        <v>28</v>
      </c>
      <c r="Z43" s="16" t="n">
        <v>75082</v>
      </c>
      <c r="AA43" s="16" t="s">
        <v>223</v>
      </c>
      <c r="AB43" s="17"/>
      <c r="AC43" s="17"/>
      <c r="AD43" s="18" t="s">
        <v>224</v>
      </c>
    </row>
    <row r="44" s="16" customFormat="true" ht="15" hidden="false" customHeight="false" outlineLevel="0" collapsed="false">
      <c r="U44" s="14" t="n">
        <v>42</v>
      </c>
      <c r="V44" s="15" t="s">
        <v>220</v>
      </c>
      <c r="W44" s="16" t="s">
        <v>225</v>
      </c>
      <c r="X44" s="16" t="s">
        <v>47</v>
      </c>
      <c r="Y44" s="16" t="s">
        <v>28</v>
      </c>
      <c r="Z44" s="16" t="n">
        <v>75220</v>
      </c>
      <c r="AA44" s="16" t="s">
        <v>226</v>
      </c>
      <c r="AB44" s="17" t="s">
        <v>227</v>
      </c>
      <c r="AC44" s="17"/>
      <c r="AD44" s="18" t="s">
        <v>228</v>
      </c>
    </row>
    <row r="45" customFormat="false" ht="15" hidden="false" customHeight="false" outlineLevel="0" collapsed="false">
      <c r="U45" s="14" t="n">
        <v>43</v>
      </c>
      <c r="V45" s="15" t="s">
        <v>229</v>
      </c>
      <c r="W45" s="16" t="s">
        <v>230</v>
      </c>
      <c r="X45" s="16" t="s">
        <v>47</v>
      </c>
      <c r="Y45" s="16" t="s">
        <v>28</v>
      </c>
      <c r="Z45" s="16" t="n">
        <v>75243</v>
      </c>
      <c r="AA45" s="16" t="s">
        <v>231</v>
      </c>
      <c r="AB45" s="17" t="s">
        <v>232</v>
      </c>
      <c r="AC45" s="17"/>
      <c r="AD45" s="18" t="s">
        <v>233</v>
      </c>
    </row>
    <row r="46" customFormat="false" ht="15" hidden="false" customHeight="false" outlineLevel="0" collapsed="false">
      <c r="U46" s="14" t="n">
        <v>44</v>
      </c>
      <c r="V46" s="15" t="s">
        <v>229</v>
      </c>
      <c r="W46" s="16" t="s">
        <v>230</v>
      </c>
      <c r="X46" s="16" t="s">
        <v>47</v>
      </c>
      <c r="Y46" s="16" t="s">
        <v>28</v>
      </c>
      <c r="Z46" s="16" t="n">
        <v>75243</v>
      </c>
      <c r="AA46" s="16" t="s">
        <v>234</v>
      </c>
      <c r="AB46" s="17" t="s">
        <v>235</v>
      </c>
      <c r="AC46" s="22" t="s">
        <v>236</v>
      </c>
      <c r="AD46" s="18" t="s">
        <v>237</v>
      </c>
    </row>
    <row r="47" customFormat="false" ht="15" hidden="false" customHeight="false" outlineLevel="0" collapsed="false">
      <c r="U47" s="14" t="n">
        <v>45</v>
      </c>
      <c r="V47" s="15" t="s">
        <v>229</v>
      </c>
      <c r="W47" s="16" t="s">
        <v>230</v>
      </c>
      <c r="X47" s="16" t="s">
        <v>47</v>
      </c>
      <c r="Y47" s="16" t="s">
        <v>28</v>
      </c>
      <c r="Z47" s="16" t="n">
        <v>75243</v>
      </c>
      <c r="AA47" s="16" t="s">
        <v>238</v>
      </c>
      <c r="AB47" s="17" t="s">
        <v>232</v>
      </c>
      <c r="AC47" s="22"/>
      <c r="AD47" s="18" t="s">
        <v>239</v>
      </c>
    </row>
    <row r="48" customFormat="false" ht="15" hidden="false" customHeight="false" outlineLevel="0" collapsed="false">
      <c r="U48" s="14" t="n">
        <v>46</v>
      </c>
      <c r="V48" s="15" t="s">
        <v>240</v>
      </c>
      <c r="W48" s="16" t="s">
        <v>241</v>
      </c>
      <c r="X48" s="16" t="s">
        <v>122</v>
      </c>
      <c r="Y48" s="16" t="s">
        <v>28</v>
      </c>
      <c r="Z48" s="16" t="n">
        <v>75001</v>
      </c>
      <c r="AA48" s="16" t="s">
        <v>242</v>
      </c>
      <c r="AB48" s="17" t="s">
        <v>243</v>
      </c>
      <c r="AC48" s="22" t="s">
        <v>244</v>
      </c>
      <c r="AD48" s="52" t="s">
        <v>245</v>
      </c>
    </row>
    <row r="49" customFormat="false" ht="15" hidden="false" customHeight="false" outlineLevel="0" collapsed="false">
      <c r="U49" s="14" t="n">
        <v>47</v>
      </c>
      <c r="V49" s="15" t="s">
        <v>246</v>
      </c>
      <c r="W49" s="16" t="s">
        <v>247</v>
      </c>
      <c r="X49" s="16" t="s">
        <v>222</v>
      </c>
      <c r="Y49" s="16" t="s">
        <v>28</v>
      </c>
      <c r="Z49" s="16" t="n">
        <v>75039</v>
      </c>
      <c r="AA49" s="16" t="s">
        <v>83</v>
      </c>
      <c r="AB49" s="17" t="s">
        <v>248</v>
      </c>
      <c r="AC49" s="22"/>
      <c r="AD49" s="18" t="s">
        <v>249</v>
      </c>
    </row>
    <row r="50" customFormat="false" ht="15" hidden="false" customHeight="false" outlineLevel="0" collapsed="false">
      <c r="U50" s="14" t="n">
        <v>48</v>
      </c>
      <c r="V50" s="15" t="s">
        <v>246</v>
      </c>
      <c r="W50" s="16" t="s">
        <v>247</v>
      </c>
      <c r="X50" s="16" t="s">
        <v>222</v>
      </c>
      <c r="Y50" s="16" t="s">
        <v>28</v>
      </c>
      <c r="Z50" s="16" t="n">
        <v>75039</v>
      </c>
      <c r="AA50" s="16" t="s">
        <v>250</v>
      </c>
      <c r="AB50" s="17" t="s">
        <v>251</v>
      </c>
      <c r="AC50" s="22"/>
      <c r="AD50" s="18" t="s">
        <v>252</v>
      </c>
    </row>
    <row r="51" customFormat="false" ht="15" hidden="false" customHeight="false" outlineLevel="0" collapsed="false">
      <c r="U51" s="14" t="n">
        <v>49</v>
      </c>
      <c r="V51" s="15" t="s">
        <v>253</v>
      </c>
      <c r="W51" s="16" t="s">
        <v>254</v>
      </c>
      <c r="X51" s="16" t="s">
        <v>106</v>
      </c>
      <c r="Y51" s="16" t="s">
        <v>28</v>
      </c>
      <c r="Z51" s="16" t="n">
        <v>78704</v>
      </c>
      <c r="AA51" s="16" t="s">
        <v>255</v>
      </c>
      <c r="AB51" s="17" t="s">
        <v>256</v>
      </c>
      <c r="AC51" s="22"/>
      <c r="AD51" s="18" t="s">
        <v>257</v>
      </c>
    </row>
    <row r="52" customFormat="false" ht="15" hidden="false" customHeight="false" outlineLevel="0" collapsed="false">
      <c r="U52" s="14" t="n">
        <v>50</v>
      </c>
      <c r="V52" s="15" t="s">
        <v>258</v>
      </c>
      <c r="W52" s="16" t="s">
        <v>259</v>
      </c>
      <c r="X52" s="16" t="s">
        <v>122</v>
      </c>
      <c r="Y52" s="16" t="s">
        <v>28</v>
      </c>
      <c r="Z52" s="16" t="n">
        <v>75001</v>
      </c>
      <c r="AA52" s="16" t="s">
        <v>260</v>
      </c>
      <c r="AB52" s="17" t="s">
        <v>261</v>
      </c>
      <c r="AC52" s="17"/>
      <c r="AD52" s="18" t="s">
        <v>262</v>
      </c>
    </row>
    <row r="53" customFormat="false" ht="15" hidden="false" customHeight="false" outlineLevel="0" collapsed="false">
      <c r="U53" s="14" t="n">
        <v>51</v>
      </c>
      <c r="V53" s="15" t="s">
        <v>258</v>
      </c>
      <c r="W53" s="16" t="s">
        <v>263</v>
      </c>
      <c r="X53" s="16" t="s">
        <v>122</v>
      </c>
      <c r="Y53" s="16" t="s">
        <v>28</v>
      </c>
      <c r="Z53" s="16" t="n">
        <v>75001</v>
      </c>
      <c r="AA53" s="16" t="s">
        <v>264</v>
      </c>
      <c r="AB53" s="17" t="s">
        <v>261</v>
      </c>
      <c r="AC53" s="17"/>
      <c r="AD53" s="18" t="s">
        <v>265</v>
      </c>
    </row>
    <row r="54" customFormat="false" ht="15" hidden="false" customHeight="false" outlineLevel="0" collapsed="false">
      <c r="U54" s="14" t="n">
        <v>52</v>
      </c>
      <c r="V54" s="15" t="s">
        <v>258</v>
      </c>
      <c r="W54" s="16" t="s">
        <v>263</v>
      </c>
      <c r="X54" s="16" t="s">
        <v>122</v>
      </c>
      <c r="Y54" s="16" t="s">
        <v>28</v>
      </c>
      <c r="Z54" s="16" t="n">
        <v>75001</v>
      </c>
      <c r="AA54" s="16" t="s">
        <v>266</v>
      </c>
      <c r="AB54" s="17"/>
      <c r="AC54" s="22"/>
      <c r="AD54" s="18" t="s">
        <v>267</v>
      </c>
    </row>
    <row r="55" customFormat="false" ht="15" hidden="false" customHeight="false" outlineLevel="0" collapsed="false">
      <c r="U55" s="14" t="n">
        <v>53</v>
      </c>
      <c r="V55" s="15" t="s">
        <v>268</v>
      </c>
      <c r="W55" s="16" t="s">
        <v>269</v>
      </c>
      <c r="X55" s="16" t="s">
        <v>270</v>
      </c>
      <c r="Y55" s="16" t="s">
        <v>28</v>
      </c>
      <c r="Z55" s="16" t="n">
        <v>76205</v>
      </c>
      <c r="AA55" s="16" t="s">
        <v>271</v>
      </c>
      <c r="AB55" s="17" t="s">
        <v>272</v>
      </c>
      <c r="AC55" s="22" t="s">
        <v>273</v>
      </c>
      <c r="AD55" s="18" t="s">
        <v>274</v>
      </c>
    </row>
    <row r="56" customFormat="false" ht="15" hidden="false" customHeight="false" outlineLevel="0" collapsed="false">
      <c r="U56" s="14" t="n">
        <v>54</v>
      </c>
      <c r="V56" s="15" t="s">
        <v>275</v>
      </c>
      <c r="W56" s="16" t="s">
        <v>276</v>
      </c>
      <c r="X56" s="16" t="s">
        <v>122</v>
      </c>
      <c r="Y56" s="16" t="s">
        <v>28</v>
      </c>
      <c r="Z56" s="16" t="n">
        <v>75001</v>
      </c>
      <c r="AA56" s="16" t="s">
        <v>277</v>
      </c>
      <c r="AB56" s="17" t="s">
        <v>278</v>
      </c>
      <c r="AC56" s="17"/>
      <c r="AD56" s="18" t="s">
        <v>279</v>
      </c>
    </row>
    <row r="57" customFormat="false" ht="15" hidden="false" customHeight="false" outlineLevel="0" collapsed="false">
      <c r="U57" s="14" t="n">
        <v>55</v>
      </c>
      <c r="V57" s="15" t="s">
        <v>275</v>
      </c>
      <c r="W57" s="16" t="s">
        <v>276</v>
      </c>
      <c r="X57" s="16" t="s">
        <v>122</v>
      </c>
      <c r="Y57" s="16" t="s">
        <v>28</v>
      </c>
      <c r="Z57" s="16" t="n">
        <v>75001</v>
      </c>
      <c r="AA57" s="16" t="s">
        <v>280</v>
      </c>
      <c r="AB57" s="17" t="s">
        <v>281</v>
      </c>
      <c r="AC57" s="22"/>
      <c r="AD57" s="18" t="s">
        <v>282</v>
      </c>
    </row>
    <row r="58" customFormat="false" ht="15" hidden="false" customHeight="false" outlineLevel="0" collapsed="false">
      <c r="U58" s="14" t="n">
        <v>56</v>
      </c>
      <c r="V58" s="15" t="s">
        <v>283</v>
      </c>
      <c r="W58" s="16" t="s">
        <v>284</v>
      </c>
      <c r="X58" s="16" t="s">
        <v>122</v>
      </c>
      <c r="Y58" s="16" t="s">
        <v>28</v>
      </c>
      <c r="Z58" s="16" t="n">
        <v>75001</v>
      </c>
      <c r="AA58" s="16" t="s">
        <v>285</v>
      </c>
      <c r="AB58" s="17" t="s">
        <v>286</v>
      </c>
      <c r="AC58" s="22"/>
      <c r="AD58" s="18" t="s">
        <v>287</v>
      </c>
    </row>
    <row r="59" customFormat="false" ht="15" hidden="false" customHeight="false" outlineLevel="0" collapsed="false">
      <c r="U59" s="14" t="n">
        <v>57</v>
      </c>
      <c r="V59" s="15" t="s">
        <v>288</v>
      </c>
      <c r="W59" s="16" t="s">
        <v>289</v>
      </c>
      <c r="X59" s="16" t="s">
        <v>47</v>
      </c>
      <c r="Y59" s="16" t="s">
        <v>28</v>
      </c>
      <c r="Z59" s="16" t="n">
        <v>75206</v>
      </c>
      <c r="AA59" s="16" t="s">
        <v>290</v>
      </c>
      <c r="AB59" s="17" t="s">
        <v>291</v>
      </c>
      <c r="AC59" s="22"/>
      <c r="AD59" s="18" t="s">
        <v>292</v>
      </c>
    </row>
    <row r="60" customFormat="false" ht="15" hidden="false" customHeight="false" outlineLevel="0" collapsed="false">
      <c r="U60" s="14" t="n">
        <v>58</v>
      </c>
      <c r="V60" s="15" t="s">
        <v>293</v>
      </c>
      <c r="W60" s="16" t="s">
        <v>294</v>
      </c>
      <c r="X60" s="16" t="s">
        <v>295</v>
      </c>
      <c r="Y60" s="16" t="s">
        <v>296</v>
      </c>
      <c r="Z60" s="16" t="n">
        <v>33311</v>
      </c>
      <c r="AA60" s="16" t="s">
        <v>297</v>
      </c>
      <c r="AB60" s="17" t="s">
        <v>298</v>
      </c>
      <c r="AC60" s="22"/>
      <c r="AD60" s="18" t="s">
        <v>299</v>
      </c>
    </row>
    <row r="61" customFormat="false" ht="15" hidden="false" customHeight="false" outlineLevel="0" collapsed="false">
      <c r="U61" s="14" t="n">
        <v>59</v>
      </c>
      <c r="V61" s="15" t="s">
        <v>293</v>
      </c>
      <c r="W61" s="16" t="s">
        <v>294</v>
      </c>
      <c r="X61" s="16" t="s">
        <v>295</v>
      </c>
      <c r="Y61" s="16" t="s">
        <v>296</v>
      </c>
      <c r="Z61" s="16" t="n">
        <v>33311</v>
      </c>
      <c r="AA61" s="16" t="s">
        <v>300</v>
      </c>
      <c r="AB61" s="17" t="s">
        <v>301</v>
      </c>
      <c r="AC61" s="22"/>
      <c r="AD61" s="18" t="s">
        <v>302</v>
      </c>
    </row>
    <row r="62" customFormat="false" ht="15" hidden="false" customHeight="false" outlineLevel="0" collapsed="false">
      <c r="U62" s="14" t="n">
        <v>60</v>
      </c>
      <c r="V62" s="15" t="s">
        <v>303</v>
      </c>
      <c r="W62" s="16" t="s">
        <v>304</v>
      </c>
      <c r="X62" s="16" t="s">
        <v>201</v>
      </c>
      <c r="Y62" s="16" t="s">
        <v>28</v>
      </c>
      <c r="Z62" s="16" t="n">
        <v>76190</v>
      </c>
      <c r="AA62" s="16" t="s">
        <v>305</v>
      </c>
      <c r="AB62" s="17" t="s">
        <v>306</v>
      </c>
      <c r="AC62" s="22"/>
      <c r="AD62" s="18" t="s">
        <v>307</v>
      </c>
    </row>
    <row r="63" customFormat="false" ht="15" hidden="false" customHeight="false" outlineLevel="0" collapsed="false">
      <c r="U63" s="14" t="n">
        <v>61</v>
      </c>
      <c r="V63" s="15" t="s">
        <v>308</v>
      </c>
      <c r="W63" s="16" t="s">
        <v>309</v>
      </c>
      <c r="X63" s="16" t="s">
        <v>222</v>
      </c>
      <c r="Y63" s="16" t="s">
        <v>28</v>
      </c>
      <c r="Z63" s="16" t="n">
        <v>75081</v>
      </c>
      <c r="AA63" s="16" t="s">
        <v>310</v>
      </c>
      <c r="AB63" s="17" t="s">
        <v>311</v>
      </c>
      <c r="AC63" s="22"/>
      <c r="AD63" s="18" t="s">
        <v>312</v>
      </c>
    </row>
    <row r="64" customFormat="false" ht="15" hidden="false" customHeight="false" outlineLevel="0" collapsed="false">
      <c r="U64" s="14" t="n">
        <v>62</v>
      </c>
      <c r="V64" s="15" t="s">
        <v>313</v>
      </c>
      <c r="W64" s="16" t="s">
        <v>314</v>
      </c>
      <c r="X64" s="16" t="s">
        <v>188</v>
      </c>
      <c r="Y64" s="16" t="s">
        <v>28</v>
      </c>
      <c r="Z64" s="16" t="n">
        <v>78216</v>
      </c>
      <c r="AA64" s="16" t="s">
        <v>315</v>
      </c>
      <c r="AB64" s="17" t="s">
        <v>316</v>
      </c>
      <c r="AC64" s="22"/>
      <c r="AD64" s="18" t="s">
        <v>317</v>
      </c>
    </row>
    <row r="65" customFormat="false" ht="15" hidden="false" customHeight="false" outlineLevel="0" collapsed="false">
      <c r="U65" s="14" t="n">
        <v>63</v>
      </c>
      <c r="V65" s="15" t="s">
        <v>318</v>
      </c>
      <c r="W65" s="16" t="s">
        <v>319</v>
      </c>
      <c r="X65" s="16" t="s">
        <v>47</v>
      </c>
      <c r="Y65" s="16" t="s">
        <v>28</v>
      </c>
      <c r="Z65" s="16" t="n">
        <v>78747</v>
      </c>
      <c r="AA65" s="16" t="s">
        <v>320</v>
      </c>
      <c r="AB65" s="17" t="s">
        <v>321</v>
      </c>
      <c r="AC65" s="17"/>
      <c r="AD65" s="18" t="s">
        <v>322</v>
      </c>
    </row>
    <row r="66" customFormat="false" ht="15" hidden="false" customHeight="false" outlineLevel="0" collapsed="false">
      <c r="U66" s="14" t="n">
        <v>64</v>
      </c>
      <c r="V66" s="15" t="s">
        <v>318</v>
      </c>
      <c r="W66" s="16" t="s">
        <v>323</v>
      </c>
      <c r="X66" s="16" t="s">
        <v>47</v>
      </c>
      <c r="Y66" s="16" t="s">
        <v>28</v>
      </c>
      <c r="Z66" s="16" t="n">
        <v>78746</v>
      </c>
      <c r="AA66" s="16" t="s">
        <v>324</v>
      </c>
      <c r="AB66" s="17" t="s">
        <v>325</v>
      </c>
      <c r="AC66" s="17"/>
      <c r="AD66" s="18" t="s">
        <v>326</v>
      </c>
    </row>
    <row r="67" customFormat="false" ht="15" hidden="false" customHeight="false" outlineLevel="0" collapsed="false">
      <c r="U67" s="14" t="n">
        <v>65</v>
      </c>
      <c r="V67" s="15" t="s">
        <v>318</v>
      </c>
      <c r="W67" s="16" t="s">
        <v>323</v>
      </c>
      <c r="X67" s="16" t="s">
        <v>47</v>
      </c>
      <c r="Y67" s="16" t="s">
        <v>28</v>
      </c>
      <c r="Z67" s="16" t="n">
        <v>78746</v>
      </c>
      <c r="AA67" s="16" t="s">
        <v>327</v>
      </c>
      <c r="AB67" s="17" t="s">
        <v>328</v>
      </c>
      <c r="AC67" s="22"/>
      <c r="AD67" s="18" t="s">
        <v>329</v>
      </c>
    </row>
    <row r="68" customFormat="false" ht="15" hidden="false" customHeight="false" outlineLevel="0" collapsed="false">
      <c r="U68" s="14" t="n">
        <v>66</v>
      </c>
      <c r="V68" s="15" t="s">
        <v>330</v>
      </c>
      <c r="W68" s="16" t="s">
        <v>331</v>
      </c>
      <c r="X68" s="16" t="s">
        <v>47</v>
      </c>
      <c r="Y68" s="16" t="s">
        <v>28</v>
      </c>
      <c r="Z68" s="16" t="n">
        <v>75231</v>
      </c>
      <c r="AA68" s="16" t="s">
        <v>332</v>
      </c>
      <c r="AB68" s="17" t="s">
        <v>333</v>
      </c>
      <c r="AC68" s="17"/>
      <c r="AD68" s="18" t="s">
        <v>334</v>
      </c>
    </row>
    <row r="69" customFormat="false" ht="15" hidden="false" customHeight="false" outlineLevel="0" collapsed="false">
      <c r="U69" s="14" t="n">
        <v>67</v>
      </c>
      <c r="V69" s="15" t="s">
        <v>330</v>
      </c>
      <c r="W69" s="16" t="s">
        <v>331</v>
      </c>
      <c r="X69" s="16" t="s">
        <v>47</v>
      </c>
      <c r="Y69" s="16" t="s">
        <v>28</v>
      </c>
      <c r="Z69" s="16" t="n">
        <v>75231</v>
      </c>
      <c r="AA69" s="16" t="s">
        <v>335</v>
      </c>
      <c r="AB69" s="17" t="s">
        <v>336</v>
      </c>
      <c r="AC69" s="22"/>
      <c r="AD69" s="18" t="s">
        <v>337</v>
      </c>
    </row>
    <row r="70" customFormat="false" ht="15" hidden="false" customHeight="false" outlineLevel="0" collapsed="false">
      <c r="U70" s="14" t="n">
        <v>68</v>
      </c>
      <c r="V70" s="15" t="s">
        <v>330</v>
      </c>
      <c r="W70" s="16" t="s">
        <v>331</v>
      </c>
      <c r="X70" s="16" t="s">
        <v>47</v>
      </c>
      <c r="Y70" s="16" t="s">
        <v>28</v>
      </c>
      <c r="Z70" s="16" t="n">
        <v>75231</v>
      </c>
      <c r="AA70" s="16" t="s">
        <v>338</v>
      </c>
      <c r="AB70" s="17" t="s">
        <v>339</v>
      </c>
      <c r="AC70" s="22"/>
      <c r="AD70" s="18" t="s">
        <v>340</v>
      </c>
    </row>
    <row r="71" customFormat="false" ht="15" hidden="false" customHeight="false" outlineLevel="0" collapsed="false">
      <c r="U71" s="14" t="n">
        <v>69</v>
      </c>
      <c r="V71" s="15" t="s">
        <v>330</v>
      </c>
      <c r="W71" s="16" t="s">
        <v>331</v>
      </c>
      <c r="X71" s="16" t="s">
        <v>47</v>
      </c>
      <c r="Y71" s="16" t="s">
        <v>28</v>
      </c>
      <c r="Z71" s="16" t="n">
        <v>75231</v>
      </c>
      <c r="AA71" s="16" t="s">
        <v>341</v>
      </c>
      <c r="AB71" s="17" t="s">
        <v>342</v>
      </c>
      <c r="AC71" s="22"/>
      <c r="AD71" s="18" t="s">
        <v>343</v>
      </c>
    </row>
    <row r="72" customFormat="false" ht="15" hidden="false" customHeight="false" outlineLevel="0" collapsed="false">
      <c r="U72" s="14" t="n">
        <v>70</v>
      </c>
      <c r="V72" s="15" t="s">
        <v>330</v>
      </c>
      <c r="W72" s="16" t="s">
        <v>331</v>
      </c>
      <c r="X72" s="16" t="s">
        <v>47</v>
      </c>
      <c r="Y72" s="16" t="s">
        <v>28</v>
      </c>
      <c r="Z72" s="16" t="n">
        <v>75231</v>
      </c>
      <c r="AA72" s="16" t="s">
        <v>344</v>
      </c>
      <c r="AB72" s="17" t="s">
        <v>345</v>
      </c>
      <c r="AC72" s="22"/>
      <c r="AD72" s="18" t="s">
        <v>346</v>
      </c>
    </row>
    <row r="73" customFormat="false" ht="15" hidden="false" customHeight="false" outlineLevel="0" collapsed="false">
      <c r="U73" s="14" t="n">
        <v>71</v>
      </c>
      <c r="V73" s="15" t="s">
        <v>347</v>
      </c>
      <c r="W73" s="16" t="s">
        <v>348</v>
      </c>
      <c r="X73" s="16" t="s">
        <v>349</v>
      </c>
      <c r="Y73" s="16" t="s">
        <v>28</v>
      </c>
      <c r="Z73" s="16" t="n">
        <v>76051</v>
      </c>
      <c r="AA73" s="16" t="s">
        <v>350</v>
      </c>
      <c r="AB73" s="17" t="s">
        <v>351</v>
      </c>
      <c r="AC73" s="17"/>
      <c r="AD73" s="53" t="s">
        <v>352</v>
      </c>
    </row>
    <row r="74" customFormat="false" ht="15" hidden="false" customHeight="false" outlineLevel="0" collapsed="false">
      <c r="U74" s="14" t="n">
        <v>72</v>
      </c>
      <c r="V74" s="15" t="s">
        <v>347</v>
      </c>
      <c r="W74" s="16" t="s">
        <v>348</v>
      </c>
      <c r="X74" s="16" t="s">
        <v>349</v>
      </c>
      <c r="Y74" s="16" t="s">
        <v>28</v>
      </c>
      <c r="Z74" s="16" t="n">
        <v>76051</v>
      </c>
      <c r="AA74" s="16" t="s">
        <v>353</v>
      </c>
      <c r="AB74" s="17" t="s">
        <v>351</v>
      </c>
      <c r="AC74" s="17"/>
      <c r="AD74" s="18" t="s">
        <v>354</v>
      </c>
    </row>
    <row r="75" customFormat="false" ht="15" hidden="false" customHeight="false" outlineLevel="0" collapsed="false">
      <c r="U75" s="14" t="n">
        <v>73</v>
      </c>
      <c r="V75" s="15" t="s">
        <v>347</v>
      </c>
      <c r="W75" s="16" t="s">
        <v>348</v>
      </c>
      <c r="X75" s="16" t="s">
        <v>349</v>
      </c>
      <c r="Y75" s="16" t="s">
        <v>28</v>
      </c>
      <c r="Z75" s="16" t="n">
        <v>76051</v>
      </c>
      <c r="AA75" s="16" t="s">
        <v>355</v>
      </c>
      <c r="AB75" s="17" t="s">
        <v>351</v>
      </c>
      <c r="AC75" s="22"/>
      <c r="AD75" s="18" t="s">
        <v>356</v>
      </c>
    </row>
    <row r="76" customFormat="false" ht="15" hidden="false" customHeight="false" outlineLevel="0" collapsed="false">
      <c r="U76" s="14" t="n">
        <v>74</v>
      </c>
      <c r="V76" s="15" t="s">
        <v>357</v>
      </c>
      <c r="W76" s="16" t="s">
        <v>358</v>
      </c>
      <c r="X76" s="16" t="s">
        <v>122</v>
      </c>
      <c r="Y76" s="16" t="s">
        <v>28</v>
      </c>
      <c r="Z76" s="16" t="n">
        <v>75001</v>
      </c>
      <c r="AA76" s="16" t="s">
        <v>359</v>
      </c>
      <c r="AB76" s="17" t="s">
        <v>360</v>
      </c>
      <c r="AC76" s="22"/>
      <c r="AD76" s="18" t="s">
        <v>361</v>
      </c>
    </row>
    <row r="77" customFormat="false" ht="15" hidden="false" customHeight="false" outlineLevel="0" collapsed="false">
      <c r="U77" s="14" t="n">
        <v>75</v>
      </c>
      <c r="V77" s="15" t="s">
        <v>362</v>
      </c>
      <c r="W77" s="16" t="s">
        <v>363</v>
      </c>
      <c r="X77" s="16" t="s">
        <v>47</v>
      </c>
      <c r="Y77" s="16" t="s">
        <v>28</v>
      </c>
      <c r="Z77" s="16" t="n">
        <v>75254</v>
      </c>
      <c r="AA77" s="16" t="s">
        <v>364</v>
      </c>
      <c r="AB77" s="17" t="s">
        <v>365</v>
      </c>
      <c r="AC77" s="22"/>
      <c r="AD77" s="18" t="s">
        <v>366</v>
      </c>
    </row>
    <row r="78" customFormat="false" ht="15" hidden="false" customHeight="false" outlineLevel="0" collapsed="false">
      <c r="U78" s="14" t="n">
        <v>76</v>
      </c>
      <c r="V78" s="15" t="s">
        <v>362</v>
      </c>
      <c r="W78" s="16" t="s">
        <v>363</v>
      </c>
      <c r="X78" s="16" t="s">
        <v>47</v>
      </c>
      <c r="Y78" s="16" t="s">
        <v>28</v>
      </c>
      <c r="Z78" s="16" t="n">
        <v>75254</v>
      </c>
      <c r="AA78" s="16" t="s">
        <v>367</v>
      </c>
      <c r="AB78" s="17" t="s">
        <v>368</v>
      </c>
      <c r="AC78" s="22"/>
      <c r="AD78" s="18" t="s">
        <v>369</v>
      </c>
    </row>
    <row r="79" customFormat="false" ht="15" hidden="false" customHeight="false" outlineLevel="0" collapsed="false">
      <c r="U79" s="14" t="n">
        <v>77</v>
      </c>
      <c r="V79" s="15" t="s">
        <v>362</v>
      </c>
      <c r="W79" s="16" t="s">
        <v>363</v>
      </c>
      <c r="X79" s="16" t="s">
        <v>47</v>
      </c>
      <c r="Y79" s="16" t="s">
        <v>28</v>
      </c>
      <c r="Z79" s="16" t="n">
        <v>75254</v>
      </c>
      <c r="AA79" s="16" t="s">
        <v>370</v>
      </c>
      <c r="AB79" s="17" t="s">
        <v>371</v>
      </c>
      <c r="AC79" s="22"/>
      <c r="AD79" s="18" t="s">
        <v>372</v>
      </c>
    </row>
    <row r="80" customFormat="false" ht="15" hidden="false" customHeight="false" outlineLevel="0" collapsed="false">
      <c r="U80" s="14" t="n">
        <v>78</v>
      </c>
      <c r="V80" s="15" t="s">
        <v>373</v>
      </c>
      <c r="W80" s="16" t="s">
        <v>374</v>
      </c>
      <c r="X80" s="16" t="s">
        <v>180</v>
      </c>
      <c r="Y80" s="16" t="s">
        <v>28</v>
      </c>
      <c r="Z80" s="16" t="n">
        <v>75038</v>
      </c>
      <c r="AA80" s="16" t="s">
        <v>375</v>
      </c>
      <c r="AB80" s="17" t="s">
        <v>376</v>
      </c>
      <c r="AC80" s="22"/>
      <c r="AD80" s="18" t="s">
        <v>377</v>
      </c>
    </row>
    <row r="81" customFormat="false" ht="15" hidden="false" customHeight="false" outlineLevel="0" collapsed="false">
      <c r="U81" s="14" t="n">
        <v>79</v>
      </c>
      <c r="V81" s="15" t="s">
        <v>373</v>
      </c>
      <c r="W81" s="16" t="s">
        <v>374</v>
      </c>
      <c r="X81" s="16" t="s">
        <v>180</v>
      </c>
      <c r="Y81" s="16" t="s">
        <v>28</v>
      </c>
      <c r="Z81" s="16" t="n">
        <v>75038</v>
      </c>
      <c r="AA81" s="16" t="s">
        <v>378</v>
      </c>
      <c r="AB81" s="17"/>
      <c r="AC81" s="22"/>
      <c r="AD81" s="18" t="s">
        <v>379</v>
      </c>
    </row>
    <row r="82" customFormat="false" ht="15" hidden="false" customHeight="false" outlineLevel="0" collapsed="false">
      <c r="U82" s="14" t="n">
        <v>80</v>
      </c>
      <c r="V82" s="15" t="s">
        <v>373</v>
      </c>
      <c r="W82" s="16" t="s">
        <v>374</v>
      </c>
      <c r="X82" s="16" t="s">
        <v>180</v>
      </c>
      <c r="Y82" s="16" t="s">
        <v>28</v>
      </c>
      <c r="Z82" s="16" t="n">
        <v>75038</v>
      </c>
      <c r="AA82" s="16" t="s">
        <v>380</v>
      </c>
      <c r="AB82" s="17"/>
      <c r="AC82" s="22"/>
      <c r="AD82" s="18" t="s">
        <v>381</v>
      </c>
    </row>
    <row r="83" customFormat="false" ht="15" hidden="false" customHeight="false" outlineLevel="0" collapsed="false">
      <c r="U83" s="14" t="n">
        <v>81</v>
      </c>
      <c r="V83" s="15" t="s">
        <v>382</v>
      </c>
      <c r="W83" s="16" t="s">
        <v>383</v>
      </c>
      <c r="X83" s="16" t="s">
        <v>47</v>
      </c>
      <c r="Y83" s="16" t="s">
        <v>28</v>
      </c>
      <c r="Z83" s="16" t="n">
        <v>75206</v>
      </c>
      <c r="AA83" s="16" t="s">
        <v>367</v>
      </c>
      <c r="AB83" s="17" t="s">
        <v>368</v>
      </c>
      <c r="AC83" s="22"/>
      <c r="AD83" s="18" t="s">
        <v>369</v>
      </c>
    </row>
    <row r="84" customFormat="false" ht="15" hidden="false" customHeight="false" outlineLevel="0" collapsed="false">
      <c r="U84" s="14" t="n">
        <v>82</v>
      </c>
      <c r="V84" s="15" t="s">
        <v>384</v>
      </c>
      <c r="W84" s="16" t="s">
        <v>385</v>
      </c>
      <c r="X84" s="16" t="s">
        <v>386</v>
      </c>
      <c r="Y84" s="16" t="s">
        <v>28</v>
      </c>
      <c r="Z84" s="16" t="n">
        <v>75075</v>
      </c>
      <c r="AA84" s="16" t="s">
        <v>387</v>
      </c>
      <c r="AB84" s="17" t="s">
        <v>388</v>
      </c>
      <c r="AC84" s="17"/>
      <c r="AD84" s="18" t="s">
        <v>389</v>
      </c>
    </row>
    <row r="85" customFormat="false" ht="15" hidden="false" customHeight="false" outlineLevel="0" collapsed="false">
      <c r="U85" s="14" t="n">
        <v>83</v>
      </c>
      <c r="V85" s="15" t="s">
        <v>390</v>
      </c>
      <c r="W85" s="16" t="s">
        <v>391</v>
      </c>
      <c r="X85" s="16" t="s">
        <v>392</v>
      </c>
      <c r="Y85" s="16" t="s">
        <v>28</v>
      </c>
      <c r="Z85" s="16" t="n">
        <v>76542</v>
      </c>
      <c r="AA85" s="16" t="s">
        <v>393</v>
      </c>
      <c r="AB85" s="17"/>
      <c r="AC85" s="22"/>
      <c r="AD85" s="18" t="s">
        <v>394</v>
      </c>
    </row>
    <row r="86" customFormat="false" ht="15" hidden="false" customHeight="false" outlineLevel="0" collapsed="false">
      <c r="U86" s="14" t="n">
        <v>84</v>
      </c>
      <c r="V86" s="15" t="s">
        <v>395</v>
      </c>
      <c r="W86" s="16" t="s">
        <v>396</v>
      </c>
      <c r="X86" s="16" t="s">
        <v>106</v>
      </c>
      <c r="Y86" s="16" t="s">
        <v>28</v>
      </c>
      <c r="Z86" s="16" t="n">
        <v>78745</v>
      </c>
      <c r="AA86" s="16" t="s">
        <v>238</v>
      </c>
      <c r="AB86" s="17"/>
      <c r="AC86" s="22"/>
      <c r="AD86" s="18" t="s">
        <v>397</v>
      </c>
    </row>
    <row r="87" customFormat="false" ht="15" hidden="false" customHeight="false" outlineLevel="0" collapsed="false">
      <c r="U87" s="14" t="n">
        <v>85</v>
      </c>
      <c r="V87" s="15" t="s">
        <v>398</v>
      </c>
      <c r="W87" s="16" t="s">
        <v>399</v>
      </c>
      <c r="X87" s="16" t="s">
        <v>142</v>
      </c>
      <c r="Y87" s="16" t="s">
        <v>28</v>
      </c>
      <c r="Z87" s="16" t="n">
        <v>75238</v>
      </c>
      <c r="AA87" s="16" t="s">
        <v>400</v>
      </c>
      <c r="AB87" s="17" t="s">
        <v>401</v>
      </c>
      <c r="AC87" s="22"/>
      <c r="AD87" s="18" t="s">
        <v>402</v>
      </c>
    </row>
    <row r="88" customFormat="false" ht="15" hidden="false" customHeight="false" outlineLevel="0" collapsed="false">
      <c r="U88" s="14" t="n">
        <v>86</v>
      </c>
      <c r="V88" s="15" t="s">
        <v>398</v>
      </c>
      <c r="W88" s="16" t="s">
        <v>399</v>
      </c>
      <c r="X88" s="16" t="s">
        <v>142</v>
      </c>
      <c r="Y88" s="16" t="s">
        <v>28</v>
      </c>
      <c r="Z88" s="16" t="n">
        <v>75238</v>
      </c>
      <c r="AA88" s="16" t="s">
        <v>403</v>
      </c>
      <c r="AB88" s="17" t="s">
        <v>401</v>
      </c>
      <c r="AC88" s="22"/>
      <c r="AD88" s="18" t="s">
        <v>404</v>
      </c>
    </row>
    <row r="89" customFormat="false" ht="15" hidden="false" customHeight="false" outlineLevel="0" collapsed="false">
      <c r="U89" s="14" t="n">
        <v>87</v>
      </c>
      <c r="V89" s="15" t="s">
        <v>405</v>
      </c>
      <c r="W89" s="16" t="s">
        <v>406</v>
      </c>
      <c r="X89" s="16" t="s">
        <v>47</v>
      </c>
      <c r="Y89" s="16" t="s">
        <v>28</v>
      </c>
      <c r="Z89" s="16" t="n">
        <v>75204</v>
      </c>
      <c r="AA89" s="16" t="s">
        <v>407</v>
      </c>
      <c r="AB89" s="17" t="s">
        <v>408</v>
      </c>
      <c r="AC89" s="17"/>
      <c r="AD89" s="18" t="s">
        <v>409</v>
      </c>
    </row>
    <row r="90" customFormat="false" ht="15" hidden="false" customHeight="false" outlineLevel="0" collapsed="false">
      <c r="U90" s="14" t="n">
        <v>88</v>
      </c>
      <c r="V90" s="15" t="s">
        <v>410</v>
      </c>
      <c r="W90" s="16" t="s">
        <v>411</v>
      </c>
      <c r="X90" s="16" t="s">
        <v>112</v>
      </c>
      <c r="Y90" s="16" t="s">
        <v>28</v>
      </c>
      <c r="Z90" s="16" t="n">
        <v>77024</v>
      </c>
      <c r="AA90" s="16" t="s">
        <v>412</v>
      </c>
      <c r="AB90" s="17" t="s">
        <v>413</v>
      </c>
      <c r="AC90" s="22"/>
      <c r="AD90" s="18" t="s">
        <v>414</v>
      </c>
    </row>
    <row r="91" customFormat="false" ht="15" hidden="false" customHeight="false" outlineLevel="0" collapsed="false">
      <c r="U91" s="14" t="n">
        <v>89</v>
      </c>
      <c r="V91" s="15" t="s">
        <v>410</v>
      </c>
      <c r="W91" s="16" t="s">
        <v>411</v>
      </c>
      <c r="X91" s="16" t="s">
        <v>112</v>
      </c>
      <c r="Y91" s="16" t="s">
        <v>28</v>
      </c>
      <c r="Z91" s="16" t="n">
        <v>77024</v>
      </c>
      <c r="AA91" s="16" t="s">
        <v>415</v>
      </c>
      <c r="AB91" s="17" t="s">
        <v>413</v>
      </c>
      <c r="AC91" s="22"/>
      <c r="AD91" s="18" t="s">
        <v>416</v>
      </c>
    </row>
    <row r="92" customFormat="false" ht="15" hidden="false" customHeight="false" outlineLevel="0" collapsed="false">
      <c r="U92" s="14" t="n">
        <v>90</v>
      </c>
      <c r="V92" s="15" t="s">
        <v>410</v>
      </c>
      <c r="W92" s="16" t="s">
        <v>411</v>
      </c>
      <c r="X92" s="16" t="s">
        <v>112</v>
      </c>
      <c r="Y92" s="16" t="s">
        <v>28</v>
      </c>
      <c r="Z92" s="16" t="n">
        <v>77024</v>
      </c>
      <c r="AA92" s="16" t="s">
        <v>417</v>
      </c>
      <c r="AB92" s="17" t="s">
        <v>413</v>
      </c>
      <c r="AC92" s="22"/>
      <c r="AD92" s="18" t="s">
        <v>418</v>
      </c>
    </row>
    <row r="93" customFormat="false" ht="15" hidden="false" customHeight="false" outlineLevel="0" collapsed="false">
      <c r="U93" s="14" t="n">
        <v>91</v>
      </c>
      <c r="V93" s="15" t="s">
        <v>410</v>
      </c>
      <c r="W93" s="16" t="s">
        <v>411</v>
      </c>
      <c r="X93" s="16" t="s">
        <v>112</v>
      </c>
      <c r="Y93" s="16" t="s">
        <v>28</v>
      </c>
      <c r="Z93" s="16" t="n">
        <v>77024</v>
      </c>
      <c r="AA93" s="16" t="s">
        <v>419</v>
      </c>
      <c r="AB93" s="17" t="s">
        <v>413</v>
      </c>
      <c r="AC93" s="22"/>
      <c r="AD93" s="18" t="s">
        <v>420</v>
      </c>
    </row>
    <row r="94" customFormat="false" ht="15" hidden="false" customHeight="false" outlineLevel="0" collapsed="false">
      <c r="U94" s="14" t="n">
        <v>92</v>
      </c>
      <c r="V94" s="15" t="s">
        <v>421</v>
      </c>
      <c r="W94" s="16" t="s">
        <v>422</v>
      </c>
      <c r="X94" s="16" t="s">
        <v>142</v>
      </c>
      <c r="Y94" s="16" t="s">
        <v>28</v>
      </c>
      <c r="Z94" s="16" t="n">
        <v>75225</v>
      </c>
      <c r="AA94" s="16" t="s">
        <v>423</v>
      </c>
      <c r="AB94" s="17" t="s">
        <v>424</v>
      </c>
      <c r="AC94" s="22"/>
      <c r="AD94" s="18" t="s">
        <v>425</v>
      </c>
    </row>
    <row r="95" customFormat="false" ht="15" hidden="false" customHeight="false" outlineLevel="0" collapsed="false">
      <c r="U95" s="14" t="n">
        <v>93</v>
      </c>
      <c r="V95" s="15" t="s">
        <v>426</v>
      </c>
      <c r="W95" s="16" t="s">
        <v>427</v>
      </c>
      <c r="X95" s="16" t="s">
        <v>428</v>
      </c>
      <c r="Y95" s="16" t="s">
        <v>28</v>
      </c>
      <c r="Z95" s="16" t="n">
        <v>75081</v>
      </c>
      <c r="AA95" s="16" t="s">
        <v>429</v>
      </c>
      <c r="AB95" s="17" t="s">
        <v>430</v>
      </c>
      <c r="AC95" s="22"/>
      <c r="AD95" s="18" t="s">
        <v>431</v>
      </c>
    </row>
    <row r="96" customFormat="false" ht="15" hidden="false" customHeight="false" outlineLevel="0" collapsed="false">
      <c r="U96" s="14" t="n">
        <v>94</v>
      </c>
      <c r="V96" s="15" t="s">
        <v>426</v>
      </c>
      <c r="W96" s="16" t="s">
        <v>427</v>
      </c>
      <c r="X96" s="16" t="s">
        <v>428</v>
      </c>
      <c r="Y96" s="16" t="s">
        <v>28</v>
      </c>
      <c r="Z96" s="16" t="n">
        <v>75081</v>
      </c>
      <c r="AA96" s="16" t="s">
        <v>432</v>
      </c>
      <c r="AB96" s="17" t="s">
        <v>433</v>
      </c>
      <c r="AC96" s="22"/>
      <c r="AD96" s="18" t="s">
        <v>434</v>
      </c>
    </row>
    <row r="97" customFormat="false" ht="15" hidden="false" customHeight="false" outlineLevel="0" collapsed="false">
      <c r="U97" s="14" t="n">
        <v>95</v>
      </c>
      <c r="V97" s="15" t="s">
        <v>435</v>
      </c>
      <c r="W97" s="16" t="s">
        <v>436</v>
      </c>
      <c r="X97" s="16" t="s">
        <v>159</v>
      </c>
      <c r="Y97" s="16" t="s">
        <v>28</v>
      </c>
      <c r="Z97" s="16" t="n">
        <v>75087</v>
      </c>
      <c r="AA97" s="16" t="s">
        <v>437</v>
      </c>
      <c r="AB97" s="17" t="s">
        <v>438</v>
      </c>
      <c r="AC97" s="22"/>
      <c r="AD97" s="18" t="s">
        <v>439</v>
      </c>
    </row>
    <row r="98" customFormat="false" ht="15" hidden="false" customHeight="false" outlineLevel="0" collapsed="false">
      <c r="U98" s="14" t="n">
        <v>96</v>
      </c>
      <c r="V98" s="15" t="s">
        <v>440</v>
      </c>
      <c r="W98" s="16" t="s">
        <v>441</v>
      </c>
      <c r="X98" s="16" t="s">
        <v>47</v>
      </c>
      <c r="Y98" s="16" t="s">
        <v>28</v>
      </c>
      <c r="Z98" s="16" t="n">
        <v>75201</v>
      </c>
      <c r="AA98" s="16" t="s">
        <v>442</v>
      </c>
      <c r="AB98" s="17" t="s">
        <v>443</v>
      </c>
      <c r="AC98" s="22"/>
      <c r="AD98" s="18" t="s">
        <v>444</v>
      </c>
    </row>
    <row r="99" customFormat="false" ht="15" hidden="false" customHeight="false" outlineLevel="0" collapsed="false">
      <c r="U99" s="14" t="n">
        <v>97</v>
      </c>
      <c r="V99" s="15" t="s">
        <v>440</v>
      </c>
      <c r="W99" s="16" t="s">
        <v>441</v>
      </c>
      <c r="X99" s="16" t="s">
        <v>47</v>
      </c>
      <c r="Y99" s="16" t="s">
        <v>28</v>
      </c>
      <c r="Z99" s="16" t="n">
        <v>75201</v>
      </c>
      <c r="AA99" s="16" t="s">
        <v>445</v>
      </c>
      <c r="AB99" s="17" t="s">
        <v>443</v>
      </c>
      <c r="AC99" s="22"/>
      <c r="AD99" s="18" t="s">
        <v>446</v>
      </c>
    </row>
    <row r="100" customFormat="false" ht="15" hidden="false" customHeight="false" outlineLevel="0" collapsed="false">
      <c r="U100" s="14" t="n">
        <v>98</v>
      </c>
      <c r="V100" s="15" t="s">
        <v>447</v>
      </c>
      <c r="W100" s="16" t="s">
        <v>448</v>
      </c>
      <c r="X100" s="16" t="s">
        <v>47</v>
      </c>
      <c r="Y100" s="16" t="s">
        <v>28</v>
      </c>
      <c r="Z100" s="16" t="n">
        <v>75252</v>
      </c>
      <c r="AA100" s="16" t="s">
        <v>449</v>
      </c>
      <c r="AB100" s="17" t="s">
        <v>450</v>
      </c>
      <c r="AC100" s="17"/>
      <c r="AD100" s="18" t="s">
        <v>451</v>
      </c>
    </row>
    <row r="101" customFormat="false" ht="15" hidden="false" customHeight="false" outlineLevel="0" collapsed="false">
      <c r="U101" s="14" t="n">
        <v>99</v>
      </c>
      <c r="V101" s="15" t="s">
        <v>447</v>
      </c>
      <c r="W101" s="16" t="s">
        <v>448</v>
      </c>
      <c r="X101" s="16" t="s">
        <v>47</v>
      </c>
      <c r="Y101" s="16" t="s">
        <v>28</v>
      </c>
      <c r="Z101" s="16" t="n">
        <v>75252</v>
      </c>
      <c r="AA101" s="16" t="s">
        <v>452</v>
      </c>
      <c r="AB101" s="17" t="s">
        <v>453</v>
      </c>
      <c r="AC101" s="22"/>
      <c r="AD101" s="18" t="s">
        <v>454</v>
      </c>
    </row>
    <row r="102" customFormat="false" ht="15" hidden="false" customHeight="false" outlineLevel="0" collapsed="false">
      <c r="U102" s="14" t="n">
        <v>100</v>
      </c>
      <c r="V102" s="15" t="s">
        <v>455</v>
      </c>
      <c r="W102" s="16" t="s">
        <v>456</v>
      </c>
      <c r="X102" s="16" t="s">
        <v>457</v>
      </c>
      <c r="Y102" s="16" t="s">
        <v>28</v>
      </c>
      <c r="Z102" s="16" t="n">
        <v>75302</v>
      </c>
      <c r="AA102" s="16" t="s">
        <v>458</v>
      </c>
      <c r="AB102" s="17" t="s">
        <v>459</v>
      </c>
      <c r="AC102" s="17"/>
      <c r="AD102" s="18" t="s">
        <v>460</v>
      </c>
    </row>
    <row r="103" customFormat="false" ht="15" hidden="false" customHeight="false" outlineLevel="0" collapsed="false">
      <c r="U103" s="14" t="n">
        <v>101</v>
      </c>
      <c r="V103" s="15" t="s">
        <v>455</v>
      </c>
      <c r="W103" s="16" t="s">
        <v>456</v>
      </c>
      <c r="X103" s="16" t="s">
        <v>457</v>
      </c>
      <c r="Y103" s="16" t="s">
        <v>28</v>
      </c>
      <c r="Z103" s="16" t="n">
        <v>75302</v>
      </c>
      <c r="AA103" s="16" t="s">
        <v>461</v>
      </c>
      <c r="AB103" s="17"/>
      <c r="AC103" s="17"/>
      <c r="AD103" s="18" t="s">
        <v>462</v>
      </c>
    </row>
    <row r="104" customFormat="false" ht="15" hidden="false" customHeight="false" outlineLevel="0" collapsed="false">
      <c r="U104" s="14" t="n">
        <v>102</v>
      </c>
      <c r="V104" s="15" t="s">
        <v>455</v>
      </c>
      <c r="W104" s="16" t="s">
        <v>456</v>
      </c>
      <c r="X104" s="16" t="s">
        <v>457</v>
      </c>
      <c r="Y104" s="16" t="s">
        <v>28</v>
      </c>
      <c r="Z104" s="16" t="n">
        <v>75302</v>
      </c>
      <c r="AA104" s="16" t="s">
        <v>463</v>
      </c>
      <c r="AB104" s="17" t="s">
        <v>464</v>
      </c>
      <c r="AC104" s="22"/>
      <c r="AD104" s="18" t="s">
        <v>465</v>
      </c>
    </row>
    <row r="105" customFormat="false" ht="15" hidden="false" customHeight="false" outlineLevel="0" collapsed="false">
      <c r="U105" s="14" t="n">
        <v>103</v>
      </c>
      <c r="V105" s="15" t="s">
        <v>455</v>
      </c>
      <c r="W105" s="16" t="s">
        <v>456</v>
      </c>
      <c r="X105" s="16" t="s">
        <v>457</v>
      </c>
      <c r="Y105" s="16" t="s">
        <v>28</v>
      </c>
      <c r="Z105" s="16" t="n">
        <v>75302</v>
      </c>
      <c r="AA105" s="16" t="s">
        <v>466</v>
      </c>
      <c r="AB105" s="17" t="s">
        <v>467</v>
      </c>
      <c r="AC105" s="22"/>
      <c r="AD105" s="18" t="s">
        <v>468</v>
      </c>
    </row>
    <row r="106" customFormat="false" ht="15" hidden="false" customHeight="false" outlineLevel="0" collapsed="false">
      <c r="U106" s="14" t="n">
        <v>104</v>
      </c>
      <c r="V106" s="15" t="s">
        <v>455</v>
      </c>
      <c r="W106" s="16" t="s">
        <v>456</v>
      </c>
      <c r="X106" s="16" t="s">
        <v>457</v>
      </c>
      <c r="Y106" s="16" t="s">
        <v>28</v>
      </c>
      <c r="Z106" s="16" t="n">
        <v>75302</v>
      </c>
      <c r="AA106" s="16" t="s">
        <v>469</v>
      </c>
      <c r="AB106" s="17" t="s">
        <v>470</v>
      </c>
      <c r="AC106" s="22"/>
      <c r="AD106" s="18" t="s">
        <v>471</v>
      </c>
    </row>
    <row r="107" customFormat="false" ht="15" hidden="false" customHeight="false" outlineLevel="0" collapsed="false">
      <c r="U107" s="14" t="n">
        <v>105</v>
      </c>
      <c r="V107" s="15" t="s">
        <v>472</v>
      </c>
      <c r="W107" s="16" t="s">
        <v>473</v>
      </c>
      <c r="X107" s="16" t="s">
        <v>47</v>
      </c>
      <c r="Y107" s="16" t="s">
        <v>28</v>
      </c>
      <c r="Z107" s="16" t="n">
        <v>85057</v>
      </c>
      <c r="AA107" s="16" t="s">
        <v>474</v>
      </c>
      <c r="AB107" s="17" t="s">
        <v>475</v>
      </c>
      <c r="AC107" s="22"/>
      <c r="AD107" s="18" t="s">
        <v>476</v>
      </c>
    </row>
    <row r="108" customFormat="false" ht="15" hidden="false" customHeight="false" outlineLevel="0" collapsed="false">
      <c r="U108" s="14" t="n">
        <v>106</v>
      </c>
      <c r="V108" s="15" t="s">
        <v>472</v>
      </c>
      <c r="W108" s="16" t="s">
        <v>473</v>
      </c>
      <c r="X108" s="16" t="s">
        <v>47</v>
      </c>
      <c r="Y108" s="16" t="s">
        <v>28</v>
      </c>
      <c r="Z108" s="16" t="n">
        <v>85057</v>
      </c>
      <c r="AA108" s="16" t="s">
        <v>477</v>
      </c>
      <c r="AB108" s="17"/>
      <c r="AC108" s="22"/>
      <c r="AD108" s="18" t="s">
        <v>478</v>
      </c>
    </row>
    <row r="109" customFormat="false" ht="15" hidden="false" customHeight="false" outlineLevel="0" collapsed="false">
      <c r="U109" s="14" t="n">
        <v>107</v>
      </c>
      <c r="V109" s="15" t="s">
        <v>479</v>
      </c>
      <c r="W109" s="16" t="s">
        <v>480</v>
      </c>
      <c r="X109" s="16" t="s">
        <v>47</v>
      </c>
      <c r="Y109" s="16" t="s">
        <v>28</v>
      </c>
      <c r="Z109" s="16" t="n">
        <v>75230</v>
      </c>
      <c r="AA109" s="16" t="s">
        <v>481</v>
      </c>
      <c r="AB109" s="17" t="s">
        <v>482</v>
      </c>
      <c r="AC109" s="17"/>
      <c r="AD109" s="18" t="s">
        <v>483</v>
      </c>
    </row>
    <row r="110" customFormat="false" ht="15" hidden="false" customHeight="false" outlineLevel="0" collapsed="false">
      <c r="U110" s="14" t="n">
        <v>108</v>
      </c>
      <c r="V110" s="15" t="s">
        <v>479</v>
      </c>
      <c r="W110" s="16" t="s">
        <v>480</v>
      </c>
      <c r="X110" s="16" t="s">
        <v>47</v>
      </c>
      <c r="Y110" s="16" t="s">
        <v>28</v>
      </c>
      <c r="Z110" s="16" t="n">
        <v>75230</v>
      </c>
      <c r="AA110" s="16" t="s">
        <v>484</v>
      </c>
      <c r="AB110" s="17" t="s">
        <v>485</v>
      </c>
      <c r="AC110" s="22"/>
      <c r="AD110" s="18" t="s">
        <v>486</v>
      </c>
    </row>
    <row r="111" customFormat="false" ht="15" hidden="false" customHeight="false" outlineLevel="0" collapsed="false">
      <c r="U111" s="14" t="n">
        <v>109</v>
      </c>
      <c r="V111" s="15" t="s">
        <v>479</v>
      </c>
      <c r="W111" s="16" t="s">
        <v>480</v>
      </c>
      <c r="X111" s="16" t="s">
        <v>47</v>
      </c>
      <c r="Y111" s="16" t="s">
        <v>28</v>
      </c>
      <c r="Z111" s="16" t="n">
        <v>75230</v>
      </c>
      <c r="AA111" s="16" t="s">
        <v>487</v>
      </c>
      <c r="AB111" s="17" t="s">
        <v>488</v>
      </c>
      <c r="AC111" s="22"/>
      <c r="AD111" s="18" t="s">
        <v>489</v>
      </c>
    </row>
    <row r="112" customFormat="false" ht="15" hidden="false" customHeight="false" outlineLevel="0" collapsed="false">
      <c r="U112" s="14" t="n">
        <v>110</v>
      </c>
      <c r="V112" s="15" t="s">
        <v>479</v>
      </c>
      <c r="W112" s="16" t="s">
        <v>480</v>
      </c>
      <c r="X112" s="16" t="s">
        <v>47</v>
      </c>
      <c r="Y112" s="16" t="s">
        <v>28</v>
      </c>
      <c r="Z112" s="16" t="n">
        <v>75230</v>
      </c>
      <c r="AA112" s="16" t="s">
        <v>490</v>
      </c>
      <c r="AB112" s="17" t="s">
        <v>491</v>
      </c>
      <c r="AC112" s="22"/>
      <c r="AD112" s="18" t="s">
        <v>492</v>
      </c>
    </row>
  </sheetData>
  <mergeCells count="2">
    <mergeCell ref="C16:E16"/>
    <mergeCell ref="C31:E31"/>
  </mergeCells>
  <hyperlinks>
    <hyperlink ref="AD3" r:id="rId1" display="hwiggins@amli.com"/>
    <hyperlink ref="AD4" r:id="rId2" display="mwilliams@amtexhousing.com"/>
    <hyperlink ref="AD5" r:id="rId3" display="stemple@bartlettecocke.com"/>
    <hyperlink ref="AD6" r:id="rId4" display="alacey@bartlettecocke.com"/>
    <hyperlink ref="AD7" r:id="rId5" display="jclanton@bartlettcocke.com"/>
    <hyperlink ref="AD8" r:id="rId6" display="fulloa@bblbuildingco.com"/>
    <hyperlink ref="AD9" r:id="rId7" display="jstaiger@bblbuildingco.com"/>
    <hyperlink ref="AD10" r:id="rId8" display="cbegis@bblbuildingco.com"/>
    <hyperlink ref="AD11" r:id="rId9" display="adockter@bccontracting.com"/>
    <hyperlink ref="AD12" r:id="rId10" display="gdaily@billingsleyco.com"/>
    <hyperlink ref="AD13" r:id="rId11" display="aabshire@generalcontractor.com"/>
    <hyperlink ref="AD14" r:id="rId12" display="dick@booneandboone.com"/>
    <hyperlink ref="AD15" r:id="rId13" display="dakotak@teliospc.com"/>
    <hyperlink ref="C16" r:id="rId14" display="mailto:douglas.nguyen@jpi.com"/>
    <hyperlink ref="AD16" r:id="rId15" display="aellison@broaddususa.com"/>
    <hyperlink ref="AD17" r:id="rId16" display="larry@thebrownstonegroup.net"/>
    <hyperlink ref="AD18" r:id="rId17" display="davidg@thebrownstonegroup.net"/>
    <hyperlink ref="AD19" r:id="rId18" display="nnadiminti@cadencemcshane.com"/>
    <hyperlink ref="AD20" r:id="rId19" display="rshepherd@cadencemcshane.com"/>
    <hyperlink ref="AD21" r:id="rId20" display="czumida@cadencemcshane.com"/>
    <hyperlink ref="AD23" r:id="rId21" display="cwheeler@cadencemcshane.com"/>
    <hyperlink ref="AD24" r:id="rId22" display="susrey@cadencemcshane.com"/>
    <hyperlink ref="AD25" r:id="rId23" display="kurt@carbonlandmark.com"/>
    <hyperlink ref="AD26" r:id="rId24" display="scyler@carbonlandmark.com"/>
    <hyperlink ref="AD27" r:id="rId25" display="kurt.hunter@cbgbc.com"/>
    <hyperlink ref="AD28" r:id="rId26" display="jonathan.staiger@cbgbc.com"/>
    <hyperlink ref="AD29" r:id="rId27" display="cgustafson@ccgcommercialgroup.com"/>
    <hyperlink ref="AD30" r:id="rId28" display="klarey@ccgcommercialgroup.com"/>
    <hyperlink ref="AD31" r:id="rId29" display="abrewer@drhorton.com"/>
    <hyperlink ref="AD32" r:id="rId30" display="CAMartin@drhorton.com"/>
    <hyperlink ref="AD33" r:id="rId31" display="zgalligan@drhorton.com"/>
    <hyperlink ref="AD34" r:id="rId32" display="kstarkes@emjcorp.com"/>
    <hyperlink ref="AD35" r:id="rId33" display="jack.brown@emjcorp.com"/>
    <hyperlink ref="AD36" r:id="rId34" display="samb@galaxybuilders.com"/>
    <hyperlink ref="AD37" r:id="rId35" display="aliciaf@galaxybuilders.com"/>
    <hyperlink ref="AD38" r:id="rId36" display="bpatterson@hanoverco.com"/>
    <hyperlink ref="AD39" r:id="rId37" display="rusty@hirisepartners.com"/>
    <hyperlink ref="AD40" r:id="rId38" display="jwiggins@integratedreg.com"/>
    <hyperlink ref="AD41" r:id="rId39" display="btomlin@integratedreg.com"/>
    <hyperlink ref="AD42" r:id="rId40" display="dayneb@integritygroups.com"/>
    <hyperlink ref="AD43" r:id="rId41" display="cdaily@jlbpartners.com"/>
    <hyperlink ref="AD44" r:id="rId42" display="tcoleman@jlbpartners.com"/>
    <hyperlink ref="AD45" r:id="rId43" display="jmorris@jordanfosterconstruction.com"/>
    <hyperlink ref="AD46" r:id="rId44" display="sboyd@jordanfosterconstruction.com"/>
    <hyperlink ref="AD47" r:id="rId45" display="lwiley@jordanfosterconstruction.com"/>
    <hyperlink ref="AD49" r:id="rId46" display="adam.abshire@jpi.com"/>
    <hyperlink ref="AD50" r:id="rId47" display="nathan.brinkley@jpi.com"/>
    <hyperlink ref="AD51" r:id="rId48" display="ejones@gccbllc.com"/>
    <hyperlink ref="AD52" r:id="rId49" display="dboone@kwaconstruction.com"/>
    <hyperlink ref="AD53" r:id="rId50" display="jjones@kwaconstruction.com"/>
    <hyperlink ref="AD54" r:id="rId51" display="bids@kwaconstruction.com"/>
    <hyperlink ref="AD55" r:id="rId52" display="mskaggs@linksconstruction.com"/>
    <hyperlink ref="AD56" r:id="rId53" display="jbailey@makerbros.net"/>
    <hyperlink ref="AD57" r:id="rId54" display="panderson@makerbros.net"/>
    <hyperlink ref="AD58" r:id="rId55" display="kend@mcshane.com"/>
    <hyperlink ref="AD59" r:id="rId56" display="swilkins@mcrtrust.com"/>
    <hyperlink ref="AD60" r:id="rId57" display="jberry@mosscm.com"/>
    <hyperlink ref="AD61" r:id="rId58" display="emclellan@mosscm.com"/>
    <hyperlink ref="AD62" r:id="rId59" display="preconstruction@muckleroyfalls.com"/>
    <hyperlink ref="AD63" r:id="rId60" display="Estimating@Novelbuilders.com"/>
    <hyperlink ref="AD64" r:id="rId61" display="bbuchei@nrpgroup.com"/>
    <hyperlink ref="AD65" r:id="rId62" display="mbratton@odenhughesllc.com"/>
    <hyperlink ref="AD66" r:id="rId63" display="swilliams@odenhughesllc.com"/>
    <hyperlink ref="AD67" r:id="rId64" display="msweeney@odenhughsllc.com"/>
    <hyperlink ref="AD68" r:id="rId65" display="darreno@providentgc.com"/>
    <hyperlink ref="AD69" r:id="rId66" display="JThompson@ProvidentGC.com"/>
    <hyperlink ref="AD70" r:id="rId67" display="cgerstner@providentgc.com "/>
    <hyperlink ref="AD71" r:id="rId68" display="aschuelke@providentgc.com"/>
    <hyperlink ref="AD72" r:id="rId69" display="mbozeman@providentgc .com"/>
    <hyperlink ref="AD73" r:id="rId70" display="kpope@ramparttx.com"/>
    <hyperlink ref="AD74" r:id="rId71" display="brogers@ramparttx.com"/>
    <hyperlink ref="AD75" r:id="rId72" display="csittig@ramparttx.com"/>
    <hyperlink ref="AD76" r:id="rId73" display="cindy.west@ratcliffconstructors.com"/>
    <hyperlink ref="AD77" r:id="rId74" display="swilliams@resource-commercial.com"/>
    <hyperlink ref="AD78" r:id="rId75" display="mroberts@rudickgroup.com"/>
    <hyperlink ref="AD79" r:id="rId76" display="chris@royalgeneral.com"/>
    <hyperlink ref="AD80" r:id="rId77" display="mmosley@ridgemont.com"/>
    <hyperlink ref="AD81" r:id="rId78" display="Sgaffron@ridgmont.com"/>
    <hyperlink ref="AD82" r:id="rId79" display="Wgrant@ridgemon.com"/>
    <hyperlink ref="AD83" r:id="rId80" display="mroberts@rudickgroup.com"/>
    <hyperlink ref="AD84" r:id="rId81" display="ybalentine@shreveland.com"/>
    <hyperlink ref="AD85" r:id="rId82" display="jkarsten@skybeck.com"/>
    <hyperlink ref="AD86" r:id="rId83" display="lee.wiley@sparrow-partners.com"/>
    <hyperlink ref="AD87" r:id="rId84" display="lgriffith@svcc.biz"/>
    <hyperlink ref="AD88" r:id="rId85" display="dhayes@svcc.biz"/>
    <hyperlink ref="AD89" r:id="rId86" display="will.flanagan@stillwatercap.com"/>
    <hyperlink ref="AD90" r:id="rId87" display="msmith@strategicconstruction.com"/>
    <hyperlink ref="AD91" r:id="rId88" display="jfetters@srategicconstruction.com"/>
    <hyperlink ref="AD92" r:id="rId89" display="dwalker@strategicconstruction.com"/>
    <hyperlink ref="AD93" r:id="rId90" display="pclinard@strategicconstruction.com"/>
    <hyperlink ref="AD94" r:id="rId91" display="sbyington@swbc.com"/>
    <hyperlink ref="AD95" r:id="rId92" display="rkemp@talley-riggins.com"/>
    <hyperlink ref="AD96" r:id="rId93" display="mrossetti@talley-riggins.com"/>
    <hyperlink ref="AD97" r:id="rId94" display="rbaez@tritongc.com"/>
    <hyperlink ref="AD98" r:id="rId95" display="david@trumontgroup.com"/>
    <hyperlink ref="AD99" r:id="rId96" display="floyd@trupmontgroup.com"/>
    <hyperlink ref="AD100" r:id="rId97" display="rquillen@txmorrow.com"/>
    <hyperlink ref="AD101" r:id="rId98" display="chuffer@txmorrow.com"/>
    <hyperlink ref="AD102" r:id="rId99" display="billy.jay@wadeconstructiongroup.com"/>
    <hyperlink ref="AD103" r:id="rId100" display="egibson@wadeconstructiongroup.com"/>
    <hyperlink ref="AD104" r:id="rId101" display="ddeckard@wadeconstructiongroup.com"/>
    <hyperlink ref="AD105" r:id="rId102" display="bholt@wadeconstructiongroup.com"/>
    <hyperlink ref="AD106" r:id="rId103" display="sharper@wadeconstructiongroup.com"/>
    <hyperlink ref="AD107" r:id="rId104" display="kevinmoran@weisbuilders.com"/>
    <hyperlink ref="AD108" r:id="rId105" display="philipwelch@weisbuilders.com"/>
    <hyperlink ref="AD109" r:id="rId106" display="josh.atkins@woodpartners.com"/>
    <hyperlink ref="AD110" r:id="rId107" display="johnathon.radcliffe@woodpartners.com"/>
    <hyperlink ref="AD111" r:id="rId108" display="amado.flores@woodpartners.com"/>
    <hyperlink ref="AD112" r:id="rId109" display="brian.rodriguez@woodpartners.com"/>
  </hyperlink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BC136"/>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selection pane="topLeft" activeCell="L4" activeCellId="0" sqref="L4"/>
    </sheetView>
  </sheetViews>
  <sheetFormatPr defaultColWidth="9.18359375" defaultRowHeight="12" customHeight="false" zeroHeight="false" outlineLevelRow="0" outlineLevelCol="0"/>
  <cols>
    <col collapsed="false" customWidth="false" hidden="false" outlineLevel="0" max="1" min="1" style="11" width="9.18"/>
    <col collapsed="false" customWidth="true" hidden="false" outlineLevel="0" max="2" min="2" style="10" width="11.18"/>
    <col collapsed="false" customWidth="true" hidden="false" outlineLevel="0" max="3" min="3" style="10" width="23.18"/>
    <col collapsed="false" customWidth="true" hidden="false" outlineLevel="0" max="4" min="4" style="10" width="16.82"/>
    <col collapsed="false" customWidth="true" hidden="false" outlineLevel="0" max="5" min="5" style="10" width="10.45"/>
    <col collapsed="false" customWidth="true" hidden="false" outlineLevel="0" max="6" min="6" style="10" width="11"/>
    <col collapsed="false" customWidth="true" hidden="false" outlineLevel="0" max="7" min="7" style="10" width="11.18"/>
    <col collapsed="false" customWidth="true" hidden="false" outlineLevel="0" max="8" min="8" style="10" width="12.82"/>
    <col collapsed="false" customWidth="true" hidden="false" outlineLevel="0" max="13" min="9" style="10" width="11.18"/>
    <col collapsed="false" customWidth="true" hidden="false" outlineLevel="0" max="14" min="14" style="54" width="11.18"/>
    <col collapsed="false" customWidth="true" hidden="false" outlineLevel="0" max="15" min="15" style="10" width="11.18"/>
    <col collapsed="false" customWidth="true" hidden="false" outlineLevel="0" max="16" min="16" style="0" width="28"/>
    <col collapsed="false" customWidth="true" hidden="false" outlineLevel="0" max="17" min="17" style="0" width="11.18"/>
    <col collapsed="false" customWidth="true" hidden="false" outlineLevel="0" max="18" min="18" style="55" width="12.82"/>
    <col collapsed="false" customWidth="false" hidden="false" outlineLevel="0" max="22" min="22" style="56" width="9.18"/>
    <col collapsed="false" customWidth="false" hidden="false" outlineLevel="0" max="16384" min="35" style="10" width="9.18"/>
  </cols>
  <sheetData>
    <row r="1" customFormat="false" ht="12.75" hidden="false" customHeight="false" outlineLevel="0" collapsed="false">
      <c r="F1" s="54" t="s">
        <v>493</v>
      </c>
      <c r="G1" s="54" t="s">
        <v>494</v>
      </c>
      <c r="H1" s="54" t="s">
        <v>495</v>
      </c>
      <c r="I1" s="54" t="s">
        <v>496</v>
      </c>
      <c r="J1" s="54" t="s">
        <v>497</v>
      </c>
      <c r="K1" s="54" t="s">
        <v>498</v>
      </c>
      <c r="L1" s="54" t="s">
        <v>499</v>
      </c>
      <c r="M1" s="54" t="s">
        <v>500</v>
      </c>
      <c r="N1" s="54" t="s">
        <v>501</v>
      </c>
      <c r="O1" s="54" t="s">
        <v>502</v>
      </c>
    </row>
    <row r="2" customFormat="false" ht="93.75" hidden="false" customHeight="true" outlineLevel="0" collapsed="false">
      <c r="A2" s="57" t="s">
        <v>503</v>
      </c>
      <c r="B2" s="58"/>
      <c r="C2" s="58" t="s">
        <v>11</v>
      </c>
      <c r="D2" s="58" t="s">
        <v>504</v>
      </c>
      <c r="E2" s="59" t="s">
        <v>505</v>
      </c>
      <c r="F2" s="60" t="s">
        <v>506</v>
      </c>
      <c r="G2" s="60" t="s">
        <v>507</v>
      </c>
      <c r="H2" s="60" t="s">
        <v>508</v>
      </c>
      <c r="I2" s="60" t="s">
        <v>509</v>
      </c>
      <c r="J2" s="60" t="s">
        <v>510</v>
      </c>
      <c r="K2" s="60" t="s">
        <v>511</v>
      </c>
      <c r="L2" s="60" t="s">
        <v>512</v>
      </c>
      <c r="M2" s="60" t="s">
        <v>513</v>
      </c>
      <c r="N2" s="60" t="s">
        <v>514</v>
      </c>
      <c r="O2" s="60" t="s">
        <v>515</v>
      </c>
      <c r="P2" s="61" t="s">
        <v>516</v>
      </c>
      <c r="Q2" s="10"/>
      <c r="R2" s="54"/>
      <c r="S2" s="10"/>
      <c r="T2" s="10"/>
      <c r="U2" s="55"/>
    </row>
    <row r="3" customFormat="false" ht="12.65" hidden="false" customHeight="false" outlineLevel="0" collapsed="false">
      <c r="A3" s="62" t="str">
        <f aca="false">IF(F3=F4,A4,IF(F3=F5,A5,IF(F3=F6,A6,IF(F3=F7,A7,0))))</f>
        <v>SRM</v>
      </c>
      <c r="B3" s="63"/>
      <c r="C3" s="63"/>
      <c r="D3" s="63"/>
      <c r="E3" s="64"/>
      <c r="F3" s="65" t="n">
        <f aca="false">MIN(IF(F4&gt;0,F4,1000),IF(F5&gt;0,F5,1000),IF(F6&gt;0,F6,1000),IF(F7&gt;0,F7,1000),IF(F8&gt;0,F8,1000),IF(F9&gt;0,F9,1000))</f>
        <v>134</v>
      </c>
      <c r="G3" s="65" t="n">
        <f aca="false">MIN(IF(G4&gt;0,G4,1000),IF(G5&gt;0,G5,1000),IF(G6&gt;0,G6,1000),IF(G7&gt;0,G7,1000),IF(G8&gt;0,G8,1000),IF(G9&gt;0,G9,1000))</f>
        <v>145</v>
      </c>
      <c r="H3" s="65" t="n">
        <f aca="false">MIN(IF(H4&gt;0,H4,1000),IF(H5&gt;0,H5,1000),IF(H6&gt;0,H6,1000),IF(H7&gt;0,H7,1000),IF(H8&gt;0,H8,1000),IF(H9&gt;0,H9,1000))</f>
        <v>140</v>
      </c>
      <c r="I3" s="65" t="n">
        <f aca="false">MIN(IF(I4&gt;0,I4,1000),IF(I5&gt;0,I5,1000),IF(I6&gt;0,I6,1000),IF(I7&gt;0,I7,1000),IF(I8&gt;0,I8,1000),IF(I9&gt;0,I9,1000))</f>
        <v>140</v>
      </c>
      <c r="J3" s="65" t="n">
        <f aca="false">MIN(IF(J4&gt;0,J4,1000),IF(J5&gt;0,J5,1000),IF(J6&gt;0,J6,1000),IF(J7&gt;0,J7,1000),IF(J8&gt;0,J8,1000),IF(J9&gt;0,J9,1000))</f>
        <v>145</v>
      </c>
      <c r="K3" s="65" t="n">
        <f aca="false">MIN(IF(K4&gt;0,K4,1000),IF(K5&gt;0,K5,1000),IF(K6&gt;0,K6,1000),IF(K7&gt;0,K7,1000),IF(K8&gt;0,K8,1000),IF(K9&gt;0,K9,1000))</f>
        <v>145</v>
      </c>
      <c r="L3" s="65" t="n">
        <f aca="false">MIN(IF(L4&gt;0,L4,1000),IF(L5&gt;0,L5,1000),IF(L6&gt;0,L6,1000),IF(L7&gt;0,L7,1000),IF(L8&gt;0,L8,1000),IF(L9&gt;0,L9,1000))</f>
        <v>158</v>
      </c>
      <c r="M3" s="65" t="n">
        <f aca="false">MIN(IF(M4&gt;0,M4,1000),IF(M5&gt;0,M5,1000),IF(M6&gt;0,M6,1000),IF(M7&gt;0,M7,1000),IF(M8&gt;0,M8,1000),IF(M9&gt;0,M9,1000))</f>
        <v>170</v>
      </c>
      <c r="N3" s="65" t="n">
        <f aca="false">MIN(IF(N4&gt;0,N4,1000),IF(N5&gt;0,N5,1000),IF(N6&gt;0,N6,1000),IF(N7&gt;0,N7,1000),IF(N8&gt;0,N8,1000),IF(N9&gt;0,N9,1000))</f>
        <v>240</v>
      </c>
      <c r="O3" s="66" t="n">
        <f aca="false">MIN(IF(O4&gt;0,O4,1000),IF(O5&gt;0,O5,1000),IF(O6&gt;0,O6,1000),IF(O7&gt;0,O7,1000),IF(O8&gt;0,O8,1000),IF(O9&gt;0,O9,1000))</f>
        <v>121</v>
      </c>
      <c r="P3" s="67" t="s">
        <v>517</v>
      </c>
      <c r="Q3" s="68" t="s">
        <v>518</v>
      </c>
      <c r="R3" s="69" t="s">
        <v>519</v>
      </c>
      <c r="S3" s="68" t="s">
        <v>520</v>
      </c>
      <c r="T3" s="70" t="s">
        <v>521</v>
      </c>
      <c r="U3" s="71" t="s">
        <v>522</v>
      </c>
      <c r="AJ3" s="10" t="s">
        <v>523</v>
      </c>
      <c r="AZ3" s="10" t="s">
        <v>524</v>
      </c>
    </row>
    <row r="4" customFormat="false" ht="15" hidden="false" customHeight="false" outlineLevel="0" collapsed="false">
      <c r="A4" s="72" t="s">
        <v>525</v>
      </c>
      <c r="B4" s="54"/>
      <c r="C4" s="73"/>
      <c r="D4" s="13"/>
      <c r="E4" s="74" t="n">
        <v>44435</v>
      </c>
      <c r="F4" s="75" t="n">
        <v>134</v>
      </c>
      <c r="G4" s="75" t="n">
        <v>145</v>
      </c>
      <c r="H4" s="75" t="n">
        <v>140</v>
      </c>
      <c r="I4" s="75" t="n">
        <v>140</v>
      </c>
      <c r="J4" s="75" t="n">
        <v>145</v>
      </c>
      <c r="K4" s="75" t="n">
        <v>145</v>
      </c>
      <c r="L4" s="75" t="n">
        <v>158</v>
      </c>
      <c r="M4" s="75" t="n">
        <v>170</v>
      </c>
      <c r="N4" s="75" t="n">
        <v>240</v>
      </c>
      <c r="O4" s="76" t="n">
        <v>121</v>
      </c>
      <c r="P4" s="10" t="s">
        <v>526</v>
      </c>
      <c r="Q4" s="77" t="n">
        <f aca="false">U4/T4*S4</f>
        <v>0.859375</v>
      </c>
      <c r="R4" s="78" t="s">
        <v>527</v>
      </c>
      <c r="S4" s="79" t="n">
        <v>1.25</v>
      </c>
      <c r="T4" s="80" t="n">
        <v>16</v>
      </c>
      <c r="U4" s="55" t="n">
        <v>11</v>
      </c>
      <c r="V4" s="56" t="n">
        <v>44494</v>
      </c>
      <c r="AJ4" s="10" t="s">
        <v>528</v>
      </c>
      <c r="AK4" s="10" t="s">
        <v>529</v>
      </c>
      <c r="AL4" s="10" t="s">
        <v>530</v>
      </c>
      <c r="AM4" s="10" t="s">
        <v>531</v>
      </c>
      <c r="AN4" s="10" t="s">
        <v>532</v>
      </c>
      <c r="AO4" s="10" t="s">
        <v>533</v>
      </c>
      <c r="AZ4" s="81" t="n">
        <v>42410</v>
      </c>
      <c r="BC4" s="10" t="n">
        <f aca="false">8.59*1.7</f>
        <v>14.603</v>
      </c>
    </row>
    <row r="5" customFormat="false" ht="15" hidden="false" customHeight="false" outlineLevel="0" collapsed="false">
      <c r="A5" s="72"/>
      <c r="B5" s="54"/>
      <c r="D5" s="13"/>
      <c r="E5" s="74"/>
      <c r="F5" s="75"/>
      <c r="G5" s="75"/>
      <c r="H5" s="75"/>
      <c r="I5" s="75"/>
      <c r="J5" s="75"/>
      <c r="K5" s="75"/>
      <c r="L5" s="75"/>
      <c r="M5" s="75"/>
      <c r="N5" s="75"/>
      <c r="O5" s="76"/>
      <c r="P5" s="10" t="s">
        <v>534</v>
      </c>
      <c r="Q5" s="77" t="n">
        <f aca="false">U5/T5*S5</f>
        <v>1.4453125</v>
      </c>
      <c r="R5" s="78" t="s">
        <v>527</v>
      </c>
      <c r="S5" s="82" t="n">
        <v>1.25</v>
      </c>
      <c r="T5" s="80" t="n">
        <v>16</v>
      </c>
      <c r="U5" s="55" t="n">
        <v>18.5</v>
      </c>
      <c r="V5" s="56" t="n">
        <v>44495</v>
      </c>
      <c r="AI5" s="10" t="s">
        <v>535</v>
      </c>
      <c r="AJ5" s="10" t="n">
        <f aca="false">'04-PT Slab on Grade'!CF111</f>
        <v>0</v>
      </c>
      <c r="AK5" s="10" t="n">
        <f aca="false">'04-PT Slab on Grade'!CI111</f>
        <v>0</v>
      </c>
      <c r="AL5" s="10" t="n">
        <f aca="false">'04-PT Slab on Grade'!CM111</f>
        <v>0</v>
      </c>
      <c r="AM5" s="10" t="n">
        <f aca="false">'04-PT Slab on Grade'!CN111</f>
        <v>0</v>
      </c>
      <c r="AN5" s="10" t="n">
        <f aca="false">'04-PT Slab on Grade'!CQ111</f>
        <v>0</v>
      </c>
      <c r="AO5" s="10" t="n">
        <f aca="false">'04-PT Slab on Grade'!CR111</f>
        <v>0</v>
      </c>
      <c r="AZ5" s="81" t="n">
        <v>42410</v>
      </c>
    </row>
    <row r="6" customFormat="false" ht="15" hidden="false" customHeight="false" outlineLevel="0" collapsed="false">
      <c r="A6" s="72"/>
      <c r="B6" s="54"/>
      <c r="C6" s="73"/>
      <c r="D6" s="13"/>
      <c r="E6" s="74"/>
      <c r="F6" s="75"/>
      <c r="G6" s="75"/>
      <c r="H6" s="75"/>
      <c r="I6" s="75"/>
      <c r="J6" s="75"/>
      <c r="K6" s="75"/>
      <c r="L6" s="75"/>
      <c r="M6" s="75"/>
      <c r="N6" s="75"/>
      <c r="O6" s="76"/>
      <c r="P6" s="10" t="s">
        <v>536</v>
      </c>
      <c r="Q6" s="77" t="n">
        <f aca="false">U6/T6*S6</f>
        <v>1.171875</v>
      </c>
      <c r="R6" s="78" t="s">
        <v>527</v>
      </c>
      <c r="S6" s="82" t="n">
        <v>1.25</v>
      </c>
      <c r="T6" s="80" t="n">
        <v>16</v>
      </c>
      <c r="U6" s="55" t="n">
        <v>15</v>
      </c>
      <c r="V6" s="56" t="n">
        <v>44496</v>
      </c>
      <c r="AI6" s="10" t="s">
        <v>537</v>
      </c>
      <c r="AJ6" s="10" t="n">
        <f aca="false">'02-Gd Beams'!AO36</f>
        <v>0</v>
      </c>
      <c r="AK6" s="10" t="n">
        <f aca="false">'02-Gd Beams'!AP36</f>
        <v>0</v>
      </c>
      <c r="AL6" s="10" t="n">
        <f aca="false">'02-Gd Beams'!AQ36</f>
        <v>0</v>
      </c>
      <c r="AM6" s="10" t="n">
        <f aca="false">'02-Gd Beams'!AR36</f>
        <v>0</v>
      </c>
      <c r="AN6" s="10" t="n">
        <f aca="false">'02-Gd Beams'!AS36</f>
        <v>0</v>
      </c>
      <c r="AO6" s="10" t="n">
        <f aca="false">'02-Gd Beams'!AT36</f>
        <v>0</v>
      </c>
      <c r="AQ6" s="83" t="b">
        <f aca="false">IF(F6&gt;0,F6)</f>
        <v>0</v>
      </c>
      <c r="AZ6" s="81" t="n">
        <v>42410</v>
      </c>
    </row>
    <row r="7" customFormat="false" ht="15" hidden="false" customHeight="false" outlineLevel="0" collapsed="false">
      <c r="A7" s="72"/>
      <c r="B7" s="54"/>
      <c r="D7" s="13"/>
      <c r="E7" s="74"/>
      <c r="F7" s="75"/>
      <c r="G7" s="75"/>
      <c r="H7" s="75"/>
      <c r="I7" s="75"/>
      <c r="J7" s="75"/>
      <c r="K7" s="75"/>
      <c r="L7" s="75"/>
      <c r="M7" s="75"/>
      <c r="N7" s="75"/>
      <c r="O7" s="76"/>
      <c r="P7" s="10" t="s">
        <v>538</v>
      </c>
      <c r="Q7" s="77" t="n">
        <f aca="false">U7/T7*S7</f>
        <v>1.09375</v>
      </c>
      <c r="R7" s="78" t="s">
        <v>527</v>
      </c>
      <c r="S7" s="82" t="n">
        <v>1.25</v>
      </c>
      <c r="T7" s="80" t="n">
        <v>16</v>
      </c>
      <c r="U7" s="55" t="n">
        <v>14</v>
      </c>
      <c r="V7" s="56" t="n">
        <v>44497</v>
      </c>
      <c r="AI7" s="10" t="s">
        <v>539</v>
      </c>
      <c r="AJ7" s="10" t="n">
        <f aca="false">'09-SLAB ON DECK'!AL34</f>
        <v>0</v>
      </c>
      <c r="AK7" s="10" t="n">
        <f aca="false">'09-SLAB ON DECK'!AM34</f>
        <v>0</v>
      </c>
      <c r="AL7" s="10" t="n">
        <f aca="false">'09-SLAB ON DECK'!AN34</f>
        <v>0</v>
      </c>
      <c r="AM7" s="10" t="n">
        <f aca="false">'09-SLAB ON DECK'!AO34</f>
        <v>0</v>
      </c>
      <c r="AN7" s="10" t="n">
        <f aca="false">'09-SLAB ON DECK'!AP34</f>
        <v>0</v>
      </c>
      <c r="AO7" s="10" t="n">
        <f aca="false">'09-SLAB ON DECK'!AQ34</f>
        <v>0</v>
      </c>
      <c r="AZ7" s="81" t="n">
        <v>42410</v>
      </c>
    </row>
    <row r="8" customFormat="false" ht="12.65" hidden="false" customHeight="false" outlineLevel="0" collapsed="false">
      <c r="A8" s="72"/>
      <c r="B8" s="54"/>
      <c r="D8" s="13"/>
      <c r="E8" s="74"/>
      <c r="F8" s="75"/>
      <c r="G8" s="75"/>
      <c r="H8" s="75"/>
      <c r="I8" s="75"/>
      <c r="J8" s="75"/>
      <c r="K8" s="75"/>
      <c r="L8" s="75"/>
      <c r="M8" s="75"/>
      <c r="N8" s="75"/>
      <c r="O8" s="76"/>
      <c r="P8" s="10" t="s">
        <v>540</v>
      </c>
      <c r="Q8" s="77" t="n">
        <f aca="false">S8*U8</f>
        <v>74.75</v>
      </c>
      <c r="R8" s="84" t="s">
        <v>541</v>
      </c>
      <c r="S8" s="85" t="n">
        <v>1.15</v>
      </c>
      <c r="T8" s="80"/>
      <c r="U8" s="55" t="n">
        <v>65</v>
      </c>
      <c r="V8" s="56" t="n">
        <v>44498</v>
      </c>
      <c r="AI8" s="10" t="s">
        <v>542</v>
      </c>
      <c r="AJ8" s="10" t="n">
        <f aca="false">'10-PAVING'!AH35</f>
        <v>0</v>
      </c>
      <c r="AK8" s="10" t="n">
        <f aca="false">'10-PAVING'!AI35</f>
        <v>0</v>
      </c>
      <c r="AL8" s="10" t="n">
        <f aca="false">'10-PAVING'!AJ35</f>
        <v>0</v>
      </c>
      <c r="AM8" s="10" t="n">
        <f aca="false">'10-PAVING'!AK35</f>
        <v>0</v>
      </c>
      <c r="AN8" s="10" t="n">
        <f aca="false">'10-PAVING'!AL35</f>
        <v>0</v>
      </c>
      <c r="AO8" s="10" t="n">
        <f aca="false">'10-PAVING'!AM35</f>
        <v>0</v>
      </c>
      <c r="AZ8" s="81" t="n">
        <v>42410</v>
      </c>
    </row>
    <row r="9" customFormat="false" ht="12.65" hidden="false" customHeight="false" outlineLevel="0" collapsed="false">
      <c r="A9" s="86"/>
      <c r="B9" s="87"/>
      <c r="C9" s="61"/>
      <c r="D9" s="88"/>
      <c r="E9" s="89"/>
      <c r="F9" s="90"/>
      <c r="G9" s="90"/>
      <c r="H9" s="90"/>
      <c r="I9" s="90"/>
      <c r="J9" s="90"/>
      <c r="K9" s="90"/>
      <c r="L9" s="90"/>
      <c r="M9" s="90"/>
      <c r="N9" s="90"/>
      <c r="O9" s="91"/>
      <c r="P9" s="10" t="s">
        <v>543</v>
      </c>
      <c r="Q9" s="77" t="n">
        <v>20</v>
      </c>
      <c r="R9" s="84" t="s">
        <v>541</v>
      </c>
      <c r="S9" s="85" t="n">
        <v>1.1</v>
      </c>
      <c r="T9" s="80" t="n">
        <v>16</v>
      </c>
      <c r="U9" s="55" t="n">
        <v>14</v>
      </c>
      <c r="V9" s="56" t="n">
        <v>44499</v>
      </c>
      <c r="AI9" s="10" t="s">
        <v>544</v>
      </c>
      <c r="AJ9" s="10" t="n">
        <f aca="false">'01-Piers'!AT39</f>
        <v>0</v>
      </c>
      <c r="AK9" s="10" t="n">
        <f aca="false">'01-Piers'!AU39</f>
        <v>0</v>
      </c>
      <c r="AL9" s="10" t="n">
        <f aca="false">'01-Piers'!AV39</f>
        <v>0</v>
      </c>
      <c r="AM9" s="10" t="n">
        <f aca="false">'01-Piers'!AW39</f>
        <v>0</v>
      </c>
      <c r="AN9" s="10" t="n">
        <f aca="false">'01-Piers'!AX39</f>
        <v>632.699340592593</v>
      </c>
      <c r="AO9" s="10" t="n">
        <f aca="false">'01-Piers'!AY39</f>
        <v>0</v>
      </c>
      <c r="AZ9" s="81" t="n">
        <v>42410</v>
      </c>
    </row>
    <row r="10" customFormat="false" ht="15" hidden="false" customHeight="false" outlineLevel="0" collapsed="false">
      <c r="A10" s="92" t="s">
        <v>545</v>
      </c>
      <c r="B10" s="93"/>
      <c r="C10" s="93"/>
      <c r="D10" s="93"/>
      <c r="E10" s="94" t="n">
        <v>4.5</v>
      </c>
      <c r="F10" s="63"/>
      <c r="G10" s="63"/>
      <c r="H10" s="95"/>
      <c r="L10" s="96" t="n">
        <f aca="false">Summary!L53</f>
        <v>10315.6084115311</v>
      </c>
      <c r="N10" s="10"/>
      <c r="P10" s="10" t="s">
        <v>546</v>
      </c>
      <c r="Q10" s="77" t="n">
        <f aca="false">U10/T10*S10</f>
        <v>0.70875</v>
      </c>
      <c r="R10" s="78" t="s">
        <v>527</v>
      </c>
      <c r="S10" s="85" t="n">
        <v>1.5</v>
      </c>
      <c r="T10" s="80" t="n">
        <v>16</v>
      </c>
      <c r="U10" s="55" t="n">
        <v>7.56</v>
      </c>
      <c r="V10" s="56" t="n">
        <v>44500</v>
      </c>
      <c r="AI10" s="10" t="s">
        <v>547</v>
      </c>
      <c r="AJ10" s="10" t="e">
        <f aca="false">#ref!</f>
        <v>#NAME?</v>
      </c>
      <c r="AK10" s="10" t="e">
        <f aca="false">#ref!</f>
        <v>#NAME?</v>
      </c>
      <c r="AL10" s="10" t="e">
        <f aca="false">#ref!</f>
        <v>#NAME?</v>
      </c>
      <c r="AM10" s="10" t="e">
        <f aca="false">#ref!</f>
        <v>#NAME?</v>
      </c>
      <c r="AN10" s="10" t="e">
        <f aca="false">#ref!</f>
        <v>#NAME?</v>
      </c>
      <c r="AO10" s="10" t="e">
        <f aca="false">#ref!</f>
        <v>#NAME?</v>
      </c>
      <c r="AZ10" s="81" t="n">
        <v>44349</v>
      </c>
    </row>
    <row r="11" customFormat="false" ht="15" hidden="false" customHeight="false" outlineLevel="0" collapsed="false">
      <c r="A11" s="97" t="s">
        <v>548</v>
      </c>
      <c r="B11" s="98"/>
      <c r="C11" s="98"/>
      <c r="D11" s="98"/>
      <c r="E11" s="98"/>
      <c r="F11" s="98"/>
      <c r="G11" s="98"/>
      <c r="H11" s="99"/>
      <c r="L11" s="81" t="n">
        <v>42410</v>
      </c>
      <c r="N11" s="10"/>
      <c r="P11" s="10" t="s">
        <v>549</v>
      </c>
      <c r="Q11" s="77" t="n">
        <f aca="false">U11/T11*S11</f>
        <v>0.7771875</v>
      </c>
      <c r="R11" s="78" t="s">
        <v>527</v>
      </c>
      <c r="S11" s="85" t="n">
        <v>1.5</v>
      </c>
      <c r="T11" s="80" t="n">
        <v>16</v>
      </c>
      <c r="U11" s="55" t="n">
        <v>8.29</v>
      </c>
      <c r="V11" s="56" t="n">
        <v>44501</v>
      </c>
      <c r="AI11" s="10" t="s">
        <v>550</v>
      </c>
      <c r="AJ11" s="10" t="n">
        <f aca="false">IF(AJ5&lt;AJ6,AJ5,AJ6)</f>
        <v>0</v>
      </c>
      <c r="AK11" s="10" t="n">
        <f aca="false">IF(AK5&lt;AK6,AK5,AK6)</f>
        <v>0</v>
      </c>
      <c r="AL11" s="10" t="n">
        <f aca="false">IF(AL5&lt;AL6,AL5,AL6)</f>
        <v>0</v>
      </c>
      <c r="AM11" s="10" t="n">
        <f aca="false">IF(AM5&lt;AM6,AM5,AM6)</f>
        <v>0</v>
      </c>
      <c r="AN11" s="10" t="n">
        <f aca="false">IF(AN5&lt;AN6,AN5,AN6)</f>
        <v>0</v>
      </c>
      <c r="AO11" s="10" t="n">
        <f aca="false">IF(AO5&lt;AO6,AO5,AO6)</f>
        <v>0</v>
      </c>
      <c r="AZ11" s="81" t="n">
        <v>44349</v>
      </c>
    </row>
    <row r="12" customFormat="false" ht="15" hidden="false" customHeight="false" outlineLevel="0" collapsed="false">
      <c r="A12" s="100" t="n">
        <v>16</v>
      </c>
      <c r="B12" s="101" t="n">
        <v>18</v>
      </c>
      <c r="C12" s="101" t="n">
        <v>24</v>
      </c>
      <c r="D12" s="101" t="n">
        <v>30</v>
      </c>
      <c r="E12" s="101" t="n">
        <v>36</v>
      </c>
      <c r="F12" s="102" t="n">
        <v>42</v>
      </c>
      <c r="G12" s="101" t="n">
        <v>48</v>
      </c>
      <c r="H12" s="101" t="n">
        <v>54</v>
      </c>
      <c r="N12" s="10"/>
      <c r="P12" s="10" t="s">
        <v>551</v>
      </c>
      <c r="Q12" s="77" t="n">
        <f aca="false">U12/T12*S12</f>
        <v>1.063125</v>
      </c>
      <c r="R12" s="78" t="s">
        <v>527</v>
      </c>
      <c r="S12" s="85" t="n">
        <v>1.5</v>
      </c>
      <c r="T12" s="80" t="n">
        <v>16</v>
      </c>
      <c r="U12" s="55" t="n">
        <v>11.34</v>
      </c>
      <c r="V12" s="56" t="n">
        <v>44502</v>
      </c>
      <c r="AZ12" s="81" t="n">
        <v>44349</v>
      </c>
    </row>
    <row r="13" customFormat="false" ht="15" hidden="false" customHeight="false" outlineLevel="0" collapsed="false">
      <c r="A13" s="103" t="n">
        <v>10</v>
      </c>
      <c r="B13" s="104" t="n">
        <v>8</v>
      </c>
      <c r="C13" s="104" t="n">
        <v>8</v>
      </c>
      <c r="D13" s="104" t="n">
        <v>24</v>
      </c>
      <c r="E13" s="104" t="n">
        <v>30</v>
      </c>
      <c r="F13" s="105" t="n">
        <v>30</v>
      </c>
      <c r="G13" s="106" t="n">
        <v>35</v>
      </c>
      <c r="H13" s="106" t="n">
        <v>36</v>
      </c>
      <c r="N13" s="10"/>
      <c r="P13" s="10" t="s">
        <v>552</v>
      </c>
      <c r="Q13" s="77" t="n">
        <f aca="false">U13/T13*S13</f>
        <v>1.494375</v>
      </c>
      <c r="R13" s="78" t="s">
        <v>527</v>
      </c>
      <c r="S13" s="85" t="n">
        <v>1.5</v>
      </c>
      <c r="T13" s="80" t="n">
        <v>16</v>
      </c>
      <c r="U13" s="55" t="n">
        <v>15.94</v>
      </c>
      <c r="V13" s="56" t="n">
        <v>44503</v>
      </c>
      <c r="AJ13" s="10" t="n">
        <f aca="false">IF(AJ7&lt;AJ8,AJ7,AJ8)</f>
        <v>0</v>
      </c>
      <c r="AK13" s="10" t="n">
        <f aca="false">IF(AK7&lt;AK8,AK7,AK8)</f>
        <v>0</v>
      </c>
      <c r="AL13" s="10" t="n">
        <f aca="false">IF(AL7&lt;AL8,AL7,AL8)</f>
        <v>0</v>
      </c>
      <c r="AM13" s="10" t="n">
        <f aca="false">IF(AM7&lt;AM8,AM7,AM8)</f>
        <v>0</v>
      </c>
      <c r="AN13" s="10" t="n">
        <f aca="false">IF(AN7&lt;AN8,AN7,AN8)</f>
        <v>0</v>
      </c>
      <c r="AO13" s="10" t="n">
        <f aca="false">IF(AO7&lt;AO8,AO7,AO8)</f>
        <v>0</v>
      </c>
      <c r="AZ13" s="81" t="n">
        <v>42410</v>
      </c>
    </row>
    <row r="14" customFormat="false" ht="15" hidden="false" customHeight="false" outlineLevel="0" collapsed="false">
      <c r="A14" s="107" t="s">
        <v>553</v>
      </c>
      <c r="B14" s="108"/>
      <c r="C14" s="108"/>
      <c r="D14" s="108"/>
      <c r="E14" s="108"/>
      <c r="F14" s="108"/>
      <c r="G14" s="108"/>
      <c r="H14" s="109"/>
      <c r="N14" s="10"/>
      <c r="P14" s="10" t="s">
        <v>554</v>
      </c>
      <c r="Q14" s="77" t="n">
        <f aca="false">S14*U14</f>
        <v>0.04</v>
      </c>
      <c r="R14" s="84" t="s">
        <v>555</v>
      </c>
      <c r="S14" s="85" t="n">
        <v>1</v>
      </c>
      <c r="T14" s="110"/>
      <c r="U14" s="55" t="n">
        <v>0.04</v>
      </c>
      <c r="V14" s="56" t="n">
        <v>44504</v>
      </c>
      <c r="AZ14" s="81" t="n">
        <v>42410</v>
      </c>
    </row>
    <row r="15" customFormat="false" ht="15" hidden="false" customHeight="false" outlineLevel="0" collapsed="false">
      <c r="A15" s="111" t="n">
        <v>6</v>
      </c>
      <c r="B15" s="94" t="n">
        <v>24</v>
      </c>
      <c r="C15" s="94" t="n">
        <v>30</v>
      </c>
      <c r="D15" s="94" t="n">
        <v>35</v>
      </c>
      <c r="E15" s="94" t="n">
        <v>45</v>
      </c>
      <c r="F15" s="112" t="n">
        <v>60</v>
      </c>
      <c r="G15" s="94" t="n">
        <v>80</v>
      </c>
      <c r="H15" s="113" t="n">
        <v>100</v>
      </c>
      <c r="N15" s="10"/>
      <c r="P15" s="10" t="s">
        <v>556</v>
      </c>
      <c r="Q15" s="77" t="n">
        <f aca="false">U15*S15</f>
        <v>24</v>
      </c>
      <c r="R15" s="84" t="s">
        <v>557</v>
      </c>
      <c r="S15" s="85" t="n">
        <v>1.2</v>
      </c>
      <c r="T15" s="110"/>
      <c r="U15" s="55" t="n">
        <v>20</v>
      </c>
      <c r="V15" s="56" t="n">
        <v>44505</v>
      </c>
      <c r="AG15" s="0" t="s">
        <v>558</v>
      </c>
      <c r="AH15" s="0" t="s">
        <v>559</v>
      </c>
      <c r="AJ15" s="10" t="e">
        <f aca="false">IF(AJ9&lt;AJ10,AJ9,AJ10)</f>
        <v>#NAME?</v>
      </c>
      <c r="AK15" s="10" t="e">
        <f aca="false">IF(AK9&lt;AK10,AK9,AK10)</f>
        <v>#NAME?</v>
      </c>
      <c r="AL15" s="10" t="e">
        <f aca="false">IF(AL9&lt;AL10,AL9,AL10)</f>
        <v>#NAME?</v>
      </c>
      <c r="AM15" s="10" t="e">
        <f aca="false">IF(AM9&lt;AM10,AM9,AM10)</f>
        <v>#NAME?</v>
      </c>
      <c r="AN15" s="10" t="e">
        <f aca="false">IF(AN9&lt;AN10,AN9,AN10)</f>
        <v>#NAME?</v>
      </c>
      <c r="AO15" s="10" t="e">
        <f aca="false">IF(AO9&lt;AO10,AO9,AO10)</f>
        <v>#NAME?</v>
      </c>
      <c r="AZ15" s="81" t="n">
        <v>42410</v>
      </c>
    </row>
    <row r="16" customFormat="false" ht="12.65" hidden="false" customHeight="false" outlineLevel="0" collapsed="false">
      <c r="A16" s="114" t="s">
        <v>560</v>
      </c>
      <c r="B16" s="115"/>
      <c r="C16" s="115"/>
      <c r="D16" s="115"/>
      <c r="E16" s="115"/>
      <c r="F16" s="115"/>
      <c r="G16" s="115"/>
      <c r="H16" s="116"/>
      <c r="N16" s="10"/>
      <c r="P16" s="10" t="s">
        <v>561</v>
      </c>
      <c r="Q16" s="77" t="n">
        <f aca="false">S16*U16</f>
        <v>68.2</v>
      </c>
      <c r="R16" s="84" t="s">
        <v>562</v>
      </c>
      <c r="S16" s="85" t="n">
        <v>1.1</v>
      </c>
      <c r="T16" s="110" t="n">
        <v>1</v>
      </c>
      <c r="U16" s="55" t="n">
        <v>62</v>
      </c>
      <c r="V16" s="56" t="n">
        <v>44506</v>
      </c>
      <c r="AG16" s="0" t="n">
        <v>7</v>
      </c>
      <c r="AH16" s="0" t="n">
        <v>0.1793</v>
      </c>
      <c r="AJ16" s="10" t="n">
        <f aca="false">IF(AJ11&lt;AJ13,AJ11,AJ13)</f>
        <v>0</v>
      </c>
      <c r="AK16" s="10" t="n">
        <f aca="false">IF(AK11&lt;AK13,AK11,AK13)</f>
        <v>0</v>
      </c>
      <c r="AL16" s="10" t="n">
        <f aca="false">IF(AL11&lt;AL13,AL11,AL13)</f>
        <v>0</v>
      </c>
      <c r="AM16" s="10" t="n">
        <f aca="false">IF(AM11&lt;AM13,AM11,AM13)</f>
        <v>0</v>
      </c>
      <c r="AN16" s="10" t="n">
        <f aca="false">IF(AN11&lt;AN13,AN11,AN13)</f>
        <v>0</v>
      </c>
      <c r="AO16" s="10" t="n">
        <f aca="false">IF(AO11&lt;AO13,AO11,AO13)</f>
        <v>0</v>
      </c>
      <c r="AZ16" s="81" t="n">
        <v>42410</v>
      </c>
    </row>
    <row r="17" customFormat="false" ht="12.65" hidden="false" customHeight="false" outlineLevel="0" collapsed="false">
      <c r="A17" s="117" t="n">
        <v>0</v>
      </c>
      <c r="B17" s="118" t="n">
        <v>0</v>
      </c>
      <c r="C17" s="118" t="n">
        <v>0</v>
      </c>
      <c r="D17" s="118" t="n">
        <v>0</v>
      </c>
      <c r="E17" s="118" t="n">
        <v>0</v>
      </c>
      <c r="F17" s="118"/>
      <c r="G17" s="118"/>
      <c r="H17" s="119"/>
      <c r="N17" s="10"/>
      <c r="P17" s="10" t="s">
        <v>563</v>
      </c>
      <c r="Q17" s="77" t="n">
        <f aca="false">S17*U17</f>
        <v>68.2</v>
      </c>
      <c r="R17" s="84" t="s">
        <v>562</v>
      </c>
      <c r="S17" s="85" t="n">
        <v>1.1</v>
      </c>
      <c r="T17" s="110" t="n">
        <v>1</v>
      </c>
      <c r="U17" s="55" t="n">
        <v>62</v>
      </c>
      <c r="V17" s="56" t="n">
        <v>44507</v>
      </c>
      <c r="AG17" s="0" t="n">
        <v>8</v>
      </c>
      <c r="AH17" s="0" t="n">
        <v>0.1644</v>
      </c>
      <c r="AJ17" s="10" t="n">
        <f aca="false">IF(AJ12&lt;AJ14,AJ12,AJ14)</f>
        <v>0</v>
      </c>
      <c r="AK17" s="10" t="n">
        <f aca="false">IF(AK12&lt;AK14,AK12,AK14)</f>
        <v>0</v>
      </c>
      <c r="AL17" s="10" t="n">
        <f aca="false">IF(AL12&lt;AL14,AL12,AL14)</f>
        <v>0</v>
      </c>
      <c r="AM17" s="10" t="n">
        <f aca="false">IF(AM12&lt;AM14,AM12,AM14)</f>
        <v>0</v>
      </c>
      <c r="AN17" s="10" t="n">
        <f aca="false">IF(AN12&lt;AN14,AN12,AN14)</f>
        <v>0</v>
      </c>
      <c r="AO17" s="10" t="n">
        <f aca="false">IF(AO12&lt;AO14,AO12,AO14)</f>
        <v>0</v>
      </c>
      <c r="AZ17" s="81" t="n">
        <v>42410</v>
      </c>
    </row>
    <row r="18" customFormat="false" ht="12.65" hidden="false" customHeight="false" outlineLevel="0" collapsed="false">
      <c r="F18" s="120"/>
      <c r="N18" s="10"/>
      <c r="P18" s="10" t="s">
        <v>564</v>
      </c>
      <c r="Q18" s="77" t="n">
        <f aca="false">S18*U18</f>
        <v>68.2</v>
      </c>
      <c r="R18" s="84" t="s">
        <v>562</v>
      </c>
      <c r="S18" s="85" t="n">
        <v>1.1</v>
      </c>
      <c r="T18" s="110" t="n">
        <v>1</v>
      </c>
      <c r="U18" s="55" t="n">
        <v>62</v>
      </c>
      <c r="V18" s="56" t="n">
        <v>44508</v>
      </c>
      <c r="AG18" s="0" t="n">
        <v>9</v>
      </c>
      <c r="AH18" s="0" t="n">
        <v>0.1495</v>
      </c>
      <c r="AJ18" s="10" t="e">
        <f aca="false">IF(AJ13&lt;AJ15,AJ13,AJ15)</f>
        <v>#NAME?</v>
      </c>
      <c r="AK18" s="10" t="e">
        <f aca="false">IF(AK13&lt;AK15,AK13,AK15)</f>
        <v>#NAME?</v>
      </c>
      <c r="AL18" s="10" t="e">
        <f aca="false">IF(AL13&lt;AL15,AL13,AL15)</f>
        <v>#NAME?</v>
      </c>
      <c r="AM18" s="10" t="e">
        <f aca="false">IF(AM13&lt;AM15,AM13,AM15)</f>
        <v>#NAME?</v>
      </c>
      <c r="AN18" s="10" t="e">
        <f aca="false">IF(AN13&lt;AN15,AN13,AN15)</f>
        <v>#NAME?</v>
      </c>
      <c r="AO18" s="10" t="e">
        <f aca="false">IF(AO13&lt;AO15,AO13,AO15)</f>
        <v>#NAME?</v>
      </c>
      <c r="AZ18" s="81" t="n">
        <v>42410</v>
      </c>
    </row>
    <row r="19" customFormat="false" ht="28.5" hidden="false" customHeight="true" outlineLevel="0" collapsed="false">
      <c r="A19" s="121" t="s">
        <v>565</v>
      </c>
      <c r="D19" s="77" t="n">
        <v>25</v>
      </c>
      <c r="E19" s="84" t="s">
        <v>566</v>
      </c>
      <c r="I19" s="122" t="s">
        <v>567</v>
      </c>
      <c r="J19" s="123" t="s">
        <v>568</v>
      </c>
      <c r="K19" s="123" t="s">
        <v>569</v>
      </c>
      <c r="L19" s="124" t="s">
        <v>570</v>
      </c>
      <c r="N19" s="10"/>
      <c r="P19" s="10" t="s">
        <v>571</v>
      </c>
      <c r="Q19" s="125" t="n">
        <v>0.95</v>
      </c>
      <c r="R19" s="126" t="s">
        <v>527</v>
      </c>
      <c r="S19" s="85"/>
      <c r="T19" s="110"/>
      <c r="U19" s="55"/>
      <c r="AZ19" s="81"/>
    </row>
    <row r="20" customFormat="false" ht="12.65" hidden="false" customHeight="false" outlineLevel="0" collapsed="false">
      <c r="A20" s="121" t="s">
        <v>572</v>
      </c>
      <c r="D20" s="77" t="n">
        <v>45</v>
      </c>
      <c r="E20" s="84" t="s">
        <v>566</v>
      </c>
      <c r="I20" s="127" t="s">
        <v>573</v>
      </c>
      <c r="J20" s="10" t="s">
        <v>574</v>
      </c>
      <c r="K20" s="10" t="s">
        <v>575</v>
      </c>
      <c r="L20" s="128"/>
      <c r="N20" s="10"/>
      <c r="P20" s="10" t="s">
        <v>576</v>
      </c>
      <c r="Q20" s="125" t="n">
        <v>0.25</v>
      </c>
      <c r="R20" s="126" t="s">
        <v>527</v>
      </c>
      <c r="S20" s="85"/>
      <c r="T20" s="110"/>
      <c r="U20" s="55"/>
      <c r="AG20" s="0" t="n">
        <v>10</v>
      </c>
      <c r="AH20" s="0" t="n">
        <v>0.1345</v>
      </c>
      <c r="AJ20" s="10" t="e">
        <f aca="false">IF(AJ16&lt;AJ18,AJ16,AJ18)</f>
        <v>#NAME?</v>
      </c>
      <c r="AK20" s="10" t="e">
        <f aca="false">IF(AK16&lt;AK18,AK16,AK18)</f>
        <v>#NAME?</v>
      </c>
      <c r="AL20" s="10" t="e">
        <f aca="false">IF(AL16&lt;AL18,AL16,AL18)</f>
        <v>#NAME?</v>
      </c>
      <c r="AM20" s="10" t="e">
        <f aca="false">IF(AM16&lt;AM18,AM16,AM18)</f>
        <v>#NAME?</v>
      </c>
      <c r="AN20" s="10" t="e">
        <f aca="false">IF(AN16&lt;AN18,AN16,AN18)</f>
        <v>#NAME?</v>
      </c>
      <c r="AO20" s="10" t="e">
        <f aca="false">IF(AO16&lt;AO18,AO16,AO18)</f>
        <v>#NAME?</v>
      </c>
      <c r="AZ20" s="81"/>
    </row>
    <row r="21" customFormat="false" ht="12.65" hidden="false" customHeight="false" outlineLevel="0" collapsed="false">
      <c r="A21" s="129" t="s">
        <v>577</v>
      </c>
      <c r="B21" s="63"/>
      <c r="C21" s="63"/>
      <c r="D21" s="63"/>
      <c r="E21" s="130"/>
      <c r="F21" s="131" t="s">
        <v>578</v>
      </c>
      <c r="G21" s="132" t="s">
        <v>579</v>
      </c>
      <c r="H21" s="133" t="s">
        <v>580</v>
      </c>
      <c r="I21" s="127" t="s">
        <v>581</v>
      </c>
      <c r="J21" s="10" t="s">
        <v>582</v>
      </c>
      <c r="L21" s="128"/>
      <c r="N21" s="10"/>
      <c r="P21" s="10" t="s">
        <v>583</v>
      </c>
      <c r="Q21" s="125" t="n">
        <v>45</v>
      </c>
      <c r="R21" s="84" t="s">
        <v>584</v>
      </c>
      <c r="S21" s="85"/>
      <c r="T21" s="110"/>
      <c r="U21" s="55"/>
      <c r="AZ21" s="81"/>
    </row>
    <row r="22" customFormat="false" ht="12.65" hidden="false" customHeight="false" outlineLevel="0" collapsed="false">
      <c r="A22" s="121" t="s">
        <v>585</v>
      </c>
      <c r="D22" s="77" t="n">
        <v>0.6</v>
      </c>
      <c r="E22" s="84" t="s">
        <v>555</v>
      </c>
      <c r="F22" s="134" t="n">
        <v>0.04</v>
      </c>
      <c r="G22" s="135" t="n">
        <v>80</v>
      </c>
      <c r="H22" s="136" t="n">
        <v>4.21</v>
      </c>
      <c r="I22" s="127"/>
      <c r="L22" s="128"/>
      <c r="N22" s="10"/>
      <c r="P22" s="10" t="s">
        <v>586</v>
      </c>
      <c r="Q22" s="125" t="n">
        <v>8</v>
      </c>
      <c r="R22" s="84" t="s">
        <v>587</v>
      </c>
      <c r="S22" s="85"/>
      <c r="T22" s="110"/>
      <c r="U22" s="10"/>
      <c r="V22" s="137"/>
      <c r="W22" s="55"/>
      <c r="BB22" s="81"/>
    </row>
    <row r="23" customFormat="false" ht="12.65" hidden="false" customHeight="true" outlineLevel="0" collapsed="false">
      <c r="A23" s="121" t="s">
        <v>588</v>
      </c>
      <c r="D23" s="77" t="n">
        <v>0.55</v>
      </c>
      <c r="E23" s="84" t="s">
        <v>555</v>
      </c>
      <c r="F23" s="138" t="s">
        <v>589</v>
      </c>
      <c r="G23" s="138"/>
      <c r="H23" s="139" t="n">
        <f aca="false">H22/J30+(F22+(G22/2000))*1.0825</f>
        <v>0.646024437297166</v>
      </c>
      <c r="I23" s="140" t="n">
        <f aca="false">Summary!K53</f>
        <v>121229.03886842</v>
      </c>
      <c r="J23" s="140"/>
      <c r="L23" s="128"/>
      <c r="N23" s="10"/>
      <c r="P23" s="129" t="s">
        <v>590</v>
      </c>
      <c r="Q23" s="141"/>
      <c r="R23" s="130"/>
      <c r="S23" s="85"/>
      <c r="T23" s="110"/>
      <c r="U23" s="10"/>
      <c r="V23" s="137"/>
      <c r="W23" s="55"/>
      <c r="BB23" s="81"/>
    </row>
    <row r="24" customFormat="false" ht="12.65" hidden="false" customHeight="false" outlineLevel="0" collapsed="false">
      <c r="A24" s="121" t="s">
        <v>591</v>
      </c>
      <c r="D24" s="77" t="n">
        <v>0.5</v>
      </c>
      <c r="E24" s="84" t="s">
        <v>555</v>
      </c>
      <c r="F24" s="138"/>
      <c r="G24" s="138"/>
      <c r="H24" s="139"/>
      <c r="I24" s="142"/>
      <c r="J24" s="143"/>
      <c r="K24" s="61"/>
      <c r="L24" s="144"/>
      <c r="N24" s="10"/>
      <c r="P24" s="121" t="s">
        <v>592</v>
      </c>
      <c r="Q24" s="77" t="n">
        <v>45</v>
      </c>
      <c r="R24" s="84" t="s">
        <v>593</v>
      </c>
      <c r="S24" s="85"/>
      <c r="T24" s="110"/>
      <c r="U24" s="10"/>
      <c r="V24" s="137"/>
      <c r="W24" s="55"/>
      <c r="BB24" s="81"/>
    </row>
    <row r="25" customFormat="false" ht="12.65" hidden="false" customHeight="false" outlineLevel="0" collapsed="false">
      <c r="A25" s="121" t="s">
        <v>594</v>
      </c>
      <c r="B25" s="145"/>
      <c r="C25" s="146"/>
      <c r="D25" s="77" t="n">
        <v>1.45</v>
      </c>
      <c r="E25" s="84" t="s">
        <v>595</v>
      </c>
      <c r="F25" s="147" t="s">
        <v>596</v>
      </c>
      <c r="G25" s="147"/>
      <c r="H25" s="148" t="n">
        <f aca="false">H22/J30*1.0825</f>
        <v>0.605576953374182</v>
      </c>
      <c r="N25" s="10"/>
      <c r="P25" s="121" t="s">
        <v>597</v>
      </c>
      <c r="Q25" s="77" t="n">
        <v>12</v>
      </c>
      <c r="R25" s="84" t="s">
        <v>595</v>
      </c>
      <c r="S25" s="85"/>
      <c r="T25" s="110"/>
      <c r="U25" s="10"/>
      <c r="V25" s="137"/>
      <c r="W25" s="55"/>
      <c r="BB25" s="81"/>
    </row>
    <row r="26" customFormat="false" ht="12.65" hidden="false" customHeight="false" outlineLevel="0" collapsed="false">
      <c r="A26" s="121" t="s">
        <v>598</v>
      </c>
      <c r="B26" s="145"/>
      <c r="C26" s="146" t="s">
        <v>599</v>
      </c>
      <c r="D26" s="77" t="n">
        <v>0.4</v>
      </c>
      <c r="E26" s="84" t="s">
        <v>600</v>
      </c>
      <c r="F26" s="147"/>
      <c r="G26" s="147"/>
      <c r="H26" s="148"/>
      <c r="N26" s="10"/>
      <c r="P26" s="10" t="s">
        <v>601</v>
      </c>
      <c r="Q26" s="125" t="n">
        <v>0.45</v>
      </c>
      <c r="R26" s="84" t="s">
        <v>595</v>
      </c>
      <c r="S26" s="85"/>
      <c r="T26" s="110"/>
      <c r="U26" s="55"/>
      <c r="AZ26" s="81"/>
    </row>
    <row r="27" customFormat="false" ht="12.65" hidden="false" customHeight="false" outlineLevel="0" collapsed="false">
      <c r="A27" s="121" t="s">
        <v>602</v>
      </c>
      <c r="B27" s="145"/>
      <c r="C27" s="146" t="s">
        <v>603</v>
      </c>
      <c r="D27" s="77" t="n">
        <f aca="false">73.3/160</f>
        <v>0.458125</v>
      </c>
      <c r="E27" s="84" t="s">
        <v>600</v>
      </c>
      <c r="N27" s="10"/>
      <c r="P27" s="10" t="s">
        <v>604</v>
      </c>
      <c r="Q27" s="125" t="n">
        <v>0.75</v>
      </c>
      <c r="R27" s="84" t="s">
        <v>595</v>
      </c>
      <c r="S27" s="85"/>
      <c r="T27" s="110"/>
      <c r="U27" s="55"/>
      <c r="AH27" s="0" t="n">
        <f aca="false">AH20*0.5</f>
        <v>0.06725</v>
      </c>
      <c r="AI27" s="10" t="n">
        <f aca="false">AH20*0.5</f>
        <v>0.06725</v>
      </c>
      <c r="AJ27" s="10" t="n">
        <v>3.145</v>
      </c>
      <c r="AK27" s="10" t="n">
        <v>0.2836</v>
      </c>
      <c r="AL27" s="10" t="n">
        <v>240</v>
      </c>
      <c r="AM27" s="10" t="n">
        <v>12</v>
      </c>
      <c r="AN27" s="10" t="n">
        <f aca="false">AH27*AI27*AJ27*AK27*AL27*AM27</f>
        <v>11.61726621156</v>
      </c>
      <c r="AZ27" s="81"/>
    </row>
    <row r="28" customFormat="false" ht="12.65" hidden="false" customHeight="false" outlineLevel="0" collapsed="false">
      <c r="A28" s="121" t="s">
        <v>598</v>
      </c>
      <c r="C28" s="10" t="s">
        <v>605</v>
      </c>
      <c r="D28" s="77" t="n">
        <f aca="false">138/160</f>
        <v>0.8625</v>
      </c>
      <c r="E28" s="84" t="s">
        <v>600</v>
      </c>
      <c r="N28" s="10"/>
      <c r="P28" s="10" t="s">
        <v>606</v>
      </c>
      <c r="Q28" s="125" t="n">
        <v>45</v>
      </c>
      <c r="R28" s="84" t="s">
        <v>607</v>
      </c>
      <c r="S28" s="85"/>
      <c r="T28" s="110"/>
      <c r="U28" s="55"/>
      <c r="AZ28" s="81"/>
    </row>
    <row r="29" customFormat="false" ht="12.65" hidden="false" customHeight="false" outlineLevel="0" collapsed="false">
      <c r="A29" s="121" t="s">
        <v>608</v>
      </c>
      <c r="D29" s="77" t="n">
        <v>1.05</v>
      </c>
      <c r="E29" s="84" t="s">
        <v>600</v>
      </c>
      <c r="G29" s="10" t="s">
        <v>609</v>
      </c>
      <c r="H29" s="10" t="s">
        <v>610</v>
      </c>
      <c r="I29" s="10" t="s">
        <v>611</v>
      </c>
      <c r="J29" s="10" t="s">
        <v>612</v>
      </c>
      <c r="N29" s="10"/>
      <c r="P29" s="10" t="s">
        <v>613</v>
      </c>
      <c r="Q29" s="125" t="n">
        <v>2.25</v>
      </c>
      <c r="R29" s="84" t="s">
        <v>595</v>
      </c>
      <c r="S29" s="85"/>
      <c r="T29" s="110"/>
      <c r="U29" s="55"/>
      <c r="V29" s="56" t="n">
        <f aca="false">AH20/2*AH20/2*3.145*0.2836*20*6</f>
        <v>0.484052758815</v>
      </c>
      <c r="AZ29" s="81"/>
    </row>
    <row r="30" customFormat="false" ht="15" hidden="false" customHeight="false" outlineLevel="0" collapsed="false">
      <c r="A30" s="121" t="s">
        <v>614</v>
      </c>
      <c r="B30" s="145"/>
      <c r="C30" s="146"/>
      <c r="D30" s="77" t="n">
        <v>1</v>
      </c>
      <c r="E30" s="84" t="s">
        <v>595</v>
      </c>
      <c r="G30" s="149" t="n">
        <v>20</v>
      </c>
      <c r="H30" s="150" t="n">
        <v>3</v>
      </c>
      <c r="I30" s="151" t="n">
        <v>1</v>
      </c>
      <c r="J30" s="152" t="n">
        <f aca="false">G30*(H30*H30*0.04180884375)*I30</f>
        <v>7.525591875</v>
      </c>
      <c r="N30" s="10"/>
      <c r="P30" s="10" t="s">
        <v>615</v>
      </c>
      <c r="Q30" s="125" t="n">
        <v>3</v>
      </c>
      <c r="R30" s="84" t="s">
        <v>595</v>
      </c>
      <c r="S30" s="85"/>
      <c r="T30" s="110"/>
      <c r="U30" s="55"/>
      <c r="AZ30" s="81"/>
    </row>
    <row r="31" customFormat="false" ht="12.65" hidden="false" customHeight="false" outlineLevel="0" collapsed="false">
      <c r="A31" s="153" t="s">
        <v>616</v>
      </c>
      <c r="B31" s="63"/>
      <c r="C31" s="63"/>
      <c r="D31" s="154" t="s">
        <v>617</v>
      </c>
      <c r="E31" s="155"/>
      <c r="G31" s="54"/>
      <c r="N31" s="10"/>
      <c r="P31" s="10" t="s">
        <v>618</v>
      </c>
      <c r="Q31" s="125" t="n">
        <v>27</v>
      </c>
      <c r="R31" s="84" t="s">
        <v>607</v>
      </c>
      <c r="S31" s="85"/>
      <c r="T31" s="110"/>
      <c r="U31" s="55"/>
      <c r="AZ31" s="81"/>
    </row>
    <row r="32" customFormat="false" ht="12.65" hidden="false" customHeight="false" outlineLevel="0" collapsed="false">
      <c r="A32" s="10" t="s">
        <v>619</v>
      </c>
      <c r="B32" s="96"/>
      <c r="D32" s="96" t="n">
        <v>425</v>
      </c>
      <c r="E32" s="10" t="s">
        <v>620</v>
      </c>
      <c r="N32" s="10"/>
      <c r="P32" s="10" t="s">
        <v>621</v>
      </c>
      <c r="Q32" s="125" t="n">
        <v>1.25</v>
      </c>
      <c r="R32" s="126" t="s">
        <v>527</v>
      </c>
      <c r="S32" s="85"/>
      <c r="T32" s="110"/>
      <c r="U32" s="55"/>
      <c r="AZ32" s="81"/>
    </row>
    <row r="33" customFormat="false" ht="12.65" hidden="false" customHeight="false" outlineLevel="0" collapsed="false">
      <c r="A33" s="10" t="s">
        <v>622</v>
      </c>
      <c r="B33" s="96"/>
      <c r="D33" s="96" t="n">
        <v>475</v>
      </c>
      <c r="E33" s="10" t="s">
        <v>620</v>
      </c>
      <c r="N33" s="10"/>
      <c r="P33" s="121" t="s">
        <v>623</v>
      </c>
      <c r="Q33" s="77" t="n">
        <v>8</v>
      </c>
      <c r="R33" s="10"/>
      <c r="S33" s="85"/>
      <c r="T33" s="110"/>
      <c r="U33" s="55"/>
      <c r="AZ33" s="81"/>
    </row>
    <row r="34" customFormat="false" ht="12.65" hidden="false" customHeight="false" outlineLevel="0" collapsed="false">
      <c r="A34" s="10" t="s">
        <v>624</v>
      </c>
      <c r="B34" s="96"/>
      <c r="D34" s="96" t="n">
        <v>325</v>
      </c>
      <c r="E34" s="10" t="s">
        <v>620</v>
      </c>
      <c r="N34" s="10"/>
      <c r="P34" s="10" t="s">
        <v>625</v>
      </c>
      <c r="Q34" s="77" t="n">
        <f aca="false">S34*U34</f>
        <v>45.24</v>
      </c>
      <c r="R34" s="84" t="s">
        <v>562</v>
      </c>
      <c r="S34" s="85" t="n">
        <v>1.3</v>
      </c>
      <c r="T34" s="110"/>
      <c r="U34" s="55" t="n">
        <v>34.8</v>
      </c>
      <c r="AZ34" s="81" t="n">
        <v>42410</v>
      </c>
    </row>
    <row r="35" customFormat="false" ht="12.65" hidden="false" customHeight="false" outlineLevel="0" collapsed="false">
      <c r="A35" s="10" t="s">
        <v>626</v>
      </c>
      <c r="B35" s="96"/>
      <c r="D35" s="96" t="n">
        <v>325</v>
      </c>
      <c r="E35" s="10" t="s">
        <v>620</v>
      </c>
      <c r="N35" s="10"/>
      <c r="P35" s="10" t="s">
        <v>627</v>
      </c>
      <c r="Q35" s="77" t="n">
        <f aca="false">S35*U35</f>
        <v>52.26</v>
      </c>
      <c r="R35" s="84"/>
      <c r="S35" s="85" t="n">
        <v>1.3</v>
      </c>
      <c r="T35" s="110"/>
      <c r="U35" s="55" t="n">
        <v>40.2</v>
      </c>
      <c r="AZ35" s="81" t="n">
        <v>42410</v>
      </c>
    </row>
    <row r="36" customFormat="false" ht="12.65" hidden="false" customHeight="false" outlineLevel="0" collapsed="false">
      <c r="A36" s="10" t="s">
        <v>628</v>
      </c>
      <c r="B36" s="96"/>
      <c r="D36" s="96" t="n">
        <v>350</v>
      </c>
      <c r="E36" s="10" t="s">
        <v>620</v>
      </c>
      <c r="N36" s="10"/>
      <c r="P36" s="10" t="s">
        <v>629</v>
      </c>
      <c r="Q36" s="77" t="n">
        <f aca="false">S36*U36</f>
        <v>37.8</v>
      </c>
      <c r="R36" s="84" t="s">
        <v>630</v>
      </c>
      <c r="S36" s="85" t="n">
        <v>1.5</v>
      </c>
      <c r="T36" s="110"/>
      <c r="U36" s="55" t="n">
        <v>25.2</v>
      </c>
      <c r="AZ36" s="81" t="n">
        <v>42410</v>
      </c>
    </row>
    <row r="37" customFormat="false" ht="12.65" hidden="false" customHeight="false" outlineLevel="0" collapsed="false">
      <c r="A37" s="11" t="s">
        <v>631</v>
      </c>
      <c r="D37" s="96" t="n">
        <v>45</v>
      </c>
      <c r="E37" s="10" t="s">
        <v>620</v>
      </c>
      <c r="G37" s="96"/>
      <c r="N37" s="10"/>
      <c r="P37" s="129" t="s">
        <v>632</v>
      </c>
      <c r="Q37" s="156"/>
      <c r="R37" s="157"/>
      <c r="S37" s="85"/>
      <c r="T37" s="110"/>
      <c r="U37" s="55"/>
      <c r="AZ37" s="81"/>
    </row>
    <row r="38" customFormat="false" ht="12.65" hidden="false" customHeight="false" outlineLevel="0" collapsed="false">
      <c r="A38" s="11" t="s">
        <v>633</v>
      </c>
      <c r="D38" s="96" t="n">
        <v>100</v>
      </c>
      <c r="E38" s="10" t="s">
        <v>620</v>
      </c>
      <c r="G38" s="96"/>
      <c r="L38" s="10" t="n">
        <f aca="false">159-78</f>
        <v>81</v>
      </c>
      <c r="N38" s="10"/>
      <c r="P38" s="121" t="s">
        <v>634</v>
      </c>
      <c r="Q38" s="77" t="n">
        <f aca="false">U38*T38*S38</f>
        <v>23.925</v>
      </c>
      <c r="R38" s="84" t="s">
        <v>607</v>
      </c>
      <c r="S38" s="158" t="n">
        <v>1.5</v>
      </c>
      <c r="T38" s="159" t="n">
        <v>500</v>
      </c>
      <c r="U38" s="55" t="n">
        <v>0.0319</v>
      </c>
      <c r="AZ38" s="81" t="n">
        <v>42410</v>
      </c>
    </row>
    <row r="39" customFormat="false" ht="12.65" hidden="false" customHeight="false" outlineLevel="0" collapsed="false">
      <c r="A39" s="11" t="s">
        <v>635</v>
      </c>
      <c r="D39" s="96" t="n">
        <v>100</v>
      </c>
      <c r="E39" s="10" t="s">
        <v>620</v>
      </c>
      <c r="G39" s="96"/>
      <c r="I39" s="160"/>
      <c r="J39" s="161"/>
      <c r="N39" s="10"/>
      <c r="P39" s="121" t="s">
        <v>636</v>
      </c>
      <c r="Q39" s="77" t="n">
        <f aca="false">U39*T39*S39</f>
        <v>27</v>
      </c>
      <c r="R39" s="84" t="s">
        <v>607</v>
      </c>
      <c r="S39" s="158" t="n">
        <v>1.5</v>
      </c>
      <c r="T39" s="159" t="n">
        <v>500</v>
      </c>
      <c r="U39" s="55" t="n">
        <v>0.036</v>
      </c>
      <c r="AZ39" s="81" t="n">
        <v>42410</v>
      </c>
    </row>
    <row r="40" customFormat="false" ht="12.65" hidden="false" customHeight="false" outlineLevel="0" collapsed="false">
      <c r="A40" s="11" t="s">
        <v>637</v>
      </c>
      <c r="D40" s="96" t="n">
        <v>32</v>
      </c>
      <c r="E40" s="10" t="s">
        <v>620</v>
      </c>
      <c r="G40" s="96"/>
      <c r="I40" s="162"/>
      <c r="J40" s="162"/>
      <c r="N40" s="10"/>
      <c r="P40" s="121" t="s">
        <v>638</v>
      </c>
      <c r="Q40" s="77" t="n">
        <f aca="false">S40*U40</f>
        <v>52.2</v>
      </c>
      <c r="R40" s="84" t="s">
        <v>562</v>
      </c>
      <c r="S40" s="85" t="n">
        <v>1.5</v>
      </c>
      <c r="T40" s="110"/>
      <c r="U40" s="55" t="n">
        <f aca="false">U34</f>
        <v>34.8</v>
      </c>
      <c r="AZ40" s="81" t="n">
        <v>42410</v>
      </c>
    </row>
    <row r="41" customFormat="false" ht="12.65" hidden="false" customHeight="false" outlineLevel="0" collapsed="false">
      <c r="A41" s="11" t="s">
        <v>639</v>
      </c>
      <c r="D41" s="96" t="n">
        <v>380</v>
      </c>
      <c r="E41" s="10" t="s">
        <v>620</v>
      </c>
      <c r="I41" s="162"/>
      <c r="J41" s="162"/>
      <c r="N41" s="10"/>
      <c r="P41" s="121" t="s">
        <v>640</v>
      </c>
      <c r="Q41" s="77" t="n">
        <f aca="false">S41*U41</f>
        <v>1.5</v>
      </c>
      <c r="R41" s="84" t="s">
        <v>595</v>
      </c>
      <c r="S41" s="85" t="n">
        <v>1</v>
      </c>
      <c r="T41" s="110"/>
      <c r="U41" s="55" t="n">
        <v>1.5</v>
      </c>
      <c r="AZ41" s="81"/>
    </row>
    <row r="42" customFormat="false" ht="12.65" hidden="false" customHeight="false" outlineLevel="0" collapsed="false">
      <c r="A42" s="163" t="s">
        <v>641</v>
      </c>
      <c r="D42" s="96" t="n">
        <v>2400</v>
      </c>
      <c r="E42" s="10" t="s">
        <v>620</v>
      </c>
      <c r="N42" s="10"/>
      <c r="P42" s="121" t="s">
        <v>642</v>
      </c>
      <c r="Q42" s="77" t="n">
        <f aca="false">S42*U42</f>
        <v>45</v>
      </c>
      <c r="R42" s="84" t="s">
        <v>562</v>
      </c>
      <c r="S42" s="85" t="n">
        <v>1</v>
      </c>
      <c r="T42" s="110"/>
      <c r="U42" s="55" t="n">
        <v>45</v>
      </c>
      <c r="AZ42" s="81"/>
    </row>
    <row r="43" customFormat="false" ht="12.65" hidden="false" customHeight="false" outlineLevel="0" collapsed="false">
      <c r="A43" s="11" t="s">
        <v>643</v>
      </c>
      <c r="D43" s="96" t="n">
        <v>240</v>
      </c>
      <c r="E43" s="10" t="s">
        <v>620</v>
      </c>
      <c r="N43" s="10"/>
      <c r="P43" s="10" t="s">
        <v>644</v>
      </c>
      <c r="Q43" s="77" t="n">
        <f aca="false">S43*U43</f>
        <v>105</v>
      </c>
      <c r="R43" s="84" t="s">
        <v>630</v>
      </c>
      <c r="S43" s="85" t="n">
        <v>1.25</v>
      </c>
      <c r="T43" s="110"/>
      <c r="U43" s="55" t="n">
        <v>84</v>
      </c>
      <c r="AZ43" s="81" t="n">
        <v>42410</v>
      </c>
    </row>
    <row r="44" customFormat="false" ht="12.65" hidden="false" customHeight="false" outlineLevel="0" collapsed="false">
      <c r="A44" s="11" t="s">
        <v>645</v>
      </c>
      <c r="D44" s="96" t="n">
        <v>425</v>
      </c>
      <c r="E44" s="10" t="s">
        <v>620</v>
      </c>
      <c r="N44" s="10"/>
      <c r="P44" s="10" t="s">
        <v>646</v>
      </c>
      <c r="Q44" s="77" t="n">
        <f aca="false">S44*U44</f>
        <v>567.5</v>
      </c>
      <c r="R44" s="84" t="s">
        <v>647</v>
      </c>
      <c r="S44" s="85" t="n">
        <v>1.25</v>
      </c>
      <c r="T44" s="110"/>
      <c r="U44" s="55" t="n">
        <v>454</v>
      </c>
      <c r="AZ44" s="81" t="n">
        <v>42410</v>
      </c>
    </row>
    <row r="45" customFormat="false" ht="12.65" hidden="false" customHeight="false" outlineLevel="0" collapsed="false">
      <c r="A45" s="11" t="s">
        <v>648</v>
      </c>
      <c r="D45" s="96" t="n">
        <v>450</v>
      </c>
      <c r="E45" s="10" t="s">
        <v>620</v>
      </c>
      <c r="N45" s="10"/>
      <c r="P45" s="10" t="s">
        <v>649</v>
      </c>
      <c r="Q45" s="77" t="n">
        <f aca="false">S45*U45</f>
        <v>542</v>
      </c>
      <c r="R45" s="84" t="s">
        <v>647</v>
      </c>
      <c r="S45" s="85" t="n">
        <v>1</v>
      </c>
      <c r="T45" s="110"/>
      <c r="U45" s="55" t="n">
        <v>542</v>
      </c>
      <c r="AZ45" s="81"/>
    </row>
    <row r="46" customFormat="false" ht="12.65" hidden="false" customHeight="false" outlineLevel="0" collapsed="false">
      <c r="A46" s="164" t="s">
        <v>650</v>
      </c>
      <c r="B46" s="165"/>
      <c r="C46" s="166" t="n">
        <v>39222</v>
      </c>
      <c r="D46" s="165"/>
      <c r="E46" s="165"/>
      <c r="F46" s="165"/>
      <c r="G46" s="165"/>
      <c r="H46" s="167"/>
      <c r="N46" s="10"/>
      <c r="P46" s="10" t="s">
        <v>651</v>
      </c>
      <c r="Q46" s="77" t="n">
        <f aca="false">S46*U46</f>
        <v>635</v>
      </c>
      <c r="R46" s="84" t="s">
        <v>647</v>
      </c>
      <c r="S46" s="85" t="n">
        <v>1</v>
      </c>
      <c r="T46" s="110"/>
      <c r="U46" s="55" t="n">
        <v>635</v>
      </c>
      <c r="AZ46" s="81"/>
    </row>
    <row r="47" customFormat="false" ht="12.65" hidden="false" customHeight="false" outlineLevel="0" collapsed="false">
      <c r="A47" s="72" t="s">
        <v>652</v>
      </c>
      <c r="C47" s="77" t="n">
        <v>0.55</v>
      </c>
      <c r="H47" s="128"/>
      <c r="N47" s="10"/>
      <c r="P47" s="10" t="s">
        <v>653</v>
      </c>
      <c r="Q47" s="77" t="n">
        <f aca="false">S47*U47</f>
        <v>1.995</v>
      </c>
      <c r="R47" s="10"/>
      <c r="S47" s="168" t="n">
        <v>1.5</v>
      </c>
      <c r="T47" s="169"/>
      <c r="U47" s="55" t="n">
        <v>1.33</v>
      </c>
      <c r="AZ47" s="81" t="n">
        <v>42410</v>
      </c>
    </row>
    <row r="48" customFormat="false" ht="12.65" hidden="false" customHeight="false" outlineLevel="0" collapsed="false">
      <c r="A48" s="72" t="s">
        <v>654</v>
      </c>
      <c r="C48" s="77" t="n">
        <v>1.25</v>
      </c>
      <c r="H48" s="128"/>
      <c r="N48" s="10"/>
      <c r="P48" s="10" t="s">
        <v>655</v>
      </c>
      <c r="Q48" s="77" t="n">
        <f aca="false">S48*U48</f>
        <v>2.25</v>
      </c>
      <c r="R48" s="10"/>
      <c r="S48" s="168" t="n">
        <v>1.5</v>
      </c>
      <c r="T48" s="169"/>
      <c r="U48" s="55" t="n">
        <v>1.5</v>
      </c>
      <c r="AZ48" s="81" t="n">
        <v>42410</v>
      </c>
    </row>
    <row r="49" customFormat="false" ht="12.65" hidden="false" customHeight="false" outlineLevel="0" collapsed="false">
      <c r="A49" s="72" t="s">
        <v>656</v>
      </c>
      <c r="C49" s="77" t="n">
        <v>0.75</v>
      </c>
      <c r="H49" s="128"/>
      <c r="N49" s="10"/>
      <c r="P49" s="10" t="s">
        <v>657</v>
      </c>
      <c r="Q49" s="77" t="n">
        <f aca="false">S49*U49</f>
        <v>3.12</v>
      </c>
      <c r="R49" s="10"/>
      <c r="S49" s="168" t="n">
        <v>1.5</v>
      </c>
      <c r="T49" s="169"/>
      <c r="U49" s="55" t="n">
        <v>2.08</v>
      </c>
      <c r="AZ49" s="81" t="n">
        <v>42410</v>
      </c>
    </row>
    <row r="50" customFormat="false" ht="12.75" hidden="false" customHeight="true" outlineLevel="0" collapsed="false">
      <c r="A50" s="72" t="s">
        <v>658</v>
      </c>
      <c r="C50" s="77" t="n">
        <v>2</v>
      </c>
      <c r="H50" s="128"/>
      <c r="N50" s="10"/>
      <c r="P50" s="10" t="s">
        <v>659</v>
      </c>
      <c r="Q50" s="77" t="n">
        <f aca="false">S50*U50</f>
        <v>4.995</v>
      </c>
      <c r="R50" s="10"/>
      <c r="S50" s="168" t="n">
        <v>1.5</v>
      </c>
      <c r="T50" s="169"/>
      <c r="U50" s="55" t="n">
        <v>3.33</v>
      </c>
      <c r="AZ50" s="81" t="n">
        <v>42410</v>
      </c>
    </row>
    <row r="51" customFormat="false" ht="17.25" hidden="false" customHeight="true" outlineLevel="0" collapsed="false">
      <c r="A51" s="72"/>
      <c r="C51" s="77"/>
      <c r="F51" s="10" t="s">
        <v>660</v>
      </c>
      <c r="G51" s="10" t="s">
        <v>106</v>
      </c>
      <c r="H51" s="128" t="s">
        <v>661</v>
      </c>
      <c r="K51" s="170" t="s">
        <v>662</v>
      </c>
      <c r="L51" s="81"/>
      <c r="N51" s="10"/>
      <c r="P51" s="10"/>
      <c r="Q51" s="54"/>
      <c r="R51" s="10"/>
      <c r="S51" s="168"/>
      <c r="T51" s="169"/>
      <c r="U51" s="55"/>
    </row>
    <row r="52" customFormat="false" ht="18" hidden="false" customHeight="true" outlineLevel="0" collapsed="false">
      <c r="A52" s="72" t="s">
        <v>663</v>
      </c>
      <c r="C52" s="77" t="n">
        <v>0.45</v>
      </c>
      <c r="D52" s="10" t="s">
        <v>664</v>
      </c>
      <c r="F52" s="171" t="n">
        <v>150</v>
      </c>
      <c r="G52" s="171" t="n">
        <v>600</v>
      </c>
      <c r="H52" s="172" t="n">
        <v>800</v>
      </c>
      <c r="N52" s="10"/>
      <c r="P52" s="67" t="s">
        <v>665</v>
      </c>
      <c r="Q52" s="173"/>
      <c r="R52" s="129"/>
      <c r="S52" s="85"/>
      <c r="T52" s="110"/>
      <c r="U52" s="55"/>
      <c r="AZ52" s="81"/>
    </row>
    <row r="53" customFormat="false" ht="12.65" hidden="false" customHeight="false" outlineLevel="0" collapsed="false">
      <c r="A53" s="72" t="s">
        <v>663</v>
      </c>
      <c r="C53" s="77" t="n">
        <v>0.55</v>
      </c>
      <c r="D53" s="10" t="s">
        <v>666</v>
      </c>
      <c r="F53" s="171" t="n">
        <v>250</v>
      </c>
      <c r="H53" s="128"/>
      <c r="N53" s="10"/>
      <c r="P53" s="121" t="s">
        <v>667</v>
      </c>
      <c r="Q53" s="77" t="n">
        <f aca="false">S53*U53</f>
        <v>66</v>
      </c>
      <c r="R53" s="84" t="s">
        <v>630</v>
      </c>
      <c r="S53" s="85" t="n">
        <v>1.1</v>
      </c>
      <c r="T53" s="110"/>
      <c r="U53" s="55" t="n">
        <v>60</v>
      </c>
      <c r="AZ53" s="81"/>
    </row>
    <row r="54" customFormat="false" ht="12.65" hidden="false" customHeight="false" outlineLevel="0" collapsed="false">
      <c r="A54" s="72" t="s">
        <v>668</v>
      </c>
      <c r="C54" s="77"/>
      <c r="F54" s="171" t="n">
        <v>150</v>
      </c>
      <c r="H54" s="128"/>
      <c r="N54" s="10"/>
      <c r="P54" s="121" t="s">
        <v>669</v>
      </c>
      <c r="Q54" s="77" t="n">
        <f aca="false">S54*U54</f>
        <v>82.5</v>
      </c>
      <c r="R54" s="84" t="s">
        <v>630</v>
      </c>
      <c r="S54" s="85" t="n">
        <v>1.1</v>
      </c>
      <c r="T54" s="110"/>
      <c r="U54" s="55" t="n">
        <v>75</v>
      </c>
      <c r="V54" s="56" t="n">
        <v>44631</v>
      </c>
      <c r="AZ54" s="81"/>
    </row>
    <row r="55" customFormat="false" ht="12.65" hidden="false" customHeight="false" outlineLevel="0" collapsed="false">
      <c r="A55" s="72"/>
      <c r="C55" s="77"/>
      <c r="H55" s="128"/>
      <c r="I55" s="10" t="s">
        <v>670</v>
      </c>
      <c r="N55" s="10"/>
      <c r="P55" s="121" t="s">
        <v>671</v>
      </c>
      <c r="Q55" s="77" t="n">
        <f aca="false">S55*U55</f>
        <v>110</v>
      </c>
      <c r="R55" s="84" t="s">
        <v>630</v>
      </c>
      <c r="S55" s="85" t="n">
        <v>1.1</v>
      </c>
      <c r="T55" s="110"/>
      <c r="U55" s="55" t="n">
        <v>100</v>
      </c>
      <c r="V55" s="56" t="n">
        <v>44631</v>
      </c>
      <c r="AZ55" s="81"/>
    </row>
    <row r="56" customFormat="false" ht="12.65" hidden="false" customHeight="false" outlineLevel="0" collapsed="false">
      <c r="A56" s="86" t="s">
        <v>672</v>
      </c>
      <c r="B56" s="61"/>
      <c r="C56" s="135" t="n">
        <v>6</v>
      </c>
      <c r="D56" s="61" t="s">
        <v>664</v>
      </c>
      <c r="E56" s="61"/>
      <c r="F56" s="61"/>
      <c r="G56" s="61"/>
      <c r="H56" s="144"/>
      <c r="N56" s="10"/>
      <c r="P56" s="10" t="s">
        <v>673</v>
      </c>
      <c r="Q56" s="77" t="n">
        <f aca="false">S56*U56</f>
        <v>370</v>
      </c>
      <c r="R56" s="84" t="s">
        <v>630</v>
      </c>
      <c r="S56" s="82" t="n">
        <v>1</v>
      </c>
      <c r="T56" s="110"/>
      <c r="U56" s="55" t="n">
        <v>370</v>
      </c>
      <c r="V56" s="56" t="n">
        <v>44631</v>
      </c>
      <c r="AZ56" s="81"/>
    </row>
    <row r="57" customFormat="false" ht="12.65" hidden="false" customHeight="false" outlineLevel="0" collapsed="false">
      <c r="L57" s="81" t="s">
        <v>674</v>
      </c>
      <c r="N57" s="10"/>
      <c r="P57" s="10" t="s">
        <v>675</v>
      </c>
      <c r="Q57" s="77" t="n">
        <f aca="false">S57*U57</f>
        <v>370</v>
      </c>
      <c r="R57" s="84" t="s">
        <v>630</v>
      </c>
      <c r="S57" s="82" t="n">
        <v>1</v>
      </c>
      <c r="T57" s="110"/>
      <c r="U57" s="55" t="n">
        <v>370</v>
      </c>
      <c r="V57" s="56" t="n">
        <v>44631</v>
      </c>
      <c r="AZ57" s="81"/>
    </row>
    <row r="58" customFormat="false" ht="12.65" hidden="false" customHeight="false" outlineLevel="0" collapsed="false">
      <c r="N58" s="10"/>
      <c r="P58" s="10" t="s">
        <v>676</v>
      </c>
      <c r="Q58" s="77" t="n">
        <f aca="false">S58*U58</f>
        <v>310</v>
      </c>
      <c r="R58" s="84" t="s">
        <v>630</v>
      </c>
      <c r="S58" s="82" t="n">
        <v>1</v>
      </c>
      <c r="T58" s="110"/>
      <c r="U58" s="55" t="n">
        <f aca="false">310</f>
        <v>310</v>
      </c>
      <c r="V58" s="56" t="n">
        <v>44631</v>
      </c>
      <c r="AZ58" s="81"/>
    </row>
    <row r="59" customFormat="false" ht="17.35" hidden="false" customHeight="false" outlineLevel="0" collapsed="false">
      <c r="A59" s="174" t="s">
        <v>677</v>
      </c>
      <c r="B59" s="175"/>
      <c r="C59" s="175"/>
      <c r="D59" s="175"/>
      <c r="E59" s="175"/>
      <c r="F59" s="175"/>
      <c r="G59" s="175"/>
      <c r="H59" s="175"/>
      <c r="I59" s="167"/>
      <c r="N59" s="10"/>
      <c r="P59" s="10" t="s">
        <v>678</v>
      </c>
      <c r="Q59" s="125" t="n">
        <f aca="false">S59*U59</f>
        <v>310</v>
      </c>
      <c r="R59" s="84" t="s">
        <v>630</v>
      </c>
      <c r="S59" s="82" t="n">
        <v>1</v>
      </c>
      <c r="T59" s="110"/>
      <c r="U59" s="55" t="n">
        <f aca="false">310</f>
        <v>310</v>
      </c>
      <c r="V59" s="56" t="n">
        <v>44631</v>
      </c>
      <c r="AZ59" s="81"/>
    </row>
    <row r="60" customFormat="false" ht="13.8" hidden="false" customHeight="false" outlineLevel="0" collapsed="false">
      <c r="A60" s="176" t="s">
        <v>679</v>
      </c>
      <c r="I60" s="128"/>
      <c r="N60" s="10"/>
      <c r="P60" s="10" t="s">
        <v>680</v>
      </c>
      <c r="Q60" s="125" t="n">
        <v>22.76</v>
      </c>
      <c r="R60" s="84" t="s">
        <v>681</v>
      </c>
      <c r="S60" s="85"/>
      <c r="T60" s="110"/>
      <c r="U60" s="55"/>
      <c r="AZ60" s="81"/>
    </row>
    <row r="61" customFormat="false" ht="13.8" hidden="false" customHeight="false" outlineLevel="0" collapsed="false">
      <c r="A61" s="176" t="s">
        <v>682</v>
      </c>
      <c r="I61" s="128"/>
      <c r="L61" s="121"/>
      <c r="N61" s="10"/>
      <c r="P61" s="10" t="s">
        <v>680</v>
      </c>
      <c r="Q61" s="125" t="n">
        <v>1.65</v>
      </c>
      <c r="R61" s="84" t="s">
        <v>683</v>
      </c>
      <c r="S61" s="85" t="n">
        <v>1</v>
      </c>
      <c r="T61" s="110"/>
      <c r="U61" s="55"/>
      <c r="AZ61" s="81" t="n">
        <v>44349</v>
      </c>
      <c r="BA61" s="10" t="s">
        <v>684</v>
      </c>
    </row>
    <row r="62" customFormat="false" ht="13.8" hidden="false" customHeight="false" outlineLevel="0" collapsed="false">
      <c r="A62" s="176" t="s">
        <v>685</v>
      </c>
      <c r="B62" s="10" t="s">
        <v>686</v>
      </c>
      <c r="I62" s="128"/>
      <c r="L62" s="121"/>
      <c r="N62" s="10"/>
      <c r="P62" s="125" t="s">
        <v>687</v>
      </c>
      <c r="Q62" s="177" t="n">
        <f aca="false">S62*U62</f>
        <v>49.5</v>
      </c>
      <c r="R62" s="10"/>
      <c r="S62" s="168" t="n">
        <v>1.1</v>
      </c>
      <c r="T62" s="169"/>
      <c r="U62" s="55" t="n">
        <v>45</v>
      </c>
      <c r="AZ62" s="81" t="n">
        <v>44349</v>
      </c>
      <c r="BA62" s="10" t="s">
        <v>684</v>
      </c>
    </row>
    <row r="63" customFormat="false" ht="13.8" hidden="false" customHeight="false" outlineLevel="0" collapsed="false">
      <c r="A63" s="176" t="s">
        <v>688</v>
      </c>
      <c r="B63" s="178" t="s">
        <v>689</v>
      </c>
      <c r="I63" s="128"/>
      <c r="N63" s="10"/>
      <c r="P63" s="125" t="s">
        <v>690</v>
      </c>
      <c r="Q63" s="177" t="n">
        <f aca="false">S63*U63</f>
        <v>23.65</v>
      </c>
      <c r="R63" s="10"/>
      <c r="S63" s="168" t="n">
        <v>1.1</v>
      </c>
      <c r="T63" s="169"/>
      <c r="U63" s="55" t="n">
        <v>21.5</v>
      </c>
      <c r="AZ63" s="81" t="n">
        <v>44349</v>
      </c>
      <c r="BA63" s="10" t="s">
        <v>684</v>
      </c>
    </row>
    <row r="64" customFormat="false" ht="12.65" hidden="false" customHeight="false" outlineLevel="0" collapsed="false">
      <c r="A64" s="179"/>
      <c r="I64" s="128"/>
      <c r="N64" s="10"/>
      <c r="P64" s="125" t="s">
        <v>691</v>
      </c>
      <c r="Q64" s="177" t="n">
        <v>432.75</v>
      </c>
      <c r="R64" s="73"/>
      <c r="S64" s="168"/>
      <c r="T64" s="169"/>
      <c r="U64" s="55"/>
      <c r="AZ64" s="81"/>
    </row>
    <row r="65" customFormat="false" ht="12.65" hidden="false" customHeight="false" outlineLevel="0" collapsed="false">
      <c r="A65" s="179" t="s">
        <v>692</v>
      </c>
      <c r="I65" s="128"/>
      <c r="N65" s="10"/>
      <c r="P65" s="125"/>
      <c r="Q65" s="177"/>
      <c r="R65" s="73"/>
      <c r="S65" s="168"/>
      <c r="T65" s="169"/>
      <c r="U65" s="55"/>
      <c r="AZ65" s="81"/>
    </row>
    <row r="66" customFormat="false" ht="12.65" hidden="false" customHeight="false" outlineLevel="0" collapsed="false">
      <c r="A66" s="179" t="s">
        <v>693</v>
      </c>
      <c r="I66" s="128"/>
      <c r="N66" s="10"/>
      <c r="P66" s="125" t="s">
        <v>694</v>
      </c>
      <c r="Q66" s="177" t="n">
        <f aca="false">U66*T66*S66</f>
        <v>356.6725</v>
      </c>
      <c r="R66" s="73"/>
      <c r="S66" s="180" t="n">
        <v>1.15</v>
      </c>
      <c r="T66" s="169" t="n">
        <v>1</v>
      </c>
      <c r="U66" s="55" t="n">
        <v>310.15</v>
      </c>
      <c r="AZ66" s="81"/>
    </row>
    <row r="67" customFormat="false" ht="12.65" hidden="false" customHeight="false" outlineLevel="0" collapsed="false">
      <c r="A67" s="179" t="s">
        <v>695</v>
      </c>
      <c r="I67" s="128"/>
      <c r="N67" s="10"/>
      <c r="P67" s="125" t="s">
        <v>696</v>
      </c>
      <c r="Q67" s="177" t="n">
        <f aca="false">U67*T67*S67</f>
        <v>17.25</v>
      </c>
      <c r="R67" s="10"/>
      <c r="S67" s="180" t="n">
        <v>1.15</v>
      </c>
      <c r="T67" s="169" t="n">
        <v>1</v>
      </c>
      <c r="U67" s="55" t="n">
        <v>15</v>
      </c>
      <c r="AZ67" s="81" t="n">
        <v>44349</v>
      </c>
    </row>
    <row r="68" customFormat="false" ht="12.65" hidden="false" customHeight="false" outlineLevel="0" collapsed="false">
      <c r="A68" s="179"/>
      <c r="I68" s="128"/>
      <c r="N68" s="10"/>
      <c r="P68" s="77" t="s">
        <v>697</v>
      </c>
      <c r="Q68" s="120" t="n">
        <v>305</v>
      </c>
      <c r="R68" s="10"/>
      <c r="S68" s="168"/>
      <c r="T68" s="169"/>
      <c r="U68" s="55"/>
      <c r="AZ68" s="81"/>
    </row>
    <row r="69" customFormat="false" ht="17.35" hidden="false" customHeight="false" outlineLevel="0" collapsed="false">
      <c r="A69" s="176"/>
      <c r="B69" s="181"/>
      <c r="C69" s="181"/>
      <c r="D69" s="181"/>
      <c r="E69" s="182" t="s">
        <v>698</v>
      </c>
      <c r="F69" s="181"/>
      <c r="G69" s="181"/>
      <c r="H69" s="181"/>
      <c r="I69" s="128"/>
      <c r="N69" s="10"/>
      <c r="P69" s="125" t="s">
        <v>699</v>
      </c>
      <c r="Q69" s="183" t="n">
        <f aca="false">12*200*0.104</f>
        <v>249.6</v>
      </c>
      <c r="R69" s="10"/>
      <c r="S69" s="184"/>
      <c r="T69" s="169"/>
      <c r="U69" s="55"/>
      <c r="AZ69" s="81"/>
    </row>
    <row r="70" customFormat="false" ht="13.8" hidden="false" customHeight="false" outlineLevel="0" collapsed="false">
      <c r="A70" s="185" t="s">
        <v>700</v>
      </c>
      <c r="B70" s="181"/>
      <c r="C70" s="181"/>
      <c r="D70" s="181"/>
      <c r="E70" s="186" t="s">
        <v>701</v>
      </c>
      <c r="F70" s="181"/>
      <c r="G70" s="181"/>
      <c r="H70" s="187" t="s">
        <v>702</v>
      </c>
      <c r="I70" s="128"/>
      <c r="N70" s="10"/>
      <c r="P70" s="10"/>
      <c r="Q70" s="54"/>
      <c r="R70" s="10"/>
      <c r="U70" s="55"/>
    </row>
    <row r="71" customFormat="false" ht="15" hidden="false" customHeight="false" outlineLevel="0" collapsed="false">
      <c r="A71" s="179" t="s">
        <v>703</v>
      </c>
      <c r="E71" s="55" t="n">
        <v>0.45</v>
      </c>
      <c r="H71" s="10" t="s">
        <v>704</v>
      </c>
      <c r="I71" s="128"/>
      <c r="L71" s="188" t="s">
        <v>705</v>
      </c>
      <c r="M71" s="188"/>
      <c r="N71" s="188"/>
      <c r="O71" s="188"/>
      <c r="P71" s="188"/>
      <c r="Q71" s="188"/>
      <c r="R71" s="188"/>
      <c r="S71" s="188"/>
      <c r="T71" s="188"/>
      <c r="U71" s="188"/>
      <c r="V71" s="188"/>
      <c r="W71" s="188"/>
    </row>
    <row r="72" customFormat="false" ht="13.8" hidden="false" customHeight="false" outlineLevel="0" collapsed="false">
      <c r="A72" s="179" t="s">
        <v>703</v>
      </c>
      <c r="E72" s="55" t="n">
        <v>0.6</v>
      </c>
      <c r="H72" s="10" t="s">
        <v>706</v>
      </c>
      <c r="I72" s="128"/>
      <c r="L72" s="189" t="s">
        <v>707</v>
      </c>
      <c r="M72" s="189"/>
    </row>
    <row r="73" customFormat="false" ht="12.75" hidden="false" customHeight="false" outlineLevel="0" collapsed="false">
      <c r="A73" s="179" t="s">
        <v>703</v>
      </c>
      <c r="E73" s="55" t="n">
        <v>0.75</v>
      </c>
      <c r="H73" s="10" t="s">
        <v>708</v>
      </c>
      <c r="I73" s="128"/>
      <c r="L73" s="190" t="s">
        <v>568</v>
      </c>
      <c r="M73" s="190"/>
      <c r="N73" s="190" t="s">
        <v>569</v>
      </c>
      <c r="O73" s="190"/>
      <c r="P73" s="190" t="s">
        <v>709</v>
      </c>
      <c r="Q73" s="190"/>
      <c r="R73" s="190"/>
      <c r="S73" s="190" t="s">
        <v>710</v>
      </c>
      <c r="T73" s="190"/>
      <c r="U73" s="190" t="s">
        <v>711</v>
      </c>
      <c r="V73" s="190"/>
      <c r="W73" s="190"/>
    </row>
    <row r="74" customFormat="false" ht="12.75" hidden="false" customHeight="false" outlineLevel="0" collapsed="false">
      <c r="A74" s="179"/>
      <c r="I74" s="128"/>
      <c r="L74" s="191" t="s">
        <v>712</v>
      </c>
      <c r="M74" s="191"/>
      <c r="N74" s="191" t="s">
        <v>713</v>
      </c>
      <c r="O74" s="191"/>
      <c r="P74" s="191" t="s">
        <v>714</v>
      </c>
      <c r="Q74" s="191"/>
      <c r="R74" s="191"/>
      <c r="S74" s="192" t="s">
        <v>715</v>
      </c>
      <c r="T74" s="192"/>
      <c r="U74" s="193" t="s">
        <v>716</v>
      </c>
      <c r="V74" s="193"/>
      <c r="W74" s="193"/>
    </row>
    <row r="75" customFormat="false" ht="12.75" hidden="false" customHeight="false" outlineLevel="0" collapsed="false">
      <c r="A75" s="179"/>
      <c r="I75" s="128"/>
      <c r="L75" s="191" t="s">
        <v>717</v>
      </c>
      <c r="M75" s="191"/>
      <c r="N75" s="191" t="s">
        <v>718</v>
      </c>
      <c r="O75" s="191"/>
      <c r="P75" s="191"/>
      <c r="Q75" s="191"/>
      <c r="R75" s="191"/>
      <c r="S75" s="191"/>
      <c r="T75" s="191"/>
      <c r="U75" s="194" t="s">
        <v>719</v>
      </c>
      <c r="V75" s="194"/>
      <c r="W75" s="194"/>
    </row>
    <row r="76" customFormat="false" ht="12.65" hidden="false" customHeight="false" outlineLevel="0" collapsed="false">
      <c r="A76" s="179"/>
      <c r="I76" s="128"/>
    </row>
    <row r="77" customFormat="false" ht="13.8" hidden="false" customHeight="false" outlineLevel="0" collapsed="false">
      <c r="A77" s="179" t="s">
        <v>720</v>
      </c>
      <c r="I77" s="128"/>
      <c r="L77" s="189" t="s">
        <v>721</v>
      </c>
      <c r="M77" s="189"/>
    </row>
    <row r="78" customFormat="false" ht="12.75" hidden="false" customHeight="false" outlineLevel="0" collapsed="false">
      <c r="A78" s="179" t="s">
        <v>722</v>
      </c>
      <c r="H78" s="55" t="n">
        <v>1.5</v>
      </c>
      <c r="I78" s="128"/>
      <c r="L78" s="190" t="s">
        <v>568</v>
      </c>
      <c r="M78" s="190"/>
      <c r="N78" s="190" t="s">
        <v>569</v>
      </c>
      <c r="O78" s="190"/>
      <c r="P78" s="190" t="s">
        <v>709</v>
      </c>
      <c r="Q78" s="190"/>
      <c r="R78" s="190"/>
      <c r="S78" s="190" t="s">
        <v>710</v>
      </c>
      <c r="T78" s="190"/>
      <c r="U78" s="190" t="s">
        <v>711</v>
      </c>
      <c r="V78" s="190"/>
      <c r="W78" s="190"/>
    </row>
    <row r="79" customFormat="false" ht="12.75" hidden="false" customHeight="false" outlineLevel="0" collapsed="false">
      <c r="A79" s="179" t="s">
        <v>723</v>
      </c>
      <c r="H79" s="55" t="n">
        <v>2</v>
      </c>
      <c r="I79" s="128"/>
      <c r="L79" s="191" t="s">
        <v>712</v>
      </c>
      <c r="M79" s="191"/>
      <c r="N79" s="191" t="s">
        <v>713</v>
      </c>
      <c r="O79" s="191"/>
      <c r="P79" s="191" t="s">
        <v>714</v>
      </c>
      <c r="Q79" s="191"/>
      <c r="R79" s="191"/>
      <c r="S79" s="192" t="s">
        <v>715</v>
      </c>
      <c r="T79" s="192"/>
      <c r="U79" s="193" t="s">
        <v>716</v>
      </c>
      <c r="V79" s="193"/>
      <c r="W79" s="193"/>
    </row>
    <row r="80" customFormat="false" ht="12.75" hidden="false" customHeight="false" outlineLevel="0" collapsed="false">
      <c r="A80" s="179" t="s">
        <v>724</v>
      </c>
      <c r="H80" s="55" t="n">
        <v>0.25</v>
      </c>
      <c r="I80" s="128"/>
      <c r="L80" s="191" t="s">
        <v>725</v>
      </c>
      <c r="M80" s="191"/>
      <c r="N80" s="191" t="s">
        <v>726</v>
      </c>
      <c r="O80" s="191"/>
      <c r="P80" s="191" t="s">
        <v>727</v>
      </c>
      <c r="Q80" s="191"/>
      <c r="R80" s="191"/>
      <c r="S80" s="191"/>
      <c r="T80" s="191"/>
      <c r="U80" s="194" t="s">
        <v>728</v>
      </c>
      <c r="V80" s="194"/>
      <c r="W80" s="194"/>
    </row>
    <row r="81" customFormat="false" ht="12.75" hidden="false" customHeight="false" outlineLevel="0" collapsed="false">
      <c r="A81" s="179" t="s">
        <v>729</v>
      </c>
      <c r="H81" s="55" t="n">
        <v>0.2</v>
      </c>
      <c r="I81" s="128"/>
      <c r="L81" s="191" t="s">
        <v>717</v>
      </c>
      <c r="M81" s="191"/>
      <c r="N81" s="191" t="s">
        <v>718</v>
      </c>
      <c r="O81" s="191"/>
      <c r="P81" s="191"/>
      <c r="Q81" s="191"/>
      <c r="R81" s="191"/>
      <c r="S81" s="191"/>
      <c r="T81" s="191"/>
      <c r="U81" s="194" t="s">
        <v>719</v>
      </c>
      <c r="V81" s="194"/>
      <c r="W81" s="194"/>
    </row>
    <row r="82" customFormat="false" ht="12.75" hidden="false" customHeight="false" outlineLevel="0" collapsed="false">
      <c r="A82" s="179" t="s">
        <v>730</v>
      </c>
      <c r="H82" s="55" t="n">
        <v>850</v>
      </c>
      <c r="I82" s="128"/>
      <c r="L82" s="191" t="s">
        <v>731</v>
      </c>
      <c r="M82" s="191"/>
      <c r="N82" s="191" t="s">
        <v>732</v>
      </c>
      <c r="O82" s="191"/>
      <c r="P82" s="191" t="s">
        <v>733</v>
      </c>
      <c r="Q82" s="191"/>
      <c r="R82" s="191"/>
      <c r="S82" s="191"/>
      <c r="T82" s="191"/>
      <c r="U82" s="194" t="s">
        <v>734</v>
      </c>
      <c r="V82" s="194"/>
      <c r="W82" s="194"/>
    </row>
    <row r="83" customFormat="false" ht="12.65" hidden="false" customHeight="false" outlineLevel="0" collapsed="false">
      <c r="A83" s="179" t="s">
        <v>735</v>
      </c>
      <c r="I83" s="128"/>
    </row>
    <row r="84" customFormat="false" ht="13.8" hidden="false" customHeight="false" outlineLevel="0" collapsed="false">
      <c r="A84" s="179" t="s">
        <v>736</v>
      </c>
      <c r="H84" s="55" t="n">
        <v>100</v>
      </c>
      <c r="I84" s="128" t="s">
        <v>737</v>
      </c>
      <c r="L84" s="189" t="s">
        <v>738</v>
      </c>
      <c r="M84" s="189"/>
    </row>
    <row r="85" customFormat="false" ht="12.75" hidden="false" customHeight="false" outlineLevel="0" collapsed="false">
      <c r="A85" s="179"/>
      <c r="I85" s="128"/>
      <c r="L85" s="190" t="s">
        <v>568</v>
      </c>
      <c r="M85" s="190"/>
      <c r="N85" s="190" t="s">
        <v>569</v>
      </c>
      <c r="O85" s="190"/>
      <c r="P85" s="190" t="s">
        <v>709</v>
      </c>
      <c r="Q85" s="190"/>
      <c r="R85" s="190"/>
      <c r="S85" s="190" t="s">
        <v>710</v>
      </c>
      <c r="T85" s="190"/>
      <c r="U85" s="190" t="s">
        <v>711</v>
      </c>
      <c r="V85" s="190"/>
      <c r="W85" s="190"/>
    </row>
    <row r="86" customFormat="false" ht="12.75" hidden="false" customHeight="false" outlineLevel="0" collapsed="false">
      <c r="A86" s="179" t="s">
        <v>739</v>
      </c>
      <c r="H86" s="55" t="n">
        <v>6.5</v>
      </c>
      <c r="I86" s="128"/>
      <c r="L86" s="192" t="s">
        <v>740</v>
      </c>
      <c r="M86" s="192"/>
      <c r="N86" s="192" t="s">
        <v>741</v>
      </c>
      <c r="O86" s="192"/>
      <c r="P86" s="195"/>
      <c r="Q86" s="195"/>
      <c r="R86" s="195"/>
      <c r="S86" s="192"/>
      <c r="T86" s="192"/>
      <c r="U86" s="193" t="s">
        <v>742</v>
      </c>
      <c r="V86" s="193"/>
      <c r="W86" s="193"/>
    </row>
    <row r="87" customFormat="false" ht="12.75" hidden="false" customHeight="false" outlineLevel="0" collapsed="false">
      <c r="A87" s="179"/>
      <c r="I87" s="128"/>
      <c r="L87" s="191" t="s">
        <v>743</v>
      </c>
      <c r="M87" s="191"/>
      <c r="N87" s="191" t="s">
        <v>744</v>
      </c>
      <c r="O87" s="191"/>
      <c r="P87" s="191" t="s">
        <v>745</v>
      </c>
      <c r="Q87" s="191"/>
      <c r="R87" s="191"/>
      <c r="S87" s="191"/>
      <c r="T87" s="191"/>
      <c r="U87" s="194" t="s">
        <v>746</v>
      </c>
      <c r="V87" s="194"/>
      <c r="W87" s="194"/>
    </row>
    <row r="88" customFormat="false" ht="13.8" hidden="false" customHeight="false" outlineLevel="0" collapsed="false">
      <c r="A88" s="185" t="s">
        <v>747</v>
      </c>
      <c r="B88" s="186"/>
      <c r="C88" s="186"/>
      <c r="D88" s="186"/>
      <c r="E88" s="186"/>
      <c r="F88" s="186" t="s">
        <v>748</v>
      </c>
      <c r="G88" s="186" t="s">
        <v>749</v>
      </c>
      <c r="H88" s="186" t="s">
        <v>750</v>
      </c>
      <c r="I88" s="128"/>
      <c r="L88" s="191" t="s">
        <v>751</v>
      </c>
      <c r="M88" s="191"/>
      <c r="N88" s="191" t="s">
        <v>752</v>
      </c>
      <c r="O88" s="191"/>
      <c r="P88" s="191"/>
      <c r="Q88" s="191"/>
      <c r="R88" s="191"/>
      <c r="S88" s="191"/>
      <c r="T88" s="191"/>
      <c r="U88" s="194" t="s">
        <v>753</v>
      </c>
      <c r="V88" s="194"/>
      <c r="W88" s="194"/>
    </row>
    <row r="89" customFormat="false" ht="12.65" hidden="false" customHeight="false" outlineLevel="0" collapsed="false">
      <c r="A89" s="179" t="s">
        <v>754</v>
      </c>
      <c r="F89" s="55" t="n">
        <v>0.55</v>
      </c>
      <c r="G89" s="55" t="n">
        <v>0.75</v>
      </c>
      <c r="H89" s="55" t="n">
        <v>1</v>
      </c>
      <c r="I89" s="128"/>
    </row>
    <row r="90" customFormat="false" ht="13.8" hidden="false" customHeight="false" outlineLevel="0" collapsed="false">
      <c r="A90" s="179" t="s">
        <v>755</v>
      </c>
      <c r="F90" s="55" t="n">
        <v>0.5</v>
      </c>
      <c r="G90" s="55" t="n">
        <v>1</v>
      </c>
      <c r="H90" s="55" t="n">
        <v>1.35</v>
      </c>
      <c r="I90" s="128"/>
      <c r="L90" s="189" t="s">
        <v>756</v>
      </c>
      <c r="M90" s="189"/>
    </row>
    <row r="91" customFormat="false" ht="12.75" hidden="false" customHeight="false" outlineLevel="0" collapsed="false">
      <c r="A91" s="179" t="s">
        <v>757</v>
      </c>
      <c r="F91" s="55" t="n">
        <v>1.2</v>
      </c>
      <c r="G91" s="55" t="n">
        <v>2</v>
      </c>
      <c r="H91" s="55" t="n">
        <v>2.25</v>
      </c>
      <c r="I91" s="128"/>
      <c r="L91" s="190" t="s">
        <v>568</v>
      </c>
      <c r="M91" s="190"/>
      <c r="N91" s="190" t="s">
        <v>569</v>
      </c>
      <c r="O91" s="190"/>
      <c r="P91" s="190" t="s">
        <v>709</v>
      </c>
      <c r="Q91" s="190"/>
      <c r="R91" s="190"/>
      <c r="S91" s="190" t="s">
        <v>710</v>
      </c>
      <c r="T91" s="190"/>
      <c r="U91" s="190" t="s">
        <v>711</v>
      </c>
      <c r="V91" s="190"/>
      <c r="W91" s="190"/>
    </row>
    <row r="92" customFormat="false" ht="12.75" hidden="false" customHeight="false" outlineLevel="0" collapsed="false">
      <c r="A92" s="179" t="s">
        <v>758</v>
      </c>
      <c r="F92" s="55" t="n">
        <v>550</v>
      </c>
      <c r="G92" s="55" t="n">
        <v>350</v>
      </c>
      <c r="H92" s="55" t="n">
        <v>350</v>
      </c>
      <c r="I92" s="128"/>
      <c r="L92" s="192" t="s">
        <v>759</v>
      </c>
      <c r="M92" s="192"/>
      <c r="N92" s="192" t="s">
        <v>760</v>
      </c>
      <c r="O92" s="192"/>
      <c r="P92" s="195" t="s">
        <v>761</v>
      </c>
      <c r="Q92" s="195"/>
      <c r="R92" s="195"/>
      <c r="S92" s="192"/>
      <c r="T92" s="192"/>
      <c r="U92" s="193" t="s">
        <v>762</v>
      </c>
      <c r="V92" s="193"/>
      <c r="W92" s="193"/>
    </row>
    <row r="93" customFormat="false" ht="12.75" hidden="false" customHeight="false" outlineLevel="0" collapsed="false">
      <c r="A93" s="179"/>
      <c r="I93" s="128"/>
      <c r="L93" s="191" t="s">
        <v>763</v>
      </c>
      <c r="M93" s="191"/>
      <c r="N93" s="191" t="s">
        <v>764</v>
      </c>
      <c r="O93" s="191"/>
      <c r="P93" s="191" t="s">
        <v>765</v>
      </c>
      <c r="Q93" s="191"/>
      <c r="R93" s="191"/>
      <c r="S93" s="191"/>
      <c r="T93" s="191"/>
      <c r="U93" s="194" t="s">
        <v>766</v>
      </c>
      <c r="V93" s="194"/>
      <c r="W93" s="194"/>
    </row>
    <row r="94" customFormat="false" ht="35.3" hidden="false" customHeight="false" outlineLevel="0" collapsed="false">
      <c r="A94" s="179"/>
      <c r="F94" s="196" t="s">
        <v>767</v>
      </c>
      <c r="G94" s="196" t="s">
        <v>768</v>
      </c>
      <c r="H94" s="196" t="s">
        <v>769</v>
      </c>
      <c r="I94" s="128"/>
      <c r="J94" s="197" t="s">
        <v>770</v>
      </c>
      <c r="K94" s="197" t="s">
        <v>771</v>
      </c>
    </row>
    <row r="95" customFormat="false" ht="13.8" hidden="false" customHeight="false" outlineLevel="0" collapsed="false">
      <c r="A95" s="72"/>
      <c r="I95" s="128"/>
      <c r="J95" s="198"/>
      <c r="K95" s="199" t="n">
        <v>-3</v>
      </c>
      <c r="L95" s="189" t="s">
        <v>772</v>
      </c>
      <c r="M95" s="189"/>
    </row>
    <row r="96" customFormat="false" ht="12.75" hidden="false" customHeight="false" outlineLevel="0" collapsed="false">
      <c r="A96" s="72"/>
      <c r="I96" s="128"/>
      <c r="J96" s="200"/>
      <c r="K96" s="201"/>
      <c r="L96" s="190" t="s">
        <v>568</v>
      </c>
      <c r="M96" s="190"/>
      <c r="N96" s="190" t="s">
        <v>569</v>
      </c>
      <c r="O96" s="190"/>
      <c r="P96" s="190" t="s">
        <v>709</v>
      </c>
      <c r="Q96" s="190"/>
      <c r="R96" s="190"/>
      <c r="S96" s="190" t="s">
        <v>710</v>
      </c>
      <c r="T96" s="190"/>
      <c r="U96" s="190" t="s">
        <v>711</v>
      </c>
      <c r="V96" s="190"/>
      <c r="W96" s="190"/>
    </row>
    <row r="97" customFormat="false" ht="12.75" hidden="false" customHeight="false" outlineLevel="0" collapsed="false">
      <c r="A97" s="86"/>
      <c r="B97" s="61"/>
      <c r="C97" s="61"/>
      <c r="D97" s="61"/>
      <c r="E97" s="61"/>
      <c r="F97" s="61"/>
      <c r="G97" s="61"/>
      <c r="H97" s="61"/>
      <c r="I97" s="144"/>
      <c r="J97" s="198"/>
      <c r="K97" s="199"/>
      <c r="L97" s="192" t="s">
        <v>773</v>
      </c>
      <c r="M97" s="192"/>
      <c r="N97" s="192" t="s">
        <v>774</v>
      </c>
      <c r="O97" s="192"/>
      <c r="P97" s="195" t="s">
        <v>727</v>
      </c>
      <c r="Q97" s="195"/>
      <c r="R97" s="195"/>
      <c r="S97" s="192"/>
      <c r="T97" s="192"/>
      <c r="U97" s="193" t="s">
        <v>775</v>
      </c>
      <c r="V97" s="193"/>
      <c r="W97" s="193"/>
    </row>
    <row r="98" customFormat="false" ht="12.65" hidden="false" customHeight="false" outlineLevel="0" collapsed="false">
      <c r="J98" s="200"/>
      <c r="K98" s="199"/>
      <c r="L98" s="191" t="s">
        <v>776</v>
      </c>
      <c r="M98" s="191"/>
      <c r="N98" s="191" t="s">
        <v>777</v>
      </c>
      <c r="O98" s="191"/>
      <c r="P98" s="191"/>
      <c r="Q98" s="191"/>
      <c r="R98" s="191"/>
      <c r="S98" s="191"/>
      <c r="T98" s="191"/>
      <c r="U98" s="194"/>
      <c r="V98" s="194"/>
      <c r="W98" s="194"/>
    </row>
    <row r="99" customFormat="false" ht="12.65" hidden="false" customHeight="false" outlineLevel="0" collapsed="false">
      <c r="J99" s="200"/>
      <c r="K99" s="202" t="n">
        <v>0</v>
      </c>
      <c r="L99" s="203"/>
    </row>
    <row r="100" customFormat="false" ht="12.65" hidden="false" customHeight="false" outlineLevel="0" collapsed="false">
      <c r="A100" s="204" t="s">
        <v>778</v>
      </c>
      <c r="B100" s="204"/>
      <c r="C100" s="204"/>
      <c r="D100" s="204"/>
      <c r="E100" s="204"/>
      <c r="F100" s="204"/>
      <c r="G100" s="204"/>
      <c r="H100" s="205" t="s">
        <v>779</v>
      </c>
      <c r="J100" s="206" t="s">
        <v>780</v>
      </c>
      <c r="K100" s="207"/>
      <c r="L100" s="207"/>
      <c r="M100" s="207"/>
      <c r="N100" s="207"/>
      <c r="O100" s="207"/>
      <c r="P100" s="208"/>
      <c r="Q100" s="205"/>
      <c r="R100" s="209" t="s">
        <v>779</v>
      </c>
    </row>
    <row r="101" customFormat="false" ht="24.05" hidden="false" customHeight="false" outlineLevel="0" collapsed="false">
      <c r="A101" s="210" t="s">
        <v>781</v>
      </c>
      <c r="B101" s="211" t="s">
        <v>782</v>
      </c>
      <c r="C101" s="211" t="s">
        <v>783</v>
      </c>
      <c r="D101" s="211" t="s">
        <v>784</v>
      </c>
      <c r="E101" s="211" t="s">
        <v>785</v>
      </c>
      <c r="F101" s="212" t="s">
        <v>786</v>
      </c>
      <c r="G101" s="213" t="s">
        <v>787</v>
      </c>
      <c r="H101" s="213"/>
      <c r="J101" s="210" t="s">
        <v>781</v>
      </c>
      <c r="K101" s="211" t="s">
        <v>782</v>
      </c>
      <c r="L101" s="211" t="s">
        <v>783</v>
      </c>
      <c r="M101" s="211" t="s">
        <v>784</v>
      </c>
      <c r="N101" s="211" t="s">
        <v>785</v>
      </c>
      <c r="O101" s="212" t="s">
        <v>786</v>
      </c>
      <c r="P101" s="214" t="s">
        <v>787</v>
      </c>
      <c r="Q101" s="215"/>
      <c r="R101" s="216"/>
    </row>
    <row r="102" customFormat="false" ht="15" hidden="false" customHeight="true" outlineLevel="0" collapsed="false">
      <c r="A102" s="217"/>
      <c r="B102" s="218"/>
      <c r="C102" s="219"/>
      <c r="D102" s="218"/>
      <c r="E102" s="195"/>
      <c r="F102" s="220"/>
      <c r="G102" s="221"/>
      <c r="H102" s="222" t="n">
        <f aca="false">G102+SUM($K$95:$K$99)</f>
        <v>-3</v>
      </c>
      <c r="I102" s="223" t="s">
        <v>788</v>
      </c>
      <c r="J102" s="224"/>
      <c r="K102" s="225"/>
      <c r="L102" s="226"/>
      <c r="M102" s="225"/>
      <c r="N102" s="227"/>
      <c r="O102" s="46"/>
      <c r="P102" s="228"/>
      <c r="Q102" s="229"/>
      <c r="R102" s="230" t="n">
        <f aca="false">P102+SUM($K$95:$K$99)</f>
        <v>-3</v>
      </c>
    </row>
    <row r="103" customFormat="false" ht="15" hidden="false" customHeight="true" outlineLevel="0" collapsed="false">
      <c r="A103" s="231" t="n">
        <v>0.58</v>
      </c>
      <c r="B103" s="232" t="n">
        <v>3000</v>
      </c>
      <c r="C103" s="233" t="n">
        <v>4.76</v>
      </c>
      <c r="D103" s="232" t="n">
        <v>4</v>
      </c>
      <c r="E103" s="4" t="n">
        <v>1024</v>
      </c>
      <c r="F103" s="234" t="s">
        <v>789</v>
      </c>
      <c r="G103" s="235" t="n">
        <v>106.75</v>
      </c>
      <c r="H103" s="222" t="n">
        <f aca="false">G103+SUM($K$95:$K$99)</f>
        <v>103.75</v>
      </c>
      <c r="I103" s="223"/>
      <c r="J103" s="224"/>
      <c r="K103" s="225"/>
      <c r="L103" s="226"/>
      <c r="M103" s="225"/>
      <c r="N103" s="236"/>
      <c r="O103" s="237"/>
      <c r="P103" s="238"/>
      <c r="Q103" s="229"/>
      <c r="R103" s="230" t="n">
        <f aca="false">P103+SUM($K$95:$K$99)</f>
        <v>-3</v>
      </c>
    </row>
    <row r="104" customFormat="false" ht="15" hidden="false" customHeight="true" outlineLevel="0" collapsed="false">
      <c r="A104" s="231" t="n">
        <v>0.55</v>
      </c>
      <c r="B104" s="232" t="n">
        <v>3000</v>
      </c>
      <c r="C104" s="233" t="n">
        <v>5</v>
      </c>
      <c r="D104" s="232" t="n">
        <v>4</v>
      </c>
      <c r="E104" s="4" t="n">
        <v>1042</v>
      </c>
      <c r="F104" s="234" t="s">
        <v>789</v>
      </c>
      <c r="G104" s="235" t="n">
        <v>107</v>
      </c>
      <c r="H104" s="222" t="n">
        <f aca="false">G104+SUM($K$95:$K$99)</f>
        <v>104</v>
      </c>
      <c r="I104" s="223"/>
      <c r="J104" s="224" t="n">
        <v>0.57</v>
      </c>
      <c r="K104" s="225" t="n">
        <v>3000</v>
      </c>
      <c r="L104" s="226" t="n">
        <v>4.74</v>
      </c>
      <c r="M104" s="225" t="n">
        <v>4</v>
      </c>
      <c r="N104" s="236" t="n">
        <v>1544</v>
      </c>
      <c r="O104" s="237" t="s">
        <v>789</v>
      </c>
      <c r="P104" s="238" t="n">
        <v>105</v>
      </c>
      <c r="Q104" s="229"/>
      <c r="R104" s="230" t="n">
        <f aca="false">P104+SUM($K$95:$K$99)</f>
        <v>102</v>
      </c>
    </row>
    <row r="105" customFormat="false" ht="15" hidden="false" customHeight="true" outlineLevel="0" collapsed="false">
      <c r="A105" s="231" t="n">
        <v>0.55</v>
      </c>
      <c r="B105" s="232" t="n">
        <v>3000</v>
      </c>
      <c r="C105" s="233" t="n">
        <v>5</v>
      </c>
      <c r="D105" s="232" t="n">
        <v>5</v>
      </c>
      <c r="E105" s="4" t="n">
        <v>2060</v>
      </c>
      <c r="F105" s="239" t="s">
        <v>544</v>
      </c>
      <c r="G105" s="235" t="n">
        <v>107</v>
      </c>
      <c r="H105" s="222" t="n">
        <f aca="false">G105+SUM($K$95:$K$99)</f>
        <v>104</v>
      </c>
      <c r="I105" s="223"/>
      <c r="J105" s="224" t="n">
        <v>0.55</v>
      </c>
      <c r="K105" s="225" t="n">
        <v>3000</v>
      </c>
      <c r="L105" s="226" t="n">
        <v>5</v>
      </c>
      <c r="M105" s="225" t="n">
        <v>4</v>
      </c>
      <c r="N105" s="236" t="n">
        <v>1564</v>
      </c>
      <c r="O105" s="237" t="s">
        <v>790</v>
      </c>
      <c r="P105" s="238" t="n">
        <v>106</v>
      </c>
      <c r="Q105" s="229"/>
      <c r="R105" s="230" t="n">
        <f aca="false">P105+SUM($K$95:$K$99)</f>
        <v>103</v>
      </c>
    </row>
    <row r="106" customFormat="false" ht="15" hidden="false" customHeight="true" outlineLevel="0" collapsed="false">
      <c r="A106" s="231" t="n">
        <v>0.54</v>
      </c>
      <c r="B106" s="232" t="n">
        <v>3500</v>
      </c>
      <c r="C106" s="233" t="n">
        <v>5</v>
      </c>
      <c r="D106" s="232" t="n">
        <v>7</v>
      </c>
      <c r="E106" s="4" t="n">
        <v>9012</v>
      </c>
      <c r="F106" s="239" t="s">
        <v>791</v>
      </c>
      <c r="G106" s="235" t="n">
        <v>112</v>
      </c>
      <c r="H106" s="222" t="n">
        <f aca="false">G106+SUM($K$95:$K$99)</f>
        <v>109</v>
      </c>
      <c r="I106" s="223"/>
      <c r="J106" s="224" t="n">
        <v>0.53</v>
      </c>
      <c r="K106" s="225" t="n">
        <v>3000</v>
      </c>
      <c r="L106" s="226" t="n">
        <v>5</v>
      </c>
      <c r="M106" s="225" t="n">
        <v>4</v>
      </c>
      <c r="N106" s="236" t="n">
        <v>2554</v>
      </c>
      <c r="O106" s="237" t="s">
        <v>792</v>
      </c>
      <c r="P106" s="238" t="n">
        <v>106</v>
      </c>
      <c r="Q106" s="229"/>
      <c r="R106" s="230" t="n">
        <f aca="false">P106+SUM($K$95:$K$99)</f>
        <v>103</v>
      </c>
    </row>
    <row r="107" customFormat="false" ht="15" hidden="false" customHeight="true" outlineLevel="0" collapsed="false">
      <c r="A107" s="231" t="n">
        <v>0.53</v>
      </c>
      <c r="B107" s="232" t="n">
        <v>3500</v>
      </c>
      <c r="C107" s="233" t="n">
        <v>5.26</v>
      </c>
      <c r="D107" s="232" t="n">
        <v>4</v>
      </c>
      <c r="E107" s="4" t="n">
        <v>1054</v>
      </c>
      <c r="F107" s="234" t="s">
        <v>793</v>
      </c>
      <c r="G107" s="235" t="n">
        <v>108.25</v>
      </c>
      <c r="H107" s="222" t="n">
        <f aca="false">G107+SUM($K$95:$K$99)</f>
        <v>105.25</v>
      </c>
      <c r="I107" s="240" t="s">
        <v>794</v>
      </c>
      <c r="J107" s="224" t="n">
        <v>0.55</v>
      </c>
      <c r="K107" s="225" t="n">
        <v>3500</v>
      </c>
      <c r="L107" s="226" t="n">
        <v>5</v>
      </c>
      <c r="M107" s="225" t="n">
        <v>6</v>
      </c>
      <c r="N107" s="236" t="n">
        <v>9458</v>
      </c>
      <c r="O107" s="237" t="s">
        <v>795</v>
      </c>
      <c r="P107" s="238" t="n">
        <v>109</v>
      </c>
      <c r="Q107" s="229"/>
      <c r="R107" s="230" t="n">
        <f aca="false">P107+SUM($K$95:$K$99)</f>
        <v>106</v>
      </c>
    </row>
    <row r="108" customFormat="false" ht="15" hidden="false" customHeight="true" outlineLevel="0" collapsed="false">
      <c r="A108" s="241" t="n">
        <v>0.5</v>
      </c>
      <c r="B108" s="232" t="n">
        <v>4000</v>
      </c>
      <c r="C108" s="233" t="n">
        <v>5.5</v>
      </c>
      <c r="D108" s="232" t="n">
        <v>4</v>
      </c>
      <c r="E108" s="4" t="n">
        <v>1060</v>
      </c>
      <c r="F108" s="234" t="s">
        <v>793</v>
      </c>
      <c r="G108" s="235" t="n">
        <v>108.5</v>
      </c>
      <c r="H108" s="222" t="n">
        <f aca="false">G108+SUM($K$95:$K$99)</f>
        <v>105.5</v>
      </c>
      <c r="I108" s="240"/>
      <c r="J108" s="224" t="n">
        <v>0.52</v>
      </c>
      <c r="K108" s="225" t="n">
        <v>3500</v>
      </c>
      <c r="L108" s="226" t="n">
        <v>5.26</v>
      </c>
      <c r="M108" s="225" t="n">
        <v>4</v>
      </c>
      <c r="N108" s="236" t="n">
        <v>1596</v>
      </c>
      <c r="O108" s="237" t="s">
        <v>789</v>
      </c>
      <c r="P108" s="238" t="n">
        <v>107.25</v>
      </c>
      <c r="Q108" s="229"/>
      <c r="R108" s="230" t="n">
        <f aca="false">P108+SUM($K$95:$K$99)</f>
        <v>104.25</v>
      </c>
    </row>
    <row r="109" customFormat="false" ht="15" hidden="false" customHeight="true" outlineLevel="0" collapsed="false">
      <c r="A109" s="231" t="n">
        <v>0.48</v>
      </c>
      <c r="B109" s="232" t="n">
        <v>4200</v>
      </c>
      <c r="C109" s="233" t="n">
        <v>6</v>
      </c>
      <c r="D109" s="232" t="n">
        <v>4</v>
      </c>
      <c r="E109" s="4" t="n">
        <v>1082</v>
      </c>
      <c r="F109" s="234" t="s">
        <v>793</v>
      </c>
      <c r="G109" s="235" t="n">
        <v>112</v>
      </c>
      <c r="H109" s="222" t="n">
        <f aca="false">G109+SUM($K$95:$K$99)</f>
        <v>109</v>
      </c>
      <c r="I109" s="240"/>
      <c r="J109" s="224" t="n">
        <v>0.5</v>
      </c>
      <c r="K109" s="225" t="n">
        <v>4000</v>
      </c>
      <c r="L109" s="226" t="n">
        <v>5.5</v>
      </c>
      <c r="M109" s="225" t="n">
        <v>4</v>
      </c>
      <c r="N109" s="236" t="n">
        <v>1614</v>
      </c>
      <c r="O109" s="237" t="s">
        <v>790</v>
      </c>
      <c r="P109" s="238" t="n">
        <v>108.5</v>
      </c>
      <c r="Q109" s="229"/>
      <c r="R109" s="230" t="n">
        <f aca="false">P109+SUM($K$95:$K$99)</f>
        <v>105.5</v>
      </c>
    </row>
    <row r="110" customFormat="false" ht="15" hidden="false" customHeight="true" outlineLevel="0" collapsed="false">
      <c r="A110" s="231" t="n">
        <v>0.45</v>
      </c>
      <c r="B110" s="232" t="n">
        <v>4500</v>
      </c>
      <c r="C110" s="233" t="n">
        <v>6.5</v>
      </c>
      <c r="D110" s="232" t="n">
        <v>4</v>
      </c>
      <c r="E110" s="4" t="n">
        <v>1102</v>
      </c>
      <c r="F110" s="234" t="s">
        <v>789</v>
      </c>
      <c r="G110" s="235" t="n">
        <v>114.5</v>
      </c>
      <c r="H110" s="222" t="n">
        <f aca="false">G110+SUM($K$95:$K$99)</f>
        <v>111.5</v>
      </c>
      <c r="I110" s="240"/>
      <c r="J110" s="224" t="n">
        <v>0.48</v>
      </c>
      <c r="K110" s="225" t="n">
        <v>4200</v>
      </c>
      <c r="L110" s="226" t="n">
        <v>5.75</v>
      </c>
      <c r="M110" s="225" t="n">
        <v>4</v>
      </c>
      <c r="N110" s="236" t="n">
        <v>1654</v>
      </c>
      <c r="O110" s="237" t="s">
        <v>789</v>
      </c>
      <c r="P110" s="238" t="n">
        <v>109.75</v>
      </c>
      <c r="Q110" s="229"/>
      <c r="R110" s="230" t="n">
        <f aca="false">P110+SUM($K$95:$K$99)</f>
        <v>106.75</v>
      </c>
    </row>
    <row r="111" customFormat="false" ht="15" hidden="false" customHeight="true" outlineLevel="0" collapsed="false">
      <c r="A111" s="231" t="n">
        <v>0.45</v>
      </c>
      <c r="B111" s="232" t="n">
        <v>4700</v>
      </c>
      <c r="C111" s="233" t="n">
        <v>6.5</v>
      </c>
      <c r="D111" s="232" t="n">
        <v>4</v>
      </c>
      <c r="E111" s="4" t="n">
        <v>9568</v>
      </c>
      <c r="F111" s="234" t="s">
        <v>796</v>
      </c>
      <c r="G111" s="235" t="n">
        <v>117.5</v>
      </c>
      <c r="H111" s="222" t="n">
        <f aca="false">G111+SUM($K$95:$K$99)</f>
        <v>114.5</v>
      </c>
      <c r="I111" s="240"/>
      <c r="J111" s="224" t="n">
        <v>0.47</v>
      </c>
      <c r="K111" s="225" t="n">
        <v>4200</v>
      </c>
      <c r="L111" s="226" t="n">
        <v>6</v>
      </c>
      <c r="M111" s="225" t="n">
        <v>4</v>
      </c>
      <c r="N111" s="236" t="n">
        <v>1680</v>
      </c>
      <c r="O111" s="237" t="s">
        <v>789</v>
      </c>
      <c r="P111" s="238" t="n">
        <v>111</v>
      </c>
      <c r="Q111" s="229"/>
      <c r="R111" s="230" t="n">
        <f aca="false">P111+SUM($K$95:$K$99)</f>
        <v>108</v>
      </c>
    </row>
    <row r="112" customFormat="false" ht="15" hidden="false" customHeight="true" outlineLevel="0" collapsed="false">
      <c r="A112" s="231" t="n">
        <v>0.43</v>
      </c>
      <c r="B112" s="232" t="n">
        <v>5000</v>
      </c>
      <c r="C112" s="233" t="n">
        <v>7</v>
      </c>
      <c r="D112" s="232" t="n">
        <v>4</v>
      </c>
      <c r="E112" s="4" t="n">
        <v>1120</v>
      </c>
      <c r="F112" s="234" t="s">
        <v>797</v>
      </c>
      <c r="G112" s="235" t="n">
        <v>117</v>
      </c>
      <c r="H112" s="222" t="n">
        <f aca="false">G112+SUM($K$95:$K$99)</f>
        <v>114</v>
      </c>
      <c r="I112" s="240"/>
      <c r="J112" s="224" t="n">
        <v>0.44</v>
      </c>
      <c r="K112" s="225" t="n">
        <v>4500</v>
      </c>
      <c r="L112" s="226" t="n">
        <v>6.5</v>
      </c>
      <c r="M112" s="225" t="n">
        <v>4</v>
      </c>
      <c r="N112" s="236" t="n">
        <v>1792</v>
      </c>
      <c r="O112" s="237" t="s">
        <v>797</v>
      </c>
      <c r="P112" s="238" t="n">
        <v>113.5</v>
      </c>
      <c r="Q112" s="229"/>
      <c r="R112" s="230" t="n">
        <f aca="false">P112+SUM($K$95:$K$99)</f>
        <v>110.5</v>
      </c>
    </row>
    <row r="113" customFormat="false" ht="15" hidden="false" customHeight="true" outlineLevel="0" collapsed="false">
      <c r="A113" s="231" t="n">
        <v>0.45</v>
      </c>
      <c r="B113" s="232" t="n">
        <v>4500</v>
      </c>
      <c r="C113" s="232" t="n">
        <v>6.5</v>
      </c>
      <c r="D113" s="232" t="n">
        <v>4</v>
      </c>
      <c r="E113" s="4" t="n">
        <v>3106</v>
      </c>
      <c r="F113" s="239" t="s">
        <v>797</v>
      </c>
      <c r="G113" s="235" t="n">
        <v>114.5</v>
      </c>
      <c r="H113" s="222" t="n">
        <f aca="false">G113+SUM($K$95:$K$99)</f>
        <v>111.5</v>
      </c>
      <c r="I113" s="240"/>
      <c r="J113" s="224" t="n">
        <v>0.42</v>
      </c>
      <c r="K113" s="225" t="n">
        <v>5000</v>
      </c>
      <c r="L113" s="226" t="n">
        <v>7</v>
      </c>
      <c r="M113" s="225" t="n">
        <v>4</v>
      </c>
      <c r="N113" s="236" t="n">
        <v>1876</v>
      </c>
      <c r="O113" s="237" t="s">
        <v>797</v>
      </c>
      <c r="P113" s="238" t="n">
        <v>116</v>
      </c>
      <c r="Q113" s="229"/>
      <c r="R113" s="230" t="n">
        <f aca="false">P113+SUM($K$95:$K$99)</f>
        <v>113</v>
      </c>
    </row>
    <row r="114" customFormat="false" ht="15" hidden="false" customHeight="true" outlineLevel="0" collapsed="false">
      <c r="A114" s="231"/>
      <c r="B114" s="232"/>
      <c r="C114" s="232"/>
      <c r="D114" s="232"/>
      <c r="E114" s="4"/>
      <c r="F114" s="239"/>
      <c r="G114" s="235"/>
      <c r="H114" s="222" t="n">
        <f aca="false">G114+SUM($K$95:$K$99)</f>
        <v>-3</v>
      </c>
      <c r="I114" s="240"/>
      <c r="J114" s="224" t="n">
        <v>0.39</v>
      </c>
      <c r="K114" s="225" t="n">
        <v>7000</v>
      </c>
      <c r="L114" s="226" t="n">
        <v>7.66</v>
      </c>
      <c r="M114" s="225" t="n">
        <v>4</v>
      </c>
      <c r="N114" s="236" t="n">
        <v>1914</v>
      </c>
      <c r="O114" s="237" t="s">
        <v>797</v>
      </c>
      <c r="P114" s="238" t="n">
        <v>118.5</v>
      </c>
      <c r="Q114" s="229"/>
      <c r="R114" s="230" t="n">
        <f aca="false">P114+SUM($K$95:$K$99)</f>
        <v>115.5</v>
      </c>
    </row>
    <row r="115" customFormat="false" ht="15" hidden="false" customHeight="true" outlineLevel="0" collapsed="false">
      <c r="A115" s="231"/>
      <c r="B115" s="232"/>
      <c r="C115" s="232"/>
      <c r="D115" s="232"/>
      <c r="E115" s="4"/>
      <c r="F115" s="239"/>
      <c r="G115" s="235"/>
      <c r="H115" s="222" t="n">
        <f aca="false">G115+SUM($K$95:$K$99)</f>
        <v>-3</v>
      </c>
      <c r="I115" s="240"/>
      <c r="J115" s="231"/>
      <c r="K115" s="232"/>
      <c r="L115" s="233"/>
      <c r="M115" s="232"/>
      <c r="N115" s="4"/>
      <c r="O115" s="239"/>
      <c r="P115" s="235"/>
      <c r="Q115" s="242"/>
      <c r="R115" s="243"/>
    </row>
    <row r="116" customFormat="false" ht="15" hidden="false" customHeight="true" outlineLevel="0" collapsed="false">
      <c r="A116" s="231"/>
      <c r="B116" s="232"/>
      <c r="C116" s="232"/>
      <c r="D116" s="232"/>
      <c r="E116" s="4"/>
      <c r="F116" s="239"/>
      <c r="G116" s="235"/>
      <c r="H116" s="222" t="n">
        <f aca="false">G116+SUM($K$95:$K$99)</f>
        <v>-3</v>
      </c>
      <c r="I116" s="223"/>
      <c r="J116" s="231"/>
      <c r="K116" s="232"/>
      <c r="L116" s="233"/>
      <c r="M116" s="232"/>
      <c r="N116" s="4"/>
      <c r="O116" s="239"/>
      <c r="P116" s="235"/>
      <c r="Q116" s="242"/>
      <c r="R116" s="243"/>
    </row>
    <row r="117" customFormat="false" ht="15" hidden="false" customHeight="true" outlineLevel="0" collapsed="false">
      <c r="A117" s="231"/>
      <c r="B117" s="232"/>
      <c r="C117" s="232"/>
      <c r="D117" s="232"/>
      <c r="E117" s="4"/>
      <c r="F117" s="239"/>
      <c r="G117" s="235"/>
      <c r="H117" s="222" t="n">
        <f aca="false">G117+SUM($K$95:$K$99)</f>
        <v>-3</v>
      </c>
      <c r="I117" s="223"/>
      <c r="J117" s="231"/>
      <c r="K117" s="232"/>
      <c r="L117" s="233"/>
      <c r="M117" s="232"/>
      <c r="N117" s="4"/>
      <c r="O117" s="239"/>
      <c r="P117" s="235"/>
      <c r="Q117" s="242"/>
      <c r="R117" s="243"/>
    </row>
    <row r="118" customFormat="false" ht="15" hidden="false" customHeight="true" outlineLevel="0" collapsed="false">
      <c r="A118" s="244"/>
      <c r="B118" s="245"/>
      <c r="C118" s="245"/>
      <c r="D118" s="245"/>
      <c r="E118" s="246"/>
      <c r="F118" s="247"/>
      <c r="G118" s="235"/>
      <c r="H118" s="222"/>
      <c r="I118" s="223"/>
      <c r="J118" s="231"/>
      <c r="K118" s="232"/>
      <c r="L118" s="233"/>
      <c r="M118" s="232"/>
      <c r="O118" s="239"/>
      <c r="P118" s="235"/>
      <c r="Q118" s="242"/>
      <c r="R118" s="243"/>
    </row>
    <row r="119" customFormat="false" ht="12.65" hidden="false" customHeight="false" outlineLevel="0" collapsed="false">
      <c r="A119" s="244"/>
      <c r="B119" s="245"/>
      <c r="C119" s="245"/>
      <c r="D119" s="245"/>
      <c r="E119" s="246"/>
      <c r="F119" s="248"/>
      <c r="G119" s="249"/>
      <c r="H119" s="250"/>
      <c r="I119" s="223"/>
      <c r="J119" s="244"/>
      <c r="K119" s="245"/>
      <c r="L119" s="251"/>
      <c r="M119" s="245"/>
      <c r="N119" s="246"/>
      <c r="O119" s="247"/>
      <c r="P119" s="249"/>
      <c r="Q119" s="252"/>
      <c r="R119" s="253"/>
    </row>
    <row r="120" customFormat="false" ht="12.65" hidden="false" customHeight="false" outlineLevel="0" collapsed="false">
      <c r="H120" s="254"/>
      <c r="R120" s="71"/>
    </row>
    <row r="121" customFormat="false" ht="24.05" hidden="false" customHeight="false" outlineLevel="0" collapsed="false">
      <c r="A121" s="255" t="s">
        <v>781</v>
      </c>
      <c r="B121" s="256" t="s">
        <v>782</v>
      </c>
      <c r="C121" s="256" t="s">
        <v>783</v>
      </c>
      <c r="D121" s="256" t="s">
        <v>784</v>
      </c>
      <c r="E121" s="211" t="s">
        <v>785</v>
      </c>
      <c r="F121" s="257"/>
      <c r="G121" s="212" t="s">
        <v>798</v>
      </c>
      <c r="H121" s="258"/>
      <c r="J121" s="255" t="s">
        <v>781</v>
      </c>
      <c r="K121" s="256" t="s">
        <v>782</v>
      </c>
      <c r="L121" s="256" t="s">
        <v>783</v>
      </c>
      <c r="M121" s="256" t="s">
        <v>784</v>
      </c>
      <c r="N121" s="211" t="s">
        <v>785</v>
      </c>
      <c r="O121" s="257"/>
      <c r="P121" s="212" t="s">
        <v>798</v>
      </c>
      <c r="Q121" s="259"/>
      <c r="R121" s="216"/>
    </row>
    <row r="122" customFormat="false" ht="15" hidden="false" customHeight="true" outlineLevel="0" collapsed="false">
      <c r="A122" s="231"/>
      <c r="B122" s="232"/>
      <c r="C122" s="219"/>
      <c r="D122" s="218"/>
      <c r="E122" s="4"/>
      <c r="F122" s="220"/>
      <c r="G122" s="221"/>
      <c r="H122" s="222" t="n">
        <f aca="false">G122+SUM($K$95:$K$99)</f>
        <v>-3</v>
      </c>
      <c r="I122" s="240" t="s">
        <v>799</v>
      </c>
      <c r="J122" s="260"/>
      <c r="K122" s="225"/>
      <c r="L122" s="226"/>
      <c r="M122" s="225"/>
      <c r="N122" s="236"/>
      <c r="O122" s="261"/>
      <c r="P122" s="228"/>
      <c r="Q122" s="229"/>
      <c r="R122" s="230" t="n">
        <f aca="false">P122+SUM($K$95:$K$99)+2</f>
        <v>-1</v>
      </c>
    </row>
    <row r="123" customFormat="false" ht="15" hidden="false" customHeight="true" outlineLevel="0" collapsed="false">
      <c r="A123" s="231" t="n">
        <v>0.54</v>
      </c>
      <c r="B123" s="232" t="n">
        <v>3500</v>
      </c>
      <c r="C123" s="233" t="n">
        <v>5</v>
      </c>
      <c r="D123" s="232" t="n">
        <v>4</v>
      </c>
      <c r="E123" s="4" t="n">
        <v>1043</v>
      </c>
      <c r="F123" s="234" t="s">
        <v>800</v>
      </c>
      <c r="G123" s="235" t="n">
        <v>107</v>
      </c>
      <c r="H123" s="222" t="n">
        <f aca="false">G123+SUM($K$95:$K$99)</f>
        <v>104</v>
      </c>
      <c r="I123" s="240"/>
      <c r="J123" s="260"/>
      <c r="K123" s="225"/>
      <c r="L123" s="226"/>
      <c r="M123" s="225"/>
      <c r="N123" s="236"/>
      <c r="O123" s="261"/>
      <c r="P123" s="238"/>
      <c r="Q123" s="229"/>
      <c r="R123" s="230" t="n">
        <f aca="false">P123+SUM($K$95:$K$99)+2</f>
        <v>-1</v>
      </c>
    </row>
    <row r="124" customFormat="false" ht="15" hidden="false" customHeight="true" outlineLevel="0" collapsed="false">
      <c r="A124" s="231" t="n">
        <v>0.52</v>
      </c>
      <c r="B124" s="232" t="n">
        <v>3500</v>
      </c>
      <c r="C124" s="233" t="n">
        <v>5.26</v>
      </c>
      <c r="D124" s="232" t="n">
        <v>4</v>
      </c>
      <c r="E124" s="4" t="n">
        <v>1053</v>
      </c>
      <c r="F124" s="234" t="s">
        <v>801</v>
      </c>
      <c r="G124" s="235" t="n">
        <v>108.25</v>
      </c>
      <c r="H124" s="222" t="n">
        <f aca="false">G124+SUM($K$95:$K$99)</f>
        <v>105.25</v>
      </c>
      <c r="I124" s="240"/>
      <c r="J124" s="260" t="n">
        <v>0.52</v>
      </c>
      <c r="K124" s="225" t="n">
        <v>3000</v>
      </c>
      <c r="L124" s="226" t="n">
        <v>5</v>
      </c>
      <c r="M124" s="225" t="n">
        <v>4</v>
      </c>
      <c r="N124" s="236" t="n">
        <v>1565</v>
      </c>
      <c r="O124" s="261" t="s">
        <v>801</v>
      </c>
      <c r="P124" s="238" t="n">
        <v>106</v>
      </c>
      <c r="Q124" s="229"/>
      <c r="R124" s="230" t="n">
        <f aca="false">P124+SUM($K$95:$K$99)+2</f>
        <v>105</v>
      </c>
    </row>
    <row r="125" customFormat="false" ht="15" hidden="false" customHeight="true" outlineLevel="0" collapsed="false">
      <c r="A125" s="241" t="n">
        <v>0.5</v>
      </c>
      <c r="B125" s="232" t="n">
        <v>3600</v>
      </c>
      <c r="C125" s="233" t="n">
        <v>5.5</v>
      </c>
      <c r="D125" s="232" t="n">
        <v>4</v>
      </c>
      <c r="E125" s="4" t="n">
        <v>1061</v>
      </c>
      <c r="F125" s="234" t="s">
        <v>802</v>
      </c>
      <c r="G125" s="235" t="n">
        <v>109.5</v>
      </c>
      <c r="H125" s="222" t="n">
        <f aca="false">G125+SUM($K$95:$K$99)</f>
        <v>106.5</v>
      </c>
      <c r="I125" s="240"/>
      <c r="J125" s="260" t="n">
        <v>0.5</v>
      </c>
      <c r="K125" s="225" t="n">
        <v>3500</v>
      </c>
      <c r="L125" s="226" t="n">
        <v>5.25</v>
      </c>
      <c r="M125" s="225" t="n">
        <v>4</v>
      </c>
      <c r="N125" s="236" t="n">
        <v>1601</v>
      </c>
      <c r="O125" s="261" t="s">
        <v>802</v>
      </c>
      <c r="P125" s="238" t="n">
        <v>107.25</v>
      </c>
      <c r="Q125" s="229"/>
      <c r="R125" s="230" t="n">
        <f aca="false">P125+SUM($K$95:$K$99)+2</f>
        <v>106.25</v>
      </c>
    </row>
    <row r="126" customFormat="false" ht="15" hidden="false" customHeight="true" outlineLevel="0" collapsed="false">
      <c r="A126" s="231" t="n">
        <v>0.45</v>
      </c>
      <c r="B126" s="232" t="n">
        <v>4000</v>
      </c>
      <c r="C126" s="233" t="n">
        <v>6</v>
      </c>
      <c r="D126" s="232" t="n">
        <v>4</v>
      </c>
      <c r="E126" s="4" t="n">
        <v>1083</v>
      </c>
      <c r="F126" s="234" t="s">
        <v>802</v>
      </c>
      <c r="G126" s="235" t="n">
        <v>112</v>
      </c>
      <c r="H126" s="222" t="n">
        <f aca="false">G126+SUM($K$95:$K$99)</f>
        <v>109</v>
      </c>
      <c r="I126" s="240"/>
      <c r="J126" s="260" t="n">
        <v>0.48</v>
      </c>
      <c r="K126" s="225" t="n">
        <v>4000</v>
      </c>
      <c r="L126" s="226" t="n">
        <v>5.5</v>
      </c>
      <c r="M126" s="225" t="n">
        <v>4</v>
      </c>
      <c r="N126" s="236" t="n">
        <v>1619</v>
      </c>
      <c r="O126" s="261" t="s">
        <v>802</v>
      </c>
      <c r="P126" s="238" t="n">
        <v>108.5</v>
      </c>
      <c r="Q126" s="229"/>
      <c r="R126" s="230" t="n">
        <f aca="false">P126+SUM($K$95:$K$99)+2</f>
        <v>107.5</v>
      </c>
    </row>
    <row r="127" customFormat="false" ht="15" hidden="false" customHeight="true" outlineLevel="0" collapsed="false">
      <c r="A127" s="231" t="n">
        <v>0.43</v>
      </c>
      <c r="B127" s="232" t="n">
        <v>4700</v>
      </c>
      <c r="C127" s="233" t="n">
        <v>6.5</v>
      </c>
      <c r="D127" s="232" t="n">
        <v>4</v>
      </c>
      <c r="E127" s="4" t="n">
        <v>1103</v>
      </c>
      <c r="F127" s="234" t="s">
        <v>802</v>
      </c>
      <c r="G127" s="235" t="n">
        <v>114.5</v>
      </c>
      <c r="H127" s="222" t="n">
        <f aca="false">G127+SUM($K$95:$K$99)</f>
        <v>111.5</v>
      </c>
      <c r="I127" s="240"/>
      <c r="J127" s="260" t="n">
        <v>0.44</v>
      </c>
      <c r="K127" s="225" t="n">
        <v>4000</v>
      </c>
      <c r="L127" s="226" t="n">
        <v>6</v>
      </c>
      <c r="M127" s="225" t="n">
        <v>4</v>
      </c>
      <c r="N127" s="236" t="n">
        <v>1685</v>
      </c>
      <c r="O127" s="261" t="s">
        <v>802</v>
      </c>
      <c r="P127" s="238" t="n">
        <v>111</v>
      </c>
      <c r="Q127" s="229"/>
      <c r="R127" s="230" t="n">
        <f aca="false">P127+SUM($K$95:$K$99)+2</f>
        <v>110</v>
      </c>
    </row>
    <row r="128" customFormat="false" ht="15" hidden="false" customHeight="true" outlineLevel="0" collapsed="false">
      <c r="A128" s="262" t="n">
        <v>0.4</v>
      </c>
      <c r="B128" s="232" t="n">
        <v>5000</v>
      </c>
      <c r="C128" s="233" t="n">
        <v>7</v>
      </c>
      <c r="D128" s="232" t="n">
        <v>4</v>
      </c>
      <c r="E128" s="4" t="n">
        <v>1121</v>
      </c>
      <c r="F128" s="234" t="s">
        <v>802</v>
      </c>
      <c r="G128" s="235" t="n">
        <v>117</v>
      </c>
      <c r="H128" s="222" t="n">
        <f aca="false">G128+SUM($K$95:$K$99)</f>
        <v>114</v>
      </c>
      <c r="I128" s="240"/>
      <c r="J128" s="260" t="n">
        <v>0.44</v>
      </c>
      <c r="K128" s="225" t="n">
        <v>4200</v>
      </c>
      <c r="L128" s="226" t="n">
        <v>6.22</v>
      </c>
      <c r="M128" s="225" t="n">
        <v>4</v>
      </c>
      <c r="N128" s="236" t="n">
        <v>1737</v>
      </c>
      <c r="O128" s="261" t="s">
        <v>802</v>
      </c>
      <c r="P128" s="238" t="n">
        <v>112.25</v>
      </c>
      <c r="Q128" s="229"/>
      <c r="R128" s="230" t="n">
        <f aca="false">P128+SUM($K$95:$K$99)+2</f>
        <v>111.25</v>
      </c>
    </row>
    <row r="129" customFormat="false" ht="15" hidden="false" customHeight="true" outlineLevel="0" collapsed="false">
      <c r="A129" s="231" t="n">
        <v>0.34</v>
      </c>
      <c r="B129" s="232" t="n">
        <v>5500</v>
      </c>
      <c r="C129" s="233" t="n">
        <v>7.5</v>
      </c>
      <c r="D129" s="232" t="n">
        <v>4</v>
      </c>
      <c r="E129" s="4" t="n">
        <v>8371</v>
      </c>
      <c r="F129" s="234" t="s">
        <v>803</v>
      </c>
      <c r="G129" s="235" t="n">
        <v>119.5</v>
      </c>
      <c r="H129" s="222" t="n">
        <f aca="false">G129+SUM($K$95:$K$99)</f>
        <v>116.5</v>
      </c>
      <c r="I129" s="240"/>
      <c r="J129" s="260" t="n">
        <v>0.42</v>
      </c>
      <c r="K129" s="225" t="n">
        <v>4700</v>
      </c>
      <c r="L129" s="226" t="n">
        <v>6.5</v>
      </c>
      <c r="M129" s="225" t="n">
        <v>4</v>
      </c>
      <c r="N129" s="236" t="n">
        <v>1791</v>
      </c>
      <c r="O129" s="261" t="s">
        <v>802</v>
      </c>
      <c r="P129" s="238" t="n">
        <v>113.5</v>
      </c>
      <c r="Q129" s="229"/>
      <c r="R129" s="230" t="n">
        <f aca="false">P129+SUM($K$95:$K$99)+2</f>
        <v>112.5</v>
      </c>
    </row>
    <row r="130" customFormat="false" ht="15" hidden="false" customHeight="true" outlineLevel="0" collapsed="false">
      <c r="A130" s="231" t="n">
        <v>0.36</v>
      </c>
      <c r="B130" s="232" t="n">
        <v>6000</v>
      </c>
      <c r="C130" s="233" t="n">
        <v>7.66</v>
      </c>
      <c r="D130" s="232" t="n">
        <v>4</v>
      </c>
      <c r="E130" s="4" t="n">
        <v>9047</v>
      </c>
      <c r="F130" s="239" t="s">
        <v>804</v>
      </c>
      <c r="G130" s="235" t="n">
        <v>127</v>
      </c>
      <c r="H130" s="222" t="n">
        <f aca="false">G130+SUM($K$95:$K$99)</f>
        <v>124</v>
      </c>
      <c r="I130" s="240"/>
      <c r="J130" s="260" t="n">
        <v>0.4</v>
      </c>
      <c r="K130" s="225" t="n">
        <v>5000</v>
      </c>
      <c r="L130" s="226" t="n">
        <v>7</v>
      </c>
      <c r="M130" s="225" t="n">
        <v>4</v>
      </c>
      <c r="N130" s="236" t="n">
        <v>1877</v>
      </c>
      <c r="O130" s="261" t="s">
        <v>802</v>
      </c>
      <c r="P130" s="238" t="n">
        <v>116</v>
      </c>
      <c r="Q130" s="229"/>
      <c r="R130" s="230" t="n">
        <f aca="false">P130+SUM($K$95:$K$99)+2</f>
        <v>115</v>
      </c>
    </row>
    <row r="131" customFormat="false" ht="15" hidden="false" customHeight="true" outlineLevel="0" collapsed="false">
      <c r="A131" s="231" t="n">
        <v>0.35</v>
      </c>
      <c r="B131" s="232" t="n">
        <v>7000</v>
      </c>
      <c r="C131" s="233" t="n">
        <v>8</v>
      </c>
      <c r="D131" s="232" t="n">
        <v>4</v>
      </c>
      <c r="E131" s="4" t="n">
        <v>9060</v>
      </c>
      <c r="F131" s="239" t="s">
        <v>804</v>
      </c>
      <c r="G131" s="235" t="n">
        <v>130</v>
      </c>
      <c r="H131" s="222" t="n">
        <f aca="false">G131+SUM($K$95:$K$99)</f>
        <v>127</v>
      </c>
      <c r="I131" s="240"/>
      <c r="J131" s="260" t="n">
        <v>0.38</v>
      </c>
      <c r="K131" s="225" t="n">
        <v>5500</v>
      </c>
      <c r="L131" s="226" t="n">
        <v>7.5</v>
      </c>
      <c r="M131" s="225" t="n">
        <v>4</v>
      </c>
      <c r="N131" s="236" t="n">
        <v>1909</v>
      </c>
      <c r="O131" s="261" t="s">
        <v>802</v>
      </c>
      <c r="P131" s="238" t="n">
        <v>118.5</v>
      </c>
      <c r="Q131" s="229"/>
      <c r="R131" s="230" t="n">
        <f aca="false">P131+SUM($K$95:$K$99)+2</f>
        <v>117.5</v>
      </c>
    </row>
    <row r="132" customFormat="false" ht="12.75" hidden="false" customHeight="false" outlineLevel="0" collapsed="false">
      <c r="A132" s="231"/>
      <c r="B132" s="232"/>
      <c r="C132" s="233"/>
      <c r="D132" s="232"/>
      <c r="E132" s="4"/>
      <c r="F132" s="239"/>
      <c r="G132" s="235"/>
      <c r="H132" s="263"/>
      <c r="I132" s="240"/>
      <c r="J132" s="260"/>
      <c r="K132" s="225"/>
      <c r="L132" s="226"/>
      <c r="M132" s="225"/>
      <c r="N132" s="236"/>
      <c r="O132" s="261"/>
      <c r="P132" s="238"/>
      <c r="Q132" s="229"/>
      <c r="R132" s="230"/>
    </row>
    <row r="133" customFormat="false" ht="12.75" hidden="false" customHeight="false" outlineLevel="0" collapsed="false">
      <c r="A133" s="231"/>
      <c r="B133" s="232"/>
      <c r="C133" s="233"/>
      <c r="D133" s="232"/>
      <c r="E133" s="4"/>
      <c r="F133" s="239"/>
      <c r="G133" s="235"/>
      <c r="H133" s="264"/>
      <c r="J133" s="260" t="n">
        <v>0.41</v>
      </c>
      <c r="K133" s="225" t="n">
        <v>4500</v>
      </c>
      <c r="L133" s="226" t="n">
        <v>6.82</v>
      </c>
      <c r="M133" s="225" t="n">
        <v>4</v>
      </c>
      <c r="N133" s="236" t="n">
        <v>1841</v>
      </c>
      <c r="O133" s="261" t="s">
        <v>805</v>
      </c>
      <c r="P133" s="238" t="n">
        <v>114.75</v>
      </c>
      <c r="Q133" s="229"/>
      <c r="R133" s="230" t="n">
        <f aca="false">P133+SUM($K$95:$K$99)+2</f>
        <v>113.75</v>
      </c>
    </row>
    <row r="134" customFormat="false" ht="12.75" hidden="false" customHeight="false" outlineLevel="0" collapsed="false">
      <c r="A134" s="231"/>
      <c r="B134" s="232"/>
      <c r="C134" s="233"/>
      <c r="D134" s="232"/>
      <c r="E134" s="4"/>
      <c r="F134" s="239"/>
      <c r="G134" s="235"/>
      <c r="H134" s="264"/>
      <c r="J134" s="260" t="n">
        <v>0.45</v>
      </c>
      <c r="K134" s="225" t="n">
        <v>4400</v>
      </c>
      <c r="L134" s="226" t="n">
        <v>5.5</v>
      </c>
      <c r="M134" s="225" t="n">
        <v>5</v>
      </c>
      <c r="N134" s="236" t="n">
        <v>8433</v>
      </c>
      <c r="O134" s="261" t="s">
        <v>806</v>
      </c>
      <c r="P134" s="238" t="n">
        <v>108.5</v>
      </c>
      <c r="Q134" s="229"/>
      <c r="R134" s="230" t="n">
        <f aca="false">P134+SUM($K$95:$K$99)+2</f>
        <v>107.5</v>
      </c>
    </row>
    <row r="135" customFormat="false" ht="12.75" hidden="false" customHeight="false" outlineLevel="0" collapsed="false">
      <c r="A135" s="231"/>
      <c r="B135" s="232"/>
      <c r="C135" s="233"/>
      <c r="D135" s="232"/>
      <c r="E135" s="4"/>
      <c r="F135" s="239"/>
      <c r="G135" s="235"/>
      <c r="H135" s="264"/>
      <c r="J135" s="260"/>
      <c r="K135" s="225"/>
      <c r="L135" s="226"/>
      <c r="M135" s="225"/>
      <c r="N135" s="236"/>
      <c r="O135" s="261"/>
      <c r="P135" s="238"/>
      <c r="Q135" s="229"/>
      <c r="R135" s="230"/>
    </row>
    <row r="136" customFormat="false" ht="12.75" hidden="false" customHeight="false" outlineLevel="0" collapsed="false">
      <c r="A136" s="231"/>
      <c r="B136" s="232"/>
      <c r="C136" s="233"/>
      <c r="D136" s="232"/>
      <c r="E136" s="4"/>
      <c r="F136" s="239"/>
      <c r="G136" s="235"/>
      <c r="H136" s="264"/>
      <c r="J136" s="260" t="n">
        <v>0.71</v>
      </c>
      <c r="K136" s="225" t="n">
        <v>900</v>
      </c>
      <c r="L136" s="226" t="n">
        <v>6</v>
      </c>
      <c r="M136" s="225" t="n">
        <v>6</v>
      </c>
      <c r="N136" s="236" t="n">
        <v>6727</v>
      </c>
      <c r="O136" s="261" t="s">
        <v>807</v>
      </c>
      <c r="P136" s="238" t="n">
        <v>250</v>
      </c>
      <c r="Q136" s="229"/>
      <c r="R136" s="230" t="n">
        <f aca="false">P136+SUM($K$95:$K$99)+2</f>
        <v>249</v>
      </c>
    </row>
  </sheetData>
  <mergeCells count="104">
    <mergeCell ref="F23:G24"/>
    <mergeCell ref="H23:H24"/>
    <mergeCell ref="I23:J23"/>
    <mergeCell ref="F25:G26"/>
    <mergeCell ref="H25:H26"/>
    <mergeCell ref="L71:W71"/>
    <mergeCell ref="L72:M72"/>
    <mergeCell ref="L73:M73"/>
    <mergeCell ref="N73:O73"/>
    <mergeCell ref="P73:R73"/>
    <mergeCell ref="S73:T73"/>
    <mergeCell ref="U73:W73"/>
    <mergeCell ref="L74:M74"/>
    <mergeCell ref="N74:O74"/>
    <mergeCell ref="P74:R74"/>
    <mergeCell ref="S74:T74"/>
    <mergeCell ref="U74:W74"/>
    <mergeCell ref="L75:M75"/>
    <mergeCell ref="N75:O75"/>
    <mergeCell ref="P75:R75"/>
    <mergeCell ref="S75:T75"/>
    <mergeCell ref="U75:W75"/>
    <mergeCell ref="L77:M77"/>
    <mergeCell ref="L78:M78"/>
    <mergeCell ref="N78:O78"/>
    <mergeCell ref="P78:R78"/>
    <mergeCell ref="S78:T78"/>
    <mergeCell ref="U78:W78"/>
    <mergeCell ref="L79:M79"/>
    <mergeCell ref="N79:O79"/>
    <mergeCell ref="P79:R79"/>
    <mergeCell ref="S79:T79"/>
    <mergeCell ref="U79:W79"/>
    <mergeCell ref="L80:M80"/>
    <mergeCell ref="N80:O80"/>
    <mergeCell ref="P80:R80"/>
    <mergeCell ref="S80:T80"/>
    <mergeCell ref="U80:W80"/>
    <mergeCell ref="L81:M81"/>
    <mergeCell ref="N81:O81"/>
    <mergeCell ref="P81:R81"/>
    <mergeCell ref="S81:T81"/>
    <mergeCell ref="U81:W81"/>
    <mergeCell ref="L82:M82"/>
    <mergeCell ref="N82:O82"/>
    <mergeCell ref="P82:R82"/>
    <mergeCell ref="S82:T82"/>
    <mergeCell ref="U82:W82"/>
    <mergeCell ref="L84:M84"/>
    <mergeCell ref="L85:M85"/>
    <mergeCell ref="N85:O85"/>
    <mergeCell ref="P85:R85"/>
    <mergeCell ref="S85:T85"/>
    <mergeCell ref="U85:W85"/>
    <mergeCell ref="L86:M86"/>
    <mergeCell ref="N86:O86"/>
    <mergeCell ref="P86:R86"/>
    <mergeCell ref="S86:T86"/>
    <mergeCell ref="U86:W86"/>
    <mergeCell ref="L87:M87"/>
    <mergeCell ref="N87:O87"/>
    <mergeCell ref="P87:R87"/>
    <mergeCell ref="S87:T87"/>
    <mergeCell ref="U87:W87"/>
    <mergeCell ref="L88:M88"/>
    <mergeCell ref="N88:O88"/>
    <mergeCell ref="P88:R88"/>
    <mergeCell ref="S88:T88"/>
    <mergeCell ref="U88:W88"/>
    <mergeCell ref="L90:M90"/>
    <mergeCell ref="L91:M91"/>
    <mergeCell ref="N91:O91"/>
    <mergeCell ref="P91:R91"/>
    <mergeCell ref="S91:T91"/>
    <mergeCell ref="U91:W91"/>
    <mergeCell ref="L92:M92"/>
    <mergeCell ref="N92:O92"/>
    <mergeCell ref="P92:R92"/>
    <mergeCell ref="S92:T92"/>
    <mergeCell ref="U92:W92"/>
    <mergeCell ref="L93:M93"/>
    <mergeCell ref="N93:O93"/>
    <mergeCell ref="P93:R93"/>
    <mergeCell ref="S93:T93"/>
    <mergeCell ref="U93:W93"/>
    <mergeCell ref="L95:M95"/>
    <mergeCell ref="L96:M96"/>
    <mergeCell ref="N96:O96"/>
    <mergeCell ref="P96:R96"/>
    <mergeCell ref="S96:T96"/>
    <mergeCell ref="U96:W96"/>
    <mergeCell ref="L97:M97"/>
    <mergeCell ref="N97:O97"/>
    <mergeCell ref="P97:R97"/>
    <mergeCell ref="S97:T97"/>
    <mergeCell ref="U97:W97"/>
    <mergeCell ref="L98:M98"/>
    <mergeCell ref="N98:O98"/>
    <mergeCell ref="P98:R98"/>
    <mergeCell ref="S98:T98"/>
    <mergeCell ref="U98:W98"/>
    <mergeCell ref="A100:G100"/>
    <mergeCell ref="I107:I115"/>
    <mergeCell ref="I122:I132"/>
  </mergeCells>
  <hyperlinks>
    <hyperlink ref="B63" r:id="rId1" display="xtreeme_007@hotmail.com"/>
    <hyperlink ref="U74" r:id="rId2" display="clemke@readycable.net"/>
    <hyperlink ref="U75" r:id="rId3" display="lbernhard@critexas.com"/>
    <hyperlink ref="U79" r:id="rId4" display="clemke@readycable.net"/>
    <hyperlink ref="U80" r:id="rId5" display="Brountree@suncoast-pt.com"/>
    <hyperlink ref="U81" r:id="rId6" display="lbernhard@critexas.com"/>
    <hyperlink ref="U82" r:id="rId7" display="Nicholas.Morgan@cmc.com"/>
    <hyperlink ref="U86" r:id="rId8" display="jason.wright@tex-mixconcrete.com"/>
    <hyperlink ref="U87" r:id="rId9" display="steve.roberts@martinmarietta.com"/>
    <hyperlink ref="U88" r:id="rId10" display="rwhite@concrete.com"/>
    <hyperlink ref="U92" r:id="rId11" display="Mike@bigdogdrilling.net"/>
    <hyperlink ref="U93" r:id="rId12" display="stewart@beairddrilling.com"/>
    <hyperlink ref="U97" r:id="rId13" display="mgeissel@suncoast-pt.com"/>
  </hyperlink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CC"/>
    <pageSetUpPr fitToPage="true"/>
  </sheetPr>
  <dimension ref="A1:V600"/>
  <sheetViews>
    <sheetView showFormulas="false" showGridLines="true" showRowColHeaders="true" showZeros="true" rightToLeft="false" tabSelected="false" showOutlineSymbols="true" defaultGridColor="true" view="normal" topLeftCell="A37" colorId="64" zoomScale="100" zoomScaleNormal="100" zoomScalePageLayoutView="100" workbookViewId="0">
      <selection pane="topLeft" activeCell="B47" activeCellId="0" sqref="B47"/>
    </sheetView>
  </sheetViews>
  <sheetFormatPr defaultColWidth="4.82421875" defaultRowHeight="12" customHeight="false" zeroHeight="false" outlineLevelRow="0" outlineLevelCol="0"/>
  <cols>
    <col collapsed="false" customWidth="true" hidden="false" outlineLevel="0" max="1" min="1" style="0" width="10.82"/>
    <col collapsed="false" customWidth="true" hidden="false" outlineLevel="0" max="2" min="2" style="0" width="45.45"/>
    <col collapsed="false" customWidth="true" hidden="false" outlineLevel="0" max="3" min="3" style="0" width="13.18"/>
    <col collapsed="false" customWidth="true" hidden="false" outlineLevel="0" max="4" min="4" style="0" width="11.45"/>
    <col collapsed="false" customWidth="true" hidden="false" outlineLevel="0" max="5" min="5" style="0" width="12.18"/>
    <col collapsed="false" customWidth="true" hidden="false" outlineLevel="0" max="6" min="6" style="0" width="9.54"/>
    <col collapsed="false" customWidth="true" hidden="false" outlineLevel="0" max="7" min="7" style="0" width="9.82"/>
    <col collapsed="false" customWidth="true" hidden="false" outlineLevel="0" max="8" min="8" style="0" width="13.18"/>
    <col collapsed="false" customWidth="true" hidden="false" outlineLevel="0" max="9" min="9" style="0" width="9.82"/>
    <col collapsed="false" customWidth="true" hidden="false" outlineLevel="0" max="10" min="10" style="0" width="14.18"/>
    <col collapsed="false" customWidth="true" hidden="false" outlineLevel="0" max="11" min="11" style="0" width="18"/>
    <col collapsed="false" customWidth="true" hidden="true" outlineLevel="0" max="12" min="12" style="0" width="19.82"/>
    <col collapsed="false" customWidth="true" hidden="false" outlineLevel="0" max="13" min="13" style="0" width="4"/>
    <col collapsed="false" customWidth="true" hidden="false" outlineLevel="0" max="15" min="14" style="0" width="38"/>
    <col collapsed="false" customWidth="true" hidden="false" outlineLevel="0" max="16" min="16" style="0" width="35.18"/>
    <col collapsed="false" customWidth="true" hidden="false" outlineLevel="0" max="17" min="17" style="0" width="49.18"/>
    <col collapsed="false" customWidth="true" hidden="false" outlineLevel="0" max="18" min="18" style="0" width="11.82"/>
    <col collapsed="false" customWidth="true" hidden="false" outlineLevel="0" max="20" min="19" style="0" width="3.82"/>
    <col collapsed="false" customWidth="true" hidden="false" outlineLevel="0" max="21" min="21" style="0" width="5"/>
    <col collapsed="false" customWidth="true" hidden="false" outlineLevel="0" max="22" min="22" style="0" width="33"/>
    <col collapsed="false" customWidth="true" hidden="false" outlineLevel="0" max="23" min="23" style="0" width="8.18"/>
    <col collapsed="false" customWidth="true" hidden="false" outlineLevel="0" max="24" min="24" style="0" width="10"/>
    <col collapsed="false" customWidth="true" hidden="false" outlineLevel="0" max="25" min="25" style="0" width="10.45"/>
    <col collapsed="false" customWidth="true" hidden="false" outlineLevel="0" max="26" min="26" style="0" width="10.82"/>
    <col collapsed="false" customWidth="true" hidden="false" outlineLevel="0" max="27" min="27" style="0" width="11.82"/>
    <col collapsed="false" customWidth="true" hidden="false" outlineLevel="0" max="30" min="28" style="0" width="11.45"/>
  </cols>
  <sheetData>
    <row r="1" customFormat="false" ht="24" hidden="false" customHeight="true" outlineLevel="0" collapsed="false"/>
    <row r="2" customFormat="false" ht="35.25" hidden="false" customHeight="true" outlineLevel="0" collapsed="false">
      <c r="A2" s="265"/>
      <c r="B2" s="266"/>
      <c r="C2" s="266"/>
      <c r="D2" s="266"/>
      <c r="E2" s="266"/>
      <c r="F2" s="267"/>
      <c r="G2" s="268"/>
      <c r="H2" s="268"/>
      <c r="I2" s="269"/>
      <c r="J2" s="269"/>
      <c r="K2" s="270"/>
      <c r="V2" s="0" t="s">
        <v>808</v>
      </c>
    </row>
    <row r="3" customFormat="false" ht="16.5" hidden="false" customHeight="true" outlineLevel="0" collapsed="false">
      <c r="A3" s="271" t="n">
        <v>1</v>
      </c>
      <c r="B3" s="272" t="s">
        <v>809</v>
      </c>
      <c r="C3" s="272" t="str">
        <f aca="false">Information!C14</f>
        <v/>
      </c>
      <c r="D3" s="271"/>
      <c r="E3" s="271"/>
      <c r="F3" s="271"/>
      <c r="G3" s="271"/>
      <c r="H3" s="271"/>
      <c r="I3" s="272" t="s">
        <v>524</v>
      </c>
      <c r="J3" s="273" t="n">
        <v>44637</v>
      </c>
      <c r="K3" s="273"/>
      <c r="V3" s="0" t="s">
        <v>810</v>
      </c>
    </row>
    <row r="4" customFormat="false" ht="16.5" hidden="false" customHeight="true" outlineLevel="0" collapsed="false">
      <c r="A4" s="271" t="n">
        <v>1</v>
      </c>
      <c r="B4" s="271" t="str">
        <f aca="false">Information!C11</f>
        <v/>
      </c>
      <c r="C4" s="271"/>
      <c r="D4" s="271"/>
      <c r="E4" s="271"/>
      <c r="F4" s="271"/>
      <c r="G4" s="271"/>
      <c r="H4" s="271"/>
    </row>
    <row r="5" customFormat="false" ht="16.5" hidden="false" customHeight="true" outlineLevel="0" collapsed="false">
      <c r="A5" s="271" t="n">
        <v>1</v>
      </c>
      <c r="B5" s="271" t="str">
        <f aca="false">Information!C12</f>
        <v/>
      </c>
      <c r="D5" s="271"/>
      <c r="E5" s="271"/>
      <c r="F5" s="271"/>
      <c r="G5" s="271"/>
      <c r="H5" s="274" t="s">
        <v>811</v>
      </c>
      <c r="I5" s="275" t="str">
        <f aca="false">Information!C2</f>
        <v>Trammell Crow – LBJ</v>
      </c>
    </row>
    <row r="6" customFormat="false" ht="16.5" hidden="false" customHeight="true" outlineLevel="0" collapsed="false">
      <c r="A6" s="271" t="n">
        <v>1</v>
      </c>
      <c r="B6" s="271" t="str">
        <f aca="false">Information!C13</f>
        <v/>
      </c>
      <c r="D6" s="271"/>
      <c r="E6" s="271"/>
      <c r="F6" s="271"/>
      <c r="G6" s="271"/>
      <c r="H6" s="274" t="s">
        <v>812</v>
      </c>
      <c r="I6" s="163" t="str">
        <f aca="false">Information!C4</f>
        <v>Dallas, TX</v>
      </c>
      <c r="J6" s="272"/>
    </row>
    <row r="7" customFormat="false" ht="16.5" hidden="false" customHeight="true" outlineLevel="0" collapsed="false">
      <c r="A7" s="271" t="n">
        <v>1</v>
      </c>
      <c r="B7" s="271"/>
      <c r="D7" s="271"/>
      <c r="E7" s="271"/>
      <c r="F7" s="271"/>
      <c r="G7" s="271"/>
      <c r="H7" s="274" t="s">
        <v>813</v>
      </c>
      <c r="I7" s="163" t="n">
        <f aca="false">Information!I3</f>
        <v>0</v>
      </c>
      <c r="J7" s="272"/>
    </row>
    <row r="8" customFormat="false" ht="16.5" hidden="false" customHeight="true" outlineLevel="0" collapsed="false">
      <c r="A8" s="271" t="n">
        <v>1</v>
      </c>
      <c r="B8" s="271"/>
      <c r="D8" s="271"/>
      <c r="E8" s="271"/>
      <c r="F8" s="271"/>
      <c r="G8" s="271"/>
      <c r="H8" s="271"/>
      <c r="I8" s="276"/>
      <c r="J8" s="272"/>
    </row>
    <row r="9" customFormat="false" ht="15.75" hidden="false" customHeight="true" outlineLevel="0" collapsed="false">
      <c r="A9" s="271" t="n">
        <v>1</v>
      </c>
      <c r="B9" s="271"/>
      <c r="D9" s="271"/>
      <c r="E9" s="271"/>
      <c r="F9" s="277" t="s">
        <v>814</v>
      </c>
      <c r="G9" s="271"/>
      <c r="H9" s="271"/>
      <c r="I9" s="274"/>
      <c r="J9" s="278"/>
    </row>
    <row r="10" customFormat="false" ht="15" hidden="false" customHeight="true" outlineLevel="0" collapsed="false">
      <c r="A10" s="271" t="n">
        <v>1</v>
      </c>
      <c r="B10" s="279" t="s">
        <v>815</v>
      </c>
      <c r="D10" s="271"/>
      <c r="E10" s="280"/>
      <c r="F10" s="280"/>
      <c r="G10" s="281" t="str">
        <f aca="false">Information!H11</f>
        <v>ARCHITECTURAL: </v>
      </c>
      <c r="H10" s="282" t="n">
        <f aca="false">Information!I11</f>
        <v>0</v>
      </c>
      <c r="I10" s="283"/>
      <c r="J10" s="284" t="s">
        <v>816</v>
      </c>
      <c r="K10" s="282" t="n">
        <f aca="false">Information!L11</f>
        <v>0</v>
      </c>
      <c r="L10" s="285"/>
    </row>
    <row r="11" customFormat="false" ht="15" hidden="false" customHeight="true" outlineLevel="0" collapsed="false">
      <c r="A11" s="271" t="n">
        <v>1</v>
      </c>
      <c r="B11" s="279"/>
      <c r="C11" s="271"/>
      <c r="D11" s="271"/>
      <c r="E11" s="271"/>
      <c r="F11" s="271"/>
      <c r="G11" s="281" t="str">
        <f aca="false">Information!H12</f>
        <v>STRUCTURAL: </v>
      </c>
      <c r="H11" s="282" t="n">
        <f aca="false">Information!I12</f>
        <v>0</v>
      </c>
      <c r="J11" s="284" t="s">
        <v>816</v>
      </c>
      <c r="K11" s="282" t="n">
        <f aca="false">Information!L12</f>
        <v>0</v>
      </c>
      <c r="L11" s="286"/>
    </row>
    <row r="12" customFormat="false" ht="15" hidden="false" customHeight="true" outlineLevel="0" collapsed="false">
      <c r="A12" s="271" t="n">
        <v>1</v>
      </c>
      <c r="B12" s="279"/>
      <c r="C12" s="271"/>
      <c r="D12" s="271"/>
      <c r="E12" s="271"/>
      <c r="F12" s="271"/>
      <c r="G12" s="281" t="str">
        <f aca="false">Information!H13</f>
        <v>CIVIL: </v>
      </c>
      <c r="H12" s="282" t="n">
        <f aca="false">Information!I13</f>
        <v>0</v>
      </c>
      <c r="I12" s="274"/>
      <c r="J12" s="284" t="s">
        <v>816</v>
      </c>
      <c r="K12" s="282" t="n">
        <f aca="false">Information!L13</f>
        <v>0</v>
      </c>
      <c r="L12" s="286"/>
    </row>
    <row r="13" customFormat="false" ht="15" hidden="false" customHeight="true" outlineLevel="0" collapsed="false">
      <c r="A13" s="271" t="n">
        <v>1</v>
      </c>
      <c r="B13" s="279"/>
      <c r="C13" s="271"/>
      <c r="D13" s="271"/>
      <c r="E13" s="271"/>
      <c r="F13" s="271"/>
      <c r="G13" s="281" t="str">
        <f aca="false">Information!H14</f>
        <v>LANDSCAPE: </v>
      </c>
      <c r="H13" s="282" t="n">
        <f aca="false">Information!I14</f>
        <v>0</v>
      </c>
      <c r="I13" s="287"/>
      <c r="J13" s="284" t="s">
        <v>816</v>
      </c>
      <c r="K13" s="282" t="n">
        <f aca="false">Information!L14</f>
        <v>0</v>
      </c>
      <c r="L13" s="286"/>
    </row>
    <row r="14" customFormat="false" ht="12.75" hidden="false" customHeight="false" outlineLevel="0" collapsed="false">
      <c r="A14" s="271" t="n">
        <v>1</v>
      </c>
      <c r="B14" s="279"/>
      <c r="C14" s="271"/>
      <c r="D14" s="271"/>
      <c r="E14" s="271"/>
      <c r="F14" s="271"/>
      <c r="G14" s="281"/>
      <c r="H14" s="282"/>
      <c r="I14" s="287"/>
      <c r="J14" s="284"/>
      <c r="K14" s="282"/>
      <c r="L14" s="286"/>
    </row>
    <row r="15" customFormat="false" ht="12.75" hidden="false" customHeight="false" outlineLevel="0" collapsed="false">
      <c r="A15" s="271" t="n">
        <v>1</v>
      </c>
      <c r="B15" s="10"/>
      <c r="C15" s="271"/>
      <c r="D15" s="271"/>
      <c r="E15" s="271"/>
      <c r="F15" s="271"/>
      <c r="G15" s="281"/>
      <c r="H15" s="282"/>
      <c r="I15" s="287"/>
      <c r="J15" s="284"/>
      <c r="K15" s="282"/>
      <c r="L15" s="286"/>
    </row>
    <row r="16" customFormat="false" ht="12.75" hidden="false" customHeight="false" outlineLevel="0" collapsed="false">
      <c r="A16" s="271" t="n">
        <v>1</v>
      </c>
      <c r="B16" s="10"/>
      <c r="C16" s="271"/>
      <c r="D16" s="271"/>
      <c r="E16" s="271"/>
      <c r="F16" s="271"/>
      <c r="G16" s="281"/>
      <c r="H16" s="282"/>
      <c r="I16" s="287"/>
      <c r="J16" s="284"/>
      <c r="K16" s="282"/>
      <c r="L16" s="286"/>
    </row>
    <row r="17" customFormat="false" ht="12.75" hidden="false" customHeight="false" outlineLevel="0" collapsed="false">
      <c r="A17" s="271" t="n">
        <v>1</v>
      </c>
      <c r="B17" s="288"/>
      <c r="C17" s="271"/>
      <c r="D17" s="271"/>
      <c r="E17" s="271"/>
      <c r="F17" s="271"/>
      <c r="G17" s="281"/>
      <c r="H17" s="282"/>
      <c r="I17" s="287"/>
      <c r="J17" s="284"/>
      <c r="K17" s="282"/>
      <c r="L17" s="286"/>
    </row>
    <row r="18" customFormat="false" ht="12.75" hidden="false" customHeight="false" outlineLevel="0" collapsed="false">
      <c r="A18" s="271" t="n">
        <v>1</v>
      </c>
      <c r="B18" s="288"/>
      <c r="C18" s="271"/>
      <c r="D18" s="271"/>
      <c r="E18" s="271"/>
      <c r="F18" s="271"/>
      <c r="G18" s="281"/>
      <c r="H18" s="282"/>
      <c r="I18" s="287"/>
      <c r="J18" s="284"/>
      <c r="K18" s="282"/>
      <c r="L18" s="286"/>
    </row>
    <row r="19" customFormat="false" ht="15" hidden="false" customHeight="false" outlineLevel="0" collapsed="false">
      <c r="A19" s="271" t="n">
        <v>1</v>
      </c>
      <c r="B19" s="277" t="s">
        <v>817</v>
      </c>
      <c r="C19" s="271"/>
      <c r="D19" s="271"/>
      <c r="E19" s="271"/>
      <c r="F19" s="271"/>
      <c r="G19" s="281"/>
      <c r="H19" s="282"/>
      <c r="I19" s="289"/>
      <c r="J19" s="284"/>
      <c r="K19" s="282"/>
      <c r="L19" s="286"/>
    </row>
    <row r="20" customFormat="false" ht="15" hidden="false" customHeight="false" outlineLevel="0" collapsed="false">
      <c r="A20" s="271" t="n">
        <v>1</v>
      </c>
      <c r="B20" s="277" t="s">
        <v>818</v>
      </c>
      <c r="C20" s="271"/>
      <c r="D20" s="271"/>
      <c r="E20" s="271"/>
      <c r="F20" s="271"/>
      <c r="G20" s="281"/>
      <c r="H20" s="282"/>
      <c r="I20" s="289"/>
      <c r="J20" s="284"/>
      <c r="K20" s="282"/>
      <c r="L20" s="286"/>
      <c r="N20" s="290" t="s">
        <v>819</v>
      </c>
    </row>
    <row r="21" customFormat="false" ht="15" hidden="false" customHeight="false" outlineLevel="0" collapsed="false">
      <c r="A21" s="271" t="n">
        <v>1</v>
      </c>
      <c r="B21" s="271"/>
      <c r="C21" s="271"/>
      <c r="D21" s="271"/>
      <c r="E21" s="271"/>
      <c r="F21" s="271"/>
      <c r="G21" s="271"/>
      <c r="H21" s="271"/>
      <c r="I21" s="289"/>
      <c r="J21" s="278"/>
      <c r="L21" s="286"/>
      <c r="N21" s="290" t="s">
        <v>820</v>
      </c>
    </row>
    <row r="22" customFormat="false" ht="15" hidden="false" customHeight="false" outlineLevel="0" collapsed="false">
      <c r="A22" s="271" t="n">
        <v>1</v>
      </c>
      <c r="B22" s="271"/>
      <c r="C22" s="271"/>
      <c r="D22" s="271"/>
      <c r="E22" s="271"/>
      <c r="F22" s="271"/>
      <c r="G22" s="271"/>
      <c r="H22" s="271"/>
      <c r="I22" s="289"/>
      <c r="J22" s="278"/>
      <c r="K22" s="291"/>
      <c r="L22" s="286"/>
      <c r="N22" s="290" t="s">
        <v>821</v>
      </c>
    </row>
    <row r="23" customFormat="false" ht="15" hidden="false" customHeight="false" outlineLevel="0" collapsed="false">
      <c r="A23" s="271" t="n">
        <v>1</v>
      </c>
      <c r="B23" s="292" t="s">
        <v>822</v>
      </c>
      <c r="C23" s="271"/>
      <c r="D23" s="271"/>
      <c r="E23" s="271"/>
      <c r="F23" s="293"/>
      <c r="G23" s="271"/>
      <c r="H23" s="282"/>
      <c r="I23" s="289"/>
      <c r="J23" s="284"/>
      <c r="K23" s="282"/>
      <c r="L23" s="286"/>
    </row>
    <row r="24" customFormat="false" ht="15" hidden="false" customHeight="false" outlineLevel="0" collapsed="false">
      <c r="A24" s="271"/>
      <c r="B24" s="292"/>
      <c r="C24" s="271"/>
      <c r="D24" s="271"/>
      <c r="E24" s="271"/>
      <c r="F24" s="293"/>
      <c r="G24" s="271"/>
      <c r="H24" s="282"/>
      <c r="I24" s="289"/>
      <c r="J24" s="284"/>
      <c r="K24" s="282"/>
      <c r="L24" s="286"/>
    </row>
    <row r="25" customFormat="false" ht="15" hidden="false" customHeight="false" outlineLevel="0" collapsed="false">
      <c r="A25" s="271" t="n">
        <v>1</v>
      </c>
      <c r="B25" s="294"/>
      <c r="C25" s="271"/>
      <c r="D25" s="271"/>
      <c r="E25" s="295"/>
      <c r="F25" s="296"/>
      <c r="G25" s="271"/>
      <c r="H25" s="282"/>
      <c r="I25" s="289"/>
      <c r="J25" s="284"/>
      <c r="K25" s="282"/>
      <c r="L25" s="286"/>
    </row>
    <row r="26" customFormat="false" ht="12.75" hidden="false" customHeight="false" outlineLevel="0" collapsed="false">
      <c r="A26" s="271" t="n">
        <v>1</v>
      </c>
      <c r="B26" s="297"/>
      <c r="C26" s="271"/>
      <c r="D26" s="271"/>
      <c r="E26" s="271"/>
      <c r="F26" s="293"/>
      <c r="G26" s="271"/>
      <c r="H26" s="282"/>
      <c r="I26" s="289"/>
      <c r="J26" s="284"/>
      <c r="K26" s="282"/>
      <c r="L26" s="286"/>
    </row>
    <row r="27" customFormat="false" ht="12.75" hidden="false" customHeight="false" outlineLevel="0" collapsed="false">
      <c r="A27" s="271"/>
      <c r="B27" s="271"/>
      <c r="C27" s="271"/>
      <c r="D27" s="271"/>
      <c r="E27" s="271"/>
      <c r="F27" s="293"/>
      <c r="G27" s="271"/>
      <c r="H27" s="282"/>
      <c r="I27" s="289"/>
      <c r="J27" s="284"/>
      <c r="K27" s="282"/>
      <c r="L27" s="286"/>
    </row>
    <row r="28" customFormat="false" ht="12.75" hidden="false" customHeight="false" outlineLevel="0" collapsed="false">
      <c r="A28" s="271"/>
      <c r="B28" s="271"/>
      <c r="C28" s="271"/>
      <c r="D28" s="271"/>
      <c r="E28" s="271"/>
      <c r="F28" s="293"/>
      <c r="G28" s="271"/>
      <c r="H28" s="282"/>
      <c r="I28" s="289"/>
      <c r="J28" s="284"/>
      <c r="K28" s="282"/>
      <c r="L28" s="286"/>
    </row>
    <row r="29" customFormat="false" ht="12.75" hidden="false" customHeight="false" outlineLevel="0" collapsed="false">
      <c r="A29" s="271"/>
      <c r="B29" s="271"/>
      <c r="C29" s="271"/>
      <c r="D29" s="271"/>
      <c r="E29" s="271"/>
      <c r="F29" s="293"/>
      <c r="G29" s="271"/>
      <c r="H29" s="282"/>
      <c r="I29" s="289"/>
      <c r="J29" s="284"/>
      <c r="K29" s="282"/>
      <c r="L29" s="286"/>
    </row>
    <row r="30" customFormat="false" ht="12.75" hidden="false" customHeight="false" outlineLevel="0" collapsed="false">
      <c r="A30" s="271" t="n">
        <v>1</v>
      </c>
      <c r="B30" s="271"/>
      <c r="C30" s="271"/>
      <c r="D30" s="271"/>
      <c r="E30" s="271"/>
      <c r="F30" s="293"/>
      <c r="G30" s="271"/>
      <c r="H30" s="282"/>
      <c r="I30" s="289"/>
      <c r="J30" s="284"/>
      <c r="K30" s="282"/>
      <c r="L30" s="286"/>
    </row>
    <row r="31" customFormat="false" ht="12.75" hidden="false" customHeight="false" outlineLevel="0" collapsed="false">
      <c r="A31" s="271" t="n">
        <v>1</v>
      </c>
      <c r="B31" s="271"/>
      <c r="C31" s="271"/>
      <c r="D31" s="271"/>
      <c r="E31" s="271"/>
      <c r="F31" s="293"/>
      <c r="G31" s="271"/>
      <c r="H31" s="282"/>
      <c r="I31" s="289"/>
      <c r="J31" s="284"/>
      <c r="K31" s="282"/>
      <c r="L31" s="286"/>
    </row>
    <row r="32" customFormat="false" ht="25.5" hidden="false" customHeight="true" outlineLevel="0" collapsed="false">
      <c r="A32" s="271" t="n">
        <v>1</v>
      </c>
      <c r="B32" s="290" t="s">
        <v>819</v>
      </c>
      <c r="C32" s="271"/>
      <c r="D32" s="293"/>
      <c r="E32" s="271"/>
      <c r="F32" s="271"/>
      <c r="G32" s="271"/>
      <c r="H32" s="282"/>
      <c r="I32" s="289"/>
      <c r="J32" s="284"/>
      <c r="K32" s="282"/>
      <c r="L32" s="286"/>
    </row>
    <row r="33" customFormat="false" ht="76.5" hidden="false" customHeight="true" outlineLevel="0" collapsed="false">
      <c r="A33" s="271" t="n">
        <v>1</v>
      </c>
      <c r="B33" s="298" t="s">
        <v>823</v>
      </c>
      <c r="C33" s="298"/>
      <c r="D33" s="298"/>
      <c r="E33" s="298"/>
      <c r="F33" s="298"/>
      <c r="G33" s="298"/>
      <c r="H33" s="298"/>
      <c r="I33" s="298"/>
      <c r="J33" s="298"/>
      <c r="K33" s="299"/>
      <c r="L33" s="286"/>
      <c r="N33" s="290"/>
    </row>
    <row r="34" customFormat="false" ht="9.75" hidden="false" customHeight="true" outlineLevel="0" collapsed="false">
      <c r="A34" s="271" t="n">
        <v>1</v>
      </c>
      <c r="B34" s="277"/>
      <c r="C34" s="271"/>
      <c r="D34" s="293"/>
      <c r="E34" s="271"/>
      <c r="F34" s="271"/>
      <c r="G34" s="271"/>
      <c r="H34" s="282"/>
      <c r="I34" s="289"/>
      <c r="J34" s="284"/>
      <c r="K34" s="282"/>
      <c r="L34" s="286"/>
      <c r="N34" s="290"/>
    </row>
    <row r="35" customFormat="false" ht="70.5" hidden="false" customHeight="true" outlineLevel="0" collapsed="false">
      <c r="A35" s="271" t="n">
        <v>1</v>
      </c>
      <c r="B35" s="300" t="s">
        <v>824</v>
      </c>
      <c r="C35" s="300"/>
      <c r="D35" s="300"/>
      <c r="E35" s="300"/>
      <c r="F35" s="300"/>
      <c r="G35" s="300"/>
      <c r="H35" s="300"/>
      <c r="I35" s="300"/>
      <c r="J35" s="300"/>
      <c r="K35" s="282"/>
      <c r="L35" s="286"/>
    </row>
    <row r="36" customFormat="false" ht="15" hidden="false" customHeight="false" outlineLevel="0" collapsed="false">
      <c r="A36" s="271" t="n">
        <v>1</v>
      </c>
      <c r="B36" s="301"/>
      <c r="C36" s="301"/>
      <c r="D36" s="293"/>
      <c r="E36" s="271"/>
      <c r="F36" s="271"/>
      <c r="G36" s="271"/>
      <c r="H36" s="282"/>
      <c r="I36" s="289"/>
      <c r="J36" s="284"/>
      <c r="K36" s="282"/>
      <c r="L36" s="286"/>
    </row>
    <row r="37" customFormat="false" ht="15" hidden="false" customHeight="false" outlineLevel="0" collapsed="false">
      <c r="A37" s="271" t="n">
        <v>1</v>
      </c>
      <c r="B37" s="301"/>
      <c r="C37" s="301"/>
      <c r="D37" s="302"/>
      <c r="E37" s="271"/>
      <c r="F37" s="271"/>
      <c r="G37" s="271"/>
      <c r="H37" s="282"/>
      <c r="I37" s="289"/>
      <c r="J37" s="284"/>
      <c r="K37" s="282"/>
      <c r="L37" s="286"/>
    </row>
    <row r="38" customFormat="false" ht="15" hidden="false" customHeight="false" outlineLevel="0" collapsed="false">
      <c r="A38" s="271" t="n">
        <v>1</v>
      </c>
      <c r="B38" s="290"/>
      <c r="C38" s="303"/>
      <c r="D38" s="271"/>
      <c r="E38" s="271"/>
      <c r="F38" s="271"/>
      <c r="G38" s="281"/>
      <c r="H38" s="271"/>
      <c r="I38" s="304"/>
      <c r="J38" s="278"/>
      <c r="L38" s="286"/>
    </row>
    <row r="39" customFormat="false" ht="12.75" hidden="false" customHeight="false" outlineLevel="0" collapsed="false">
      <c r="A39" s="271" t="n">
        <v>1</v>
      </c>
      <c r="C39" s="271"/>
      <c r="D39" s="271"/>
      <c r="E39" s="271"/>
      <c r="F39" s="271"/>
      <c r="G39" s="281"/>
      <c r="H39" s="282"/>
      <c r="I39" s="287"/>
      <c r="J39" s="284"/>
      <c r="K39" s="305"/>
      <c r="L39" s="286"/>
    </row>
    <row r="40" customFormat="false" ht="12.75" hidden="false" customHeight="false" outlineLevel="0" collapsed="false">
      <c r="A40" s="271" t="n">
        <v>1</v>
      </c>
      <c r="C40" s="271"/>
      <c r="D40" s="271"/>
      <c r="E40" s="271"/>
      <c r="F40" s="271"/>
      <c r="G40" s="281"/>
      <c r="H40" s="282"/>
      <c r="I40" s="287"/>
      <c r="J40" s="284"/>
      <c r="K40" s="282"/>
      <c r="L40" s="286"/>
    </row>
    <row r="41" customFormat="false" ht="12.75" hidden="false" customHeight="false" outlineLevel="0" collapsed="false">
      <c r="A41" s="271" t="n">
        <v>1</v>
      </c>
      <c r="B41" s="271"/>
      <c r="C41" s="271"/>
      <c r="D41" s="271"/>
      <c r="E41" s="271"/>
      <c r="F41" s="271"/>
      <c r="G41" s="281"/>
      <c r="H41" s="282"/>
      <c r="I41" s="287"/>
      <c r="J41" s="284"/>
      <c r="K41" s="282"/>
      <c r="L41" s="286"/>
    </row>
    <row r="42" customFormat="false" ht="12.75" hidden="false" customHeight="false" outlineLevel="0" collapsed="false">
      <c r="A42" s="271" t="n">
        <v>1</v>
      </c>
      <c r="C42" s="271"/>
      <c r="D42" s="271"/>
      <c r="E42" s="271"/>
      <c r="F42" s="271"/>
      <c r="G42" s="281"/>
      <c r="H42" s="271"/>
      <c r="I42" s="274"/>
      <c r="J42" s="278"/>
      <c r="L42" s="286"/>
    </row>
    <row r="43" customFormat="false" ht="12.75" hidden="false" customHeight="false" outlineLevel="0" collapsed="false">
      <c r="A43" s="271" t="n">
        <v>1</v>
      </c>
      <c r="C43" s="271"/>
      <c r="D43" s="271"/>
      <c r="E43" s="271"/>
      <c r="F43" s="271"/>
      <c r="G43" s="271"/>
      <c r="H43" s="271"/>
      <c r="I43" s="274"/>
      <c r="J43" s="278"/>
      <c r="K43" s="302"/>
      <c r="L43" s="286"/>
    </row>
    <row r="44" customFormat="false" ht="12.75" hidden="false" customHeight="false" outlineLevel="0" collapsed="false">
      <c r="A44" s="271" t="n">
        <v>1</v>
      </c>
      <c r="B44" s="271"/>
      <c r="C44" s="271"/>
      <c r="D44" s="271"/>
      <c r="E44" s="271"/>
      <c r="F44" s="271"/>
      <c r="G44" s="281"/>
      <c r="H44" s="282"/>
      <c r="I44" s="271"/>
      <c r="J44" s="306" t="s">
        <v>825</v>
      </c>
      <c r="K44" s="302" t="n">
        <f aca="false">C216+K264+C423+C458+C491+C294-H498-H499</f>
        <v>0</v>
      </c>
      <c r="L44" s="286"/>
    </row>
    <row r="45" customFormat="false" ht="12.75" hidden="false" customHeight="false" outlineLevel="0" collapsed="false">
      <c r="A45" s="271" t="n">
        <v>0</v>
      </c>
      <c r="B45" s="271"/>
      <c r="C45" s="271"/>
      <c r="D45" s="271"/>
      <c r="E45" s="271"/>
      <c r="F45" s="271"/>
      <c r="G45" s="281"/>
      <c r="H45" s="282"/>
      <c r="I45" s="271"/>
      <c r="J45" s="306" t="s">
        <v>826</v>
      </c>
      <c r="K45" s="302"/>
      <c r="L45" s="286"/>
    </row>
    <row r="46" customFormat="false" ht="12.75" hidden="false" customHeight="false" outlineLevel="0" collapsed="false">
      <c r="A46" s="271" t="n">
        <v>1</v>
      </c>
      <c r="B46" s="271"/>
      <c r="C46" s="271"/>
      <c r="D46" s="271"/>
      <c r="E46" s="271"/>
      <c r="F46" s="271"/>
      <c r="G46" s="281"/>
      <c r="H46" s="282"/>
      <c r="I46" s="271"/>
      <c r="J46" s="307" t="s">
        <v>827</v>
      </c>
      <c r="K46" s="308" t="n">
        <f aca="false">C139+C174+H498+H499</f>
        <v>808755.175867466</v>
      </c>
      <c r="L46" s="286"/>
    </row>
    <row r="47" customFormat="false" ht="13.8" hidden="false" customHeight="false" outlineLevel="0" collapsed="false">
      <c r="A47" s="271" t="n">
        <v>1</v>
      </c>
      <c r="B47" s="271"/>
      <c r="C47" s="271"/>
      <c r="D47" s="271"/>
      <c r="E47" s="271"/>
      <c r="F47" s="271"/>
      <c r="G47" s="281"/>
      <c r="H47" s="282"/>
      <c r="I47" s="271"/>
      <c r="J47" s="309" t="s">
        <v>828</v>
      </c>
      <c r="K47" s="310" t="n">
        <f aca="false">SUM(K43:K46)</f>
        <v>808755.175867466</v>
      </c>
      <c r="L47" s="286"/>
      <c r="N47" s="311" t="n">
        <f aca="false">K47-Summary!D55</f>
        <v>-579358.16223845</v>
      </c>
    </row>
    <row r="48" customFormat="false" ht="12.65" hidden="false" customHeight="false" outlineLevel="0" collapsed="false">
      <c r="A48" s="271" t="n">
        <v>1</v>
      </c>
      <c r="C48" s="271"/>
      <c r="D48" s="271"/>
      <c r="E48" s="271"/>
      <c r="F48" s="271"/>
      <c r="G48" s="281"/>
      <c r="H48" s="271"/>
      <c r="I48" s="274"/>
      <c r="J48" s="278"/>
      <c r="L48" s="286"/>
    </row>
    <row r="49" customFormat="false" ht="12.65" hidden="false" customHeight="false" outlineLevel="0" collapsed="false">
      <c r="A49" s="271" t="n">
        <v>1</v>
      </c>
      <c r="C49" s="271"/>
      <c r="D49" s="271"/>
      <c r="E49" s="271"/>
      <c r="F49" s="271"/>
      <c r="G49" s="271"/>
      <c r="H49" s="271"/>
      <c r="I49" s="287"/>
      <c r="J49" s="312" t="s">
        <v>829</v>
      </c>
      <c r="K49" s="302" t="n">
        <f aca="false">K47*0.015</f>
        <v>12131.327638012</v>
      </c>
      <c r="L49" s="286"/>
    </row>
    <row r="50" customFormat="false" ht="12.65" hidden="false" customHeight="false" outlineLevel="0" collapsed="false">
      <c r="A50" s="271" t="n">
        <v>1</v>
      </c>
      <c r="B50" s="271" t="s">
        <v>830</v>
      </c>
      <c r="C50" s="271"/>
      <c r="D50" s="271"/>
      <c r="E50" s="271"/>
      <c r="F50" s="271"/>
      <c r="G50" s="271"/>
      <c r="H50" s="271"/>
    </row>
    <row r="51" customFormat="false" ht="12.65" hidden="false" customHeight="false" outlineLevel="0" collapsed="false">
      <c r="A51" s="271" t="n">
        <v>1</v>
      </c>
      <c r="B51" s="313" t="n">
        <f aca="false">Information!C7</f>
        <v>0</v>
      </c>
      <c r="C51" s="271"/>
      <c r="D51" s="271"/>
      <c r="E51" s="271"/>
      <c r="F51" s="271"/>
      <c r="G51" s="271"/>
      <c r="H51" s="271"/>
      <c r="L51" s="286"/>
    </row>
    <row r="52" customFormat="false" ht="12.65" hidden="false" customHeight="false" outlineLevel="0" collapsed="false">
      <c r="A52" s="271" t="n">
        <v>1</v>
      </c>
      <c r="B52" s="313" t="s">
        <v>831</v>
      </c>
      <c r="C52" s="271"/>
      <c r="D52" s="271"/>
      <c r="E52" s="271"/>
      <c r="F52" s="271"/>
      <c r="G52" s="271"/>
      <c r="H52" s="271"/>
    </row>
    <row r="53" customFormat="false" ht="12.65" hidden="false" customHeight="false" outlineLevel="0" collapsed="false">
      <c r="A53" s="271" t="n">
        <v>1</v>
      </c>
      <c r="B53" s="313" t="s">
        <v>832</v>
      </c>
      <c r="C53" s="271"/>
      <c r="D53" s="271"/>
      <c r="E53" s="271"/>
      <c r="F53" s="271"/>
      <c r="G53" s="271"/>
      <c r="H53" s="271"/>
      <c r="N53" s="311" t="n">
        <f aca="false">Summary!D55-K47</f>
        <v>579358.16223845</v>
      </c>
    </row>
    <row r="54" customFormat="false" ht="12.65" hidden="false" customHeight="false" outlineLevel="0" collapsed="false">
      <c r="A54" s="271" t="n">
        <v>1</v>
      </c>
      <c r="B54" s="306"/>
      <c r="C54" s="271"/>
      <c r="D54" s="271"/>
      <c r="E54" s="271"/>
      <c r="F54" s="271"/>
      <c r="G54" s="271"/>
      <c r="H54" s="271"/>
      <c r="I54" s="271"/>
      <c r="J54" s="271"/>
      <c r="K54" s="314"/>
    </row>
    <row r="55" customFormat="false" ht="12.65" hidden="false" customHeight="false" outlineLevel="0" collapsed="false">
      <c r="A55" s="271" t="n">
        <v>0</v>
      </c>
      <c r="B55" s="306"/>
      <c r="C55" s="271"/>
      <c r="D55" s="271"/>
      <c r="E55" s="271"/>
      <c r="F55" s="271"/>
      <c r="G55" s="271"/>
      <c r="H55" s="271"/>
      <c r="I55" s="271"/>
      <c r="J55" s="271"/>
      <c r="K55" s="314"/>
    </row>
    <row r="56" customFormat="false" ht="12.65" hidden="false" customHeight="false" outlineLevel="0" collapsed="false">
      <c r="A56" s="271" t="n">
        <v>0</v>
      </c>
      <c r="B56" s="306"/>
      <c r="C56" s="271"/>
      <c r="D56" s="271"/>
      <c r="E56" s="271"/>
      <c r="F56" s="271"/>
      <c r="G56" s="271"/>
      <c r="H56" s="271"/>
      <c r="I56" s="271"/>
      <c r="J56" s="271"/>
      <c r="K56" s="314"/>
    </row>
    <row r="57" customFormat="false" ht="12.65" hidden="false" customHeight="false" outlineLevel="0" collapsed="false">
      <c r="A57" s="271" t="n">
        <v>0</v>
      </c>
      <c r="B57" s="306"/>
      <c r="C57" s="271"/>
      <c r="D57" s="271"/>
      <c r="E57" s="271"/>
      <c r="F57" s="271"/>
      <c r="G57" s="271"/>
      <c r="H57" s="271"/>
      <c r="I57" s="271"/>
      <c r="J57" s="271"/>
      <c r="K57" s="314"/>
    </row>
    <row r="58" customFormat="false" ht="12.65" hidden="false" customHeight="false" outlineLevel="0" collapsed="false">
      <c r="A58" s="271" t="n">
        <v>0</v>
      </c>
      <c r="B58" s="306"/>
      <c r="C58" s="271"/>
      <c r="D58" s="271"/>
      <c r="E58" s="271"/>
      <c r="F58" s="271"/>
      <c r="G58" s="271"/>
      <c r="H58" s="271"/>
      <c r="I58" s="271"/>
      <c r="J58" s="271"/>
      <c r="K58" s="314"/>
    </row>
    <row r="59" customFormat="false" ht="7.5" hidden="false" customHeight="true" outlineLevel="0" collapsed="false">
      <c r="A59" s="271" t="n">
        <v>1</v>
      </c>
      <c r="B59" s="306"/>
      <c r="C59" s="271"/>
      <c r="D59" s="271"/>
      <c r="E59" s="271"/>
      <c r="F59" s="271"/>
      <c r="G59" s="271"/>
      <c r="H59" s="271"/>
      <c r="I59" s="271"/>
      <c r="J59" s="271"/>
      <c r="K59" s="314"/>
    </row>
    <row r="60" customFormat="false" ht="18.75" hidden="false" customHeight="true" outlineLevel="0" collapsed="false">
      <c r="A60" s="271" t="n">
        <v>1</v>
      </c>
      <c r="B60" s="271"/>
      <c r="C60" s="271" t="s">
        <v>833</v>
      </c>
      <c r="D60" s="271"/>
      <c r="E60" s="271"/>
      <c r="F60" s="271"/>
      <c r="G60" s="271"/>
      <c r="H60" s="271"/>
      <c r="I60" s="271"/>
      <c r="J60" s="271"/>
      <c r="K60" s="314"/>
    </row>
    <row r="61" customFormat="false" ht="16.5" hidden="false" customHeight="true" outlineLevel="0" collapsed="false">
      <c r="A61" s="271" t="n">
        <v>1</v>
      </c>
      <c r="B61" s="271"/>
      <c r="C61" s="271"/>
      <c r="D61" s="271"/>
      <c r="E61" s="271"/>
      <c r="F61" s="271"/>
      <c r="G61" s="271"/>
      <c r="H61" s="271"/>
      <c r="I61" s="271"/>
      <c r="J61" s="271"/>
      <c r="K61" s="314"/>
      <c r="N61" s="291" t="n">
        <f aca="false">SUM(M216:N524)</f>
        <v>230548.729567468</v>
      </c>
    </row>
    <row r="62" customFormat="false" ht="19.5" hidden="false" customHeight="true" outlineLevel="0" collapsed="false">
      <c r="A62" s="315" t="n">
        <f aca="false">IF(SUM(A64:A91)&gt;0,1,0)</f>
        <v>0</v>
      </c>
      <c r="B62" s="315" t="s">
        <v>834</v>
      </c>
      <c r="C62" s="316" t="n">
        <f aca="false">'01-Piers'!E42</f>
        <v>348809.432670982</v>
      </c>
      <c r="D62" s="316"/>
      <c r="E62" s="317"/>
      <c r="F62" s="318"/>
      <c r="G62" s="318"/>
      <c r="H62" s="318"/>
      <c r="I62" s="318"/>
    </row>
    <row r="63" customFormat="false" ht="13.5" hidden="false" customHeight="true" outlineLevel="0" collapsed="false">
      <c r="A63" s="315" t="n">
        <f aca="false">IF(SUM(A64:A91)&gt;0,1,0)</f>
        <v>0</v>
      </c>
      <c r="B63" s="319"/>
      <c r="C63" s="274" t="s">
        <v>835</v>
      </c>
      <c r="D63" s="320"/>
      <c r="E63" s="321" t="s">
        <v>836</v>
      </c>
      <c r="F63" s="320"/>
      <c r="G63" s="319" t="s">
        <v>837</v>
      </c>
      <c r="H63" s="319" t="s">
        <v>838</v>
      </c>
      <c r="I63" s="319" t="s">
        <v>839</v>
      </c>
      <c r="J63" s="321"/>
      <c r="K63" s="322"/>
      <c r="L63" s="323" t="n">
        <f aca="false">IF(K63="incl",0,K63)</f>
        <v>0</v>
      </c>
    </row>
    <row r="64" customFormat="false" ht="13.5" hidden="false" customHeight="true" outlineLevel="0" collapsed="false">
      <c r="A64" s="271" t="n">
        <f aca="false">IF(B64="",0,1)</f>
        <v>0</v>
      </c>
      <c r="B64" s="324" t="str">
        <f aca="false">IF('01-Piers'!B11="","",'01-Piers'!B11)</f>
        <v/>
      </c>
      <c r="C64" s="325" t="str">
        <f aca="false">IF(B64="","",'01-Piers'!E11)</f>
        <v/>
      </c>
      <c r="D64" s="326" t="n">
        <f aca="false">IF('01-Piers'!F11="","",'01-Piers'!F11)</f>
        <v>24</v>
      </c>
      <c r="E64" s="327" t="n">
        <f aca="false">IF('01-Piers'!E11="","",'01-Piers'!E11*'01-Piers'!J11)</f>
        <v>228</v>
      </c>
      <c r="F64" s="328"/>
      <c r="G64" s="329" t="n">
        <f aca="false">IF('01-Piers'!U11=0,"",'01-Piers'!U11)</f>
        <v>52.5911374037186</v>
      </c>
      <c r="H64" s="329" t="n">
        <f aca="false">IF('01-Piers'!V11=0,"",'01-Piers'!V11)</f>
        <v>19.3802180092593</v>
      </c>
      <c r="I64" s="329" t="n">
        <f aca="false">IF('01-Piers'!W11=0,"",'01-Piers'!W11)</f>
        <v>45.3978391015625</v>
      </c>
      <c r="J64" s="330"/>
      <c r="K64" s="307"/>
      <c r="L64" s="311" t="n">
        <f aca="false">IF(K64="incl",0,K64)</f>
        <v>0</v>
      </c>
    </row>
    <row r="65" customFormat="false" ht="13.5" hidden="false" customHeight="true" outlineLevel="0" collapsed="false">
      <c r="A65" s="271" t="n">
        <f aca="false">IF(B65="",0,1)</f>
        <v>0</v>
      </c>
      <c r="B65" s="324" t="str">
        <f aca="false">IF('01-Piers'!B12="","",'01-Piers'!B12)</f>
        <v/>
      </c>
      <c r="C65" s="325" t="str">
        <f aca="false">IF(B65="","",'01-Piers'!E12)</f>
        <v/>
      </c>
      <c r="D65" s="326" t="n">
        <f aca="false">IF('01-Piers'!F12="","",'01-Piers'!F12)</f>
        <v>24</v>
      </c>
      <c r="E65" s="327" t="n">
        <f aca="false">IF('01-Piers'!E12="","",'01-Piers'!E12*'01-Piers'!J12)</f>
        <v>252</v>
      </c>
      <c r="F65" s="328"/>
      <c r="G65" s="329" t="n">
        <f aca="false">IF('01-Piers'!U12=0,"",'01-Piers'!U12)</f>
        <v>52.3526406200344</v>
      </c>
      <c r="H65" s="329" t="n">
        <f aca="false">IF('01-Piers'!V12=0,"",'01-Piers'!V12)</f>
        <v>19.3802180092593</v>
      </c>
      <c r="I65" s="329" t="n">
        <f aca="false">IF('01-Piers'!W12=0,"",'01-Piers'!W12)</f>
        <v>45.3978391015625</v>
      </c>
      <c r="J65" s="331"/>
      <c r="K65" s="314"/>
      <c r="L65" s="323" t="n">
        <f aca="false">IF(K65="incl",0,K65)</f>
        <v>0</v>
      </c>
    </row>
    <row r="66" customFormat="false" ht="13.5" hidden="false" customHeight="true" outlineLevel="0" collapsed="false">
      <c r="A66" s="271" t="n">
        <f aca="false">IF(B66="",0,1)</f>
        <v>0</v>
      </c>
      <c r="B66" s="324" t="str">
        <f aca="false">IF('01-Piers'!B13="","",'01-Piers'!B13)</f>
        <v/>
      </c>
      <c r="C66" s="325" t="str">
        <f aca="false">IF(B66="","",'01-Piers'!E13)</f>
        <v/>
      </c>
      <c r="D66" s="326" t="n">
        <f aca="false">IF('01-Piers'!F13="","",'01-Piers'!F13)</f>
        <v>36</v>
      </c>
      <c r="E66" s="327" t="n">
        <f aca="false">IF('01-Piers'!E13="","",'01-Piers'!E13*'01-Piers'!J13)</f>
        <v>1104</v>
      </c>
      <c r="F66" s="328"/>
      <c r="G66" s="329" t="n">
        <f aca="false">IF('01-Piers'!U13=0,"",'01-Piers'!U13)</f>
        <v>120.642562427343</v>
      </c>
      <c r="H66" s="329" t="n">
        <f aca="false">IF('01-Piers'!V13=0,"",'01-Piers'!V13)</f>
        <v>43.6054905208333</v>
      </c>
      <c r="I66" s="329" t="n">
        <f aca="false">IF('01-Piers'!W13=0,"",'01-Piers'!W13)</f>
        <v>66.4085869140625</v>
      </c>
      <c r="J66" s="330"/>
      <c r="K66" s="307"/>
      <c r="L66" s="311" t="n">
        <f aca="false">IF(K66="incl",0,K66)</f>
        <v>0</v>
      </c>
    </row>
    <row r="67" customFormat="false" ht="13.5" hidden="false" customHeight="true" outlineLevel="0" collapsed="false">
      <c r="A67" s="271" t="n">
        <f aca="false">IF(B67="",0,1)</f>
        <v>0</v>
      </c>
      <c r="B67" s="324" t="str">
        <f aca="false">IF('01-Piers'!B14="","",'01-Piers'!B14)</f>
        <v/>
      </c>
      <c r="C67" s="325" t="str">
        <f aca="false">IF(B67="","",'01-Piers'!E14)</f>
        <v/>
      </c>
      <c r="D67" s="326" t="n">
        <f aca="false">IF('01-Piers'!F14="","",'01-Piers'!F14)</f>
        <v>42</v>
      </c>
      <c r="E67" s="327" t="n">
        <f aca="false">IF('01-Piers'!E14="","",'01-Piers'!E14*'01-Piers'!J14)</f>
        <v>440</v>
      </c>
      <c r="F67" s="328"/>
      <c r="G67" s="329" t="n">
        <f aca="false">IF('01-Piers'!U14=0,"",'01-Piers'!U14)</f>
        <v>151.618442215086</v>
      </c>
      <c r="H67" s="329" t="n">
        <f aca="false">IF('01-Piers'!V14=0,"",'01-Piers'!V14)</f>
        <v>59.3519176533565</v>
      </c>
      <c r="I67" s="329" t="n">
        <f aca="false">IF('01-Piers'!W14=0,"",'01-Piers'!W14)</f>
        <v>85.9139608203125</v>
      </c>
      <c r="J67" s="331"/>
      <c r="K67" s="314"/>
      <c r="L67" s="323" t="n">
        <f aca="false">IF(K67="incl",0,K67)</f>
        <v>0</v>
      </c>
    </row>
    <row r="68" customFormat="false" ht="13.5" hidden="false" customHeight="true" outlineLevel="0" collapsed="false">
      <c r="A68" s="271" t="n">
        <f aca="false">IF(B68="",0,1)</f>
        <v>0</v>
      </c>
      <c r="B68" s="324" t="str">
        <f aca="false">IF('01-Piers'!B15="","",'01-Piers'!B15)</f>
        <v/>
      </c>
      <c r="C68" s="325" t="str">
        <f aca="false">IF(B68="","",'01-Piers'!E15)</f>
        <v/>
      </c>
      <c r="D68" s="326" t="str">
        <f aca="false">IF('01-Piers'!F15="","",'01-Piers'!F15)</f>
        <v/>
      </c>
      <c r="E68" s="327" t="str">
        <f aca="false">IF('01-Piers'!E15="","",'01-Piers'!E15*'01-Piers'!J15)</f>
        <v/>
      </c>
      <c r="F68" s="328"/>
      <c r="G68" s="329" t="str">
        <f aca="false">IF('01-Piers'!U15=0,"",'01-Piers'!U15)</f>
        <v/>
      </c>
      <c r="H68" s="329" t="str">
        <f aca="false">IF('01-Piers'!V15=0,"",'01-Piers'!V15)</f>
        <v/>
      </c>
      <c r="I68" s="329" t="str">
        <f aca="false">IF('01-Piers'!W15=0,"",'01-Piers'!W15)</f>
        <v/>
      </c>
      <c r="J68" s="331"/>
      <c r="K68" s="314"/>
      <c r="L68" s="323" t="n">
        <f aca="false">IF(K68="incl",0,K68)</f>
        <v>0</v>
      </c>
    </row>
    <row r="69" customFormat="false" ht="13.5" hidden="false" customHeight="true" outlineLevel="0" collapsed="false">
      <c r="A69" s="271" t="n">
        <f aca="false">IF(B69="",0,1)</f>
        <v>0</v>
      </c>
      <c r="B69" s="324" t="str">
        <f aca="false">IF('01-Piers'!B16="","",'01-Piers'!B16)</f>
        <v/>
      </c>
      <c r="C69" s="325" t="str">
        <f aca="false">IF(B69="","",'01-Piers'!E16)</f>
        <v/>
      </c>
      <c r="D69" s="326" t="str">
        <f aca="false">IF('01-Piers'!F16="","",'01-Piers'!F16)</f>
        <v/>
      </c>
      <c r="E69" s="327" t="str">
        <f aca="false">IF('01-Piers'!E16="","",'01-Piers'!E16*'01-Piers'!J16)</f>
        <v/>
      </c>
      <c r="F69" s="328"/>
      <c r="G69" s="329" t="str">
        <f aca="false">IF('01-Piers'!U16=0,"",'01-Piers'!U16)</f>
        <v/>
      </c>
      <c r="H69" s="329" t="str">
        <f aca="false">IF('01-Piers'!V16=0,"",'01-Piers'!V16)</f>
        <v/>
      </c>
      <c r="I69" s="329" t="str">
        <f aca="false">IF('01-Piers'!W16=0,"",'01-Piers'!W16)</f>
        <v/>
      </c>
      <c r="J69" s="330"/>
      <c r="K69" s="307"/>
    </row>
    <row r="70" customFormat="false" ht="13.5" hidden="false" customHeight="true" outlineLevel="0" collapsed="false">
      <c r="A70" s="271" t="n">
        <f aca="false">IF(B70="",0,1)</f>
        <v>0</v>
      </c>
      <c r="B70" s="324" t="str">
        <f aca="false">IF('01-Piers'!B17="","",'01-Piers'!B17)</f>
        <v/>
      </c>
      <c r="C70" s="325" t="str">
        <f aca="false">IF(B70="","",'01-Piers'!E17)</f>
        <v/>
      </c>
      <c r="D70" s="326" t="n">
        <f aca="false">IF('01-Piers'!F17="","",'01-Piers'!F17)</f>
        <v>24</v>
      </c>
      <c r="E70" s="327" t="n">
        <f aca="false">IF('01-Piers'!E17="","",'01-Piers'!E17*'01-Piers'!J17)</f>
        <v>84</v>
      </c>
      <c r="F70" s="328"/>
      <c r="G70" s="329" t="n">
        <f aca="false">IF('01-Piers'!U17=0,"",'01-Piers'!U17)</f>
        <v>52.3526406200344</v>
      </c>
      <c r="H70" s="329" t="n">
        <f aca="false">IF('01-Piers'!V17=0,"",'01-Piers'!V17)</f>
        <v>19.3802180092593</v>
      </c>
      <c r="I70" s="329" t="n">
        <f aca="false">IF('01-Piers'!W17=0,"",'01-Piers'!W17)</f>
        <v>45.3978391015625</v>
      </c>
      <c r="J70" s="330"/>
      <c r="K70" s="314"/>
    </row>
    <row r="71" customFormat="false" ht="13.5" hidden="false" customHeight="true" outlineLevel="0" collapsed="false">
      <c r="A71" s="271" t="n">
        <f aca="false">IF(B71="",0,1)</f>
        <v>0</v>
      </c>
      <c r="B71" s="324" t="str">
        <f aca="false">IF('01-Piers'!B18="","",'01-Piers'!B18)</f>
        <v/>
      </c>
      <c r="C71" s="325" t="str">
        <f aca="false">IF(B71="","",'01-Piers'!E18)</f>
        <v/>
      </c>
      <c r="D71" s="326" t="n">
        <f aca="false">IF('01-Piers'!F18="","",'01-Piers'!F18)</f>
        <v>42</v>
      </c>
      <c r="E71" s="327" t="n">
        <f aca="false">IF('01-Piers'!E18="","",'01-Piers'!E18*'01-Piers'!J18)</f>
        <v>240</v>
      </c>
      <c r="F71" s="328"/>
      <c r="G71" s="329" t="n">
        <f aca="false">IF('01-Piers'!U18=0,"",'01-Piers'!U18)</f>
        <v>151.834715434836</v>
      </c>
      <c r="H71" s="329" t="n">
        <f aca="false">IF('01-Piers'!V18=0,"",'01-Piers'!V18)</f>
        <v>59.3519176533565</v>
      </c>
      <c r="I71" s="329" t="n">
        <f aca="false">IF('01-Piers'!W18=0,"",'01-Piers'!W18)</f>
        <v>85.9139608203125</v>
      </c>
      <c r="J71" s="330"/>
      <c r="K71" s="314"/>
    </row>
    <row r="72" customFormat="false" ht="13.5" hidden="false" customHeight="true" outlineLevel="0" collapsed="false">
      <c r="A72" s="271" t="n">
        <f aca="false">IF(B72="",0,1)</f>
        <v>0</v>
      </c>
      <c r="B72" s="324" t="str">
        <f aca="false">IF('01-Piers'!B19="","",'01-Piers'!B19)</f>
        <v/>
      </c>
      <c r="C72" s="325" t="str">
        <f aca="false">IF(B72="","",'01-Piers'!E19)</f>
        <v/>
      </c>
      <c r="D72" s="326" t="str">
        <f aca="false">IF('01-Piers'!F19="","",'01-Piers'!F19)</f>
        <v/>
      </c>
      <c r="E72" s="327" t="str">
        <f aca="false">IF('01-Piers'!E19="","",'01-Piers'!E19*'01-Piers'!J19)</f>
        <v/>
      </c>
      <c r="F72" s="328"/>
      <c r="G72" s="329" t="str">
        <f aca="false">IF('01-Piers'!U19=0,"",'01-Piers'!U19)</f>
        <v/>
      </c>
      <c r="H72" s="329" t="str">
        <f aca="false">IF('01-Piers'!V19=0,"",'01-Piers'!V19)</f>
        <v/>
      </c>
      <c r="I72" s="329" t="str">
        <f aca="false">IF('01-Piers'!W19=0,"",'01-Piers'!W19)</f>
        <v/>
      </c>
      <c r="J72" s="330"/>
      <c r="K72" s="314"/>
    </row>
    <row r="73" customFormat="false" ht="13.5" hidden="false" customHeight="true" outlineLevel="0" collapsed="false">
      <c r="A73" s="271" t="n">
        <f aca="false">IF(B73="",0,1)</f>
        <v>0</v>
      </c>
      <c r="B73" s="324" t="str">
        <f aca="false">IF('01-Piers'!B20="","",'01-Piers'!B20)</f>
        <v/>
      </c>
      <c r="C73" s="325" t="str">
        <f aca="false">IF(B73="","",'01-Piers'!E20)</f>
        <v/>
      </c>
      <c r="D73" s="326" t="str">
        <f aca="false">IF('01-Piers'!F20="","",'01-Piers'!F20)</f>
        <v/>
      </c>
      <c r="E73" s="327" t="str">
        <f aca="false">IF('01-Piers'!E20="","",'01-Piers'!E20*'01-Piers'!J20)</f>
        <v/>
      </c>
      <c r="F73" s="328"/>
      <c r="G73" s="329" t="str">
        <f aca="false">IF('01-Piers'!U20=0,"",'01-Piers'!U20)</f>
        <v/>
      </c>
      <c r="H73" s="329" t="str">
        <f aca="false">IF('01-Piers'!V20=0,"",'01-Piers'!V20)</f>
        <v/>
      </c>
      <c r="I73" s="329" t="str">
        <f aca="false">IF('01-Piers'!W20=0,"",'01-Piers'!W20)</f>
        <v/>
      </c>
      <c r="J73" s="330"/>
      <c r="K73" s="314"/>
    </row>
    <row r="74" customFormat="false" ht="13.5" hidden="false" customHeight="true" outlineLevel="0" collapsed="false">
      <c r="A74" s="271" t="n">
        <f aca="false">IF(B74="",0,1)</f>
        <v>0</v>
      </c>
      <c r="B74" s="324" t="str">
        <f aca="false">IF('01-Piers'!B21="","",'01-Piers'!B21)</f>
        <v/>
      </c>
      <c r="C74" s="325" t="str">
        <f aca="false">IF(B74="","",'01-Piers'!E21)</f>
        <v/>
      </c>
      <c r="D74" s="326" t="str">
        <f aca="false">IF('01-Piers'!F21="","",'01-Piers'!F21)</f>
        <v/>
      </c>
      <c r="E74" s="327" t="str">
        <f aca="false">IF('01-Piers'!E21="","",'01-Piers'!E21*'01-Piers'!J21)</f>
        <v/>
      </c>
      <c r="F74" s="328"/>
      <c r="G74" s="329" t="str">
        <f aca="false">IF('01-Piers'!U21=0,"",'01-Piers'!U21)</f>
        <v/>
      </c>
      <c r="H74" s="329" t="str">
        <f aca="false">IF('01-Piers'!V21=0,"",'01-Piers'!V21)</f>
        <v/>
      </c>
      <c r="I74" s="329" t="str">
        <f aca="false">IF('01-Piers'!W21=0,"",'01-Piers'!W21)</f>
        <v/>
      </c>
      <c r="J74" s="330"/>
      <c r="K74" s="314"/>
    </row>
    <row r="75" customFormat="false" ht="13.5" hidden="false" customHeight="true" outlineLevel="0" collapsed="false">
      <c r="A75" s="271" t="n">
        <f aca="false">IF(B75="",0,1)</f>
        <v>0</v>
      </c>
      <c r="B75" s="324" t="str">
        <f aca="false">IF('01-Piers'!B22="","",'01-Piers'!B22)</f>
        <v/>
      </c>
      <c r="C75" s="325" t="str">
        <f aca="false">IF(B75="","",'01-Piers'!E22)</f>
        <v/>
      </c>
      <c r="D75" s="326" t="str">
        <f aca="false">IF('01-Piers'!F22="","",'01-Piers'!F22)</f>
        <v/>
      </c>
      <c r="E75" s="327" t="str">
        <f aca="false">IF('01-Piers'!E22="","",'01-Piers'!E22*'01-Piers'!J22)</f>
        <v/>
      </c>
      <c r="F75" s="328"/>
      <c r="G75" s="329" t="str">
        <f aca="false">IF('01-Piers'!U22=0,"",'01-Piers'!U22)</f>
        <v/>
      </c>
      <c r="H75" s="329" t="str">
        <f aca="false">IF('01-Piers'!V22=0,"",'01-Piers'!V22)</f>
        <v/>
      </c>
      <c r="I75" s="329" t="str">
        <f aca="false">IF('01-Piers'!W22=0,"",'01-Piers'!W22)</f>
        <v/>
      </c>
      <c r="J75" s="330"/>
      <c r="K75" s="314"/>
      <c r="L75" s="0" t="n">
        <f aca="false">IF(K75="incl",0,K75)</f>
        <v>0</v>
      </c>
    </row>
    <row r="76" customFormat="false" ht="13.5" hidden="false" customHeight="true" outlineLevel="0" collapsed="false">
      <c r="A76" s="271" t="n">
        <f aca="false">IF(B76="",0,1)</f>
        <v>0</v>
      </c>
      <c r="B76" s="324" t="str">
        <f aca="false">IF('01-Piers'!B23="","",'01-Piers'!B23)</f>
        <v/>
      </c>
      <c r="C76" s="325" t="str">
        <f aca="false">IF(B76="","",'01-Piers'!E23)</f>
        <v/>
      </c>
      <c r="D76" s="326" t="str">
        <f aca="false">IF('01-Piers'!F23="","",'01-Piers'!F23)</f>
        <v/>
      </c>
      <c r="E76" s="327" t="str">
        <f aca="false">IF('01-Piers'!E23="","",'01-Piers'!E23*'01-Piers'!J23)</f>
        <v/>
      </c>
      <c r="F76" s="328"/>
      <c r="G76" s="329" t="str">
        <f aca="false">IF('01-Piers'!U23=0,"",'01-Piers'!U23)</f>
        <v/>
      </c>
      <c r="H76" s="329" t="str">
        <f aca="false">IF('01-Piers'!V23=0,"",'01-Piers'!V23)</f>
        <v/>
      </c>
      <c r="I76" s="329" t="str">
        <f aca="false">IF('01-Piers'!W23=0,"",'01-Piers'!W23)</f>
        <v/>
      </c>
      <c r="J76" s="330"/>
      <c r="K76" s="314"/>
    </row>
    <row r="77" customFormat="false" ht="13.5" hidden="false" customHeight="true" outlineLevel="0" collapsed="false">
      <c r="A77" s="271" t="n">
        <f aca="false">IF(B77="",0,1)</f>
        <v>0</v>
      </c>
      <c r="B77" s="324" t="str">
        <f aca="false">IF('01-Piers'!B24="","",'01-Piers'!B24)</f>
        <v/>
      </c>
      <c r="C77" s="325" t="str">
        <f aca="false">IF(B77="","",'01-Piers'!E24)</f>
        <v/>
      </c>
      <c r="D77" s="326" t="str">
        <f aca="false">IF('01-Piers'!F24="","",'01-Piers'!F24)</f>
        <v/>
      </c>
      <c r="E77" s="327" t="str">
        <f aca="false">IF('01-Piers'!E24="","",'01-Piers'!E24*'01-Piers'!J24)</f>
        <v/>
      </c>
      <c r="F77" s="328"/>
      <c r="G77" s="329" t="str">
        <f aca="false">IF('01-Piers'!U24=0,"",'01-Piers'!U24)</f>
        <v/>
      </c>
      <c r="H77" s="329" t="str">
        <f aca="false">IF('01-Piers'!V24=0,"",'01-Piers'!V24)</f>
        <v/>
      </c>
      <c r="I77" s="329" t="str">
        <f aca="false">IF('01-Piers'!W24=0,"",'01-Piers'!W24)</f>
        <v/>
      </c>
      <c r="J77" s="330"/>
      <c r="K77" s="314"/>
    </row>
    <row r="78" customFormat="false" ht="13.5" hidden="false" customHeight="true" outlineLevel="0" collapsed="false">
      <c r="A78" s="271" t="n">
        <f aca="false">IF(B78="",0,1)</f>
        <v>0</v>
      </c>
      <c r="B78" s="324" t="str">
        <f aca="false">IF('01-Piers'!B25="","",'01-Piers'!B25)</f>
        <v/>
      </c>
      <c r="C78" s="325" t="str">
        <f aca="false">IF(B78="","",'01-Piers'!E25)</f>
        <v/>
      </c>
      <c r="D78" s="326" t="str">
        <f aca="false">IF('01-Piers'!F25="","",'01-Piers'!F25)</f>
        <v/>
      </c>
      <c r="E78" s="327" t="str">
        <f aca="false">IF('01-Piers'!E25="","",'01-Piers'!E25*'01-Piers'!J25)</f>
        <v/>
      </c>
      <c r="F78" s="328"/>
      <c r="G78" s="329" t="str">
        <f aca="false">IF('01-Piers'!U25=0,"",'01-Piers'!U25)</f>
        <v/>
      </c>
      <c r="H78" s="329" t="str">
        <f aca="false">IF('01-Piers'!V25=0,"",'01-Piers'!V25)</f>
        <v/>
      </c>
      <c r="I78" s="329" t="str">
        <f aca="false">IF('01-Piers'!W25=0,"",'01-Piers'!W25)</f>
        <v/>
      </c>
      <c r="J78" s="330"/>
      <c r="K78" s="314"/>
    </row>
    <row r="79" customFormat="false" ht="13.5" hidden="false" customHeight="true" outlineLevel="0" collapsed="false">
      <c r="A79" s="271" t="n">
        <f aca="false">IF(B79="",0,1)</f>
        <v>0</v>
      </c>
      <c r="B79" s="324" t="str">
        <f aca="false">IF('01-Piers'!B26="","",'01-Piers'!B26)</f>
        <v/>
      </c>
      <c r="C79" s="325" t="str">
        <f aca="false">IF(B79="","",'01-Piers'!E26)</f>
        <v/>
      </c>
      <c r="D79" s="326" t="str">
        <f aca="false">IF('01-Piers'!F26="","",'01-Piers'!F26)</f>
        <v/>
      </c>
      <c r="E79" s="327" t="str">
        <f aca="false">IF('01-Piers'!E26="","",'01-Piers'!E26*'01-Piers'!J26)</f>
        <v/>
      </c>
      <c r="F79" s="328"/>
      <c r="G79" s="329" t="str">
        <f aca="false">IF('01-Piers'!U26=0,"",'01-Piers'!U26)</f>
        <v/>
      </c>
      <c r="H79" s="329" t="str">
        <f aca="false">IF('01-Piers'!V26=0,"",'01-Piers'!V26)</f>
        <v/>
      </c>
      <c r="I79" s="329" t="str">
        <f aca="false">IF('01-Piers'!W26=0,"",'01-Piers'!W26)</f>
        <v/>
      </c>
      <c r="J79" s="330"/>
      <c r="K79" s="314"/>
    </row>
    <row r="80" customFormat="false" ht="13.5" hidden="false" customHeight="true" outlineLevel="0" collapsed="false">
      <c r="A80" s="271" t="n">
        <f aca="false">IF(B80="",0,1)</f>
        <v>0</v>
      </c>
      <c r="B80" s="324" t="str">
        <f aca="false">IF('01-Piers'!B27="","",'01-Piers'!B27)</f>
        <v/>
      </c>
      <c r="C80" s="325" t="str">
        <f aca="false">IF(B80="","",'01-Piers'!E27)</f>
        <v/>
      </c>
      <c r="D80" s="326" t="str">
        <f aca="false">IF('01-Piers'!F27="","",'01-Piers'!F27)</f>
        <v/>
      </c>
      <c r="E80" s="327" t="str">
        <f aca="false">IF('01-Piers'!E27="","",'01-Piers'!E27*'01-Piers'!J27)</f>
        <v/>
      </c>
      <c r="F80" s="328"/>
      <c r="G80" s="329" t="str">
        <f aca="false">IF('01-Piers'!U27=0,"",'01-Piers'!U27)</f>
        <v/>
      </c>
      <c r="H80" s="329" t="str">
        <f aca="false">IF('01-Piers'!V27=0,"",'01-Piers'!V27)</f>
        <v/>
      </c>
      <c r="I80" s="329" t="str">
        <f aca="false">IF('01-Piers'!W27=0,"",'01-Piers'!W27)</f>
        <v/>
      </c>
      <c r="J80" s="330"/>
      <c r="K80" s="314"/>
    </row>
    <row r="81" customFormat="false" ht="13.5" hidden="false" customHeight="true" outlineLevel="0" collapsed="false">
      <c r="A81" s="271" t="n">
        <f aca="false">IF(B81="",0,1)</f>
        <v>0</v>
      </c>
      <c r="B81" s="324" t="str">
        <f aca="false">IF('01-Piers'!B28="","",'01-Piers'!B28)</f>
        <v/>
      </c>
      <c r="C81" s="325" t="str">
        <f aca="false">IF(B81="","",'01-Piers'!E28)</f>
        <v/>
      </c>
      <c r="D81" s="326" t="str">
        <f aca="false">IF('01-Piers'!F28="","",'01-Piers'!F28)</f>
        <v/>
      </c>
      <c r="E81" s="327" t="str">
        <f aca="false">IF('01-Piers'!E28="","",'01-Piers'!E28*'01-Piers'!J28)</f>
        <v/>
      </c>
      <c r="F81" s="328"/>
      <c r="G81" s="329" t="str">
        <f aca="false">IF('01-Piers'!U28=0,"",'01-Piers'!U28)</f>
        <v/>
      </c>
      <c r="H81" s="329" t="str">
        <f aca="false">IF('01-Piers'!V28=0,"",'01-Piers'!V28)</f>
        <v/>
      </c>
      <c r="I81" s="329" t="str">
        <f aca="false">IF('01-Piers'!W28=0,"",'01-Piers'!W28)</f>
        <v/>
      </c>
      <c r="J81" s="330"/>
      <c r="K81" s="314"/>
    </row>
    <row r="82" customFormat="false" ht="13.5" hidden="false" customHeight="true" outlineLevel="0" collapsed="false">
      <c r="A82" s="271" t="n">
        <f aca="false">IF(B82="",0,1)</f>
        <v>0</v>
      </c>
      <c r="B82" s="324" t="str">
        <f aca="false">IF('01-Piers'!B29="","",'01-Piers'!B29)</f>
        <v/>
      </c>
      <c r="C82" s="325" t="str">
        <f aca="false">IF(B82="","",'01-Piers'!E29)</f>
        <v/>
      </c>
      <c r="D82" s="326" t="str">
        <f aca="false">IF('01-Piers'!F29="","",'01-Piers'!F29)</f>
        <v/>
      </c>
      <c r="E82" s="327" t="str">
        <f aca="false">IF('01-Piers'!E29="","",'01-Piers'!E29*'01-Piers'!J29)</f>
        <v/>
      </c>
      <c r="F82" s="328"/>
      <c r="G82" s="329" t="str">
        <f aca="false">IF('01-Piers'!U29=0,"",'01-Piers'!U29)</f>
        <v/>
      </c>
      <c r="H82" s="329" t="str">
        <f aca="false">IF('01-Piers'!V29=0,"",'01-Piers'!V29)</f>
        <v/>
      </c>
      <c r="I82" s="329" t="str">
        <f aca="false">IF('01-Piers'!W29=0,"",'01-Piers'!W29)</f>
        <v/>
      </c>
      <c r="J82" s="330"/>
      <c r="K82" s="314"/>
    </row>
    <row r="83" customFormat="false" ht="13.5" hidden="false" customHeight="true" outlineLevel="0" collapsed="false">
      <c r="A83" s="271" t="n">
        <f aca="false">IF(B83="",0,1)</f>
        <v>0</v>
      </c>
      <c r="B83" s="324" t="str">
        <f aca="false">IF('01-Piers'!B30="","",'01-Piers'!B30)</f>
        <v/>
      </c>
      <c r="C83" s="325" t="str">
        <f aca="false">IF(B83="","",'01-Piers'!E30)</f>
        <v/>
      </c>
      <c r="D83" s="326" t="str">
        <f aca="false">IF('01-Piers'!F30="","",'01-Piers'!F30)</f>
        <v/>
      </c>
      <c r="E83" s="327" t="str">
        <f aca="false">IF('01-Piers'!E30="","",'01-Piers'!E30*'01-Piers'!J30)</f>
        <v/>
      </c>
      <c r="F83" s="328"/>
      <c r="G83" s="329" t="str">
        <f aca="false">IF('01-Piers'!U30=0,"",'01-Piers'!U30)</f>
        <v/>
      </c>
      <c r="H83" s="329" t="str">
        <f aca="false">IF('01-Piers'!V30=0,"",'01-Piers'!V30)</f>
        <v/>
      </c>
      <c r="I83" s="329" t="str">
        <f aca="false">IF('01-Piers'!W30=0,"",'01-Piers'!W30)</f>
        <v/>
      </c>
      <c r="J83" s="330"/>
      <c r="K83" s="314"/>
    </row>
    <row r="84" customFormat="false" ht="13.5" hidden="false" customHeight="true" outlineLevel="0" collapsed="false">
      <c r="A84" s="271" t="n">
        <f aca="false">IF(B84="",0,1)</f>
        <v>0</v>
      </c>
      <c r="B84" s="324" t="str">
        <f aca="false">IF('01-Piers'!B31="","",'01-Piers'!B31)</f>
        <v/>
      </c>
      <c r="C84" s="325" t="str">
        <f aca="false">IF(B84="","",'01-Piers'!E31)</f>
        <v/>
      </c>
      <c r="D84" s="326" t="str">
        <f aca="false">IF('01-Piers'!F31="","",'01-Piers'!F31)</f>
        <v/>
      </c>
      <c r="E84" s="327" t="str">
        <f aca="false">IF('01-Piers'!E31="","",'01-Piers'!E31*'01-Piers'!J31)</f>
        <v/>
      </c>
      <c r="F84" s="328"/>
      <c r="G84" s="329" t="str">
        <f aca="false">IF('01-Piers'!U31=0,"",'01-Piers'!U31)</f>
        <v/>
      </c>
      <c r="H84" s="329" t="str">
        <f aca="false">IF('01-Piers'!V31=0,"",'01-Piers'!V31)</f>
        <v/>
      </c>
      <c r="I84" s="329" t="str">
        <f aca="false">IF('01-Piers'!W31=0,"",'01-Piers'!W31)</f>
        <v/>
      </c>
      <c r="J84" s="330"/>
      <c r="K84" s="314"/>
    </row>
    <row r="85" customFormat="false" ht="13.5" hidden="false" customHeight="true" outlineLevel="0" collapsed="false">
      <c r="A85" s="271" t="n">
        <f aca="false">IF(B85="",0,1)</f>
        <v>0</v>
      </c>
      <c r="B85" s="324" t="str">
        <f aca="false">IF('01-Piers'!B32="","",'01-Piers'!B32)</f>
        <v/>
      </c>
      <c r="C85" s="325" t="str">
        <f aca="false">IF(B85="","",'01-Piers'!E32)</f>
        <v/>
      </c>
      <c r="D85" s="326" t="str">
        <f aca="false">IF('01-Piers'!F32="","",'01-Piers'!F32)</f>
        <v/>
      </c>
      <c r="E85" s="327" t="str">
        <f aca="false">IF('01-Piers'!E32="","",'01-Piers'!E32*'01-Piers'!J32)</f>
        <v/>
      </c>
      <c r="F85" s="328"/>
      <c r="G85" s="329" t="str">
        <f aca="false">IF('01-Piers'!U32=0,"",'01-Piers'!U32)</f>
        <v/>
      </c>
      <c r="H85" s="329" t="str">
        <f aca="false">IF('01-Piers'!V32=0,"",'01-Piers'!V32)</f>
        <v/>
      </c>
      <c r="I85" s="329" t="str">
        <f aca="false">IF('01-Piers'!W32=0,"",'01-Piers'!W32)</f>
        <v/>
      </c>
      <c r="J85" s="330"/>
      <c r="K85" s="314"/>
    </row>
    <row r="86" customFormat="false" ht="13.5" hidden="false" customHeight="true" outlineLevel="0" collapsed="false">
      <c r="A86" s="271" t="n">
        <f aca="false">IF(B86="",0,1)</f>
        <v>0</v>
      </c>
      <c r="B86" s="324" t="str">
        <f aca="false">IF('01-Piers'!B33="","",'01-Piers'!B33)</f>
        <v/>
      </c>
      <c r="C86" s="325" t="str">
        <f aca="false">IF(B86="","",'01-Piers'!E33)</f>
        <v/>
      </c>
      <c r="D86" s="326" t="str">
        <f aca="false">IF('01-Piers'!F33="","",'01-Piers'!F33)</f>
        <v/>
      </c>
      <c r="E86" s="327" t="str">
        <f aca="false">IF('01-Piers'!E33="","",'01-Piers'!E33*'01-Piers'!J33)</f>
        <v/>
      </c>
      <c r="F86" s="328"/>
      <c r="G86" s="329" t="str">
        <f aca="false">IF('01-Piers'!U33=0,"",'01-Piers'!U33)</f>
        <v/>
      </c>
      <c r="H86" s="329" t="str">
        <f aca="false">IF('01-Piers'!V33=0,"",'01-Piers'!V33)</f>
        <v/>
      </c>
      <c r="I86" s="329" t="str">
        <f aca="false">IF('01-Piers'!W33=0,"",'01-Piers'!W33)</f>
        <v/>
      </c>
      <c r="J86" s="330"/>
      <c r="K86" s="314"/>
    </row>
    <row r="87" customFormat="false" ht="13.5" hidden="false" customHeight="true" outlineLevel="0" collapsed="false">
      <c r="A87" s="271" t="n">
        <f aca="false">IF(B87="",0,1)</f>
        <v>0</v>
      </c>
      <c r="B87" s="324" t="str">
        <f aca="false">IF('01-Piers'!B34="","",'01-Piers'!B34)</f>
        <v/>
      </c>
      <c r="C87" s="325" t="str">
        <f aca="false">IF(B87="","",'01-Piers'!E34)</f>
        <v/>
      </c>
      <c r="D87" s="326" t="str">
        <f aca="false">IF('01-Piers'!F34="","",'01-Piers'!F34)</f>
        <v/>
      </c>
      <c r="E87" s="327" t="str">
        <f aca="false">IF('01-Piers'!E34="","",'01-Piers'!E34*'01-Piers'!J34)</f>
        <v/>
      </c>
      <c r="F87" s="328"/>
      <c r="G87" s="329" t="str">
        <f aca="false">IF('01-Piers'!U34=0,"",'01-Piers'!U34)</f>
        <v/>
      </c>
      <c r="H87" s="329" t="str">
        <f aca="false">IF('01-Piers'!V34=0,"",'01-Piers'!V34)</f>
        <v/>
      </c>
      <c r="I87" s="329" t="str">
        <f aca="false">IF('01-Piers'!W34=0,"",'01-Piers'!W34)</f>
        <v/>
      </c>
      <c r="J87" s="330"/>
      <c r="K87" s="314"/>
    </row>
    <row r="88" customFormat="false" ht="13.5" hidden="false" customHeight="true" outlineLevel="0" collapsed="false">
      <c r="A88" s="271" t="n">
        <f aca="false">IF(B88="",0,1)</f>
        <v>0</v>
      </c>
      <c r="B88" s="324" t="str">
        <f aca="false">IF('01-Piers'!B35="","",'01-Piers'!B35)</f>
        <v/>
      </c>
      <c r="C88" s="325" t="str">
        <f aca="false">IF(B88="","",'01-Piers'!E35)</f>
        <v/>
      </c>
      <c r="D88" s="326" t="str">
        <f aca="false">IF('01-Piers'!F35="","",'01-Piers'!F35)</f>
        <v/>
      </c>
      <c r="E88" s="327" t="str">
        <f aca="false">IF('01-Piers'!E35="","",'01-Piers'!E35*'01-Piers'!J35)</f>
        <v/>
      </c>
      <c r="F88" s="328"/>
      <c r="G88" s="329" t="str">
        <f aca="false">IF('01-Piers'!U35=0,"",'01-Piers'!U35)</f>
        <v/>
      </c>
      <c r="H88" s="329" t="str">
        <f aca="false">IF('01-Piers'!V35=0,"",'01-Piers'!V35)</f>
        <v/>
      </c>
      <c r="I88" s="329" t="str">
        <f aca="false">IF('01-Piers'!W35=0,"",'01-Piers'!W35)</f>
        <v/>
      </c>
      <c r="J88" s="330"/>
      <c r="K88" s="314"/>
      <c r="L88" s="0" t="n">
        <f aca="false">IF(K88="incl",0,K88)</f>
        <v>0</v>
      </c>
    </row>
    <row r="89" customFormat="false" ht="13.5" hidden="false" customHeight="true" outlineLevel="0" collapsed="false">
      <c r="A89" s="271" t="n">
        <f aca="false">IF(B89="",0,1)</f>
        <v>0</v>
      </c>
      <c r="B89" s="324" t="str">
        <f aca="false">IF('01-Piers'!B36="","",'01-Piers'!B36)</f>
        <v/>
      </c>
      <c r="C89" s="325" t="str">
        <f aca="false">IF(B89="","",'01-Piers'!E36)</f>
        <v/>
      </c>
      <c r="D89" s="326" t="str">
        <f aca="false">IF('01-Piers'!F36="","",'01-Piers'!F36)</f>
        <v/>
      </c>
      <c r="E89" s="327" t="str">
        <f aca="false">IF('01-Piers'!E36="","",'01-Piers'!E36*'01-Piers'!J36)</f>
        <v/>
      </c>
      <c r="F89" s="328"/>
      <c r="G89" s="329" t="str">
        <f aca="false">IF('01-Piers'!U36=0,"",'01-Piers'!U36)</f>
        <v/>
      </c>
      <c r="H89" s="329" t="str">
        <f aca="false">IF('01-Piers'!V36=0,"",'01-Piers'!V36)</f>
        <v/>
      </c>
      <c r="I89" s="329" t="str">
        <f aca="false">IF('01-Piers'!W36=0,"",'01-Piers'!W36)</f>
        <v/>
      </c>
      <c r="J89" s="330"/>
      <c r="K89" s="314"/>
    </row>
    <row r="90" customFormat="false" ht="13.5" hidden="false" customHeight="true" outlineLevel="0" collapsed="false">
      <c r="A90" s="271" t="n">
        <f aca="false">IF(B90="",0,1)</f>
        <v>0</v>
      </c>
      <c r="B90" s="324" t="str">
        <f aca="false">IF('01-Piers'!B37="","",'01-Piers'!B37)</f>
        <v/>
      </c>
      <c r="C90" s="325" t="str">
        <f aca="false">IF(B90="","",'01-Piers'!E37)</f>
        <v/>
      </c>
      <c r="D90" s="326" t="str">
        <f aca="false">IF('01-Piers'!F37="","",'01-Piers'!F37)</f>
        <v/>
      </c>
      <c r="E90" s="327" t="str">
        <f aca="false">IF('01-Piers'!E37="","",'01-Piers'!E37*'01-Piers'!J37)</f>
        <v/>
      </c>
      <c r="F90" s="328"/>
      <c r="G90" s="329" t="str">
        <f aca="false">IF('01-Piers'!U37=0,"",'01-Piers'!U37)</f>
        <v/>
      </c>
      <c r="H90" s="329" t="str">
        <f aca="false">IF('01-Piers'!V37=0,"",'01-Piers'!V37)</f>
        <v/>
      </c>
      <c r="I90" s="329" t="str">
        <f aca="false">IF('01-Piers'!W37=0,"",'01-Piers'!W37)</f>
        <v/>
      </c>
      <c r="J90" s="330"/>
      <c r="K90" s="314"/>
    </row>
    <row r="91" customFormat="false" ht="13.5" hidden="false" customHeight="true" outlineLevel="0" collapsed="false">
      <c r="A91" s="271" t="n">
        <f aca="false">IF(B91="",0,1)</f>
        <v>0</v>
      </c>
      <c r="B91" s="324" t="str">
        <f aca="false">IF('01-Piers'!B38="","",'01-Piers'!B38)</f>
        <v/>
      </c>
      <c r="C91" s="325" t="str">
        <f aca="false">IF(B91="","",'01-Piers'!E38)</f>
        <v/>
      </c>
      <c r="D91" s="326" t="str">
        <f aca="false">IF('01-Piers'!F38="","",'01-Piers'!F38)</f>
        <v/>
      </c>
      <c r="E91" s="327" t="str">
        <f aca="false">IF('01-Piers'!E38="","",'01-Piers'!E38*'01-Piers'!J38)</f>
        <v/>
      </c>
      <c r="F91" s="328"/>
      <c r="G91" s="329" t="str">
        <f aca="false">IF('01-Piers'!U38=0,"",'01-Piers'!U38)</f>
        <v/>
      </c>
      <c r="H91" s="329" t="str">
        <f aca="false">IF('01-Piers'!V38=0,"",'01-Piers'!V38)</f>
        <v/>
      </c>
      <c r="I91" s="329" t="str">
        <f aca="false">IF('01-Piers'!W38=0,"",'01-Piers'!W38)</f>
        <v/>
      </c>
      <c r="J91" s="330"/>
      <c r="K91" s="314"/>
    </row>
    <row r="92" customFormat="false" ht="13.5" hidden="false" customHeight="true" outlineLevel="0" collapsed="false">
      <c r="A92" s="271" t="n">
        <f aca="false">IF(SUM(A$64:A$91)&gt;0,1,0)</f>
        <v>0</v>
      </c>
      <c r="B92" s="324" t="str">
        <f aca="false">IF('01-Piers'!B39="","",'01-Piers'!B39)</f>
        <v>TOTALS</v>
      </c>
      <c r="C92" s="332" t="n">
        <f aca="false">SUM(C64:C91)</f>
        <v>0</v>
      </c>
      <c r="D92" s="333" t="n">
        <f aca="false">SUM(E64:E91)</f>
        <v>2348</v>
      </c>
      <c r="E92" s="328"/>
      <c r="F92" s="328"/>
      <c r="G92" s="331"/>
      <c r="H92" s="331"/>
      <c r="I92" s="331"/>
      <c r="J92" s="330"/>
      <c r="K92" s="314"/>
    </row>
    <row r="93" customFormat="false" ht="13.5" hidden="false" customHeight="true" outlineLevel="0" collapsed="false">
      <c r="A93" s="271" t="n">
        <f aca="false">IF(SUM(A$64:A$91)&gt;0,1,0)</f>
        <v>0</v>
      </c>
      <c r="B93" s="334"/>
      <c r="C93" s="335"/>
      <c r="D93" s="327"/>
      <c r="E93" s="328"/>
      <c r="F93" s="328"/>
      <c r="G93" s="331"/>
      <c r="H93" s="331"/>
      <c r="I93" s="331"/>
      <c r="J93" s="330"/>
      <c r="K93" s="314"/>
    </row>
    <row r="94" customFormat="false" ht="13.5" hidden="false" customHeight="true" outlineLevel="0" collapsed="false">
      <c r="A94" s="271" t="n">
        <f aca="false">IF(SUM(A$64:A$91)&gt;0,1,0)</f>
        <v>0</v>
      </c>
      <c r="B94" s="334"/>
      <c r="C94" s="313"/>
      <c r="D94" s="327"/>
      <c r="E94" s="328"/>
      <c r="F94" s="328"/>
      <c r="G94" s="331"/>
      <c r="H94" s="331"/>
      <c r="I94" s="336"/>
      <c r="J94" s="330"/>
      <c r="K94" s="314"/>
    </row>
    <row r="95" customFormat="false" ht="13.5" hidden="false" customHeight="true" outlineLevel="0" collapsed="false">
      <c r="A95" s="271" t="n">
        <f aca="false">IF(SUM(A$64:A$91)&gt;0,1,0)</f>
        <v>0</v>
      </c>
      <c r="B95" s="320" t="s">
        <v>840</v>
      </c>
      <c r="C95" s="271"/>
      <c r="D95" s="271"/>
      <c r="E95" s="271"/>
      <c r="F95" s="271"/>
      <c r="G95" s="271"/>
      <c r="H95" s="271"/>
      <c r="I95" s="271"/>
      <c r="J95" s="271"/>
      <c r="K95" s="314"/>
      <c r="L95" s="0" t="n">
        <f aca="false">IF(K95="incl",0,K95)</f>
        <v>0</v>
      </c>
    </row>
    <row r="96" customFormat="false" ht="13.5" hidden="false" customHeight="true" outlineLevel="0" collapsed="false">
      <c r="A96" s="271" t="n">
        <f aca="false">IF(SUM(A$64:A$91)&gt;0,1,0)</f>
        <v>0</v>
      </c>
      <c r="B96" s="271" t="s">
        <v>841</v>
      </c>
      <c r="C96" s="337"/>
      <c r="D96" s="338"/>
      <c r="E96" s="338"/>
      <c r="F96" s="338"/>
      <c r="G96" s="337"/>
      <c r="H96" s="337"/>
      <c r="I96" s="339"/>
      <c r="J96" s="339"/>
      <c r="K96" s="314"/>
      <c r="L96" s="0" t="n">
        <f aca="false">IF(K96="incl",0,K96)</f>
        <v>0</v>
      </c>
    </row>
    <row r="97" customFormat="false" ht="13.5" hidden="false" customHeight="true" outlineLevel="0" collapsed="false">
      <c r="A97" s="271" t="n">
        <f aca="false">IF(SUM(A$64:A$91)&gt;0,1,0)</f>
        <v>0</v>
      </c>
      <c r="B97" s="271" t="s">
        <v>842</v>
      </c>
      <c r="C97" s="271"/>
      <c r="D97" s="314"/>
      <c r="E97" s="314"/>
      <c r="F97" s="314"/>
      <c r="G97" s="271"/>
      <c r="H97" s="271"/>
      <c r="I97" s="340"/>
      <c r="J97" s="340"/>
      <c r="K97" s="314"/>
      <c r="L97" s="0" t="n">
        <f aca="false">IF(K97="incl",0,K97)</f>
        <v>0</v>
      </c>
    </row>
    <row r="98" customFormat="false" ht="13.5" hidden="false" customHeight="true" outlineLevel="0" collapsed="false">
      <c r="A98" s="271" t="n">
        <f aca="false">IF(SUM(A$64:A$91)&gt;0,1,0)</f>
        <v>0</v>
      </c>
      <c r="B98" s="320" t="s">
        <v>843</v>
      </c>
      <c r="C98" s="271"/>
      <c r="D98" s="314"/>
      <c r="E98" s="314"/>
      <c r="F98" s="314"/>
      <c r="G98" s="271"/>
      <c r="H98" s="271"/>
      <c r="I98" s="340"/>
      <c r="J98" s="340"/>
      <c r="K98" s="314"/>
      <c r="L98" s="0" t="n">
        <f aca="false">IF(K98="incl",0,K98)</f>
        <v>0</v>
      </c>
      <c r="V98" s="0" t="s">
        <v>844</v>
      </c>
    </row>
    <row r="99" customFormat="false" ht="13.5" hidden="false" customHeight="true" outlineLevel="0" collapsed="false">
      <c r="A99" s="271" t="n">
        <f aca="false">IF(SUM(A$64:A$91)&gt;0,1,0)</f>
        <v>0</v>
      </c>
      <c r="B99" s="271" t="s">
        <v>845</v>
      </c>
      <c r="C99" s="271"/>
      <c r="D99" s="314"/>
      <c r="E99" s="314"/>
      <c r="F99" s="314"/>
      <c r="G99" s="271"/>
      <c r="H99" s="271"/>
      <c r="I99" s="340"/>
      <c r="J99" s="340"/>
      <c r="K99" s="314"/>
      <c r="L99" s="0" t="n">
        <f aca="false">IF(K99="incl",0,K99)</f>
        <v>0</v>
      </c>
    </row>
    <row r="100" customFormat="false" ht="13.5" hidden="false" customHeight="true" outlineLevel="0" collapsed="false">
      <c r="A100" s="271" t="n">
        <f aca="false">IF(SUM(A$64:A$91)&gt;0,1,0)</f>
        <v>0</v>
      </c>
      <c r="B100" s="341"/>
      <c r="D100" s="271"/>
      <c r="G100" s="291"/>
    </row>
    <row r="101" customFormat="false" ht="13.5" hidden="false" customHeight="true" outlineLevel="0" collapsed="false">
      <c r="B101" s="341"/>
      <c r="D101" s="271"/>
      <c r="G101" s="291"/>
    </row>
    <row r="102" customFormat="false" ht="13.5" hidden="false" customHeight="true" outlineLevel="0" collapsed="false">
      <c r="B102" s="341"/>
      <c r="D102" s="271"/>
      <c r="G102" s="291"/>
    </row>
    <row r="103" customFormat="false" ht="19.5" hidden="false" customHeight="true" outlineLevel="0" collapsed="false">
      <c r="A103" s="0" t="n">
        <f aca="false">IF(SUM(A105:A130)&gt;0,1,0)</f>
        <v>0</v>
      </c>
      <c r="B103" s="315" t="s">
        <v>846</v>
      </c>
      <c r="C103" s="316" t="n">
        <f aca="false">'02-Gd Beams'!E40</f>
        <v>0</v>
      </c>
      <c r="D103" s="316"/>
      <c r="E103" s="342"/>
      <c r="F103" s="342"/>
      <c r="G103" s="318"/>
      <c r="H103" s="318"/>
      <c r="I103" s="318"/>
      <c r="J103" s="318"/>
      <c r="K103" s="318"/>
      <c r="L103" s="0" t="n">
        <f aca="false">IF(K103="incl",0,K103)</f>
        <v>0</v>
      </c>
    </row>
    <row r="104" customFormat="false" ht="13.5" hidden="false" customHeight="true" outlineLevel="0" collapsed="false">
      <c r="A104" s="343" t="n">
        <f aca="false">IF(SUM(A$105:A$130)&gt;0,1,0)</f>
        <v>0</v>
      </c>
      <c r="B104" s="341" t="s">
        <v>847</v>
      </c>
      <c r="C104" s="344" t="s">
        <v>836</v>
      </c>
      <c r="D104" s="344"/>
      <c r="E104" s="314"/>
      <c r="F104" s="314"/>
    </row>
    <row r="105" customFormat="false" ht="13.5" hidden="false" customHeight="true" outlineLevel="0" collapsed="false">
      <c r="A105" s="343" t="n">
        <f aca="false">IF(B105="",0,1)</f>
        <v>0</v>
      </c>
      <c r="B105" s="345" t="str">
        <f aca="false">IF('02-Gd Beams'!B10="","",'02-Gd Beams'!B10)</f>
        <v/>
      </c>
      <c r="C105" s="345" t="str">
        <f aca="false">IF('02-Gd Beams'!F10="","",'02-Gd Beams'!F10)</f>
        <v/>
      </c>
      <c r="D105" s="314"/>
      <c r="E105" s="314"/>
      <c r="F105" s="314"/>
      <c r="G105" s="271"/>
      <c r="H105" s="271"/>
      <c r="I105" s="274"/>
      <c r="J105" s="274"/>
      <c r="K105" s="314"/>
      <c r="L105" s="0" t="n">
        <f aca="false">IF(K105="incl",0,K105)</f>
        <v>0</v>
      </c>
    </row>
    <row r="106" customFormat="false" ht="13.5" hidden="false" customHeight="true" outlineLevel="0" collapsed="false">
      <c r="A106" s="343" t="n">
        <f aca="false">IF(B106="",0,1)</f>
        <v>0</v>
      </c>
      <c r="B106" s="345" t="str">
        <f aca="false">IF('02-Gd Beams'!B11="","",'02-Gd Beams'!B11)</f>
        <v/>
      </c>
      <c r="C106" s="345" t="str">
        <f aca="false">IF('02-Gd Beams'!F11="","",'02-Gd Beams'!F11)</f>
        <v/>
      </c>
      <c r="D106" s="314"/>
      <c r="E106" s="314"/>
      <c r="F106" s="314"/>
      <c r="G106" s="271"/>
      <c r="H106" s="271"/>
      <c r="I106" s="10"/>
      <c r="J106" s="346"/>
      <c r="K106" s="302"/>
    </row>
    <row r="107" customFormat="false" ht="13.5" hidden="false" customHeight="true" outlineLevel="0" collapsed="false">
      <c r="A107" s="343" t="n">
        <f aca="false">IF(B107="",0,1)</f>
        <v>0</v>
      </c>
      <c r="B107" s="345" t="str">
        <f aca="false">IF('02-Gd Beams'!B12="","",'02-Gd Beams'!B12)</f>
        <v/>
      </c>
      <c r="C107" s="345" t="str">
        <f aca="false">IF('02-Gd Beams'!F12="","",'02-Gd Beams'!F12)</f>
        <v/>
      </c>
      <c r="D107" s="314"/>
      <c r="E107" s="314"/>
      <c r="F107" s="314"/>
      <c r="G107" s="271"/>
      <c r="H107" s="271"/>
      <c r="I107" s="10"/>
      <c r="J107" s="346"/>
      <c r="K107" s="314"/>
    </row>
    <row r="108" customFormat="false" ht="13.5" hidden="false" customHeight="true" outlineLevel="0" collapsed="false">
      <c r="A108" s="343" t="n">
        <f aca="false">IF(B108="",0,1)</f>
        <v>0</v>
      </c>
      <c r="B108" s="345" t="str">
        <f aca="false">IF('02-Gd Beams'!B13="","",'02-Gd Beams'!B13)</f>
        <v/>
      </c>
      <c r="C108" s="345" t="str">
        <f aca="false">IF('02-Gd Beams'!F13="","",'02-Gd Beams'!F13)</f>
        <v/>
      </c>
      <c r="D108" s="314"/>
      <c r="E108" s="314"/>
      <c r="F108" s="314"/>
      <c r="G108" s="271"/>
      <c r="H108" s="271"/>
      <c r="I108" s="10"/>
      <c r="J108" s="346"/>
      <c r="K108" s="314"/>
    </row>
    <row r="109" customFormat="false" ht="13.5" hidden="false" customHeight="true" outlineLevel="0" collapsed="false">
      <c r="A109" s="343" t="n">
        <f aca="false">IF(B109="",0,1)</f>
        <v>0</v>
      </c>
      <c r="B109" s="345" t="str">
        <f aca="false">IF('02-Gd Beams'!B14="","",'02-Gd Beams'!B14)</f>
        <v/>
      </c>
      <c r="C109" s="345" t="str">
        <f aca="false">IF('02-Gd Beams'!F14="","",'02-Gd Beams'!F14)</f>
        <v/>
      </c>
      <c r="D109" s="314"/>
      <c r="E109" s="314"/>
      <c r="F109" s="314"/>
      <c r="G109" s="271"/>
      <c r="H109" s="271"/>
      <c r="I109" s="10"/>
      <c r="J109" s="346"/>
      <c r="K109" s="314"/>
    </row>
    <row r="110" customFormat="false" ht="13.5" hidden="false" customHeight="true" outlineLevel="0" collapsed="false">
      <c r="A110" s="343" t="n">
        <f aca="false">IF(B110="",0,1)</f>
        <v>0</v>
      </c>
      <c r="B110" s="345" t="str">
        <f aca="false">IF('02-Gd Beams'!B15="","",'02-Gd Beams'!B15)</f>
        <v/>
      </c>
      <c r="C110" s="345" t="str">
        <f aca="false">IF('02-Gd Beams'!F15="","",'02-Gd Beams'!F15)</f>
        <v/>
      </c>
      <c r="D110" s="314"/>
      <c r="E110" s="314"/>
      <c r="F110" s="314"/>
      <c r="G110" s="271"/>
      <c r="H110" s="271"/>
      <c r="I110" s="10"/>
      <c r="J110" s="346"/>
      <c r="K110" s="314"/>
    </row>
    <row r="111" customFormat="false" ht="13.5" hidden="false" customHeight="true" outlineLevel="0" collapsed="false">
      <c r="A111" s="343" t="n">
        <f aca="false">IF(B111="",0,1)</f>
        <v>0</v>
      </c>
      <c r="B111" s="345" t="str">
        <f aca="false">IF('02-Gd Beams'!B16="","",'02-Gd Beams'!B16)</f>
        <v/>
      </c>
      <c r="C111" s="345" t="str">
        <f aca="false">IF('02-Gd Beams'!F16="","",'02-Gd Beams'!F16)</f>
        <v/>
      </c>
      <c r="D111" s="314"/>
      <c r="E111" s="314"/>
      <c r="F111" s="314"/>
      <c r="G111" s="271"/>
      <c r="H111" s="271"/>
      <c r="I111" s="10"/>
      <c r="J111" s="346"/>
      <c r="K111" s="314"/>
    </row>
    <row r="112" customFormat="false" ht="13.5" hidden="false" customHeight="true" outlineLevel="0" collapsed="false">
      <c r="A112" s="343" t="n">
        <f aca="false">IF(B112="",0,1)</f>
        <v>0</v>
      </c>
      <c r="B112" s="345" t="str">
        <f aca="false">IF('02-Gd Beams'!B17="","",'02-Gd Beams'!B17)</f>
        <v/>
      </c>
      <c r="C112" s="345" t="str">
        <f aca="false">IF('02-Gd Beams'!F17="","",'02-Gd Beams'!F17)</f>
        <v/>
      </c>
      <c r="D112" s="314"/>
      <c r="E112" s="314"/>
      <c r="F112" s="314"/>
      <c r="G112" s="271"/>
      <c r="H112" s="271"/>
      <c r="I112" s="10"/>
      <c r="J112" s="346"/>
      <c r="K112" s="314"/>
    </row>
    <row r="113" customFormat="false" ht="13.5" hidden="false" customHeight="true" outlineLevel="0" collapsed="false">
      <c r="A113" s="343" t="n">
        <f aca="false">IF(B113="",0,1)</f>
        <v>0</v>
      </c>
      <c r="B113" s="345" t="str">
        <f aca="false">IF('02-Gd Beams'!B18="","",'02-Gd Beams'!B18)</f>
        <v/>
      </c>
      <c r="C113" s="345" t="str">
        <f aca="false">IF('02-Gd Beams'!F18="","",'02-Gd Beams'!F18)</f>
        <v/>
      </c>
      <c r="D113" s="314"/>
      <c r="E113" s="314"/>
      <c r="F113" s="314"/>
      <c r="G113" s="271"/>
      <c r="H113" s="271"/>
      <c r="I113" s="10"/>
      <c r="J113" s="346"/>
      <c r="K113" s="314"/>
    </row>
    <row r="114" customFormat="false" ht="13.5" hidden="false" customHeight="true" outlineLevel="0" collapsed="false">
      <c r="A114" s="343" t="n">
        <f aca="false">IF(B114="",0,1)</f>
        <v>0</v>
      </c>
      <c r="B114" s="345" t="str">
        <f aca="false">IF('02-Gd Beams'!B19="","",'02-Gd Beams'!B19)</f>
        <v/>
      </c>
      <c r="C114" s="345" t="str">
        <f aca="false">IF('02-Gd Beams'!F19="","",'02-Gd Beams'!F19)</f>
        <v/>
      </c>
      <c r="D114" s="314"/>
      <c r="E114" s="314"/>
      <c r="F114" s="314"/>
      <c r="G114" s="271"/>
      <c r="H114" s="271"/>
      <c r="I114" s="10"/>
      <c r="J114" s="346"/>
      <c r="K114" s="314"/>
    </row>
    <row r="115" customFormat="false" ht="13.5" hidden="false" customHeight="true" outlineLevel="0" collapsed="false">
      <c r="A115" s="343" t="n">
        <f aca="false">IF(B115="",0,1)</f>
        <v>0</v>
      </c>
      <c r="B115" s="345" t="str">
        <f aca="false">IF('02-Gd Beams'!B20="","",'02-Gd Beams'!B20)</f>
        <v/>
      </c>
      <c r="C115" s="345" t="str">
        <f aca="false">IF('02-Gd Beams'!F20="","",'02-Gd Beams'!F20)</f>
        <v/>
      </c>
      <c r="D115" s="314"/>
      <c r="E115" s="314"/>
      <c r="F115" s="314"/>
      <c r="G115" s="271"/>
      <c r="H115" s="271"/>
      <c r="I115" s="10"/>
      <c r="J115" s="346"/>
      <c r="K115" s="314"/>
    </row>
    <row r="116" customFormat="false" ht="13.5" hidden="false" customHeight="true" outlineLevel="0" collapsed="false">
      <c r="A116" s="343" t="n">
        <f aca="false">IF(B116="",0,1)</f>
        <v>0</v>
      </c>
      <c r="B116" s="345" t="str">
        <f aca="false">IF('02-Gd Beams'!B21="","",'02-Gd Beams'!B21)</f>
        <v/>
      </c>
      <c r="C116" s="345" t="str">
        <f aca="false">IF('02-Gd Beams'!F21="","",'02-Gd Beams'!F21)</f>
        <v/>
      </c>
      <c r="D116" s="314"/>
      <c r="E116" s="314"/>
      <c r="F116" s="314"/>
      <c r="G116" s="271"/>
      <c r="H116" s="271"/>
      <c r="I116" s="10"/>
      <c r="J116" s="346"/>
      <c r="K116" s="314"/>
    </row>
    <row r="117" customFormat="false" ht="13.5" hidden="false" customHeight="true" outlineLevel="0" collapsed="false">
      <c r="A117" s="343" t="n">
        <f aca="false">IF(B117="",0,1)</f>
        <v>0</v>
      </c>
      <c r="B117" s="345" t="str">
        <f aca="false">IF('02-Gd Beams'!B22="","",'02-Gd Beams'!B22)</f>
        <v/>
      </c>
      <c r="C117" s="345" t="str">
        <f aca="false">IF('02-Gd Beams'!F22="","",'02-Gd Beams'!F22)</f>
        <v/>
      </c>
      <c r="D117" s="314"/>
      <c r="E117" s="314"/>
      <c r="F117" s="314"/>
      <c r="G117" s="271"/>
      <c r="H117" s="271"/>
      <c r="I117" s="10"/>
      <c r="J117" s="346"/>
      <c r="K117" s="314"/>
    </row>
    <row r="118" customFormat="false" ht="13.5" hidden="false" customHeight="true" outlineLevel="0" collapsed="false">
      <c r="A118" s="343" t="n">
        <f aca="false">IF(B118="",0,1)</f>
        <v>0</v>
      </c>
      <c r="B118" s="345" t="str">
        <f aca="false">IF('02-Gd Beams'!B23="","",'02-Gd Beams'!B23)</f>
        <v/>
      </c>
      <c r="C118" s="345" t="str">
        <f aca="false">IF('02-Gd Beams'!F23="","",'02-Gd Beams'!F23)</f>
        <v/>
      </c>
      <c r="D118" s="314"/>
      <c r="E118" s="314"/>
      <c r="F118" s="314"/>
      <c r="G118" s="271"/>
      <c r="H118" s="271"/>
      <c r="I118" s="10"/>
      <c r="J118" s="346"/>
      <c r="K118" s="314"/>
    </row>
    <row r="119" customFormat="false" ht="13.5" hidden="false" customHeight="true" outlineLevel="0" collapsed="false">
      <c r="A119" s="343" t="n">
        <f aca="false">IF(B119="",0,1)</f>
        <v>0</v>
      </c>
      <c r="B119" s="345" t="str">
        <f aca="false">IF('02-Gd Beams'!B24="","",'02-Gd Beams'!B24)</f>
        <v/>
      </c>
      <c r="C119" s="345" t="str">
        <f aca="false">IF('02-Gd Beams'!F24="","",'02-Gd Beams'!F24)</f>
        <v/>
      </c>
      <c r="D119" s="314"/>
      <c r="E119" s="314"/>
      <c r="F119" s="314"/>
      <c r="G119" s="271"/>
      <c r="H119" s="271"/>
      <c r="I119" s="10"/>
      <c r="J119" s="346"/>
      <c r="K119" s="314"/>
    </row>
    <row r="120" customFormat="false" ht="13.5" hidden="false" customHeight="true" outlineLevel="0" collapsed="false">
      <c r="A120" s="343" t="n">
        <f aca="false">IF(B120="",0,1)</f>
        <v>0</v>
      </c>
      <c r="B120" s="345" t="str">
        <f aca="false">IF('02-Gd Beams'!B25="","",'02-Gd Beams'!B25)</f>
        <v/>
      </c>
      <c r="C120" s="345" t="str">
        <f aca="false">IF('02-Gd Beams'!F25="","",'02-Gd Beams'!F25)</f>
        <v/>
      </c>
      <c r="D120" s="314"/>
      <c r="E120" s="314"/>
      <c r="F120" s="314"/>
      <c r="G120" s="271"/>
      <c r="H120" s="271"/>
      <c r="I120" s="10"/>
      <c r="J120" s="346"/>
      <c r="K120" s="314"/>
    </row>
    <row r="121" customFormat="false" ht="13.5" hidden="false" customHeight="true" outlineLevel="0" collapsed="false">
      <c r="A121" s="343" t="n">
        <f aca="false">IF(B121="",0,1)</f>
        <v>0</v>
      </c>
      <c r="B121" s="345" t="str">
        <f aca="false">IF('02-Gd Beams'!B26="","",'02-Gd Beams'!B26)</f>
        <v/>
      </c>
      <c r="C121" s="345" t="str">
        <f aca="false">IF('02-Gd Beams'!F26="","",'02-Gd Beams'!F26)</f>
        <v/>
      </c>
      <c r="D121" s="314"/>
      <c r="E121" s="314"/>
      <c r="F121" s="314"/>
      <c r="G121" s="271"/>
      <c r="H121" s="271"/>
      <c r="I121" s="10"/>
      <c r="J121" s="346"/>
      <c r="K121" s="314"/>
    </row>
    <row r="122" customFormat="false" ht="13.5" hidden="false" customHeight="true" outlineLevel="0" collapsed="false">
      <c r="A122" s="343" t="n">
        <f aca="false">IF(B122="",0,1)</f>
        <v>0</v>
      </c>
      <c r="B122" s="345" t="str">
        <f aca="false">IF('02-Gd Beams'!B27="","",'02-Gd Beams'!B27)</f>
        <v/>
      </c>
      <c r="C122" s="345" t="str">
        <f aca="false">IF('02-Gd Beams'!F27="","",'02-Gd Beams'!F27)</f>
        <v/>
      </c>
      <c r="D122" s="314"/>
      <c r="E122" s="314"/>
      <c r="F122" s="314"/>
      <c r="G122" s="271"/>
      <c r="H122" s="271"/>
      <c r="I122" s="10"/>
      <c r="J122" s="346"/>
      <c r="K122" s="314"/>
    </row>
    <row r="123" customFormat="false" ht="13.5" hidden="false" customHeight="true" outlineLevel="0" collapsed="false">
      <c r="A123" s="343" t="n">
        <f aca="false">IF(B123="",0,1)</f>
        <v>0</v>
      </c>
      <c r="B123" s="345" t="str">
        <f aca="false">IF('02-Gd Beams'!B28="","",'02-Gd Beams'!B28)</f>
        <v/>
      </c>
      <c r="C123" s="345" t="str">
        <f aca="false">IF('02-Gd Beams'!F28="","",'02-Gd Beams'!F28)</f>
        <v/>
      </c>
      <c r="D123" s="314"/>
      <c r="E123" s="314"/>
      <c r="F123" s="314"/>
      <c r="G123" s="271"/>
      <c r="H123" s="271"/>
      <c r="I123" s="10"/>
      <c r="J123" s="346"/>
      <c r="K123" s="314"/>
    </row>
    <row r="124" customFormat="false" ht="13.5" hidden="false" customHeight="true" outlineLevel="0" collapsed="false">
      <c r="A124" s="343" t="n">
        <f aca="false">IF(B124="",0,1)</f>
        <v>0</v>
      </c>
      <c r="B124" s="345" t="str">
        <f aca="false">IF('02-Gd Beams'!B29="","",'02-Gd Beams'!B29)</f>
        <v/>
      </c>
      <c r="C124" s="345" t="str">
        <f aca="false">IF('02-Gd Beams'!F29="","",'02-Gd Beams'!F29)</f>
        <v/>
      </c>
      <c r="D124" s="314"/>
      <c r="E124" s="314"/>
      <c r="F124" s="314"/>
      <c r="G124" s="271"/>
      <c r="H124" s="271"/>
      <c r="I124" s="10"/>
      <c r="J124" s="346"/>
      <c r="K124" s="314"/>
    </row>
    <row r="125" customFormat="false" ht="13.5" hidden="false" customHeight="true" outlineLevel="0" collapsed="false">
      <c r="A125" s="343" t="n">
        <f aca="false">IF(B125="",0,1)</f>
        <v>0</v>
      </c>
      <c r="B125" s="345" t="str">
        <f aca="false">IF('02-Gd Beams'!B30="","",'02-Gd Beams'!B30)</f>
        <v/>
      </c>
      <c r="C125" s="345" t="str">
        <f aca="false">IF('02-Gd Beams'!F30="","",'02-Gd Beams'!F30)</f>
        <v/>
      </c>
      <c r="D125" s="314"/>
      <c r="E125" s="314"/>
      <c r="F125" s="314"/>
      <c r="G125" s="271"/>
      <c r="H125" s="271"/>
      <c r="I125" s="10"/>
      <c r="J125" s="346"/>
      <c r="K125" s="314"/>
    </row>
    <row r="126" customFormat="false" ht="13.5" hidden="false" customHeight="true" outlineLevel="0" collapsed="false">
      <c r="A126" s="343" t="n">
        <f aca="false">IF(B126="",0,1)</f>
        <v>0</v>
      </c>
      <c r="B126" s="345" t="str">
        <f aca="false">IF('02-Gd Beams'!B31="","",'02-Gd Beams'!B31)</f>
        <v/>
      </c>
      <c r="C126" s="345" t="str">
        <f aca="false">IF('02-Gd Beams'!F31="","",'02-Gd Beams'!F31)</f>
        <v/>
      </c>
      <c r="D126" s="314"/>
      <c r="E126" s="314"/>
      <c r="F126" s="314"/>
      <c r="G126" s="271"/>
      <c r="H126" s="271"/>
      <c r="I126" s="10"/>
      <c r="J126" s="346"/>
      <c r="K126" s="314"/>
    </row>
    <row r="127" customFormat="false" ht="13.5" hidden="false" customHeight="true" outlineLevel="0" collapsed="false">
      <c r="A127" s="343" t="n">
        <f aca="false">IF(B127="",0,1)</f>
        <v>0</v>
      </c>
      <c r="B127" s="345" t="str">
        <f aca="false">IF('02-Gd Beams'!B32="","",'02-Gd Beams'!B32)</f>
        <v/>
      </c>
      <c r="C127" s="345" t="str">
        <f aca="false">IF('02-Gd Beams'!F32="","",'02-Gd Beams'!F32)</f>
        <v/>
      </c>
      <c r="D127" s="314"/>
      <c r="E127" s="314"/>
      <c r="F127" s="314"/>
      <c r="G127" s="271"/>
      <c r="H127" s="271"/>
      <c r="I127" s="10"/>
      <c r="J127" s="346"/>
      <c r="K127" s="314"/>
    </row>
    <row r="128" customFormat="false" ht="13.5" hidden="false" customHeight="true" outlineLevel="0" collapsed="false">
      <c r="A128" s="343" t="n">
        <f aca="false">IF(B128="",0,1)</f>
        <v>0</v>
      </c>
      <c r="B128" s="345" t="str">
        <f aca="false">IF('02-Gd Beams'!B33="","",'02-Gd Beams'!B33)</f>
        <v/>
      </c>
      <c r="C128" s="345" t="str">
        <f aca="false">IF('02-Gd Beams'!F33="","",'02-Gd Beams'!F33)</f>
        <v/>
      </c>
      <c r="D128" s="314"/>
      <c r="E128" s="314"/>
      <c r="F128" s="314"/>
      <c r="G128" s="271"/>
      <c r="H128" s="271"/>
      <c r="I128" s="10"/>
      <c r="J128" s="346"/>
      <c r="K128" s="314"/>
    </row>
    <row r="129" customFormat="false" ht="13.5" hidden="false" customHeight="true" outlineLevel="0" collapsed="false">
      <c r="A129" s="343" t="n">
        <f aca="false">IF(B129="",0,1)</f>
        <v>0</v>
      </c>
      <c r="B129" s="345" t="str">
        <f aca="false">IF('02-Gd Beams'!B34="","",'02-Gd Beams'!B34)</f>
        <v/>
      </c>
      <c r="C129" s="345" t="str">
        <f aca="false">IF('02-Gd Beams'!F34="","",'02-Gd Beams'!F34)</f>
        <v/>
      </c>
      <c r="D129" s="314"/>
      <c r="E129" s="314"/>
      <c r="F129" s="314"/>
      <c r="G129" s="271"/>
      <c r="H129" s="271"/>
      <c r="I129" s="10"/>
      <c r="J129" s="346"/>
      <c r="K129" s="314"/>
    </row>
    <row r="130" customFormat="false" ht="13.5" hidden="false" customHeight="true" outlineLevel="0" collapsed="false">
      <c r="A130" s="343" t="n">
        <f aca="false">IF(B130="",0,1)</f>
        <v>0</v>
      </c>
      <c r="B130" s="345" t="str">
        <f aca="false">IF('02-Gd Beams'!B35="","",'02-Gd Beams'!B35)</f>
        <v/>
      </c>
      <c r="C130" s="345" t="str">
        <f aca="false">IF('02-Gd Beams'!F35="","",'02-Gd Beams'!F35)</f>
        <v/>
      </c>
      <c r="D130" s="314"/>
      <c r="E130" s="314"/>
      <c r="F130" s="314"/>
      <c r="G130" s="271"/>
      <c r="H130" s="271"/>
      <c r="I130" s="10"/>
      <c r="J130" s="346"/>
      <c r="K130" s="314"/>
    </row>
    <row r="131" customFormat="false" ht="13.5" hidden="false" customHeight="true" outlineLevel="0" collapsed="false">
      <c r="A131" s="271" t="n">
        <f aca="false">IF(SUM(A$105:A$130)&gt;0,1,0)</f>
        <v>0</v>
      </c>
      <c r="B131" s="345"/>
      <c r="C131" s="347" t="n">
        <f aca="false">SUM(C105:C130)</f>
        <v>0</v>
      </c>
      <c r="D131" s="348" t="s">
        <v>848</v>
      </c>
      <c r="E131" s="349" t="n">
        <f aca="false">'02-Gd Beams'!I63</f>
        <v>0</v>
      </c>
      <c r="F131" s="350" t="s">
        <v>849</v>
      </c>
      <c r="G131" s="271"/>
      <c r="H131" s="271"/>
      <c r="I131" s="10"/>
      <c r="J131" s="346"/>
      <c r="K131" s="307"/>
    </row>
    <row r="132" customFormat="false" ht="13.5" hidden="false" customHeight="true" outlineLevel="0" collapsed="false">
      <c r="A132" s="271" t="n">
        <f aca="false">IF(SUM(A$105:A$130)&gt;0,1,0)</f>
        <v>0</v>
      </c>
      <c r="B132" s="271"/>
      <c r="C132" s="345"/>
      <c r="D132" s="314"/>
      <c r="E132" s="314"/>
      <c r="F132" s="314"/>
      <c r="G132" s="271"/>
      <c r="H132" s="271"/>
      <c r="I132" s="10"/>
      <c r="J132" s="346"/>
      <c r="K132" s="314"/>
    </row>
    <row r="133" customFormat="false" ht="13.5" hidden="false" customHeight="true" outlineLevel="0" collapsed="false">
      <c r="A133" s="271" t="n">
        <f aca="false">IF(SUM(A$105:A$130)&gt;0,1,0)</f>
        <v>0</v>
      </c>
      <c r="B133" s="320" t="s">
        <v>840</v>
      </c>
      <c r="C133" s="271"/>
      <c r="D133" s="314"/>
      <c r="E133" s="314"/>
      <c r="F133" s="314"/>
      <c r="G133" s="271"/>
      <c r="H133" s="271"/>
      <c r="I133" s="340"/>
      <c r="J133" s="340"/>
      <c r="K133" s="314"/>
      <c r="L133" s="0" t="n">
        <f aca="false">IF(K133="incl",0,K133)</f>
        <v>0</v>
      </c>
    </row>
    <row r="134" customFormat="false" ht="13.5" hidden="false" customHeight="true" outlineLevel="0" collapsed="false">
      <c r="A134" s="271" t="n">
        <f aca="false">IF(SUM(A$105:A$130)&gt;0,1,0)</f>
        <v>0</v>
      </c>
      <c r="B134" s="271" t="s">
        <v>850</v>
      </c>
      <c r="C134" s="271"/>
      <c r="D134" s="314"/>
      <c r="E134" s="314"/>
      <c r="F134" s="314"/>
      <c r="G134" s="271"/>
      <c r="H134" s="271"/>
      <c r="I134" s="314"/>
      <c r="J134" s="314"/>
      <c r="K134" s="314"/>
      <c r="L134" s="0" t="n">
        <f aca="false">IF(K134="incl",0,K134)</f>
        <v>0</v>
      </c>
    </row>
    <row r="135" customFormat="false" ht="13.5" hidden="false" customHeight="true" outlineLevel="0" collapsed="false">
      <c r="A135" s="271" t="n">
        <f aca="false">IF(SUM(A$105:A$130)&gt;0,1,0)</f>
        <v>0</v>
      </c>
      <c r="B135" s="271" t="s">
        <v>851</v>
      </c>
      <c r="C135" s="271"/>
      <c r="D135" s="314"/>
      <c r="E135" s="314"/>
      <c r="F135" s="314"/>
      <c r="G135" s="271"/>
      <c r="H135" s="271"/>
      <c r="I135" s="314"/>
      <c r="J135" s="314"/>
      <c r="K135" s="314"/>
      <c r="L135" s="0" t="n">
        <f aca="false">IF(K135="incl",0,K135)</f>
        <v>0</v>
      </c>
    </row>
    <row r="136" customFormat="false" ht="13.5" hidden="false" customHeight="true" outlineLevel="0" collapsed="false">
      <c r="A136" s="271" t="n">
        <f aca="false">IF(SUM(A$105:A$130)&gt;0,1,0)</f>
        <v>0</v>
      </c>
      <c r="B136" s="320" t="s">
        <v>843</v>
      </c>
      <c r="C136" s="271"/>
      <c r="D136" s="314"/>
      <c r="E136" s="314"/>
      <c r="F136" s="314"/>
      <c r="G136" s="271"/>
      <c r="H136" s="271"/>
      <c r="I136" s="314"/>
      <c r="J136" s="314"/>
      <c r="K136" s="314"/>
      <c r="L136" s="0" t="n">
        <f aca="false">IF(K136="incl",0,K136)</f>
        <v>0</v>
      </c>
    </row>
    <row r="137" customFormat="false" ht="13.5" hidden="false" customHeight="true" outlineLevel="0" collapsed="false">
      <c r="A137" s="271" t="n">
        <f aca="false">IF(SUM(A$105:A$130)&gt;0,1,0)</f>
        <v>0</v>
      </c>
      <c r="B137" s="271" t="s">
        <v>852</v>
      </c>
      <c r="C137" s="271"/>
      <c r="D137" s="314"/>
      <c r="E137" s="314"/>
      <c r="F137" s="314"/>
      <c r="G137" s="271"/>
      <c r="H137" s="271"/>
      <c r="I137" s="314"/>
      <c r="J137" s="314"/>
      <c r="K137" s="314"/>
      <c r="L137" s="0" t="n">
        <f aca="false">IF(K137="incl",0,K137)</f>
        <v>0</v>
      </c>
    </row>
    <row r="138" s="351" customFormat="true" ht="13.5" hidden="false" customHeight="true" outlineLevel="0" collapsed="false">
      <c r="A138" s="337" t="n">
        <f aca="false">IF(SUM(A$105:A$130)&gt;0,1,0)</f>
        <v>0</v>
      </c>
      <c r="B138" s="337"/>
      <c r="C138" s="337"/>
      <c r="D138" s="338"/>
      <c r="E138" s="338"/>
      <c r="F138" s="338"/>
      <c r="G138" s="337"/>
      <c r="H138" s="337"/>
      <c r="I138" s="338"/>
      <c r="J138" s="338"/>
      <c r="K138" s="338"/>
    </row>
    <row r="139" customFormat="false" ht="19.5" hidden="false" customHeight="true" outlineLevel="0" collapsed="false">
      <c r="A139" s="0" t="n">
        <f aca="false">IF(SUM(A$140:A$165)&gt;0,1,0)</f>
        <v>0</v>
      </c>
      <c r="B139" s="315" t="s">
        <v>853</v>
      </c>
      <c r="C139" s="316" t="n">
        <f aca="false">'03-Walls &amp; Footings'!D40</f>
        <v>0</v>
      </c>
      <c r="D139" s="316"/>
      <c r="E139" s="318"/>
      <c r="F139" s="352"/>
      <c r="G139" s="342"/>
      <c r="H139" s="342"/>
      <c r="I139" s="353"/>
      <c r="J139" s="353"/>
      <c r="K139" s="342"/>
      <c r="L139" s="0" t="n">
        <f aca="false">IF(K139="incl",0,K139)</f>
        <v>0</v>
      </c>
    </row>
    <row r="140" customFormat="false" ht="13.5" hidden="false" customHeight="true" outlineLevel="0" collapsed="false">
      <c r="A140" s="0" t="n">
        <f aca="false">IF(B140="",0,1)</f>
        <v>0</v>
      </c>
      <c r="B140" s="271" t="str">
        <f aca="false">IF(D140=0,"",'03-Walls &amp; Footings'!A10)</f>
        <v/>
      </c>
      <c r="C140" s="271"/>
      <c r="D140" s="349" t="n">
        <f aca="false">'03-Walls &amp; Footings'!E10</f>
        <v>0</v>
      </c>
      <c r="E140" s="271" t="s">
        <v>836</v>
      </c>
      <c r="F140" s="271"/>
      <c r="G140" s="354"/>
      <c r="H140" s="271"/>
      <c r="I140" s="355"/>
      <c r="J140" s="355"/>
      <c r="K140" s="314"/>
      <c r="L140" s="0" t="n">
        <f aca="false">IF(K140="incl",0,K140)</f>
        <v>0</v>
      </c>
    </row>
    <row r="141" customFormat="false" ht="13.5" hidden="false" customHeight="true" outlineLevel="0" collapsed="false">
      <c r="A141" s="0" t="n">
        <f aca="false">IF(B141="",0,1)</f>
        <v>0</v>
      </c>
      <c r="B141" s="271" t="str">
        <f aca="false">IF(D141=0,"",'03-Walls &amp; Footings'!A11)</f>
        <v/>
      </c>
      <c r="C141" s="271"/>
      <c r="D141" s="349" t="n">
        <f aca="false">'03-Walls &amp; Footings'!E11</f>
        <v>0</v>
      </c>
      <c r="E141" s="271" t="s">
        <v>836</v>
      </c>
      <c r="G141" s="356"/>
      <c r="J141" s="10"/>
    </row>
    <row r="142" customFormat="false" ht="13.5" hidden="false" customHeight="true" outlineLevel="0" collapsed="false">
      <c r="A142" s="0" t="n">
        <f aca="false">IF(B142="",0,1)</f>
        <v>0</v>
      </c>
      <c r="B142" s="271" t="str">
        <f aca="false">IF(D142=0,"",'03-Walls &amp; Footings'!A12)</f>
        <v/>
      </c>
      <c r="C142" s="271"/>
      <c r="D142" s="349" t="n">
        <f aca="false">'03-Walls &amp; Footings'!E12</f>
        <v>0</v>
      </c>
      <c r="E142" s="271" t="s">
        <v>836</v>
      </c>
      <c r="G142" s="356"/>
      <c r="J142" s="37"/>
      <c r="K142" s="291"/>
    </row>
    <row r="143" customFormat="false" ht="13.5" hidden="false" customHeight="true" outlineLevel="0" collapsed="false">
      <c r="A143" s="0" t="n">
        <f aca="false">IF(B143="",0,1)</f>
        <v>0</v>
      </c>
      <c r="B143" s="271" t="str">
        <f aca="false">IF(D143=0,"",'03-Walls &amp; Footings'!A13)</f>
        <v/>
      </c>
      <c r="C143" s="271"/>
      <c r="D143" s="349" t="n">
        <f aca="false">'03-Walls &amp; Footings'!E13</f>
        <v>0</v>
      </c>
      <c r="E143" s="271" t="s">
        <v>836</v>
      </c>
      <c r="G143" s="356"/>
      <c r="J143" s="37"/>
      <c r="K143" s="291"/>
    </row>
    <row r="144" customFormat="false" ht="13.5" hidden="false" customHeight="true" outlineLevel="0" collapsed="false">
      <c r="A144" s="0" t="n">
        <f aca="false">IF(B144="",0,1)</f>
        <v>0</v>
      </c>
      <c r="B144" s="271" t="str">
        <f aca="false">IF(D144=0,"",'03-Walls &amp; Footings'!A14)</f>
        <v/>
      </c>
      <c r="C144" s="271"/>
      <c r="D144" s="349" t="n">
        <f aca="false">'03-Walls &amp; Footings'!E14</f>
        <v>0</v>
      </c>
      <c r="E144" s="271" t="s">
        <v>836</v>
      </c>
      <c r="G144" s="356"/>
      <c r="K144" s="291"/>
    </row>
    <row r="145" customFormat="false" ht="13.5" hidden="false" customHeight="true" outlineLevel="0" collapsed="false">
      <c r="A145" s="0" t="n">
        <f aca="false">IF(B145="",0,1)</f>
        <v>0</v>
      </c>
      <c r="B145" s="271" t="str">
        <f aca="false">IF(D145=0,"",'03-Walls &amp; Footings'!A15)</f>
        <v/>
      </c>
      <c r="C145" s="271"/>
      <c r="D145" s="349" t="n">
        <f aca="false">'03-Walls &amp; Footings'!E15</f>
        <v>0</v>
      </c>
      <c r="E145" s="271" t="s">
        <v>836</v>
      </c>
      <c r="G145" s="356"/>
      <c r="J145" s="10"/>
      <c r="K145" s="291"/>
    </row>
    <row r="146" customFormat="false" ht="13.5" hidden="false" customHeight="true" outlineLevel="0" collapsed="false">
      <c r="A146" s="0" t="n">
        <f aca="false">IF(B146="",0,1)</f>
        <v>0</v>
      </c>
      <c r="B146" s="271" t="str">
        <f aca="false">IF(D146=0,"",'03-Walls &amp; Footings'!A16)</f>
        <v/>
      </c>
      <c r="C146" s="271"/>
      <c r="D146" s="349" t="n">
        <f aca="false">'03-Walls &amp; Footings'!E16</f>
        <v>0</v>
      </c>
      <c r="E146" s="271" t="str">
        <f aca="false">IF(D146="","","LF")</f>
        <v>LF</v>
      </c>
      <c r="G146" s="356"/>
    </row>
    <row r="147" customFormat="false" ht="13.5" hidden="false" customHeight="true" outlineLevel="0" collapsed="false">
      <c r="A147" s="0" t="n">
        <f aca="false">IF(B147="",0,1)</f>
        <v>0</v>
      </c>
      <c r="B147" s="271" t="str">
        <f aca="false">IF(D147=0,"",'03-Walls &amp; Footings'!A17)</f>
        <v/>
      </c>
      <c r="C147" s="271"/>
      <c r="D147" s="349" t="n">
        <f aca="false">'03-Walls &amp; Footings'!E17</f>
        <v>0</v>
      </c>
      <c r="E147" s="271" t="str">
        <f aca="false">IF(D147="","","LF")</f>
        <v>LF</v>
      </c>
      <c r="G147" s="356"/>
      <c r="J147" s="37"/>
      <c r="K147" s="291"/>
    </row>
    <row r="148" customFormat="false" ht="13.5" hidden="false" customHeight="true" outlineLevel="0" collapsed="false">
      <c r="A148" s="0" t="n">
        <f aca="false">IF(B148="",0,1)</f>
        <v>0</v>
      </c>
      <c r="B148" s="271" t="str">
        <f aca="false">IF(D148=0,"",'03-Walls &amp; Footings'!A18)</f>
        <v/>
      </c>
      <c r="C148" s="271"/>
      <c r="D148" s="349" t="n">
        <f aca="false">'03-Walls &amp; Footings'!E18</f>
        <v>0</v>
      </c>
      <c r="E148" s="271" t="str">
        <f aca="false">IF(D148="","","LF")</f>
        <v>LF</v>
      </c>
      <c r="G148" s="356"/>
    </row>
    <row r="149" customFormat="false" ht="13.5" hidden="false" customHeight="true" outlineLevel="0" collapsed="false">
      <c r="A149" s="0" t="n">
        <f aca="false">IF(B149="",0,1)</f>
        <v>0</v>
      </c>
      <c r="B149" s="271" t="str">
        <f aca="false">IF(D149=0,"",'03-Walls &amp; Footings'!A19)</f>
        <v/>
      </c>
      <c r="C149" s="271"/>
      <c r="D149" s="349" t="n">
        <f aca="false">'03-Walls &amp; Footings'!E19</f>
        <v>0</v>
      </c>
      <c r="E149" s="271" t="str">
        <f aca="false">IF(D149="","","LF")</f>
        <v>LF</v>
      </c>
    </row>
    <row r="150" customFormat="false" ht="13.5" hidden="false" customHeight="true" outlineLevel="0" collapsed="false">
      <c r="A150" s="0" t="n">
        <f aca="false">IF(B150="",0,1)</f>
        <v>0</v>
      </c>
      <c r="B150" s="271" t="str">
        <f aca="false">IF(D150=0,"",'03-Walls &amp; Footings'!A20)</f>
        <v/>
      </c>
      <c r="C150" s="271"/>
      <c r="D150" s="349" t="n">
        <f aca="false">'03-Walls &amp; Footings'!E20</f>
        <v>0</v>
      </c>
      <c r="E150" s="271" t="str">
        <f aca="false">IF(D150="","","LF")</f>
        <v>LF</v>
      </c>
    </row>
    <row r="151" customFormat="false" ht="13.5" hidden="false" customHeight="true" outlineLevel="0" collapsed="false">
      <c r="A151" s="0" t="n">
        <f aca="false">IF(B151="",0,1)</f>
        <v>0</v>
      </c>
      <c r="B151" s="271" t="str">
        <f aca="false">IF(D151=0,"",'03-Walls &amp; Footings'!A21)</f>
        <v/>
      </c>
      <c r="C151" s="271"/>
      <c r="D151" s="349" t="n">
        <f aca="false">'03-Walls &amp; Footings'!E21</f>
        <v>0</v>
      </c>
      <c r="E151" s="271" t="str">
        <f aca="false">IF(D151="","","LF")</f>
        <v>LF</v>
      </c>
    </row>
    <row r="152" customFormat="false" ht="13.5" hidden="false" customHeight="true" outlineLevel="0" collapsed="false">
      <c r="A152" s="0" t="n">
        <f aca="false">IF(B152="",0,1)</f>
        <v>0</v>
      </c>
      <c r="B152" s="271" t="str">
        <f aca="false">IF(D152=0,"",'03-Walls &amp; Footings'!A22)</f>
        <v/>
      </c>
      <c r="C152" s="271"/>
      <c r="D152" s="349" t="n">
        <f aca="false">'03-Walls &amp; Footings'!E22</f>
        <v>0</v>
      </c>
      <c r="E152" s="271" t="str">
        <f aca="false">IF(D152="","","LF")</f>
        <v>LF</v>
      </c>
    </row>
    <row r="153" customFormat="false" ht="13.5" hidden="false" customHeight="true" outlineLevel="0" collapsed="false">
      <c r="A153" s="0" t="n">
        <f aca="false">IF(B153="",0,1)</f>
        <v>0</v>
      </c>
      <c r="B153" s="271" t="str">
        <f aca="false">IF(D153=0,"",'03-Walls &amp; Footings'!A23)</f>
        <v/>
      </c>
      <c r="C153" s="271"/>
      <c r="D153" s="349" t="n">
        <f aca="false">'03-Walls &amp; Footings'!E23</f>
        <v>0</v>
      </c>
      <c r="E153" s="271" t="str">
        <f aca="false">IF(D153="","","LF")</f>
        <v>LF</v>
      </c>
    </row>
    <row r="154" customFormat="false" ht="13.5" hidden="false" customHeight="true" outlineLevel="0" collapsed="false">
      <c r="A154" s="0" t="n">
        <f aca="false">IF(B154="",0,1)</f>
        <v>0</v>
      </c>
      <c r="B154" s="271" t="str">
        <f aca="false">IF(D154=0,"",'03-Walls &amp; Footings'!A24)</f>
        <v/>
      </c>
      <c r="C154" s="271"/>
      <c r="D154" s="349" t="n">
        <f aca="false">'03-Walls &amp; Footings'!E24</f>
        <v>0</v>
      </c>
      <c r="E154" s="271" t="str">
        <f aca="false">IF(D154="","","LF")</f>
        <v>LF</v>
      </c>
    </row>
    <row r="155" customFormat="false" ht="13.5" hidden="false" customHeight="true" outlineLevel="0" collapsed="false">
      <c r="A155" s="0" t="n">
        <f aca="false">IF(B155="",0,1)</f>
        <v>0</v>
      </c>
      <c r="B155" s="271" t="str">
        <f aca="false">IF(D155=0,"",'03-Walls &amp; Footings'!A25)</f>
        <v/>
      </c>
      <c r="C155" s="271"/>
      <c r="D155" s="349" t="n">
        <f aca="false">'03-Walls &amp; Footings'!E25</f>
        <v>0</v>
      </c>
      <c r="E155" s="271" t="str">
        <f aca="false">IF(D155="","","LF")</f>
        <v>LF</v>
      </c>
      <c r="G155" s="356"/>
    </row>
    <row r="156" customFormat="false" ht="13.5" hidden="false" customHeight="true" outlineLevel="0" collapsed="false">
      <c r="A156" s="0" t="n">
        <f aca="false">IF(B156="",0,1)</f>
        <v>0</v>
      </c>
      <c r="B156" s="271" t="str">
        <f aca="false">IF(D156=0,"",'03-Walls &amp; Footings'!A26)</f>
        <v/>
      </c>
      <c r="C156" s="271"/>
      <c r="D156" s="349" t="n">
        <f aca="false">'03-Walls &amp; Footings'!E26</f>
        <v>0</v>
      </c>
      <c r="E156" s="271" t="str">
        <f aca="false">IF(D156="","","LF")</f>
        <v>LF</v>
      </c>
      <c r="F156" s="271"/>
      <c r="G156" s="354"/>
      <c r="H156" s="271"/>
      <c r="I156" s="357"/>
      <c r="J156" s="357"/>
      <c r="K156" s="358"/>
      <c r="L156" s="0" t="n">
        <f aca="false">IF(K156="incl",0,K156)</f>
        <v>0</v>
      </c>
    </row>
    <row r="157" customFormat="false" ht="13.5" hidden="false" customHeight="true" outlineLevel="0" collapsed="false">
      <c r="A157" s="0" t="n">
        <f aca="false">IF(B157="",0,1)</f>
        <v>0</v>
      </c>
      <c r="B157" s="271" t="str">
        <f aca="false">IF(D157=0,"",'03-Walls &amp; Footings'!A27)</f>
        <v/>
      </c>
      <c r="C157" s="271"/>
      <c r="D157" s="349" t="n">
        <f aca="false">'03-Walls &amp; Footings'!E27</f>
        <v>0</v>
      </c>
      <c r="E157" s="271" t="str">
        <f aca="false">IF(D157="","","LF")</f>
        <v>LF</v>
      </c>
      <c r="G157" s="356"/>
    </row>
    <row r="158" customFormat="false" ht="13.5" hidden="false" customHeight="true" outlineLevel="0" collapsed="false">
      <c r="A158" s="0" t="n">
        <f aca="false">IF(B158="",0,1)</f>
        <v>0</v>
      </c>
      <c r="B158" s="271" t="str">
        <f aca="false">IF(D158=0,"",'03-Walls &amp; Footings'!A28)</f>
        <v/>
      </c>
      <c r="C158" s="271"/>
      <c r="D158" s="349" t="n">
        <f aca="false">'03-Walls &amp; Footings'!E28</f>
        <v>0</v>
      </c>
      <c r="E158" s="271" t="str">
        <f aca="false">IF(D158="","","LF")</f>
        <v>LF</v>
      </c>
    </row>
    <row r="159" customFormat="false" ht="13.5" hidden="false" customHeight="true" outlineLevel="0" collapsed="false">
      <c r="A159" s="0" t="n">
        <f aca="false">IF(B159="",0,1)</f>
        <v>0</v>
      </c>
      <c r="B159" s="271" t="str">
        <f aca="false">IF(D159=0,"",'03-Walls &amp; Footings'!A29)</f>
        <v/>
      </c>
      <c r="C159" s="271"/>
      <c r="D159" s="349" t="n">
        <f aca="false">'03-Walls &amp; Footings'!E29</f>
        <v>0</v>
      </c>
      <c r="E159" s="271" t="str">
        <f aca="false">IF(D159="","","LF")</f>
        <v>LF</v>
      </c>
    </row>
    <row r="160" customFormat="false" ht="13.5" hidden="false" customHeight="true" outlineLevel="0" collapsed="false">
      <c r="A160" s="0" t="n">
        <f aca="false">IF(B160="",0,1)</f>
        <v>0</v>
      </c>
      <c r="B160" s="271" t="str">
        <f aca="false">IF(D160=0,"",'03-Walls &amp; Footings'!A30)</f>
        <v/>
      </c>
      <c r="C160" s="271"/>
      <c r="D160" s="349" t="n">
        <f aca="false">'03-Walls &amp; Footings'!E30</f>
        <v>0</v>
      </c>
      <c r="E160" s="271" t="str">
        <f aca="false">IF(D160="","","LF")</f>
        <v>LF</v>
      </c>
    </row>
    <row r="161" customFormat="false" ht="13.5" hidden="false" customHeight="true" outlineLevel="0" collapsed="false">
      <c r="A161" s="0" t="n">
        <f aca="false">IF(B161="",0,1)</f>
        <v>0</v>
      </c>
      <c r="B161" s="271" t="str">
        <f aca="false">IF(D161=0,"",'03-Walls &amp; Footings'!A31)</f>
        <v/>
      </c>
      <c r="C161" s="271"/>
      <c r="D161" s="349" t="n">
        <f aca="false">'03-Walls &amp; Footings'!E31</f>
        <v>0</v>
      </c>
      <c r="E161" s="271" t="str">
        <f aca="false">IF(D161="","","LF")</f>
        <v>LF</v>
      </c>
    </row>
    <row r="162" customFormat="false" ht="13.5" hidden="false" customHeight="true" outlineLevel="0" collapsed="false">
      <c r="A162" s="0" t="n">
        <f aca="false">IF(B162="",0,1)</f>
        <v>0</v>
      </c>
      <c r="B162" s="271" t="str">
        <f aca="false">IF(D162=0,"",'03-Walls &amp; Footings'!A32)</f>
        <v/>
      </c>
      <c r="C162" s="271"/>
      <c r="D162" s="349" t="n">
        <f aca="false">'03-Walls &amp; Footings'!E32</f>
        <v>0</v>
      </c>
      <c r="E162" s="271" t="str">
        <f aca="false">IF(D162="","","LF")</f>
        <v>LF</v>
      </c>
    </row>
    <row r="163" customFormat="false" ht="13.5" hidden="false" customHeight="true" outlineLevel="0" collapsed="false">
      <c r="A163" s="0" t="n">
        <f aca="false">IF(B163="",0,1)</f>
        <v>0</v>
      </c>
      <c r="B163" s="271" t="str">
        <f aca="false">IF(D163=0,"",'03-Walls &amp; Footings'!A33)</f>
        <v/>
      </c>
      <c r="C163" s="271"/>
      <c r="D163" s="349" t="n">
        <f aca="false">'03-Walls &amp; Footings'!E33</f>
        <v>0</v>
      </c>
      <c r="E163" s="271" t="str">
        <f aca="false">IF(D163="","","LF")</f>
        <v>LF</v>
      </c>
    </row>
    <row r="164" customFormat="false" ht="13.5" hidden="false" customHeight="true" outlineLevel="0" collapsed="false">
      <c r="A164" s="0" t="n">
        <f aca="false">IF(B164="",0,1)</f>
        <v>0</v>
      </c>
      <c r="B164" s="271" t="str">
        <f aca="false">IF(D164=0,"",'03-Walls &amp; Footings'!A34)</f>
        <v/>
      </c>
      <c r="C164" s="271"/>
      <c r="D164" s="349" t="n">
        <f aca="false">'03-Walls &amp; Footings'!E34</f>
        <v>0</v>
      </c>
      <c r="E164" s="271" t="str">
        <f aca="false">IF(D164="","","LF")</f>
        <v>LF</v>
      </c>
      <c r="G164" s="356"/>
    </row>
    <row r="165" customFormat="false" ht="13.5" hidden="false" customHeight="true" outlineLevel="0" collapsed="false">
      <c r="A165" s="0" t="n">
        <f aca="false">IF(B165="",0,1)</f>
        <v>0</v>
      </c>
      <c r="B165" s="271" t="str">
        <f aca="false">IF(D165=0,"",'03-Walls &amp; Footings'!A35)</f>
        <v/>
      </c>
      <c r="C165" s="271"/>
      <c r="D165" s="349" t="n">
        <f aca="false">'03-Walls &amp; Footings'!E35</f>
        <v>0</v>
      </c>
      <c r="E165" s="271" t="str">
        <f aca="false">IF(D165="","","LF")</f>
        <v>LF</v>
      </c>
      <c r="F165" s="271"/>
      <c r="G165" s="354"/>
      <c r="H165" s="271"/>
      <c r="I165" s="357"/>
      <c r="J165" s="357"/>
      <c r="K165" s="358"/>
      <c r="L165" s="0" t="n">
        <f aca="false">IF(K165="incl",0,K165)</f>
        <v>0</v>
      </c>
    </row>
    <row r="166" customFormat="false" ht="13.5" hidden="false" customHeight="true" outlineLevel="0" collapsed="false">
      <c r="A166" s="0" t="n">
        <f aca="false">IF(SUM(A$140:A$165)&gt;0,1,0)</f>
        <v>0</v>
      </c>
      <c r="B166" s="271"/>
      <c r="D166" s="359" t="n">
        <f aca="false">SUM(D140:D165)</f>
        <v>0</v>
      </c>
      <c r="E166" s="271" t="s">
        <v>836</v>
      </c>
      <c r="F166" s="360"/>
      <c r="G166" s="361"/>
      <c r="J166" s="37"/>
      <c r="K166" s="291"/>
    </row>
    <row r="167" customFormat="false" ht="13.5" hidden="false" customHeight="true" outlineLevel="0" collapsed="false">
      <c r="A167" s="0" t="n">
        <f aca="false">IF(SUM(A$140:A$165)&gt;0,1,0)</f>
        <v>0</v>
      </c>
      <c r="B167" s="271"/>
      <c r="C167" s="271"/>
      <c r="D167" s="345"/>
      <c r="E167" s="271"/>
      <c r="F167" s="271"/>
      <c r="G167" s="271"/>
      <c r="H167" s="271"/>
      <c r="I167" s="271"/>
      <c r="J167" s="271"/>
      <c r="K167" s="271"/>
      <c r="L167" s="0" t="n">
        <f aca="false">IF(K167="incl",0,K167)</f>
        <v>0</v>
      </c>
    </row>
    <row r="168" customFormat="false" ht="13.5" hidden="false" customHeight="true" outlineLevel="0" collapsed="false">
      <c r="A168" s="0" t="n">
        <f aca="false">IF(SUM(A$140:A$165)&gt;0,1,0)</f>
        <v>0</v>
      </c>
      <c r="B168" s="362" t="s">
        <v>840</v>
      </c>
      <c r="C168" s="271"/>
      <c r="D168" s="345"/>
      <c r="E168" s="271"/>
      <c r="F168" s="271"/>
      <c r="G168" s="271"/>
      <c r="H168" s="271"/>
      <c r="I168" s="271"/>
      <c r="J168" s="271"/>
      <c r="K168" s="302"/>
      <c r="L168" s="0" t="n">
        <f aca="false">IF(K168="incl",0,K168)</f>
        <v>0</v>
      </c>
    </row>
    <row r="169" customFormat="false" ht="13.5" hidden="false" customHeight="true" outlineLevel="0" collapsed="false">
      <c r="A169" s="0" t="n">
        <f aca="false">IF(SUM(A$140:A$165)&gt;0,1,0)</f>
        <v>0</v>
      </c>
      <c r="B169" s="271" t="s">
        <v>854</v>
      </c>
      <c r="C169" s="271"/>
      <c r="D169" s="271"/>
      <c r="E169" s="271"/>
      <c r="F169" s="271"/>
      <c r="K169" s="271"/>
      <c r="L169" s="0" t="n">
        <f aca="false">IF(K169="incl",0,K169)</f>
        <v>0</v>
      </c>
    </row>
    <row r="170" customFormat="false" ht="13.5" hidden="false" customHeight="true" outlineLevel="0" collapsed="false">
      <c r="A170" s="0" t="n">
        <f aca="false">IF(SUM(A$140:A$165)&gt;0,1,0)</f>
        <v>0</v>
      </c>
      <c r="B170" s="271" t="s">
        <v>855</v>
      </c>
      <c r="C170" s="271"/>
      <c r="E170" s="286"/>
    </row>
    <row r="171" customFormat="false" ht="13.5" hidden="false" customHeight="true" outlineLevel="0" collapsed="false">
      <c r="A171" s="0" t="n">
        <f aca="false">IF(SUM(A$140:A$165)&gt;0,1,0)</f>
        <v>0</v>
      </c>
      <c r="B171" s="320" t="s">
        <v>843</v>
      </c>
      <c r="C171" s="271"/>
      <c r="D171" s="271"/>
      <c r="E171" s="271"/>
      <c r="F171" s="271"/>
      <c r="K171" s="271"/>
      <c r="L171" s="0" t="n">
        <f aca="false">IF(K171="incl",0,K171)</f>
        <v>0</v>
      </c>
    </row>
    <row r="172" customFormat="false" ht="13.5" hidden="false" customHeight="true" outlineLevel="0" collapsed="false">
      <c r="A172" s="0" t="n">
        <f aca="false">IF(SUM(A$140:A$165)&gt;0,1,0)</f>
        <v>0</v>
      </c>
      <c r="B172" s="271" t="s">
        <v>856</v>
      </c>
      <c r="C172" s="271"/>
      <c r="D172" s="272"/>
      <c r="E172" s="271"/>
      <c r="F172" s="271"/>
      <c r="G172" s="271"/>
      <c r="H172" s="271"/>
      <c r="I172" s="271"/>
      <c r="J172" s="271"/>
      <c r="K172" s="271"/>
      <c r="L172" s="0" t="n">
        <f aca="false">IF(K172="incl",0,K172)</f>
        <v>0</v>
      </c>
    </row>
    <row r="173" customFormat="false" ht="13.5" hidden="false" customHeight="true" outlineLevel="0" collapsed="false">
      <c r="A173" s="0" t="n">
        <f aca="false">IF(SUM(A$140:A$165)&gt;0,1,0)</f>
        <v>0</v>
      </c>
      <c r="B173" s="271"/>
      <c r="C173" s="271"/>
      <c r="D173" s="272"/>
      <c r="E173" s="271"/>
      <c r="F173" s="271"/>
      <c r="G173" s="271"/>
      <c r="H173" s="271"/>
      <c r="I173" s="271"/>
      <c r="J173" s="271"/>
      <c r="K173" s="271"/>
    </row>
    <row r="174" customFormat="false" ht="19.5" hidden="false" customHeight="true" outlineLevel="0" collapsed="false">
      <c r="A174" s="271" t="n">
        <f aca="false">IF(SUM(A$176:A$207)&gt;0,1,0)</f>
        <v>1</v>
      </c>
      <c r="B174" s="315" t="s">
        <v>857</v>
      </c>
      <c r="C174" s="316" t="n">
        <f aca="false">'04-PT Slab on Grade'!E45</f>
        <v>808755.175867466</v>
      </c>
      <c r="D174" s="316"/>
      <c r="E174" s="352"/>
      <c r="F174" s="352"/>
      <c r="G174" s="342"/>
      <c r="H174" s="342"/>
      <c r="I174" s="353"/>
      <c r="J174" s="353"/>
      <c r="K174" s="342"/>
      <c r="L174" s="0" t="n">
        <f aca="false">IF(K174="incl",0,K174)</f>
        <v>0</v>
      </c>
      <c r="N174" s="291" t="n">
        <f aca="false">C174</f>
        <v>808755.175867466</v>
      </c>
    </row>
    <row r="175" customFormat="false" ht="13.5" hidden="false" customHeight="true" outlineLevel="0" collapsed="false">
      <c r="A175" s="271" t="n">
        <f aca="false">IF(SUM(A$176:A$207)&gt;0,1,0)</f>
        <v>1</v>
      </c>
      <c r="B175" s="363" t="s">
        <v>847</v>
      </c>
      <c r="C175" s="364" t="s">
        <v>858</v>
      </c>
      <c r="D175" s="364" t="s">
        <v>859</v>
      </c>
      <c r="E175" s="364" t="s">
        <v>519</v>
      </c>
      <c r="K175" s="10"/>
      <c r="L175" s="0" t="n">
        <f aca="false">IF(K175="incl",0,K175)</f>
        <v>0</v>
      </c>
    </row>
    <row r="176" customFormat="false" ht="13.5" hidden="false" customHeight="true" outlineLevel="0" collapsed="false">
      <c r="A176" s="271" t="n">
        <f aca="false">IF(B176="",0,1)</f>
        <v>1</v>
      </c>
      <c r="B176" s="365" t="str">
        <f aca="false">IF('04-PT Slab on Grade'!B10="","",'04-PT Slab on Grade'!B10)</f>
        <v>Pour 1</v>
      </c>
      <c r="C176" s="366" t="n">
        <f aca="false">IF('04-PT Slab on Grade'!F10="","",'04-PT Slab on Grade'!F10)</f>
        <v>4</v>
      </c>
      <c r="D176" s="367" t="n">
        <f aca="false">IF('04-PT Slab on Grade'!D10="","",'04-PT Slab on Grade'!D10)</f>
        <v>2942</v>
      </c>
      <c r="E176" s="271" t="str">
        <f aca="false">IF(D176="","","SF")</f>
        <v>SF</v>
      </c>
      <c r="F176" s="271"/>
      <c r="G176" s="271"/>
      <c r="H176" s="271"/>
      <c r="I176" s="271"/>
      <c r="J176" s="271"/>
      <c r="K176" s="10"/>
    </row>
    <row r="177" customFormat="false" ht="13.5" hidden="false" customHeight="true" outlineLevel="0" collapsed="false">
      <c r="A177" s="271" t="n">
        <f aca="false">IF(B177="",0,1)</f>
        <v>1</v>
      </c>
      <c r="B177" s="365" t="str">
        <f aca="false">IF('04-PT Slab on Grade'!B11="","",'04-PT Slab on Grade'!B11)</f>
        <v>Pour 2</v>
      </c>
      <c r="C177" s="366" t="n">
        <f aca="false">IF('04-PT Slab on Grade'!F11="","",'04-PT Slab on Grade'!F11)</f>
        <v>4</v>
      </c>
      <c r="D177" s="367" t="n">
        <f aca="false">IF('04-PT Slab on Grade'!D11="","",'04-PT Slab on Grade'!D11)</f>
        <v>3992</v>
      </c>
      <c r="E177" s="271" t="str">
        <f aca="false">IF(D177="","","SF")</f>
        <v>SF</v>
      </c>
      <c r="F177" s="271"/>
      <c r="G177" s="271"/>
      <c r="H177" s="271"/>
      <c r="I177" s="271"/>
      <c r="J177" s="271"/>
      <c r="K177" s="313"/>
    </row>
    <row r="178" customFormat="false" ht="13.5" hidden="false" customHeight="true" outlineLevel="0" collapsed="false">
      <c r="A178" s="271" t="n">
        <f aca="false">IF(B178="",0,1)</f>
        <v>1</v>
      </c>
      <c r="B178" s="365" t="str">
        <f aca="false">IF('04-PT Slab on Grade'!B12="","",'04-PT Slab on Grade'!B12)</f>
        <v>Pour 3</v>
      </c>
      <c r="C178" s="366" t="n">
        <f aca="false">IF('04-PT Slab on Grade'!F12="","",'04-PT Slab on Grade'!F12)</f>
        <v>4</v>
      </c>
      <c r="D178" s="367" t="n">
        <f aca="false">IF('04-PT Slab on Grade'!D12="","",'04-PT Slab on Grade'!D12)</f>
        <v>5805</v>
      </c>
      <c r="E178" s="271" t="str">
        <f aca="false">IF(D178="","","SF")</f>
        <v>SF</v>
      </c>
      <c r="F178" s="271"/>
      <c r="G178" s="271"/>
      <c r="H178" s="271"/>
      <c r="I178" s="271"/>
      <c r="J178" s="271"/>
      <c r="K178" s="313"/>
    </row>
    <row r="179" customFormat="false" ht="13.5" hidden="false" customHeight="true" outlineLevel="0" collapsed="false">
      <c r="A179" s="271" t="n">
        <f aca="false">IF(B179="",0,1)</f>
        <v>1</v>
      </c>
      <c r="B179" s="365" t="str">
        <f aca="false">IF('04-PT Slab on Grade'!B13="","",'04-PT Slab on Grade'!B13)</f>
        <v>Pour 4</v>
      </c>
      <c r="C179" s="366" t="n">
        <f aca="false">IF('04-PT Slab on Grade'!F13="","",'04-PT Slab on Grade'!F13)</f>
        <v>4</v>
      </c>
      <c r="D179" s="367" t="n">
        <f aca="false">IF('04-PT Slab on Grade'!D13="","",'04-PT Slab on Grade'!D13)</f>
        <v>4775</v>
      </c>
      <c r="E179" s="271" t="str">
        <f aca="false">IF(D179="","","SF")</f>
        <v>SF</v>
      </c>
      <c r="F179" s="271"/>
      <c r="G179" s="271"/>
      <c r="H179" s="271"/>
      <c r="I179" s="271"/>
      <c r="J179" s="271"/>
      <c r="K179" s="313"/>
    </row>
    <row r="180" customFormat="false" ht="13.5" hidden="false" customHeight="true" outlineLevel="0" collapsed="false">
      <c r="A180" s="271" t="n">
        <f aca="false">IF(B180="",0,1)</f>
        <v>1</v>
      </c>
      <c r="B180" s="365" t="str">
        <f aca="false">IF('04-PT Slab on Grade'!B14="","",'04-PT Slab on Grade'!B14)</f>
        <v>Pour 5</v>
      </c>
      <c r="C180" s="366" t="n">
        <f aca="false">IF('04-PT Slab on Grade'!F14="","",'04-PT Slab on Grade'!F14)</f>
        <v>4</v>
      </c>
      <c r="D180" s="367" t="n">
        <f aca="false">IF('04-PT Slab on Grade'!D14="","",'04-PT Slab on Grade'!D14)</f>
        <v>5503</v>
      </c>
      <c r="E180" s="271" t="str">
        <f aca="false">IF(D180="","","SF")</f>
        <v>SF</v>
      </c>
      <c r="F180" s="271"/>
      <c r="G180" s="271"/>
      <c r="H180" s="271"/>
      <c r="I180" s="271"/>
      <c r="J180" s="271"/>
      <c r="K180" s="313"/>
    </row>
    <row r="181" customFormat="false" ht="13.5" hidden="false" customHeight="true" outlineLevel="0" collapsed="false">
      <c r="A181" s="271" t="n">
        <f aca="false">IF(B181="",0,1)</f>
        <v>1</v>
      </c>
      <c r="B181" s="365" t="str">
        <f aca="false">IF('04-PT Slab on Grade'!B15="","",'04-PT Slab on Grade'!B15)</f>
        <v>Pour 6</v>
      </c>
      <c r="C181" s="366" t="n">
        <f aca="false">IF('04-PT Slab on Grade'!F15="","",'04-PT Slab on Grade'!F15)</f>
        <v>4</v>
      </c>
      <c r="D181" s="367" t="n">
        <f aca="false">IF('04-PT Slab on Grade'!D15="","",'04-PT Slab on Grade'!D15)</f>
        <v>3478</v>
      </c>
      <c r="E181" s="271" t="str">
        <f aca="false">IF(D181="","","SF")</f>
        <v>SF</v>
      </c>
      <c r="F181" s="271"/>
      <c r="G181" s="271"/>
      <c r="H181" s="271"/>
      <c r="I181" s="271"/>
      <c r="J181" s="271"/>
      <c r="K181" s="313"/>
    </row>
    <row r="182" customFormat="false" ht="13.5" hidden="false" customHeight="true" outlineLevel="0" collapsed="false">
      <c r="A182" s="271" t="n">
        <f aca="false">IF(B182="",0,1)</f>
        <v>1</v>
      </c>
      <c r="B182" s="365" t="str">
        <f aca="false">IF('04-PT Slab on Grade'!B16="","",'04-PT Slab on Grade'!B16)</f>
        <v>Pour 7</v>
      </c>
      <c r="C182" s="366" t="n">
        <f aca="false">IF('04-PT Slab on Grade'!F16="","",'04-PT Slab on Grade'!F16)</f>
        <v>4</v>
      </c>
      <c r="D182" s="367" t="n">
        <f aca="false">IF('04-PT Slab on Grade'!D16="","",'04-PT Slab on Grade'!D16)</f>
        <v>3875</v>
      </c>
      <c r="E182" s="271" t="str">
        <f aca="false">IF(D182="","","SF")</f>
        <v>SF</v>
      </c>
      <c r="F182" s="271"/>
      <c r="G182" s="271"/>
      <c r="H182" s="271"/>
      <c r="I182" s="271"/>
      <c r="J182" s="271"/>
      <c r="K182" s="313"/>
    </row>
    <row r="183" customFormat="false" ht="13.5" hidden="false" customHeight="true" outlineLevel="0" collapsed="false">
      <c r="A183" s="271" t="n">
        <f aca="false">IF(B183="",0,1)</f>
        <v>1</v>
      </c>
      <c r="B183" s="365" t="str">
        <f aca="false">IF('04-PT Slab on Grade'!B17="","",'04-PT Slab on Grade'!B17)</f>
        <v>Pour 8</v>
      </c>
      <c r="C183" s="366" t="n">
        <f aca="false">IF('04-PT Slab on Grade'!F17="","",'04-PT Slab on Grade'!F17)</f>
        <v>4</v>
      </c>
      <c r="D183" s="367" t="n">
        <f aca="false">IF('04-PT Slab on Grade'!D17="","",'04-PT Slab on Grade'!D17)</f>
        <v>3722</v>
      </c>
      <c r="E183" s="271" t="str">
        <f aca="false">IF(D183="","","SF")</f>
        <v>SF</v>
      </c>
      <c r="F183" s="271"/>
      <c r="G183" s="271"/>
      <c r="H183" s="271"/>
      <c r="I183" s="271"/>
      <c r="J183" s="271"/>
      <c r="K183" s="313"/>
    </row>
    <row r="184" customFormat="false" ht="13.5" hidden="false" customHeight="true" outlineLevel="0" collapsed="false">
      <c r="A184" s="271" t="n">
        <f aca="false">IF(B184="",0,1)</f>
        <v>1</v>
      </c>
      <c r="B184" s="365" t="str">
        <f aca="false">IF('04-PT Slab on Grade'!B18="","",'04-PT Slab on Grade'!B18)</f>
        <v>Pour 9</v>
      </c>
      <c r="C184" s="366" t="n">
        <f aca="false">IF('04-PT Slab on Grade'!F18="","",'04-PT Slab on Grade'!F18)</f>
        <v>4</v>
      </c>
      <c r="D184" s="367" t="n">
        <f aca="false">IF('04-PT Slab on Grade'!D18="","",'04-PT Slab on Grade'!D18)</f>
        <v>3739</v>
      </c>
      <c r="E184" s="271" t="str">
        <f aca="false">IF(D184="","","SF")</f>
        <v>SF</v>
      </c>
      <c r="F184" s="271"/>
      <c r="G184" s="271"/>
      <c r="H184" s="271"/>
      <c r="I184" s="271"/>
      <c r="J184" s="271"/>
      <c r="K184" s="313"/>
    </row>
    <row r="185" customFormat="false" ht="13.5" hidden="false" customHeight="true" outlineLevel="0" collapsed="false">
      <c r="A185" s="271" t="n">
        <f aca="false">IF(B185="",0,1)</f>
        <v>1</v>
      </c>
      <c r="B185" s="365" t="str">
        <f aca="false">IF('04-PT Slab on Grade'!B19="","",'04-PT Slab on Grade'!B19)</f>
        <v>Pour 10</v>
      </c>
      <c r="C185" s="366" t="n">
        <f aca="false">IF('04-PT Slab on Grade'!F19="","",'04-PT Slab on Grade'!F19)</f>
        <v>4</v>
      </c>
      <c r="D185" s="367" t="n">
        <f aca="false">IF('04-PT Slab on Grade'!D19="","",'04-PT Slab on Grade'!D19)</f>
        <v>4076</v>
      </c>
      <c r="E185" s="271" t="str">
        <f aca="false">IF(D185="","","SF")</f>
        <v>SF</v>
      </c>
      <c r="F185" s="271"/>
      <c r="G185" s="271"/>
      <c r="H185" s="271"/>
      <c r="I185" s="271"/>
      <c r="J185" s="271"/>
      <c r="K185" s="313"/>
    </row>
    <row r="186" customFormat="false" ht="13.5" hidden="false" customHeight="true" outlineLevel="0" collapsed="false">
      <c r="A186" s="271" t="n">
        <f aca="false">IF(B186="",0,1)</f>
        <v>1</v>
      </c>
      <c r="B186" s="365" t="str">
        <f aca="false">IF('04-PT Slab on Grade'!B20="","",'04-PT Slab on Grade'!B20)</f>
        <v>Pour 11</v>
      </c>
      <c r="C186" s="366" t="n">
        <f aca="false">IF('04-PT Slab on Grade'!F20="","",'04-PT Slab on Grade'!F20)</f>
        <v>4</v>
      </c>
      <c r="D186" s="367" t="n">
        <f aca="false">IF('04-PT Slab on Grade'!D20="","",'04-PT Slab on Grade'!D20)</f>
        <v>6872</v>
      </c>
      <c r="E186" s="271" t="str">
        <f aca="false">IF(D186="","","SF")</f>
        <v>SF</v>
      </c>
      <c r="F186" s="271"/>
      <c r="G186" s="271"/>
      <c r="H186" s="271"/>
      <c r="I186" s="271"/>
      <c r="J186" s="271"/>
      <c r="K186" s="313"/>
    </row>
    <row r="187" customFormat="false" ht="13.5" hidden="false" customHeight="true" outlineLevel="0" collapsed="false">
      <c r="A187" s="271" t="n">
        <f aca="false">IF(B187="",0,1)</f>
        <v>1</v>
      </c>
      <c r="B187" s="365" t="str">
        <f aca="false">IF('04-PT Slab on Grade'!B21="","",'04-PT Slab on Grade'!B21)</f>
        <v>Pour 12</v>
      </c>
      <c r="C187" s="366" t="n">
        <f aca="false">IF('04-PT Slab on Grade'!F21="","",'04-PT Slab on Grade'!F21)</f>
        <v>4</v>
      </c>
      <c r="D187" s="367" t="n">
        <f aca="false">IF('04-PT Slab on Grade'!D21="","",'04-PT Slab on Grade'!D21)</f>
        <v>6217</v>
      </c>
      <c r="E187" s="271" t="str">
        <f aca="false">IF(D187="","","SF")</f>
        <v>SF</v>
      </c>
      <c r="F187" s="271"/>
      <c r="G187" s="271"/>
      <c r="H187" s="271"/>
      <c r="I187" s="271"/>
      <c r="J187" s="271"/>
      <c r="K187" s="313"/>
    </row>
    <row r="188" customFormat="false" ht="13.5" hidden="false" customHeight="true" outlineLevel="0" collapsed="false">
      <c r="A188" s="271" t="n">
        <f aca="false">IF(B188="",0,1)</f>
        <v>1</v>
      </c>
      <c r="B188" s="365" t="str">
        <f aca="false">IF('04-PT Slab on Grade'!B22="","",'04-PT Slab on Grade'!B22)</f>
        <v>Pour 13</v>
      </c>
      <c r="C188" s="366" t="n">
        <f aca="false">IF('04-PT Slab on Grade'!F22="","",'04-PT Slab on Grade'!F22)</f>
        <v>4</v>
      </c>
      <c r="D188" s="367" t="n">
        <f aca="false">IF('04-PT Slab on Grade'!D22="","",'04-PT Slab on Grade'!D22)</f>
        <v>2153</v>
      </c>
      <c r="E188" s="271" t="str">
        <f aca="false">IF(D188="","","SF")</f>
        <v>SF</v>
      </c>
      <c r="F188" s="271"/>
      <c r="G188" s="271"/>
      <c r="H188" s="271"/>
      <c r="I188" s="271"/>
      <c r="J188" s="271"/>
      <c r="K188" s="313"/>
    </row>
    <row r="189" customFormat="false" ht="13.5" hidden="false" customHeight="true" outlineLevel="0" collapsed="false">
      <c r="A189" s="271" t="n">
        <f aca="false">IF(B189="",0,1)</f>
        <v>1</v>
      </c>
      <c r="B189" s="365" t="str">
        <f aca="false">IF('04-PT Slab on Grade'!B23="","",'04-PT Slab on Grade'!B23)</f>
        <v>Pour 14</v>
      </c>
      <c r="C189" s="366" t="n">
        <f aca="false">IF('04-PT Slab on Grade'!F23="","",'04-PT Slab on Grade'!F23)</f>
        <v>4</v>
      </c>
      <c r="D189" s="367" t="n">
        <f aca="false">IF('04-PT Slab on Grade'!D23="","",'04-PT Slab on Grade'!D23)</f>
        <v>2440</v>
      </c>
      <c r="E189" s="271" t="str">
        <f aca="false">IF(D189="","","SF")</f>
        <v>SF</v>
      </c>
      <c r="F189" s="271"/>
      <c r="G189" s="271"/>
      <c r="H189" s="271"/>
      <c r="I189" s="271"/>
      <c r="J189" s="271"/>
      <c r="K189" s="313"/>
    </row>
    <row r="190" customFormat="false" ht="13.5" hidden="false" customHeight="true" outlineLevel="0" collapsed="false">
      <c r="A190" s="271" t="n">
        <f aca="false">IF(B190="",0,1)</f>
        <v>1</v>
      </c>
      <c r="B190" s="365" t="str">
        <f aca="false">IF('04-PT Slab on Grade'!B24="","",'04-PT Slab on Grade'!B24)</f>
        <v>Pour 15</v>
      </c>
      <c r="C190" s="366" t="n">
        <f aca="false">IF('04-PT Slab on Grade'!F24="","",'04-PT Slab on Grade'!F24)</f>
        <v>4</v>
      </c>
      <c r="D190" s="367" t="n">
        <f aca="false">IF('04-PT Slab on Grade'!D24="","",'04-PT Slab on Grade'!D24)</f>
        <v>2091</v>
      </c>
      <c r="E190" s="271" t="str">
        <f aca="false">IF(D190="","","SF")</f>
        <v>SF</v>
      </c>
      <c r="F190" s="271"/>
      <c r="G190" s="271"/>
      <c r="H190" s="271"/>
      <c r="I190" s="271"/>
      <c r="J190" s="271"/>
      <c r="K190" s="313"/>
    </row>
    <row r="191" customFormat="false" ht="13.5" hidden="false" customHeight="true" outlineLevel="0" collapsed="false">
      <c r="A191" s="271" t="n">
        <f aca="false">IF(B191="",0,1)</f>
        <v>1</v>
      </c>
      <c r="B191" s="365" t="str">
        <f aca="false">IF('04-PT Slab on Grade'!B25="","",'04-PT Slab on Grade'!B25)</f>
        <v>Pour 16</v>
      </c>
      <c r="C191" s="366" t="n">
        <f aca="false">IF('04-PT Slab on Grade'!F25="","",'04-PT Slab on Grade'!F25)</f>
        <v>4</v>
      </c>
      <c r="D191" s="367" t="n">
        <f aca="false">IF('04-PT Slab on Grade'!D25="","",'04-PT Slab on Grade'!D25)</f>
        <v>515</v>
      </c>
      <c r="E191" s="271" t="str">
        <f aca="false">IF(D191="","","SF")</f>
        <v>SF</v>
      </c>
      <c r="F191" s="271"/>
      <c r="G191" s="271"/>
      <c r="H191" s="271"/>
      <c r="I191" s="271"/>
      <c r="J191" s="271"/>
      <c r="K191" s="313"/>
    </row>
    <row r="192" customFormat="false" ht="13.5" hidden="false" customHeight="true" outlineLevel="0" collapsed="false">
      <c r="A192" s="271" t="n">
        <f aca="false">IF(B192="",0,1)</f>
        <v>0</v>
      </c>
      <c r="B192" s="365" t="str">
        <f aca="false">IF('04-PT Slab on Grade'!B26="","",'04-PT Slab on Grade'!B26)</f>
        <v/>
      </c>
      <c r="C192" s="366" t="str">
        <f aca="false">IF('04-PT Slab on Grade'!F26="","",'04-PT Slab on Grade'!F26)</f>
        <v/>
      </c>
      <c r="D192" s="367" t="str">
        <f aca="false">IF('04-PT Slab on Grade'!D26="","",'04-PT Slab on Grade'!D26)</f>
        <v/>
      </c>
      <c r="E192" s="271" t="str">
        <f aca="false">IF(D192="","","SF")</f>
        <v/>
      </c>
      <c r="F192" s="271"/>
      <c r="G192" s="271"/>
      <c r="H192" s="271"/>
      <c r="I192" s="271"/>
      <c r="J192" s="271"/>
      <c r="K192" s="313"/>
    </row>
    <row r="193" customFormat="false" ht="13.5" hidden="false" customHeight="true" outlineLevel="0" collapsed="false">
      <c r="A193" s="271" t="n">
        <f aca="false">IF(B193="",0,1)</f>
        <v>0</v>
      </c>
      <c r="B193" s="365" t="str">
        <f aca="false">IF('04-PT Slab on Grade'!B27="","",'04-PT Slab on Grade'!B27)</f>
        <v/>
      </c>
      <c r="C193" s="366" t="str">
        <f aca="false">IF('04-PT Slab on Grade'!F27="","",'04-PT Slab on Grade'!F27)</f>
        <v/>
      </c>
      <c r="D193" s="367" t="str">
        <f aca="false">IF('04-PT Slab on Grade'!D27="","",'04-PT Slab on Grade'!D27)</f>
        <v/>
      </c>
      <c r="E193" s="271" t="str">
        <f aca="false">IF(D193="","","SF")</f>
        <v/>
      </c>
      <c r="F193" s="271"/>
      <c r="G193" s="271"/>
      <c r="H193" s="271"/>
      <c r="I193" s="271"/>
      <c r="J193" s="271"/>
      <c r="K193" s="313"/>
    </row>
    <row r="194" customFormat="false" ht="13.5" hidden="false" customHeight="true" outlineLevel="0" collapsed="false">
      <c r="A194" s="271" t="n">
        <f aca="false">IF(B194="",0,1)</f>
        <v>0</v>
      </c>
      <c r="B194" s="365" t="str">
        <f aca="false">IF('04-PT Slab on Grade'!B28="","",'04-PT Slab on Grade'!B28)</f>
        <v/>
      </c>
      <c r="C194" s="366" t="str">
        <f aca="false">IF('04-PT Slab on Grade'!F28="","",'04-PT Slab on Grade'!F28)</f>
        <v/>
      </c>
      <c r="D194" s="367" t="str">
        <f aca="false">IF('04-PT Slab on Grade'!D28="","",'04-PT Slab on Grade'!D28)</f>
        <v/>
      </c>
      <c r="E194" s="271" t="str">
        <f aca="false">IF(D194="","","SF")</f>
        <v/>
      </c>
      <c r="F194" s="271"/>
      <c r="G194" s="271"/>
      <c r="H194" s="271"/>
      <c r="I194" s="271"/>
      <c r="J194" s="271"/>
      <c r="K194" s="313"/>
    </row>
    <row r="195" customFormat="false" ht="13.5" hidden="false" customHeight="true" outlineLevel="0" collapsed="false">
      <c r="A195" s="271" t="n">
        <f aca="false">IF(B195="",0,1)</f>
        <v>0</v>
      </c>
      <c r="B195" s="365" t="str">
        <f aca="false">IF('04-PT Slab on Grade'!B29="","",'04-PT Slab on Grade'!B29)</f>
        <v/>
      </c>
      <c r="C195" s="366" t="str">
        <f aca="false">IF('04-PT Slab on Grade'!F29="","",'04-PT Slab on Grade'!F29)</f>
        <v/>
      </c>
      <c r="D195" s="367" t="str">
        <f aca="false">IF('04-PT Slab on Grade'!D29="","",'04-PT Slab on Grade'!D29)</f>
        <v/>
      </c>
      <c r="E195" s="271" t="str">
        <f aca="false">IF(D195="","","SF")</f>
        <v/>
      </c>
      <c r="F195" s="271"/>
      <c r="G195" s="271"/>
      <c r="H195" s="271"/>
      <c r="I195" s="271"/>
      <c r="J195" s="271"/>
      <c r="K195" s="313"/>
    </row>
    <row r="196" customFormat="false" ht="13.5" hidden="false" customHeight="true" outlineLevel="0" collapsed="false">
      <c r="A196" s="271" t="n">
        <f aca="false">IF(B196="",0,1)</f>
        <v>0</v>
      </c>
      <c r="B196" s="365" t="str">
        <f aca="false">IF('04-PT Slab on Grade'!B30="","",'04-PT Slab on Grade'!B30)</f>
        <v/>
      </c>
      <c r="C196" s="366" t="str">
        <f aca="false">IF('04-PT Slab on Grade'!F30="","",'04-PT Slab on Grade'!F30)</f>
        <v/>
      </c>
      <c r="D196" s="367" t="str">
        <f aca="false">IF('04-PT Slab on Grade'!D30="","",'04-PT Slab on Grade'!D30)</f>
        <v/>
      </c>
      <c r="E196" s="271" t="str">
        <f aca="false">IF(D196="","","SF")</f>
        <v/>
      </c>
      <c r="F196" s="271"/>
      <c r="G196" s="271"/>
      <c r="H196" s="271"/>
      <c r="I196" s="271"/>
      <c r="J196" s="271"/>
      <c r="K196" s="313"/>
    </row>
    <row r="197" customFormat="false" ht="13.5" hidden="false" customHeight="true" outlineLevel="0" collapsed="false">
      <c r="A197" s="271" t="n">
        <f aca="false">IF(B197="",0,1)</f>
        <v>0</v>
      </c>
      <c r="B197" s="365" t="str">
        <f aca="false">IF('04-PT Slab on Grade'!B31="","",'04-PT Slab on Grade'!B31)</f>
        <v/>
      </c>
      <c r="C197" s="366" t="str">
        <f aca="false">IF('04-PT Slab on Grade'!F31="","",'04-PT Slab on Grade'!F31)</f>
        <v/>
      </c>
      <c r="D197" s="367" t="str">
        <f aca="false">IF('04-PT Slab on Grade'!D31="","",'04-PT Slab on Grade'!D31)</f>
        <v/>
      </c>
      <c r="E197" s="271" t="str">
        <f aca="false">IF(D197="","","SF")</f>
        <v/>
      </c>
      <c r="F197" s="271"/>
      <c r="G197" s="271"/>
      <c r="H197" s="271"/>
      <c r="I197" s="271"/>
      <c r="J197" s="271"/>
      <c r="K197" s="313"/>
    </row>
    <row r="198" customFormat="false" ht="13.5" hidden="false" customHeight="true" outlineLevel="0" collapsed="false">
      <c r="A198" s="271" t="n">
        <f aca="false">IF(B198="",0,1)</f>
        <v>0</v>
      </c>
      <c r="B198" s="365" t="str">
        <f aca="false">IF('04-PT Slab on Grade'!B32="","",'04-PT Slab on Grade'!B32)</f>
        <v/>
      </c>
      <c r="C198" s="366" t="str">
        <f aca="false">IF('04-PT Slab on Grade'!F32="","",'04-PT Slab on Grade'!F32)</f>
        <v/>
      </c>
      <c r="D198" s="367" t="str">
        <f aca="false">IF('04-PT Slab on Grade'!D32="","",'04-PT Slab on Grade'!D32)</f>
        <v/>
      </c>
      <c r="E198" s="271" t="str">
        <f aca="false">IF(D198="","","SF")</f>
        <v/>
      </c>
      <c r="F198" s="271"/>
      <c r="G198" s="271"/>
      <c r="H198" s="271"/>
      <c r="I198" s="271"/>
      <c r="J198" s="271"/>
      <c r="K198" s="313"/>
    </row>
    <row r="199" customFormat="false" ht="13.5" hidden="false" customHeight="true" outlineLevel="0" collapsed="false">
      <c r="A199" s="271" t="n">
        <f aca="false">IF(B199="",0,1)</f>
        <v>0</v>
      </c>
      <c r="B199" s="365" t="str">
        <f aca="false">IF('04-PT Slab on Grade'!B33="","",'04-PT Slab on Grade'!B33)</f>
        <v/>
      </c>
      <c r="C199" s="366" t="str">
        <f aca="false">IF('04-PT Slab on Grade'!F33="","",'04-PT Slab on Grade'!F33)</f>
        <v/>
      </c>
      <c r="D199" s="367" t="str">
        <f aca="false">IF('04-PT Slab on Grade'!D33="","",'04-PT Slab on Grade'!D33)</f>
        <v/>
      </c>
      <c r="E199" s="271" t="str">
        <f aca="false">IF(D199="","","SF")</f>
        <v/>
      </c>
      <c r="F199" s="271"/>
      <c r="G199" s="271"/>
      <c r="H199" s="271"/>
      <c r="I199" s="271"/>
      <c r="J199" s="271"/>
      <c r="K199" s="313"/>
    </row>
    <row r="200" customFormat="false" ht="13.5" hidden="false" customHeight="true" outlineLevel="0" collapsed="false">
      <c r="A200" s="271" t="n">
        <f aca="false">IF(B200="",0,1)</f>
        <v>1</v>
      </c>
      <c r="B200" s="365" t="str">
        <f aca="false">IF('04-PT Slab on Grade'!B34="","",'04-PT Slab on Grade'!B34)</f>
        <v>Pour Strip</v>
      </c>
      <c r="C200" s="366" t="n">
        <f aca="false">IF('04-PT Slab on Grade'!F34="","",'04-PT Slab on Grade'!F34)</f>
        <v>4</v>
      </c>
      <c r="D200" s="367" t="n">
        <f aca="false">IF('04-PT Slab on Grade'!D34="","",'04-PT Slab on Grade'!D34)</f>
        <v>528</v>
      </c>
      <c r="E200" s="271" t="str">
        <f aca="false">IF(D200="","","SF")</f>
        <v>SF</v>
      </c>
      <c r="F200" s="271"/>
      <c r="G200" s="271"/>
      <c r="H200" s="271"/>
      <c r="I200" s="271"/>
      <c r="J200" s="271"/>
      <c r="K200" s="313"/>
    </row>
    <row r="201" customFormat="false" ht="13.5" hidden="false" customHeight="true" outlineLevel="0" collapsed="false">
      <c r="A201" s="271" t="n">
        <f aca="false">IF(B201="",0,1)</f>
        <v>0</v>
      </c>
      <c r="B201" s="365" t="str">
        <f aca="false">IF('04-PT Slab on Grade'!B35="","",'04-PT Slab on Grade'!B35)</f>
        <v/>
      </c>
      <c r="C201" s="366" t="str">
        <f aca="false">IF('04-PT Slab on Grade'!F35="","",'04-PT Slab on Grade'!F35)</f>
        <v/>
      </c>
      <c r="D201" s="367" t="str">
        <f aca="false">IF('04-PT Slab on Grade'!D35="","",'04-PT Slab on Grade'!D35)</f>
        <v/>
      </c>
      <c r="E201" s="271" t="str">
        <f aca="false">IF(D201="","","SF")</f>
        <v/>
      </c>
      <c r="F201" s="271"/>
      <c r="G201" s="271"/>
      <c r="H201" s="271"/>
      <c r="I201" s="271"/>
      <c r="J201" s="271"/>
      <c r="K201" s="313"/>
    </row>
    <row r="202" customFormat="false" ht="13.5" hidden="false" customHeight="true" outlineLevel="0" collapsed="false">
      <c r="A202" s="271" t="n">
        <f aca="false">IF(B202="",0,1)</f>
        <v>0</v>
      </c>
      <c r="B202" s="365" t="str">
        <f aca="false">IF('04-PT Slab on Grade'!B36="","",'04-PT Slab on Grade'!B36)</f>
        <v/>
      </c>
      <c r="C202" s="366" t="str">
        <f aca="false">IF('04-PT Slab on Grade'!F36="","",'04-PT Slab on Grade'!F36)</f>
        <v/>
      </c>
      <c r="D202" s="367" t="str">
        <f aca="false">IF('04-PT Slab on Grade'!D36="","",'04-PT Slab on Grade'!D36)</f>
        <v/>
      </c>
      <c r="E202" s="271" t="str">
        <f aca="false">IF(D202="","","SF")</f>
        <v/>
      </c>
      <c r="F202" s="271"/>
      <c r="G202" s="271"/>
      <c r="H202" s="271"/>
      <c r="I202" s="271"/>
      <c r="J202" s="271"/>
      <c r="K202" s="313"/>
    </row>
    <row r="203" customFormat="false" ht="13.5" hidden="false" customHeight="true" outlineLevel="0" collapsed="false">
      <c r="A203" s="271" t="n">
        <f aca="false">IF(B203="",0,1)</f>
        <v>0</v>
      </c>
      <c r="B203" s="365" t="str">
        <f aca="false">IF('04-PT Slab on Grade'!B37="","",'04-PT Slab on Grade'!B37)</f>
        <v/>
      </c>
      <c r="C203" s="366" t="str">
        <f aca="false">IF('04-PT Slab on Grade'!F37="","",'04-PT Slab on Grade'!F37)</f>
        <v/>
      </c>
      <c r="D203" s="367" t="str">
        <f aca="false">IF('04-PT Slab on Grade'!D37="","",'04-PT Slab on Grade'!D37)</f>
        <v/>
      </c>
      <c r="E203" s="271" t="str">
        <f aca="false">IF(D203="","","SF")</f>
        <v/>
      </c>
      <c r="F203" s="271"/>
      <c r="G203" s="271"/>
      <c r="H203" s="271"/>
      <c r="I203" s="271"/>
      <c r="J203" s="271"/>
      <c r="K203" s="313"/>
    </row>
    <row r="204" customFormat="false" ht="13.5" hidden="false" customHeight="true" outlineLevel="0" collapsed="false">
      <c r="A204" s="271" t="n">
        <f aca="false">IF(B204="",0,1)</f>
        <v>0</v>
      </c>
      <c r="B204" s="365" t="str">
        <f aca="false">IF('04-PT Slab on Grade'!B38="","",'04-PT Slab on Grade'!B38)</f>
        <v/>
      </c>
      <c r="C204" s="366" t="str">
        <f aca="false">IF('04-PT Slab on Grade'!F38="","",'04-PT Slab on Grade'!F38)</f>
        <v/>
      </c>
      <c r="D204" s="367" t="str">
        <f aca="false">IF('04-PT Slab on Grade'!D38="","",'04-PT Slab on Grade'!D38)</f>
        <v/>
      </c>
      <c r="E204" s="271" t="str">
        <f aca="false">IF(D204="","","SF")</f>
        <v/>
      </c>
      <c r="F204" s="271"/>
      <c r="G204" s="271"/>
      <c r="H204" s="271"/>
      <c r="I204" s="271"/>
      <c r="J204" s="271"/>
      <c r="K204" s="313"/>
    </row>
    <row r="205" customFormat="false" ht="13.5" hidden="false" customHeight="true" outlineLevel="0" collapsed="false">
      <c r="A205" s="271" t="n">
        <f aca="false">IF(B205="",0,1)</f>
        <v>0</v>
      </c>
      <c r="B205" s="365" t="str">
        <f aca="false">IF('04-PT Slab on Grade'!B39="","",'04-PT Slab on Grade'!B39)</f>
        <v/>
      </c>
      <c r="C205" s="366" t="str">
        <f aca="false">IF('04-PT Slab on Grade'!F39="","",'04-PT Slab on Grade'!F39)</f>
        <v/>
      </c>
      <c r="D205" s="367" t="str">
        <f aca="false">IF('04-PT Slab on Grade'!D39="","",'04-PT Slab on Grade'!D39)</f>
        <v/>
      </c>
      <c r="E205" s="271" t="str">
        <f aca="false">IF(D205="","","SF")</f>
        <v/>
      </c>
      <c r="F205" s="271"/>
      <c r="G205" s="271"/>
      <c r="H205" s="271"/>
      <c r="I205" s="271"/>
      <c r="J205" s="271"/>
      <c r="K205" s="313"/>
    </row>
    <row r="206" customFormat="false" ht="13.5" hidden="false" customHeight="true" outlineLevel="0" collapsed="false">
      <c r="A206" s="271" t="n">
        <f aca="false">IF(B206="",0,1)</f>
        <v>0</v>
      </c>
      <c r="B206" s="368" t="str">
        <f aca="false">IF('04-PT Slab on Grade'!B40="","",'04-PT Slab on Grade'!B40)</f>
        <v/>
      </c>
      <c r="C206" s="369" t="str">
        <f aca="false">IF('04-PT Slab on Grade'!F40="","",'04-PT Slab on Grade'!F40)</f>
        <v/>
      </c>
      <c r="D206" s="367" t="str">
        <f aca="false">IF('04-PT Slab on Grade'!D40="","",'04-PT Slab on Grade'!D40)</f>
        <v/>
      </c>
      <c r="E206" s="271" t="str">
        <f aca="false">IF(D206="","","SF")</f>
        <v/>
      </c>
      <c r="F206" s="271"/>
      <c r="G206" s="271"/>
      <c r="H206" s="271"/>
      <c r="I206" s="271"/>
      <c r="J206" s="271"/>
      <c r="K206" s="313"/>
    </row>
    <row r="207" customFormat="false" ht="13.5" hidden="false" customHeight="true" outlineLevel="0" collapsed="false">
      <c r="A207" s="271" t="n">
        <f aca="false">IF(B207="",0,1)</f>
        <v>0</v>
      </c>
      <c r="B207" s="370" t="str">
        <f aca="false">IF('04-PT Slab on Grade'!B41="","",'04-PT Slab on Grade'!B41)</f>
        <v/>
      </c>
      <c r="C207" s="369" t="str">
        <f aca="false">IF('04-PT Slab on Grade'!F41="","",'04-PT Slab on Grade'!F41)</f>
        <v/>
      </c>
      <c r="D207" s="367" t="str">
        <f aca="false">IF('04-PT Slab on Grade'!D41="","",'04-PT Slab on Grade'!D41)</f>
        <v/>
      </c>
      <c r="E207" s="271" t="str">
        <f aca="false">IF(D207="","","SF")</f>
        <v/>
      </c>
      <c r="F207" s="271"/>
      <c r="G207" s="271"/>
      <c r="H207" s="271"/>
      <c r="I207" s="271"/>
      <c r="J207" s="271"/>
      <c r="K207" s="313"/>
    </row>
    <row r="208" customFormat="false" ht="13.5" hidden="false" customHeight="true" outlineLevel="0" collapsed="false">
      <c r="A208" s="271" t="n">
        <f aca="false">IF(SUM(A$176:A$207)&gt;0,1,0)</f>
        <v>1</v>
      </c>
      <c r="B208" s="324"/>
      <c r="C208" s="272" t="s">
        <v>860</v>
      </c>
      <c r="D208" s="371" t="n">
        <f aca="false">SUM(D176:D207)</f>
        <v>62723</v>
      </c>
      <c r="E208" s="271" t="s">
        <v>861</v>
      </c>
      <c r="F208" s="271" t="s">
        <v>862</v>
      </c>
      <c r="G208" s="372" t="n">
        <f aca="false">C174/D208</f>
        <v>12.8940767480424</v>
      </c>
      <c r="H208" s="271" t="s">
        <v>863</v>
      </c>
      <c r="I208" s="271"/>
      <c r="J208" s="271"/>
      <c r="K208" s="313"/>
      <c r="L208" s="0" t="n">
        <f aca="false">IF(K208="incl",0,K208)</f>
        <v>0</v>
      </c>
    </row>
    <row r="209" customFormat="false" ht="13.5" hidden="false" customHeight="true" outlineLevel="0" collapsed="false">
      <c r="A209" s="0" t="n">
        <f aca="false">IF(SUM(A$176:A$207)&gt;0,1,0)</f>
        <v>1</v>
      </c>
      <c r="B209" s="324"/>
      <c r="C209" s="272"/>
      <c r="D209" s="354"/>
      <c r="E209" s="271"/>
      <c r="F209" s="271"/>
      <c r="G209" s="372"/>
      <c r="H209" s="271"/>
      <c r="I209" s="271"/>
      <c r="J209" s="271"/>
      <c r="K209" s="313"/>
    </row>
    <row r="210" customFormat="false" ht="13.5" hidden="false" customHeight="true" outlineLevel="0" collapsed="false">
      <c r="A210" s="0" t="n">
        <f aca="false">IF(SUM(A$176:A$207)&gt;0,1,0)</f>
        <v>1</v>
      </c>
      <c r="B210" s="362" t="s">
        <v>840</v>
      </c>
      <c r="C210" s="271"/>
      <c r="D210" s="271"/>
      <c r="E210" s="271"/>
      <c r="F210" s="271"/>
      <c r="G210" s="271"/>
      <c r="H210" s="271"/>
      <c r="I210" s="271"/>
      <c r="J210" s="271"/>
      <c r="K210" s="302"/>
      <c r="L210" s="373" t="n">
        <f aca="false">IF(K210="incl",0,K210)</f>
        <v>0</v>
      </c>
    </row>
    <row r="211" customFormat="false" ht="13.5" hidden="false" customHeight="true" outlineLevel="0" collapsed="false">
      <c r="A211" s="0" t="n">
        <f aca="false">IF(SUM(A$176:A$207)&gt;0,1,0)</f>
        <v>1</v>
      </c>
      <c r="B211" s="271" t="s">
        <v>864</v>
      </c>
      <c r="D211" s="271"/>
      <c r="E211" s="271"/>
      <c r="F211" s="271"/>
      <c r="K211" s="271"/>
      <c r="L211" s="0" t="n">
        <f aca="false">IF(K211="incl",0,K211)</f>
        <v>0</v>
      </c>
    </row>
    <row r="212" customFormat="false" ht="13.5" hidden="false" customHeight="true" outlineLevel="0" collapsed="false">
      <c r="A212" s="0" t="n">
        <f aca="false">IF(SUM(A$176:A$207)&gt;0,1,0)</f>
        <v>1</v>
      </c>
      <c r="B212" s="271" t="s">
        <v>865</v>
      </c>
      <c r="C212" s="271"/>
      <c r="D212" s="271"/>
      <c r="E212" s="271"/>
      <c r="F212" s="271"/>
      <c r="G212" s="271"/>
      <c r="H212" s="271"/>
      <c r="I212" s="271"/>
      <c r="J212" s="271"/>
      <c r="K212" s="271"/>
      <c r="L212" s="0" t="n">
        <f aca="false">IF(K212="incl",0,K212)</f>
        <v>0</v>
      </c>
    </row>
    <row r="213" customFormat="false" ht="13.5" hidden="false" customHeight="true" outlineLevel="0" collapsed="false">
      <c r="A213" s="0" t="n">
        <f aca="false">IF(SUM(A$176:A$207)&gt;0,1,0)</f>
        <v>1</v>
      </c>
      <c r="B213" s="320" t="s">
        <v>843</v>
      </c>
      <c r="C213" s="271"/>
      <c r="D213" s="271"/>
      <c r="E213" s="271"/>
      <c r="F213" s="271"/>
      <c r="K213" s="271"/>
      <c r="L213" s="0" t="n">
        <f aca="false">IF(K213="incl",0,K213)</f>
        <v>0</v>
      </c>
    </row>
    <row r="214" customFormat="false" ht="13.5" hidden="false" customHeight="true" outlineLevel="0" collapsed="false">
      <c r="A214" s="0" t="n">
        <f aca="false">IF(SUM(A$176:A$207)&gt;0,1,0)</f>
        <v>1</v>
      </c>
      <c r="B214" s="271" t="s">
        <v>866</v>
      </c>
      <c r="C214" s="271"/>
      <c r="D214" s="271"/>
      <c r="E214" s="271"/>
      <c r="F214" s="271"/>
      <c r="G214" s="271"/>
      <c r="H214" s="271"/>
      <c r="I214" s="271"/>
      <c r="J214" s="271"/>
      <c r="K214" s="271"/>
      <c r="L214" s="0" t="n">
        <f aca="false">IF(K214="incl",0,K214)</f>
        <v>0</v>
      </c>
    </row>
    <row r="215" customFormat="false" ht="13.5" hidden="false" customHeight="true" outlineLevel="0" collapsed="false">
      <c r="A215" s="0" t="n">
        <f aca="false">IF(SUM(A$218:A$249)&gt;0,1,0)</f>
        <v>0</v>
      </c>
      <c r="B215" s="271"/>
      <c r="C215" s="295"/>
      <c r="D215" s="295"/>
      <c r="E215" s="271"/>
      <c r="F215" s="271"/>
      <c r="G215" s="271"/>
      <c r="H215" s="271"/>
      <c r="I215" s="271"/>
      <c r="J215" s="271"/>
      <c r="K215" s="271"/>
    </row>
    <row r="216" customFormat="false" ht="19.5" hidden="false" customHeight="true" outlineLevel="0" collapsed="false">
      <c r="A216" s="271" t="n">
        <f aca="false">IF(SUM(A$218:A$249)&gt;0,1,0)</f>
        <v>0</v>
      </c>
      <c r="B216" s="315" t="s">
        <v>867</v>
      </c>
      <c r="C216" s="316" t="n">
        <f aca="false">'05-Slabs'!E45</f>
        <v>0</v>
      </c>
      <c r="D216" s="316"/>
      <c r="E216" s="352"/>
      <c r="F216" s="352"/>
      <c r="G216" s="342"/>
      <c r="H216" s="342"/>
      <c r="I216" s="353"/>
      <c r="J216" s="353"/>
      <c r="K216" s="342"/>
      <c r="L216" s="0" t="n">
        <f aca="false">IF(K216="incl",0,K216)</f>
        <v>0</v>
      </c>
      <c r="N216" s="291" t="n">
        <f aca="false">'05-Slabs'!E45</f>
        <v>0</v>
      </c>
    </row>
    <row r="217" customFormat="false" ht="13.5" hidden="false" customHeight="true" outlineLevel="0" collapsed="false">
      <c r="A217" s="271" t="n">
        <f aca="false">IF(SUM(A$218:A$249)&gt;0,1,0)</f>
        <v>0</v>
      </c>
      <c r="B217" s="363" t="s">
        <v>847</v>
      </c>
      <c r="C217" s="364" t="s">
        <v>858</v>
      </c>
      <c r="D217" s="364" t="s">
        <v>859</v>
      </c>
      <c r="E217" s="364" t="s">
        <v>519</v>
      </c>
      <c r="J217" s="37"/>
      <c r="K217" s="374"/>
      <c r="L217" s="0" t="n">
        <f aca="false">IF(K217="incl",0,K217)</f>
        <v>0</v>
      </c>
    </row>
    <row r="218" customFormat="false" ht="13.5" hidden="false" customHeight="true" outlineLevel="0" collapsed="false">
      <c r="A218" s="271" t="n">
        <f aca="false">IF(B218="",0,1)</f>
        <v>0</v>
      </c>
      <c r="B218" s="365" t="str">
        <f aca="false">IF('05-Slabs'!B10="","",'05-Slabs'!B10)</f>
        <v/>
      </c>
      <c r="C218" s="366" t="str">
        <f aca="false">IF('05-Slabs'!F10="","",'05-Slabs'!F10)</f>
        <v/>
      </c>
      <c r="D218" s="367" t="str">
        <f aca="false">IF('05-Slabs'!D10="","",'05-Slabs'!D10)</f>
        <v/>
      </c>
      <c r="E218" s="271" t="s">
        <v>868</v>
      </c>
      <c r="J218" s="10"/>
      <c r="K218" s="96"/>
    </row>
    <row r="219" customFormat="false" ht="13.5" hidden="false" customHeight="true" outlineLevel="0" collapsed="false">
      <c r="A219" s="271" t="n">
        <f aca="false">IF(B219="",0,1)</f>
        <v>0</v>
      </c>
      <c r="B219" s="365" t="str">
        <f aca="false">IF('05-Slabs'!B11="","",'05-Slabs'!B11)</f>
        <v/>
      </c>
      <c r="C219" s="366" t="str">
        <f aca="false">IF('05-Slabs'!F11="","",'05-Slabs'!F11)</f>
        <v/>
      </c>
      <c r="D219" s="367" t="str">
        <f aca="false">IF('05-Slabs'!D11="","",'05-Slabs'!D11)</f>
        <v/>
      </c>
      <c r="E219" s="271" t="s">
        <v>868</v>
      </c>
      <c r="F219" s="271"/>
      <c r="G219" s="271"/>
      <c r="H219" s="271"/>
      <c r="I219" s="271"/>
      <c r="J219" s="271"/>
      <c r="K219" s="313"/>
    </row>
    <row r="220" customFormat="false" ht="13.5" hidden="false" customHeight="true" outlineLevel="0" collapsed="false">
      <c r="A220" s="271" t="n">
        <f aca="false">IF(B220="",0,1)</f>
        <v>0</v>
      </c>
      <c r="B220" s="365" t="str">
        <f aca="false">IF('05-Slabs'!B12="","",'05-Slabs'!B12)</f>
        <v/>
      </c>
      <c r="C220" s="366" t="str">
        <f aca="false">IF('05-Slabs'!F12="","",'05-Slabs'!F12)</f>
        <v/>
      </c>
      <c r="D220" s="367" t="str">
        <f aca="false">IF('05-Slabs'!D12="","",'05-Slabs'!D12)</f>
        <v/>
      </c>
      <c r="E220" s="271" t="s">
        <v>868</v>
      </c>
      <c r="F220" s="271"/>
      <c r="G220" s="271"/>
      <c r="H220" s="271"/>
      <c r="I220" s="271"/>
      <c r="J220" s="271"/>
      <c r="K220" s="313"/>
    </row>
    <row r="221" customFormat="false" ht="13.5" hidden="false" customHeight="true" outlineLevel="0" collapsed="false">
      <c r="A221" s="271" t="n">
        <f aca="false">IF(B221="",0,1)</f>
        <v>0</v>
      </c>
      <c r="B221" s="365" t="str">
        <f aca="false">IF('05-Slabs'!B13="","",'05-Slabs'!B13)</f>
        <v/>
      </c>
      <c r="C221" s="366" t="str">
        <f aca="false">IF('05-Slabs'!F13="","",'05-Slabs'!F13)</f>
        <v/>
      </c>
      <c r="D221" s="367" t="str">
        <f aca="false">IF('05-Slabs'!D13="","",'05-Slabs'!D13)</f>
        <v/>
      </c>
      <c r="E221" s="271" t="s">
        <v>868</v>
      </c>
      <c r="F221" s="271"/>
      <c r="G221" s="271"/>
      <c r="H221" s="271"/>
      <c r="I221" s="271"/>
      <c r="J221" s="271"/>
      <c r="K221" s="313"/>
    </row>
    <row r="222" customFormat="false" ht="13.5" hidden="false" customHeight="true" outlineLevel="0" collapsed="false">
      <c r="A222" s="271" t="n">
        <f aca="false">IF(B222="",0,1)</f>
        <v>0</v>
      </c>
      <c r="B222" s="365" t="str">
        <f aca="false">IF('05-Slabs'!B14="","",'05-Slabs'!B14)</f>
        <v/>
      </c>
      <c r="C222" s="366" t="str">
        <f aca="false">IF('05-Slabs'!F14="","",'05-Slabs'!F14)</f>
        <v/>
      </c>
      <c r="D222" s="367" t="str">
        <f aca="false">IF('05-Slabs'!D14="","",'05-Slabs'!D14)</f>
        <v/>
      </c>
      <c r="E222" s="271" t="s">
        <v>868</v>
      </c>
      <c r="F222" s="271"/>
      <c r="G222" s="271"/>
      <c r="H222" s="271"/>
      <c r="I222" s="271"/>
      <c r="J222" s="271"/>
      <c r="K222" s="313"/>
    </row>
    <row r="223" customFormat="false" ht="13.5" hidden="false" customHeight="true" outlineLevel="0" collapsed="false">
      <c r="A223" s="271" t="n">
        <f aca="false">IF(B223="",0,1)</f>
        <v>0</v>
      </c>
      <c r="B223" s="365" t="str">
        <f aca="false">IF('05-Slabs'!B15="","",'05-Slabs'!B15)</f>
        <v/>
      </c>
      <c r="C223" s="366" t="str">
        <f aca="false">IF('05-Slabs'!F15="","",'05-Slabs'!F15)</f>
        <v/>
      </c>
      <c r="D223" s="367" t="str">
        <f aca="false">IF('05-Slabs'!D15="","",'05-Slabs'!D15)</f>
        <v/>
      </c>
      <c r="E223" s="271" t="s">
        <v>868</v>
      </c>
      <c r="F223" s="271"/>
      <c r="G223" s="271"/>
      <c r="H223" s="271"/>
      <c r="I223" s="271"/>
      <c r="J223" s="271"/>
      <c r="K223" s="313"/>
    </row>
    <row r="224" customFormat="false" ht="13.5" hidden="false" customHeight="true" outlineLevel="0" collapsed="false">
      <c r="A224" s="271" t="n">
        <f aca="false">IF(B224="",0,1)</f>
        <v>0</v>
      </c>
      <c r="B224" s="365" t="str">
        <f aca="false">IF('05-Slabs'!B16="","",'05-Slabs'!B16)</f>
        <v/>
      </c>
      <c r="C224" s="366" t="str">
        <f aca="false">IF('05-Slabs'!F16="","",'05-Slabs'!F16)</f>
        <v/>
      </c>
      <c r="D224" s="367" t="str">
        <f aca="false">IF('05-Slabs'!D16="","",'05-Slabs'!D16)</f>
        <v/>
      </c>
      <c r="E224" s="271" t="s">
        <v>868</v>
      </c>
      <c r="F224" s="271"/>
      <c r="G224" s="271"/>
      <c r="H224" s="271"/>
      <c r="I224" s="271"/>
      <c r="J224" s="271"/>
      <c r="K224" s="313"/>
    </row>
    <row r="225" customFormat="false" ht="13.5" hidden="false" customHeight="true" outlineLevel="0" collapsed="false">
      <c r="A225" s="271" t="n">
        <f aca="false">IF(B225="",0,1)</f>
        <v>0</v>
      </c>
      <c r="B225" s="365" t="str">
        <f aca="false">IF('05-Slabs'!B17="","",'05-Slabs'!B17)</f>
        <v/>
      </c>
      <c r="C225" s="366" t="str">
        <f aca="false">IF('05-Slabs'!F17="","",'05-Slabs'!F17)</f>
        <v/>
      </c>
      <c r="D225" s="367" t="str">
        <f aca="false">IF('05-Slabs'!D17="","",'05-Slabs'!D17)</f>
        <v/>
      </c>
      <c r="E225" s="271" t="s">
        <v>868</v>
      </c>
      <c r="F225" s="271"/>
      <c r="G225" s="271"/>
      <c r="H225" s="271"/>
      <c r="I225" s="271"/>
      <c r="J225" s="271"/>
      <c r="K225" s="313"/>
    </row>
    <row r="226" customFormat="false" ht="13.5" hidden="false" customHeight="true" outlineLevel="0" collapsed="false">
      <c r="A226" s="271" t="n">
        <f aca="false">IF(B226="",0,1)</f>
        <v>0</v>
      </c>
      <c r="B226" s="365" t="str">
        <f aca="false">IF('05-Slabs'!B18="","",'05-Slabs'!B18)</f>
        <v/>
      </c>
      <c r="C226" s="366" t="str">
        <f aca="false">IF('05-Slabs'!F18="","",'05-Slabs'!F18)</f>
        <v/>
      </c>
      <c r="D226" s="367" t="str">
        <f aca="false">IF('05-Slabs'!D18="","",'05-Slabs'!D18)</f>
        <v/>
      </c>
      <c r="E226" s="271" t="s">
        <v>868</v>
      </c>
      <c r="F226" s="271"/>
      <c r="G226" s="271"/>
      <c r="H226" s="271"/>
      <c r="I226" s="271"/>
      <c r="J226" s="271"/>
      <c r="K226" s="313"/>
    </row>
    <row r="227" customFormat="false" ht="13.5" hidden="false" customHeight="true" outlineLevel="0" collapsed="false">
      <c r="A227" s="271" t="n">
        <f aca="false">IF(B227="",0,1)</f>
        <v>0</v>
      </c>
      <c r="B227" s="365" t="str">
        <f aca="false">IF('05-Slabs'!B19="","",'05-Slabs'!B19)</f>
        <v/>
      </c>
      <c r="C227" s="366" t="str">
        <f aca="false">IF('05-Slabs'!F19="","",'05-Slabs'!F19)</f>
        <v/>
      </c>
      <c r="D227" s="367" t="str">
        <f aca="false">IF('05-Slabs'!D19="","",'05-Slabs'!D19)</f>
        <v/>
      </c>
      <c r="E227" s="271" t="s">
        <v>868</v>
      </c>
      <c r="F227" s="271"/>
      <c r="G227" s="271"/>
      <c r="H227" s="271"/>
      <c r="I227" s="271"/>
      <c r="J227" s="271"/>
      <c r="K227" s="313"/>
    </row>
    <row r="228" customFormat="false" ht="13.5" hidden="false" customHeight="true" outlineLevel="0" collapsed="false">
      <c r="A228" s="271" t="n">
        <f aca="false">IF(B228="",0,1)</f>
        <v>0</v>
      </c>
      <c r="B228" s="365" t="str">
        <f aca="false">IF('05-Slabs'!B20="","",'05-Slabs'!B20)</f>
        <v/>
      </c>
      <c r="C228" s="366" t="str">
        <f aca="false">IF('05-Slabs'!F20="","",'05-Slabs'!F20)</f>
        <v/>
      </c>
      <c r="D228" s="367" t="str">
        <f aca="false">IF('05-Slabs'!D20="","",'05-Slabs'!D20)</f>
        <v/>
      </c>
      <c r="E228" s="271" t="s">
        <v>868</v>
      </c>
      <c r="F228" s="271"/>
      <c r="G228" s="271"/>
      <c r="H228" s="271"/>
      <c r="I228" s="271"/>
      <c r="J228" s="271"/>
      <c r="K228" s="313"/>
    </row>
    <row r="229" customFormat="false" ht="13.5" hidden="false" customHeight="true" outlineLevel="0" collapsed="false">
      <c r="A229" s="271" t="n">
        <f aca="false">IF(B229="",0,1)</f>
        <v>0</v>
      </c>
      <c r="B229" s="365" t="str">
        <f aca="false">IF('05-Slabs'!B21="","",'05-Slabs'!B21)</f>
        <v/>
      </c>
      <c r="C229" s="366" t="str">
        <f aca="false">IF('05-Slabs'!F21="","",'05-Slabs'!F21)</f>
        <v/>
      </c>
      <c r="D229" s="367" t="str">
        <f aca="false">IF('05-Slabs'!D21="","",'05-Slabs'!D21)</f>
        <v/>
      </c>
      <c r="E229" s="271" t="s">
        <v>868</v>
      </c>
      <c r="F229" s="271"/>
      <c r="G229" s="271"/>
      <c r="H229" s="271"/>
      <c r="I229" s="271"/>
      <c r="J229" s="271"/>
      <c r="K229" s="313"/>
    </row>
    <row r="230" customFormat="false" ht="13.5" hidden="false" customHeight="true" outlineLevel="0" collapsed="false">
      <c r="A230" s="271" t="n">
        <f aca="false">IF(B230="",0,1)</f>
        <v>0</v>
      </c>
      <c r="B230" s="365" t="str">
        <f aca="false">IF('05-Slabs'!B22="","",'05-Slabs'!B22)</f>
        <v/>
      </c>
      <c r="C230" s="366" t="str">
        <f aca="false">IF('05-Slabs'!F22="","",'05-Slabs'!F22)</f>
        <v/>
      </c>
      <c r="D230" s="367" t="str">
        <f aca="false">IF('05-Slabs'!D22="","",'05-Slabs'!D22)</f>
        <v/>
      </c>
      <c r="E230" s="271" t="s">
        <v>868</v>
      </c>
      <c r="F230" s="271"/>
      <c r="G230" s="271"/>
      <c r="H230" s="271"/>
      <c r="I230" s="271"/>
      <c r="J230" s="271"/>
      <c r="K230" s="313"/>
    </row>
    <row r="231" customFormat="false" ht="13.5" hidden="false" customHeight="true" outlineLevel="0" collapsed="false">
      <c r="A231" s="271" t="n">
        <f aca="false">IF(B231="",0,1)</f>
        <v>0</v>
      </c>
      <c r="B231" s="365" t="str">
        <f aca="false">IF('05-Slabs'!B23="","",'05-Slabs'!B23)</f>
        <v/>
      </c>
      <c r="C231" s="366" t="str">
        <f aca="false">IF('05-Slabs'!F23="","",'05-Slabs'!F23)</f>
        <v/>
      </c>
      <c r="D231" s="367" t="str">
        <f aca="false">IF('05-Slabs'!D23="","",'05-Slabs'!D23)</f>
        <v/>
      </c>
      <c r="E231" s="271" t="s">
        <v>868</v>
      </c>
      <c r="F231" s="271"/>
      <c r="G231" s="271"/>
      <c r="H231" s="271"/>
      <c r="I231" s="271"/>
      <c r="J231" s="271"/>
      <c r="K231" s="313"/>
    </row>
    <row r="232" customFormat="false" ht="13.5" hidden="false" customHeight="true" outlineLevel="0" collapsed="false">
      <c r="A232" s="271" t="n">
        <f aca="false">IF(B232="",0,1)</f>
        <v>0</v>
      </c>
      <c r="B232" s="365" t="str">
        <f aca="false">IF('05-Slabs'!B24="","",'05-Slabs'!B24)</f>
        <v/>
      </c>
      <c r="C232" s="366" t="str">
        <f aca="false">IF('05-Slabs'!F24="","",'05-Slabs'!F24)</f>
        <v/>
      </c>
      <c r="D232" s="367" t="str">
        <f aca="false">IF('05-Slabs'!D24="","",'05-Slabs'!D24)</f>
        <v/>
      </c>
      <c r="E232" s="271" t="s">
        <v>868</v>
      </c>
      <c r="F232" s="271"/>
      <c r="G232" s="271"/>
      <c r="H232" s="271"/>
      <c r="I232" s="271"/>
      <c r="J232" s="271"/>
      <c r="K232" s="313"/>
    </row>
    <row r="233" customFormat="false" ht="13.5" hidden="false" customHeight="true" outlineLevel="0" collapsed="false">
      <c r="A233" s="271" t="n">
        <f aca="false">IF(B233="",0,1)</f>
        <v>0</v>
      </c>
      <c r="B233" s="365" t="str">
        <f aca="false">IF('05-Slabs'!B25="","",'05-Slabs'!B25)</f>
        <v/>
      </c>
      <c r="C233" s="366" t="str">
        <f aca="false">IF('05-Slabs'!F25="","",'05-Slabs'!F25)</f>
        <v/>
      </c>
      <c r="D233" s="367" t="str">
        <f aca="false">IF('05-Slabs'!D25="","",'05-Slabs'!D25)</f>
        <v/>
      </c>
      <c r="E233" s="271" t="s">
        <v>868</v>
      </c>
      <c r="F233" s="271"/>
      <c r="G233" s="271"/>
      <c r="H233" s="271"/>
      <c r="I233" s="271"/>
      <c r="J233" s="271"/>
      <c r="K233" s="313"/>
    </row>
    <row r="234" customFormat="false" ht="13.5" hidden="false" customHeight="true" outlineLevel="0" collapsed="false">
      <c r="A234" s="271" t="n">
        <f aca="false">IF(B234="",0,1)</f>
        <v>0</v>
      </c>
      <c r="B234" s="365" t="str">
        <f aca="false">IF('05-Slabs'!B26="","",'05-Slabs'!B26)</f>
        <v/>
      </c>
      <c r="C234" s="366" t="str">
        <f aca="false">IF('05-Slabs'!F26="","",'05-Slabs'!F26)</f>
        <v/>
      </c>
      <c r="D234" s="367" t="str">
        <f aca="false">IF('05-Slabs'!D26="","",'05-Slabs'!D26)</f>
        <v/>
      </c>
      <c r="E234" s="271" t="s">
        <v>868</v>
      </c>
      <c r="F234" s="271"/>
      <c r="G234" s="271"/>
      <c r="H234" s="271"/>
      <c r="I234" s="271"/>
      <c r="J234" s="271"/>
      <c r="K234" s="313"/>
    </row>
    <row r="235" customFormat="false" ht="13.5" hidden="false" customHeight="true" outlineLevel="0" collapsed="false">
      <c r="A235" s="271" t="n">
        <f aca="false">IF(B235="",0,1)</f>
        <v>0</v>
      </c>
      <c r="B235" s="365" t="str">
        <f aca="false">IF('05-Slabs'!B27="","",'05-Slabs'!B27)</f>
        <v/>
      </c>
      <c r="C235" s="366" t="str">
        <f aca="false">IF('05-Slabs'!F27="","",'05-Slabs'!F27)</f>
        <v/>
      </c>
      <c r="D235" s="367" t="str">
        <f aca="false">IF('05-Slabs'!D27="","",'05-Slabs'!D27)</f>
        <v/>
      </c>
      <c r="E235" s="271" t="s">
        <v>868</v>
      </c>
      <c r="F235" s="271"/>
      <c r="G235" s="271"/>
      <c r="H235" s="271"/>
      <c r="I235" s="271"/>
      <c r="J235" s="271"/>
      <c r="K235" s="313"/>
    </row>
    <row r="236" customFormat="false" ht="13.5" hidden="false" customHeight="true" outlineLevel="0" collapsed="false">
      <c r="A236" s="271" t="n">
        <f aca="false">IF(B236="",0,1)</f>
        <v>0</v>
      </c>
      <c r="B236" s="365" t="str">
        <f aca="false">IF('05-Slabs'!B28="","",'05-Slabs'!B28)</f>
        <v/>
      </c>
      <c r="C236" s="366" t="str">
        <f aca="false">IF('05-Slabs'!F28="","",'05-Slabs'!F28)</f>
        <v/>
      </c>
      <c r="D236" s="367" t="str">
        <f aca="false">IF('05-Slabs'!D28="","",'05-Slabs'!D28)</f>
        <v/>
      </c>
      <c r="E236" s="271" t="s">
        <v>868</v>
      </c>
      <c r="F236" s="271"/>
      <c r="G236" s="271"/>
      <c r="H236" s="271"/>
      <c r="I236" s="271"/>
      <c r="J236" s="271"/>
      <c r="K236" s="313"/>
    </row>
    <row r="237" customFormat="false" ht="13.5" hidden="false" customHeight="true" outlineLevel="0" collapsed="false">
      <c r="A237" s="271" t="n">
        <f aca="false">IF(B237="",0,1)</f>
        <v>0</v>
      </c>
      <c r="B237" s="365" t="str">
        <f aca="false">IF('05-Slabs'!B29="","",'05-Slabs'!B29)</f>
        <v/>
      </c>
      <c r="C237" s="366" t="str">
        <f aca="false">IF('05-Slabs'!F29="","",'05-Slabs'!F29)</f>
        <v/>
      </c>
      <c r="D237" s="367" t="str">
        <f aca="false">IF('05-Slabs'!D29="","",'05-Slabs'!D29)</f>
        <v/>
      </c>
      <c r="E237" s="271" t="s">
        <v>868</v>
      </c>
      <c r="F237" s="271"/>
      <c r="G237" s="271"/>
      <c r="H237" s="271"/>
      <c r="I237" s="271"/>
      <c r="J237" s="271"/>
      <c r="K237" s="313"/>
    </row>
    <row r="238" customFormat="false" ht="13.5" hidden="false" customHeight="true" outlineLevel="0" collapsed="false">
      <c r="A238" s="271" t="n">
        <f aca="false">IF(B238="",0,1)</f>
        <v>0</v>
      </c>
      <c r="B238" s="365" t="str">
        <f aca="false">IF('05-Slabs'!B30="","",'05-Slabs'!B30)</f>
        <v/>
      </c>
      <c r="C238" s="366" t="str">
        <f aca="false">IF('05-Slabs'!F30="","",'05-Slabs'!F30)</f>
        <v/>
      </c>
      <c r="D238" s="367" t="str">
        <f aca="false">IF('05-Slabs'!D30="","",'05-Slabs'!D30)</f>
        <v/>
      </c>
      <c r="E238" s="271" t="s">
        <v>868</v>
      </c>
      <c r="F238" s="271"/>
      <c r="G238" s="271"/>
      <c r="H238" s="271"/>
      <c r="I238" s="271"/>
      <c r="J238" s="271"/>
      <c r="K238" s="313"/>
    </row>
    <row r="239" customFormat="false" ht="13.5" hidden="false" customHeight="true" outlineLevel="0" collapsed="false">
      <c r="A239" s="271" t="n">
        <f aca="false">IF(B239="",0,1)</f>
        <v>0</v>
      </c>
      <c r="B239" s="365" t="str">
        <f aca="false">IF('05-Slabs'!B31="","",'05-Slabs'!B31)</f>
        <v/>
      </c>
      <c r="C239" s="366" t="str">
        <f aca="false">IF('05-Slabs'!F31="","",'05-Slabs'!F31)</f>
        <v/>
      </c>
      <c r="D239" s="367" t="str">
        <f aca="false">IF('05-Slabs'!D31="","",'05-Slabs'!D31)</f>
        <v/>
      </c>
      <c r="E239" s="271" t="s">
        <v>868</v>
      </c>
      <c r="F239" s="271"/>
      <c r="G239" s="271"/>
      <c r="H239" s="271"/>
      <c r="I239" s="271"/>
      <c r="J239" s="271"/>
      <c r="K239" s="313"/>
    </row>
    <row r="240" customFormat="false" ht="13.5" hidden="false" customHeight="true" outlineLevel="0" collapsed="false">
      <c r="A240" s="271" t="n">
        <f aca="false">IF(B240="",0,1)</f>
        <v>0</v>
      </c>
      <c r="B240" s="365" t="str">
        <f aca="false">IF('05-Slabs'!B32="","",'05-Slabs'!B32)</f>
        <v/>
      </c>
      <c r="C240" s="366" t="str">
        <f aca="false">IF('05-Slabs'!F32="","",'05-Slabs'!F32)</f>
        <v/>
      </c>
      <c r="D240" s="367" t="str">
        <f aca="false">IF('05-Slabs'!D32="","",'05-Slabs'!D32)</f>
        <v/>
      </c>
      <c r="E240" s="271" t="s">
        <v>868</v>
      </c>
      <c r="F240" s="271"/>
      <c r="G240" s="271"/>
      <c r="H240" s="271"/>
      <c r="I240" s="271"/>
      <c r="J240" s="271"/>
      <c r="K240" s="313"/>
    </row>
    <row r="241" customFormat="false" ht="13.5" hidden="false" customHeight="true" outlineLevel="0" collapsed="false">
      <c r="A241" s="271" t="n">
        <f aca="false">IF(B241="",0,1)</f>
        <v>0</v>
      </c>
      <c r="B241" s="365" t="str">
        <f aca="false">IF('05-Slabs'!B33="","",'05-Slabs'!B33)</f>
        <v/>
      </c>
      <c r="C241" s="366" t="str">
        <f aca="false">IF('05-Slabs'!F33="","",'05-Slabs'!F33)</f>
        <v/>
      </c>
      <c r="D241" s="367" t="str">
        <f aca="false">IF('05-Slabs'!D33="","",'05-Slabs'!D33)</f>
        <v/>
      </c>
      <c r="E241" s="271" t="s">
        <v>868</v>
      </c>
      <c r="F241" s="271"/>
      <c r="G241" s="271"/>
      <c r="H241" s="271"/>
      <c r="I241" s="271"/>
      <c r="J241" s="271"/>
      <c r="K241" s="313"/>
    </row>
    <row r="242" customFormat="false" ht="13.5" hidden="false" customHeight="true" outlineLevel="0" collapsed="false">
      <c r="A242" s="271" t="n">
        <f aca="false">IF(B242="",0,1)</f>
        <v>0</v>
      </c>
      <c r="B242" s="365" t="str">
        <f aca="false">IF('05-Slabs'!B34="","",'05-Slabs'!B34)</f>
        <v/>
      </c>
      <c r="C242" s="366" t="str">
        <f aca="false">IF('05-Slabs'!F34="","",'05-Slabs'!F34)</f>
        <v/>
      </c>
      <c r="D242" s="367" t="str">
        <f aca="false">IF('05-Slabs'!D34="","",'05-Slabs'!D34)</f>
        <v/>
      </c>
      <c r="E242" s="271" t="s">
        <v>868</v>
      </c>
      <c r="F242" s="271"/>
      <c r="G242" s="271"/>
      <c r="H242" s="271"/>
      <c r="I242" s="271"/>
      <c r="J242" s="271"/>
      <c r="K242" s="313"/>
    </row>
    <row r="243" customFormat="false" ht="13.5" hidden="false" customHeight="true" outlineLevel="0" collapsed="false">
      <c r="A243" s="271" t="n">
        <f aca="false">IF(B243="",0,1)</f>
        <v>0</v>
      </c>
      <c r="B243" s="365" t="str">
        <f aca="false">IF('05-Slabs'!B35="","",'05-Slabs'!B35)</f>
        <v/>
      </c>
      <c r="C243" s="366" t="str">
        <f aca="false">IF('05-Slabs'!F35="","",'05-Slabs'!F35)</f>
        <v/>
      </c>
      <c r="D243" s="367" t="str">
        <f aca="false">IF('05-Slabs'!D35="","",'05-Slabs'!D35)</f>
        <v/>
      </c>
      <c r="E243" s="271" t="s">
        <v>868</v>
      </c>
      <c r="F243" s="271"/>
      <c r="G243" s="271"/>
      <c r="H243" s="271"/>
      <c r="I243" s="271"/>
      <c r="J243" s="271"/>
      <c r="K243" s="313"/>
    </row>
    <row r="244" customFormat="false" ht="13.5" hidden="false" customHeight="true" outlineLevel="0" collapsed="false">
      <c r="A244" s="271" t="n">
        <f aca="false">IF(B244="",0,1)</f>
        <v>0</v>
      </c>
      <c r="B244" s="365" t="str">
        <f aca="false">IF('05-Slabs'!B36="","",'05-Slabs'!B36)</f>
        <v/>
      </c>
      <c r="C244" s="366" t="str">
        <f aca="false">IF('05-Slabs'!F36="","",'05-Slabs'!F36)</f>
        <v/>
      </c>
      <c r="D244" s="367" t="str">
        <f aca="false">IF('05-Slabs'!D36="","",'05-Slabs'!D36)</f>
        <v/>
      </c>
      <c r="E244" s="271" t="s">
        <v>868</v>
      </c>
      <c r="F244" s="271"/>
      <c r="G244" s="271"/>
      <c r="H244" s="271"/>
      <c r="I244" s="271"/>
      <c r="J244" s="271"/>
      <c r="K244" s="313"/>
    </row>
    <row r="245" customFormat="false" ht="13.5" hidden="false" customHeight="true" outlineLevel="0" collapsed="false">
      <c r="A245" s="271" t="n">
        <f aca="false">IF(B245="",0,1)</f>
        <v>0</v>
      </c>
      <c r="B245" s="365" t="str">
        <f aca="false">IF('05-Slabs'!B37="","",'05-Slabs'!B37)</f>
        <v/>
      </c>
      <c r="C245" s="366" t="str">
        <f aca="false">IF('05-Slabs'!F37="","",'05-Slabs'!F37)</f>
        <v/>
      </c>
      <c r="D245" s="367" t="str">
        <f aca="false">IF('05-Slabs'!D37="","",'05-Slabs'!D37)</f>
        <v/>
      </c>
      <c r="E245" s="271" t="s">
        <v>868</v>
      </c>
      <c r="F245" s="271"/>
      <c r="G245" s="271"/>
      <c r="H245" s="271"/>
      <c r="I245" s="271"/>
      <c r="J245" s="271"/>
      <c r="K245" s="313"/>
    </row>
    <row r="246" customFormat="false" ht="13.5" hidden="false" customHeight="true" outlineLevel="0" collapsed="false">
      <c r="A246" s="271" t="n">
        <f aca="false">IF(B246="",0,1)</f>
        <v>0</v>
      </c>
      <c r="B246" s="365" t="str">
        <f aca="false">IF('05-Slabs'!B38="","",'05-Slabs'!B38)</f>
        <v/>
      </c>
      <c r="C246" s="366" t="str">
        <f aca="false">IF('05-Slabs'!F38="","",'05-Slabs'!F38)</f>
        <v/>
      </c>
      <c r="D246" s="367" t="str">
        <f aca="false">IF('05-Slabs'!D38="","",'05-Slabs'!D38)</f>
        <v/>
      </c>
      <c r="E246" s="271" t="s">
        <v>868</v>
      </c>
      <c r="F246" s="271"/>
      <c r="G246" s="271"/>
      <c r="H246" s="271"/>
      <c r="I246" s="271"/>
      <c r="J246" s="271"/>
      <c r="K246" s="313"/>
    </row>
    <row r="247" customFormat="false" ht="13.5" hidden="false" customHeight="true" outlineLevel="0" collapsed="false">
      <c r="A247" s="271" t="n">
        <f aca="false">IF(B247="",0,1)</f>
        <v>0</v>
      </c>
      <c r="B247" s="365" t="str">
        <f aca="false">IF('05-Slabs'!B39="","",'05-Slabs'!B39)</f>
        <v/>
      </c>
      <c r="C247" s="366" t="str">
        <f aca="false">IF('05-Slabs'!F39="","",'05-Slabs'!F39)</f>
        <v/>
      </c>
      <c r="D247" s="367" t="str">
        <f aca="false">IF('05-Slabs'!D39="","",'05-Slabs'!D39)</f>
        <v/>
      </c>
      <c r="E247" s="271" t="s">
        <v>868</v>
      </c>
      <c r="F247" s="271"/>
      <c r="G247" s="271"/>
      <c r="H247" s="271"/>
      <c r="I247" s="271"/>
      <c r="J247" s="271"/>
      <c r="K247" s="313"/>
    </row>
    <row r="248" customFormat="false" ht="13.5" hidden="false" customHeight="true" outlineLevel="0" collapsed="false">
      <c r="A248" s="271" t="n">
        <f aca="false">IF(B248="",0,1)</f>
        <v>0</v>
      </c>
      <c r="B248" s="365" t="str">
        <f aca="false">IF('05-Slabs'!B40="","",'05-Slabs'!B40)</f>
        <v/>
      </c>
      <c r="C248" s="366" t="str">
        <f aca="false">IF('05-Slabs'!F40="","",'05-Slabs'!F40)</f>
        <v/>
      </c>
      <c r="D248" s="367" t="str">
        <f aca="false">IF('05-Slabs'!D40="","",'05-Slabs'!D40)</f>
        <v/>
      </c>
      <c r="E248" s="271" t="s">
        <v>868</v>
      </c>
      <c r="F248" s="271"/>
      <c r="G248" s="271"/>
      <c r="H248" s="271"/>
      <c r="I248" s="271"/>
      <c r="J248" s="271"/>
      <c r="K248" s="313"/>
    </row>
    <row r="249" customFormat="false" ht="13.5" hidden="false" customHeight="true" outlineLevel="0" collapsed="false">
      <c r="A249" s="271" t="n">
        <f aca="false">IF(B249="",0,1)</f>
        <v>0</v>
      </c>
      <c r="B249" s="365" t="str">
        <f aca="false">IF('05-Slabs'!B41="","",'05-Slabs'!B41)</f>
        <v/>
      </c>
      <c r="C249" s="366" t="str">
        <f aca="false">IF('05-Slabs'!F41="","",'05-Slabs'!F41)</f>
        <v/>
      </c>
      <c r="D249" s="367" t="str">
        <f aca="false">IF('05-Slabs'!D41="","",'05-Slabs'!D41)</f>
        <v/>
      </c>
      <c r="E249" s="271" t="s">
        <v>868</v>
      </c>
      <c r="F249" s="271"/>
      <c r="G249" s="271"/>
      <c r="H249" s="271"/>
      <c r="I249" s="271"/>
      <c r="J249" s="271"/>
      <c r="K249" s="313"/>
    </row>
    <row r="250" customFormat="false" ht="13.5" hidden="false" customHeight="true" outlineLevel="0" collapsed="false">
      <c r="A250" s="271" t="n">
        <f aca="false">IF(SUM(A$218:A$249)&gt;0,1,0)</f>
        <v>0</v>
      </c>
      <c r="B250" s="324"/>
      <c r="C250" s="272" t="s">
        <v>860</v>
      </c>
      <c r="D250" s="371" t="n">
        <f aca="false">SUM(D218:D237)</f>
        <v>0</v>
      </c>
      <c r="E250" s="271" t="s">
        <v>861</v>
      </c>
      <c r="F250" s="271" t="s">
        <v>862</v>
      </c>
      <c r="G250" s="372" t="e">
        <f aca="false">C216/D250</f>
        <v>#DIV/0!</v>
      </c>
      <c r="H250" s="271" t="s">
        <v>863</v>
      </c>
      <c r="I250" s="271"/>
      <c r="J250" s="271"/>
      <c r="K250" s="313"/>
      <c r="L250" s="0" t="n">
        <f aca="false">IF(K250="incl",0,K250)</f>
        <v>0</v>
      </c>
    </row>
    <row r="251" customFormat="false" ht="13.5" hidden="false" customHeight="true" outlineLevel="0" collapsed="false">
      <c r="A251" s="0" t="n">
        <f aca="false">IF(SUM(A$218:A$249)&gt;0,1,0)</f>
        <v>0</v>
      </c>
      <c r="B251" s="324"/>
      <c r="C251" s="272"/>
      <c r="D251" s="354"/>
      <c r="E251" s="271"/>
      <c r="F251" s="271"/>
      <c r="G251" s="372"/>
      <c r="H251" s="271"/>
      <c r="I251" s="271"/>
      <c r="J251" s="271"/>
      <c r="K251" s="313"/>
    </row>
    <row r="252" customFormat="false" ht="13.5" hidden="false" customHeight="true" outlineLevel="0" collapsed="false">
      <c r="A252" s="0" t="n">
        <f aca="false">IF(SUM(A$218:A$249)&gt;0,1,0)</f>
        <v>0</v>
      </c>
      <c r="B252" s="362" t="s">
        <v>840</v>
      </c>
      <c r="C252" s="271"/>
      <c r="D252" s="271"/>
      <c r="E252" s="271"/>
      <c r="F252" s="271"/>
      <c r="G252" s="271"/>
      <c r="H252" s="271"/>
      <c r="I252" s="271"/>
      <c r="J252" s="271"/>
      <c r="K252" s="302"/>
      <c r="L252" s="0" t="n">
        <f aca="false">IF(K252="incl",0,K252)</f>
        <v>0</v>
      </c>
    </row>
    <row r="253" customFormat="false" ht="13.5" hidden="false" customHeight="true" outlineLevel="0" collapsed="false">
      <c r="A253" s="0" t="n">
        <f aca="false">IF(SUM(A$218:A$249)&gt;0,1,0)</f>
        <v>0</v>
      </c>
      <c r="B253" s="271" t="s">
        <v>869</v>
      </c>
      <c r="D253" s="271"/>
      <c r="E253" s="271"/>
      <c r="F253" s="271"/>
      <c r="K253" s="271"/>
      <c r="L253" s="0" t="n">
        <f aca="false">IF(K253="incl",0,K253)</f>
        <v>0</v>
      </c>
    </row>
    <row r="254" customFormat="false" ht="13.5" hidden="false" customHeight="true" outlineLevel="0" collapsed="false">
      <c r="A254" s="0" t="n">
        <f aca="false">IF(SUM(A$218:A$249)&gt;0,1,0)</f>
        <v>0</v>
      </c>
      <c r="B254" s="271" t="s">
        <v>865</v>
      </c>
      <c r="C254" s="271"/>
      <c r="D254" s="271"/>
      <c r="E254" s="271"/>
      <c r="F254" s="271"/>
      <c r="G254" s="271"/>
      <c r="H254" s="271"/>
      <c r="I254" s="271"/>
      <c r="J254" s="271"/>
      <c r="K254" s="271"/>
      <c r="L254" s="0" t="n">
        <f aca="false">IF(K254="incl",0,K254)</f>
        <v>0</v>
      </c>
    </row>
    <row r="255" customFormat="false" ht="13.5" hidden="false" customHeight="true" outlineLevel="0" collapsed="false">
      <c r="A255" s="0" t="n">
        <f aca="false">IF(SUM(A$218:A$249)&gt;0,1,0)</f>
        <v>0</v>
      </c>
      <c r="B255" s="320" t="s">
        <v>843</v>
      </c>
      <c r="C255" s="271"/>
      <c r="D255" s="271"/>
      <c r="E255" s="271"/>
      <c r="F255" s="271"/>
      <c r="G255" s="271"/>
      <c r="H255" s="271"/>
      <c r="I255" s="271"/>
      <c r="J255" s="271"/>
      <c r="K255" s="271"/>
      <c r="L255" s="0" t="n">
        <f aca="false">IF(K255="incl",0,K255)</f>
        <v>0</v>
      </c>
    </row>
    <row r="256" customFormat="false" ht="13.5" hidden="false" customHeight="true" outlineLevel="0" collapsed="false">
      <c r="A256" s="0" t="n">
        <f aca="false">IF(SUM(A$218:A$249)&gt;0,1,0)</f>
        <v>0</v>
      </c>
      <c r="B256" s="271" t="s">
        <v>870</v>
      </c>
      <c r="C256" s="271"/>
      <c r="D256" s="271"/>
      <c r="E256" s="271"/>
      <c r="F256" s="271"/>
      <c r="G256" s="271"/>
      <c r="H256" s="271"/>
      <c r="I256" s="271"/>
      <c r="J256" s="271"/>
      <c r="K256" s="271"/>
    </row>
    <row r="257" customFormat="false" ht="13.5" hidden="false" customHeight="true" outlineLevel="0" collapsed="false">
      <c r="A257" s="0" t="n">
        <v>0</v>
      </c>
      <c r="B257" s="271"/>
      <c r="C257" s="271"/>
      <c r="D257" s="271"/>
      <c r="E257" s="272"/>
      <c r="F257" s="271"/>
      <c r="G257" s="271"/>
      <c r="H257" s="271"/>
      <c r="I257" s="271"/>
      <c r="J257" s="271"/>
      <c r="K257" s="271"/>
    </row>
    <row r="258" customFormat="false" ht="13.5" hidden="false" customHeight="true" outlineLevel="0" collapsed="false">
      <c r="A258" s="0" t="n">
        <v>1</v>
      </c>
      <c r="B258" s="271"/>
      <c r="C258" s="271"/>
      <c r="D258" s="271"/>
      <c r="E258" s="271"/>
      <c r="F258" s="271"/>
      <c r="G258" s="271"/>
      <c r="H258" s="271"/>
      <c r="I258" s="271"/>
      <c r="K258" s="271"/>
    </row>
    <row r="259" customFormat="false" ht="19.5" hidden="false" customHeight="true" outlineLevel="0" collapsed="false">
      <c r="A259" s="341" t="n">
        <f aca="false">IF(SUM(A$260:A$285)&gt;0,1,0)</f>
        <v>1</v>
      </c>
      <c r="B259" s="315" t="s">
        <v>871</v>
      </c>
      <c r="C259" s="316" t="n">
        <f aca="false">'06-Walls &amp; Footings'!D40</f>
        <v>230548.729567468</v>
      </c>
      <c r="D259" s="316"/>
      <c r="E259" s="352"/>
      <c r="F259" s="352"/>
      <c r="G259" s="342"/>
      <c r="H259" s="342"/>
      <c r="I259" s="353"/>
      <c r="J259" s="353"/>
      <c r="K259" s="342"/>
      <c r="L259" s="0" t="n">
        <f aca="false">IF(K294="incl",0,K294)</f>
        <v>0</v>
      </c>
      <c r="N259" s="291" t="n">
        <f aca="false">'06-Walls &amp; Footings'!D40</f>
        <v>230548.729567468</v>
      </c>
    </row>
    <row r="260" customFormat="false" ht="13.5" hidden="false" customHeight="true" outlineLevel="0" collapsed="false">
      <c r="A260" s="0" t="n">
        <f aca="false">IF(B260="",0,1)</f>
        <v>0</v>
      </c>
      <c r="B260" s="306" t="str">
        <f aca="false">IF(D260=0,"",'06-Walls &amp; Footings'!A10)</f>
        <v/>
      </c>
      <c r="C260" s="271"/>
      <c r="D260" s="349" t="n">
        <f aca="false">'06-Walls &amp; Footings'!E10</f>
        <v>0</v>
      </c>
      <c r="E260" s="271" t="s">
        <v>836</v>
      </c>
      <c r="F260" s="271"/>
      <c r="G260" s="354"/>
      <c r="H260" s="271"/>
      <c r="I260" s="355"/>
      <c r="J260" s="355"/>
      <c r="K260" s="314"/>
      <c r="L260" s="0" t="n">
        <f aca="false">IF(K295="incl",0,K295)</f>
        <v>0</v>
      </c>
    </row>
    <row r="261" customFormat="false" ht="13.5" hidden="false" customHeight="true" outlineLevel="0" collapsed="false">
      <c r="A261" s="0" t="n">
        <f aca="false">IF(B261="",0,1)</f>
        <v>1</v>
      </c>
      <c r="B261" s="306" t="n">
        <f aca="false">IF(D261=0,"",'06-Walls &amp; Footings'!A11)</f>
        <v>0</v>
      </c>
      <c r="C261" s="271"/>
      <c r="D261" s="349" t="n">
        <f aca="false">'06-Walls &amp; Footings'!E11</f>
        <v>135</v>
      </c>
      <c r="E261" s="271" t="s">
        <v>836</v>
      </c>
      <c r="G261" s="356"/>
      <c r="J261" s="355"/>
      <c r="L261" s="0" t="n">
        <f aca="false">IF(K296="incl",0,K296)</f>
        <v>0</v>
      </c>
    </row>
    <row r="262" customFormat="false" ht="13.5" hidden="false" customHeight="true" outlineLevel="0" collapsed="false">
      <c r="A262" s="0" t="n">
        <f aca="false">IF(B262="",0,1)</f>
        <v>0</v>
      </c>
      <c r="B262" s="306" t="str">
        <f aca="false">IF(D262=0,"",'06-Walls &amp; Footings'!A12)</f>
        <v/>
      </c>
      <c r="C262" s="271"/>
      <c r="D262" s="349" t="n">
        <f aca="false">'06-Walls &amp; Footings'!E12</f>
        <v>0</v>
      </c>
      <c r="E262" s="271" t="s">
        <v>836</v>
      </c>
      <c r="G262" s="356"/>
      <c r="J262" s="355"/>
    </row>
    <row r="263" customFormat="false" ht="13.5" hidden="false" customHeight="true" outlineLevel="0" collapsed="false">
      <c r="A263" s="0" t="n">
        <f aca="false">IF(B263="",0,1)</f>
        <v>1</v>
      </c>
      <c r="B263" s="306" t="n">
        <f aca="false">IF(D263=0,"",'06-Walls &amp; Footings'!A13)</f>
        <v>0</v>
      </c>
      <c r="C263" s="271"/>
      <c r="D263" s="349" t="n">
        <f aca="false">'06-Walls &amp; Footings'!E13</f>
        <v>57</v>
      </c>
      <c r="E263" s="271" t="s">
        <v>836</v>
      </c>
      <c r="G263" s="356"/>
      <c r="J263" s="355"/>
      <c r="K263" s="373"/>
    </row>
    <row r="264" customFormat="false" ht="13.5" hidden="false" customHeight="true" outlineLevel="0" collapsed="false">
      <c r="A264" s="0" t="n">
        <f aca="false">IF(B264="",0,1)</f>
        <v>1</v>
      </c>
      <c r="B264" s="306" t="n">
        <f aca="false">IF(D264=0,"",'06-Walls &amp; Footings'!A14)</f>
        <v>0</v>
      </c>
      <c r="C264" s="271"/>
      <c r="D264" s="349" t="n">
        <f aca="false">'06-Walls &amp; Footings'!E14</f>
        <v>28</v>
      </c>
      <c r="E264" s="271" t="s">
        <v>836</v>
      </c>
      <c r="G264" s="356"/>
      <c r="J264" s="355" t="s">
        <v>872</v>
      </c>
      <c r="K264" s="375" t="n">
        <f aca="false">'06-Walls &amp; Footings'!C44</f>
        <v>0</v>
      </c>
    </row>
    <row r="265" customFormat="false" ht="13.5" hidden="false" customHeight="true" outlineLevel="0" collapsed="false">
      <c r="A265" s="0" t="n">
        <f aca="false">IF(B265="",0,1)</f>
        <v>1</v>
      </c>
      <c r="B265" s="306" t="n">
        <f aca="false">IF(D265=0,"",'06-Walls &amp; Footings'!A15)</f>
        <v>0</v>
      </c>
      <c r="C265" s="271"/>
      <c r="D265" s="349" t="n">
        <f aca="false">'06-Walls &amp; Footings'!E15</f>
        <v>65</v>
      </c>
      <c r="E265" s="271" t="s">
        <v>836</v>
      </c>
      <c r="G265" s="356"/>
      <c r="J265" s="355"/>
      <c r="K265" s="375"/>
    </row>
    <row r="266" customFormat="false" ht="13.5" hidden="false" customHeight="true" outlineLevel="0" collapsed="false">
      <c r="A266" s="0" t="n">
        <f aca="false">IF(B266="",0,1)</f>
        <v>1</v>
      </c>
      <c r="B266" s="306" t="n">
        <f aca="false">IF(D266=0,"",'06-Walls &amp; Footings'!A16)</f>
        <v>0</v>
      </c>
      <c r="C266" s="271"/>
      <c r="D266" s="349" t="n">
        <f aca="false">'06-Walls &amp; Footings'!E16</f>
        <v>32</v>
      </c>
      <c r="E266" s="271" t="str">
        <f aca="false">IF(D266="","","LF")</f>
        <v>LF</v>
      </c>
      <c r="G266" s="356"/>
      <c r="J266" s="355"/>
      <c r="K266" s="375"/>
    </row>
    <row r="267" customFormat="false" ht="13.5" hidden="false" customHeight="true" outlineLevel="0" collapsed="false">
      <c r="A267" s="0" t="n">
        <f aca="false">IF(B267="",0,1)</f>
        <v>1</v>
      </c>
      <c r="B267" s="306" t="n">
        <f aca="false">IF(D267=0,"",'06-Walls &amp; Footings'!A17)</f>
        <v>0</v>
      </c>
      <c r="C267" s="271"/>
      <c r="D267" s="349" t="n">
        <f aca="false">'06-Walls &amp; Footings'!E17</f>
        <v>32</v>
      </c>
      <c r="E267" s="271" t="str">
        <f aca="false">IF(D267="","","LF")</f>
        <v>LF</v>
      </c>
      <c r="G267" s="356"/>
      <c r="J267" s="355"/>
      <c r="K267" s="375"/>
    </row>
    <row r="268" customFormat="false" ht="13.5" hidden="false" customHeight="true" outlineLevel="0" collapsed="false">
      <c r="A268" s="0" t="n">
        <f aca="false">IF(B268="",0,1)</f>
        <v>1</v>
      </c>
      <c r="B268" s="306" t="n">
        <f aca="false">IF(D268=0,"",'06-Walls &amp; Footings'!A18)</f>
        <v>0</v>
      </c>
      <c r="C268" s="271"/>
      <c r="D268" s="349" t="n">
        <f aca="false">'06-Walls &amp; Footings'!E18</f>
        <v>32</v>
      </c>
      <c r="E268" s="271" t="str">
        <f aca="false">IF(D268="","","LF")</f>
        <v>LF</v>
      </c>
      <c r="G268" s="356"/>
      <c r="J268" s="355"/>
      <c r="K268" s="375"/>
    </row>
    <row r="269" customFormat="false" ht="13.5" hidden="false" customHeight="true" outlineLevel="0" collapsed="false">
      <c r="A269" s="0" t="n">
        <f aca="false">IF(B269="",0,1)</f>
        <v>1</v>
      </c>
      <c r="B269" s="306" t="n">
        <f aca="false">IF(D269=0,"",'06-Walls &amp; Footings'!A19)</f>
        <v>0</v>
      </c>
      <c r="C269" s="271"/>
      <c r="D269" s="349" t="n">
        <f aca="false">'06-Walls &amp; Footings'!E19</f>
        <v>32</v>
      </c>
      <c r="E269" s="271" t="str">
        <f aca="false">IF(D269="","","LF")</f>
        <v>LF</v>
      </c>
      <c r="J269" s="355"/>
      <c r="K269" s="375"/>
      <c r="L269" s="0" t="n">
        <f aca="false">IF(K460="incl",0,K460)</f>
        <v>0</v>
      </c>
    </row>
    <row r="270" customFormat="false" ht="13.5" hidden="false" customHeight="true" outlineLevel="0" collapsed="false">
      <c r="A270" s="0" t="n">
        <f aca="false">IF(B270="",0,1)</f>
        <v>1</v>
      </c>
      <c r="B270" s="306" t="n">
        <f aca="false">IF(D270=0,"",'06-Walls &amp; Footings'!A20)</f>
        <v>0</v>
      </c>
      <c r="C270" s="271"/>
      <c r="D270" s="349" t="n">
        <f aca="false">'06-Walls &amp; Footings'!E20</f>
        <v>32</v>
      </c>
      <c r="E270" s="271" t="str">
        <f aca="false">IF(D270="","","LF")</f>
        <v>LF</v>
      </c>
      <c r="J270" s="355"/>
      <c r="K270" s="375"/>
    </row>
    <row r="271" customFormat="false" ht="13.5" hidden="false" customHeight="true" outlineLevel="0" collapsed="false">
      <c r="A271" s="0" t="n">
        <f aca="false">IF(B271="",0,1)</f>
        <v>1</v>
      </c>
      <c r="B271" s="306" t="n">
        <f aca="false">IF(D271=0,"",'06-Walls &amp; Footings'!A21)</f>
        <v>0</v>
      </c>
      <c r="C271" s="271"/>
      <c r="D271" s="349" t="n">
        <f aca="false">'06-Walls &amp; Footings'!E21</f>
        <v>32</v>
      </c>
      <c r="E271" s="271" t="str">
        <f aca="false">IF(D271="","","LF")</f>
        <v>LF</v>
      </c>
      <c r="J271" s="355"/>
      <c r="K271" s="375"/>
      <c r="L271" s="0" t="n">
        <f aca="false">IF(K306="incl",0,K306)</f>
        <v>0</v>
      </c>
    </row>
    <row r="272" customFormat="false" ht="13.5" hidden="false" customHeight="true" outlineLevel="0" collapsed="false">
      <c r="A272" s="0" t="n">
        <f aca="false">IF(B272="",0,1)</f>
        <v>1</v>
      </c>
      <c r="B272" s="306" t="n">
        <f aca="false">IF(D272=0,"",'06-Walls &amp; Footings'!A22)</f>
        <v>0</v>
      </c>
      <c r="C272" s="271"/>
      <c r="D272" s="349" t="n">
        <f aca="false">'06-Walls &amp; Footings'!E22</f>
        <v>32</v>
      </c>
      <c r="E272" s="271" t="str">
        <f aca="false">IF(D272="","","LF")</f>
        <v>LF</v>
      </c>
      <c r="J272" s="355"/>
      <c r="K272" s="375"/>
    </row>
    <row r="273" customFormat="false" ht="13.5" hidden="false" customHeight="true" outlineLevel="0" collapsed="false">
      <c r="A273" s="0" t="n">
        <f aca="false">IF(B273="",0,1)</f>
        <v>1</v>
      </c>
      <c r="B273" s="306" t="n">
        <f aca="false">IF(D273=0,"",'06-Walls &amp; Footings'!A23)</f>
        <v>0</v>
      </c>
      <c r="C273" s="271"/>
      <c r="D273" s="349" t="n">
        <f aca="false">'06-Walls &amp; Footings'!E23</f>
        <v>32</v>
      </c>
      <c r="E273" s="271" t="str">
        <f aca="false">IF(D273="","","LF")</f>
        <v>LF</v>
      </c>
      <c r="J273" s="355"/>
      <c r="K273" s="375"/>
    </row>
    <row r="274" customFormat="false" ht="13.5" hidden="false" customHeight="true" outlineLevel="0" collapsed="false">
      <c r="A274" s="0" t="n">
        <f aca="false">IF(B274="",0,1)</f>
        <v>1</v>
      </c>
      <c r="B274" s="306" t="n">
        <f aca="false">IF(D274=0,"",'06-Walls &amp; Footings'!A24)</f>
        <v>0</v>
      </c>
      <c r="C274" s="271"/>
      <c r="D274" s="349" t="n">
        <f aca="false">'06-Walls &amp; Footings'!E24</f>
        <v>32</v>
      </c>
      <c r="E274" s="271" t="str">
        <f aca="false">IF(D274="","","LF")</f>
        <v>LF</v>
      </c>
      <c r="J274" s="355"/>
      <c r="K274" s="375"/>
    </row>
    <row r="275" customFormat="false" ht="13.5" hidden="false" customHeight="true" outlineLevel="0" collapsed="false">
      <c r="A275" s="0" t="n">
        <f aca="false">IF(B275="",0,1)</f>
        <v>1</v>
      </c>
      <c r="B275" s="306" t="n">
        <f aca="false">IF(D275=0,"",'06-Walls &amp; Footings'!A25)</f>
        <v>0</v>
      </c>
      <c r="C275" s="271"/>
      <c r="D275" s="349" t="n">
        <f aca="false">'06-Walls &amp; Footings'!E25</f>
        <v>26</v>
      </c>
      <c r="E275" s="271" t="str">
        <f aca="false">IF(D275="","","LF")</f>
        <v>LF</v>
      </c>
      <c r="G275" s="356"/>
      <c r="J275" s="355"/>
      <c r="K275" s="375"/>
    </row>
    <row r="276" customFormat="false" ht="13.5" hidden="false" customHeight="true" outlineLevel="0" collapsed="false">
      <c r="A276" s="0" t="n">
        <f aca="false">IF(B276="",0,1)</f>
        <v>1</v>
      </c>
      <c r="B276" s="306" t="n">
        <f aca="false">IF(D276=0,"",'06-Walls &amp; Footings'!A26)</f>
        <v>0</v>
      </c>
      <c r="C276" s="271"/>
      <c r="D276" s="349" t="n">
        <f aca="false">'06-Walls &amp; Footings'!E26</f>
        <v>38</v>
      </c>
      <c r="E276" s="271" t="str">
        <f aca="false">IF(D276="","","LF")</f>
        <v>LF</v>
      </c>
      <c r="F276" s="271"/>
      <c r="G276" s="354"/>
      <c r="H276" s="271"/>
      <c r="I276" s="357"/>
      <c r="J276" s="355" t="s">
        <v>873</v>
      </c>
      <c r="K276" s="375" t="n">
        <f aca="false">'06-Walls &amp; Footings'!C45</f>
        <v>0</v>
      </c>
    </row>
    <row r="277" customFormat="false" ht="13.5" hidden="false" customHeight="true" outlineLevel="0" collapsed="false">
      <c r="A277" s="0" t="n">
        <f aca="false">IF(B277="",0,1)</f>
        <v>1</v>
      </c>
      <c r="B277" s="306" t="n">
        <f aca="false">IF(D277=0,"",'06-Walls &amp; Footings'!A27)</f>
        <v>0</v>
      </c>
      <c r="C277" s="271"/>
      <c r="D277" s="349" t="n">
        <f aca="false">'06-Walls &amp; Footings'!E27</f>
        <v>15</v>
      </c>
      <c r="E277" s="271" t="str">
        <f aca="false">IF(D277="","","LF")</f>
        <v>LF</v>
      </c>
      <c r="G277" s="356"/>
      <c r="J277" s="355"/>
    </row>
    <row r="278" customFormat="false" ht="13.5" hidden="false" customHeight="true" outlineLevel="0" collapsed="false">
      <c r="A278" s="0" t="n">
        <f aca="false">IF(B278="",0,1)</f>
        <v>0</v>
      </c>
      <c r="B278" s="306" t="str">
        <f aca="false">IF(D278=0,"",'06-Walls &amp; Footings'!A28)</f>
        <v/>
      </c>
      <c r="C278" s="271"/>
      <c r="D278" s="349" t="n">
        <f aca="false">'06-Walls &amp; Footings'!E28</f>
        <v>0</v>
      </c>
      <c r="E278" s="271" t="str">
        <f aca="false">IF(D278="","","LF")</f>
        <v>LF</v>
      </c>
      <c r="J278" s="355"/>
    </row>
    <row r="279" customFormat="false" ht="13.5" hidden="false" customHeight="true" outlineLevel="0" collapsed="false">
      <c r="A279" s="0" t="n">
        <f aca="false">IF(B279="",0,1)</f>
        <v>0</v>
      </c>
      <c r="B279" s="306" t="str">
        <f aca="false">IF(D279=0,"",'06-Walls &amp; Footings'!A29)</f>
        <v/>
      </c>
      <c r="C279" s="271"/>
      <c r="D279" s="349" t="n">
        <f aca="false">'06-Walls &amp; Footings'!E29</f>
        <v>0</v>
      </c>
      <c r="E279" s="271" t="str">
        <f aca="false">IF(D279="","","LF")</f>
        <v>LF</v>
      </c>
      <c r="J279" s="355"/>
      <c r="L279" s="0" t="n">
        <f aca="false">IF(K464="incl",0,K464)</f>
        <v>0</v>
      </c>
    </row>
    <row r="280" customFormat="false" ht="13.5" hidden="false" customHeight="true" outlineLevel="0" collapsed="false">
      <c r="A280" s="0" t="n">
        <f aca="false">IF(B280="",0,1)</f>
        <v>0</v>
      </c>
      <c r="B280" s="306" t="str">
        <f aca="false">IF(D280=0,"",'06-Walls &amp; Footings'!A30)</f>
        <v/>
      </c>
      <c r="C280" s="271"/>
      <c r="D280" s="349" t="n">
        <f aca="false">'06-Walls &amp; Footings'!E30</f>
        <v>0</v>
      </c>
      <c r="E280" s="271" t="str">
        <f aca="false">IF(D280="","","LF")</f>
        <v>LF</v>
      </c>
      <c r="J280" s="355"/>
    </row>
    <row r="281" customFormat="false" ht="13.5" hidden="false" customHeight="true" outlineLevel="0" collapsed="false">
      <c r="A281" s="0" t="n">
        <f aca="false">IF(B281="",0,1)</f>
        <v>0</v>
      </c>
      <c r="B281" s="306" t="str">
        <f aca="false">IF(D281=0,"",'06-Walls &amp; Footings'!A31)</f>
        <v/>
      </c>
      <c r="C281" s="271"/>
      <c r="D281" s="349" t="n">
        <f aca="false">'06-Walls &amp; Footings'!E31</f>
        <v>0</v>
      </c>
      <c r="E281" s="271" t="str">
        <f aca="false">IF(D281="","","LF")</f>
        <v>LF</v>
      </c>
      <c r="J281" s="355"/>
    </row>
    <row r="282" customFormat="false" ht="13.5" hidden="false" customHeight="true" outlineLevel="0" collapsed="false">
      <c r="A282" s="0" t="n">
        <f aca="false">IF(B282="",0,1)</f>
        <v>0</v>
      </c>
      <c r="B282" s="306" t="str">
        <f aca="false">IF(D282=0,"",'06-Walls &amp; Footings'!A32)</f>
        <v/>
      </c>
      <c r="C282" s="271"/>
      <c r="D282" s="349" t="n">
        <f aca="false">'06-Walls &amp; Footings'!E32</f>
        <v>0</v>
      </c>
      <c r="E282" s="271" t="str">
        <f aca="false">IF(D282="","","LF")</f>
        <v>LF</v>
      </c>
      <c r="J282" s="355"/>
    </row>
    <row r="283" customFormat="false" ht="13.5" hidden="false" customHeight="true" outlineLevel="0" collapsed="false">
      <c r="A283" s="0" t="n">
        <f aca="false">IF(B283="",0,1)</f>
        <v>0</v>
      </c>
      <c r="B283" s="306" t="str">
        <f aca="false">IF(D283=0,"",'06-Walls &amp; Footings'!A33)</f>
        <v/>
      </c>
      <c r="C283" s="271"/>
      <c r="D283" s="349" t="n">
        <f aca="false">'06-Walls &amp; Footings'!E33</f>
        <v>0</v>
      </c>
      <c r="E283" s="271" t="str">
        <f aca="false">IF(D283="","","LF")</f>
        <v>LF</v>
      </c>
      <c r="J283" s="355"/>
    </row>
    <row r="284" customFormat="false" ht="13.5" hidden="false" customHeight="true" outlineLevel="0" collapsed="false">
      <c r="A284" s="0" t="n">
        <f aca="false">IF(B284="",0,1)</f>
        <v>0</v>
      </c>
      <c r="B284" s="306" t="str">
        <f aca="false">IF(D284=0,"",'06-Walls &amp; Footings'!A34)</f>
        <v/>
      </c>
      <c r="C284" s="271"/>
      <c r="D284" s="349" t="n">
        <f aca="false">'06-Walls &amp; Footings'!E34</f>
        <v>0</v>
      </c>
      <c r="E284" s="271" t="str">
        <f aca="false">IF(D284="","","LF")</f>
        <v>LF</v>
      </c>
      <c r="G284" s="356"/>
      <c r="J284" s="355"/>
    </row>
    <row r="285" customFormat="false" ht="13.5" hidden="false" customHeight="true" outlineLevel="0" collapsed="false">
      <c r="A285" s="0" t="n">
        <f aca="false">IF(B285="",0,1)</f>
        <v>0</v>
      </c>
      <c r="B285" s="306" t="str">
        <f aca="false">IF(D285=0,"",'06-Walls &amp; Footings'!A35)</f>
        <v/>
      </c>
      <c r="C285" s="271"/>
      <c r="D285" s="349" t="n">
        <f aca="false">'06-Walls &amp; Footings'!E35</f>
        <v>0</v>
      </c>
      <c r="E285" s="271" t="str">
        <f aca="false">IF(D285="","","LF")</f>
        <v>LF</v>
      </c>
      <c r="F285" s="271"/>
      <c r="G285" s="354"/>
      <c r="H285" s="271"/>
      <c r="I285" s="357"/>
      <c r="J285" s="355"/>
      <c r="K285" s="358"/>
      <c r="L285" s="0" t="n">
        <f aca="false">IF(K487="incl",0,K487)</f>
        <v>0</v>
      </c>
    </row>
    <row r="286" customFormat="false" ht="13.5" hidden="false" customHeight="true" outlineLevel="0" collapsed="false">
      <c r="A286" s="341" t="n">
        <f aca="false">IF(SUM(A$260:A$285)&gt;0,1,0)</f>
        <v>1</v>
      </c>
      <c r="B286" s="271" t="s">
        <v>874</v>
      </c>
      <c r="D286" s="359" t="n">
        <f aca="false">SUM(D260:D285)</f>
        <v>652</v>
      </c>
      <c r="E286" s="271" t="s">
        <v>836</v>
      </c>
      <c r="F286" s="360"/>
      <c r="G286" s="361"/>
      <c r="J286" s="355"/>
    </row>
    <row r="287" customFormat="false" ht="13.5" hidden="false" customHeight="true" outlineLevel="0" collapsed="false">
      <c r="A287" s="341" t="n">
        <f aca="false">IF(SUM(A$260:A$285)&gt;0,1,0)</f>
        <v>1</v>
      </c>
      <c r="B287" s="271"/>
      <c r="C287" s="271"/>
      <c r="D287" s="345"/>
      <c r="E287" s="271"/>
      <c r="F287" s="271"/>
      <c r="G287" s="271"/>
      <c r="H287" s="271"/>
      <c r="I287" s="271"/>
      <c r="J287" s="355"/>
      <c r="K287" s="271"/>
    </row>
    <row r="288" customFormat="false" ht="13.5" hidden="false" customHeight="true" outlineLevel="0" collapsed="false">
      <c r="A288" s="341" t="n">
        <f aca="false">IF(SUM(A$260:A$285)&gt;0,1,0)</f>
        <v>1</v>
      </c>
      <c r="B288" s="362" t="s">
        <v>840</v>
      </c>
      <c r="C288" s="271"/>
      <c r="D288" s="345"/>
      <c r="E288" s="271"/>
      <c r="F288" s="271"/>
      <c r="G288" s="271"/>
      <c r="H288" s="271"/>
      <c r="I288" s="271"/>
      <c r="J288" s="271"/>
      <c r="K288" s="302"/>
    </row>
    <row r="289" customFormat="false" ht="13.5" hidden="false" customHeight="true" outlineLevel="0" collapsed="false">
      <c r="A289" s="341" t="n">
        <f aca="false">IF(SUM(A$260:A$285)&gt;0,1,0)</f>
        <v>1</v>
      </c>
      <c r="B289" s="271" t="s">
        <v>875</v>
      </c>
      <c r="D289" s="271"/>
      <c r="E289" s="271"/>
      <c r="F289" s="271"/>
      <c r="K289" s="271"/>
      <c r="L289" s="0" t="n">
        <f aca="false">IF(K324="incl",0,K324)</f>
        <v>0</v>
      </c>
    </row>
    <row r="290" customFormat="false" ht="13.5" hidden="false" customHeight="true" outlineLevel="0" collapsed="false">
      <c r="A290" s="341" t="n">
        <f aca="false">IF(SUM(A$260:A$285)&gt;0,1,0)</f>
        <v>1</v>
      </c>
      <c r="B290" s="271" t="s">
        <v>876</v>
      </c>
      <c r="E290" s="286"/>
      <c r="L290" s="0" t="n">
        <f aca="false">IF(K325="incl",0,K325)</f>
        <v>0</v>
      </c>
    </row>
    <row r="291" customFormat="false" ht="13.5" hidden="false" customHeight="true" outlineLevel="0" collapsed="false">
      <c r="A291" s="341" t="n">
        <f aca="false">IF(SUM(A$260:A$285)&gt;0,1,0)</f>
        <v>1</v>
      </c>
      <c r="B291" s="320" t="s">
        <v>843</v>
      </c>
      <c r="C291" s="271"/>
      <c r="D291" s="271"/>
      <c r="E291" s="271"/>
      <c r="F291" s="271"/>
      <c r="K291" s="271"/>
      <c r="L291" s="0" t="n">
        <f aca="false">IF(K326="incl",0,K326)</f>
        <v>0</v>
      </c>
    </row>
    <row r="292" customFormat="false" ht="13.5" hidden="false" customHeight="true" outlineLevel="0" collapsed="false">
      <c r="A292" s="341" t="n">
        <f aca="false">IF(SUM(A$260:A$285)&gt;0,1,0)</f>
        <v>1</v>
      </c>
      <c r="B292" s="271" t="s">
        <v>856</v>
      </c>
      <c r="C292" s="271"/>
      <c r="D292" s="272"/>
      <c r="E292" s="271"/>
      <c r="F292" s="271"/>
      <c r="G292" s="271"/>
      <c r="H292" s="271"/>
      <c r="I292" s="271"/>
      <c r="J292" s="271"/>
      <c r="K292" s="271"/>
      <c r="L292" s="0" t="e">
        <f aca="false">IF(#ref!="incl",0,#ref!)</f>
        <v>#NAME?</v>
      </c>
    </row>
    <row r="293" customFormat="false" ht="13.5" hidden="false" customHeight="true" outlineLevel="0" collapsed="false">
      <c r="A293" s="341" t="n">
        <f aca="false">IF(SUM(A$260:A$285)&gt;0,1,0)</f>
        <v>1</v>
      </c>
      <c r="B293" s="271"/>
      <c r="C293" s="271"/>
      <c r="D293" s="272"/>
      <c r="E293" s="271"/>
      <c r="F293" s="271"/>
      <c r="G293" s="271"/>
      <c r="H293" s="271"/>
      <c r="I293" s="271"/>
      <c r="J293" s="271"/>
      <c r="K293" s="271"/>
      <c r="L293" s="0" t="n">
        <f aca="false">IF(K327="incl",0,K327)</f>
        <v>0</v>
      </c>
    </row>
    <row r="294" customFormat="false" ht="19.5" hidden="false" customHeight="true" outlineLevel="0" collapsed="false">
      <c r="A294" s="0" t="n">
        <f aca="false">IF(SUM(A$296:A$321)&gt;0,1,0)</f>
        <v>0</v>
      </c>
      <c r="B294" s="315" t="s">
        <v>877</v>
      </c>
      <c r="C294" s="316" t="n">
        <f aca="false">'07-COLUMNS'!D58</f>
        <v>0</v>
      </c>
      <c r="D294" s="316"/>
      <c r="E294" s="352"/>
      <c r="F294" s="352"/>
      <c r="G294" s="342"/>
      <c r="H294" s="342"/>
      <c r="I294" s="353"/>
      <c r="J294" s="353"/>
      <c r="K294" s="342"/>
      <c r="L294" s="0" t="n">
        <f aca="false">IF(K328="incl",0,K328)</f>
        <v>0</v>
      </c>
      <c r="N294" s="291" t="n">
        <f aca="false">'07-COLUMNS'!D58</f>
        <v>0</v>
      </c>
    </row>
    <row r="295" customFormat="false" ht="13.5" hidden="false" customHeight="true" outlineLevel="0" collapsed="false">
      <c r="A295" s="0" t="n">
        <f aca="false">IF(SUM(A$296:A$321)&gt;0,1,0)</f>
        <v>0</v>
      </c>
      <c r="B295" s="363" t="s">
        <v>847</v>
      </c>
      <c r="C295" s="364" t="s">
        <v>847</v>
      </c>
      <c r="D295" s="364" t="s">
        <v>835</v>
      </c>
      <c r="E295" s="364"/>
      <c r="K295" s="96"/>
    </row>
    <row r="296" customFormat="false" ht="13.5" hidden="false" customHeight="true" outlineLevel="0" collapsed="false">
      <c r="A296" s="0" t="n">
        <f aca="false">IF(B296="",0,1)</f>
        <v>0</v>
      </c>
      <c r="B296" s="324" t="str">
        <f aca="false">IF('07-COLUMNS'!A10="","",'07-COLUMNS'!A10)</f>
        <v/>
      </c>
      <c r="C296" s="313"/>
      <c r="D296" s="349" t="str">
        <f aca="false">IF('07-COLUMNS'!D10="","",'07-COLUMNS'!D10)</f>
        <v/>
      </c>
      <c r="E296" s="271" t="s">
        <v>878</v>
      </c>
      <c r="F296" s="271"/>
      <c r="G296" s="271"/>
      <c r="H296" s="271"/>
      <c r="I296" s="271"/>
      <c r="J296" s="271"/>
      <c r="K296" s="376"/>
      <c r="L296" s="0" t="n">
        <f aca="false">IF(K330="incl",0,K330)</f>
        <v>0</v>
      </c>
    </row>
    <row r="297" customFormat="false" ht="13.5" hidden="false" customHeight="true" outlineLevel="0" collapsed="false">
      <c r="A297" s="0" t="n">
        <f aca="false">IF(B297="",0,1)</f>
        <v>0</v>
      </c>
      <c r="B297" s="324" t="str">
        <f aca="false">IF('07-COLUMNS'!A11="","",'07-COLUMNS'!A11)</f>
        <v/>
      </c>
      <c r="C297" s="313"/>
      <c r="D297" s="349" t="str">
        <f aca="false">IF('07-COLUMNS'!D11="","",'07-COLUMNS'!D11)</f>
        <v/>
      </c>
      <c r="E297" s="271" t="s">
        <v>878</v>
      </c>
      <c r="F297" s="271"/>
      <c r="G297" s="271"/>
      <c r="H297" s="271"/>
      <c r="I297" s="271"/>
      <c r="J297" s="287"/>
      <c r="K297" s="376"/>
      <c r="L297" s="0" t="n">
        <f aca="false">IF(K331="incl",0,K331)</f>
        <v>0</v>
      </c>
    </row>
    <row r="298" customFormat="false" ht="13.5" hidden="false" customHeight="true" outlineLevel="0" collapsed="false">
      <c r="A298" s="0" t="n">
        <f aca="false">IF(B298="",0,1)</f>
        <v>0</v>
      </c>
      <c r="B298" s="324" t="str">
        <f aca="false">IF('07-COLUMNS'!A12="","",'07-COLUMNS'!A12)</f>
        <v/>
      </c>
      <c r="C298" s="313"/>
      <c r="D298" s="349" t="str">
        <f aca="false">IF('07-COLUMNS'!D12="","",'07-COLUMNS'!D12)</f>
        <v/>
      </c>
      <c r="E298" s="271" t="str">
        <f aca="false">IF(D298="","","ea")</f>
        <v/>
      </c>
      <c r="F298" s="271"/>
      <c r="G298" s="271"/>
      <c r="H298" s="271"/>
      <c r="I298" s="271"/>
      <c r="J298" s="287"/>
      <c r="K298" s="376"/>
      <c r="L298" s="0" t="n">
        <f aca="false">IF(K332="incl",0,K332)</f>
        <v>0</v>
      </c>
    </row>
    <row r="299" customFormat="false" ht="13.5" hidden="false" customHeight="true" outlineLevel="0" collapsed="false">
      <c r="A299" s="0" t="n">
        <f aca="false">IF(B299="",0,1)</f>
        <v>0</v>
      </c>
      <c r="B299" s="324" t="str">
        <f aca="false">IF('07-COLUMNS'!A13="","",'07-COLUMNS'!A13)</f>
        <v/>
      </c>
      <c r="C299" s="313"/>
      <c r="D299" s="349" t="str">
        <f aca="false">IF('07-COLUMNS'!D13="","",'07-COLUMNS'!D13)</f>
        <v/>
      </c>
      <c r="E299" s="271" t="str">
        <f aca="false">IF(D299="","","ea")</f>
        <v/>
      </c>
      <c r="F299" s="271"/>
      <c r="G299" s="271"/>
      <c r="H299" s="271"/>
      <c r="I299" s="271"/>
      <c r="J299" s="287"/>
      <c r="K299" s="376"/>
    </row>
    <row r="300" customFormat="false" ht="13.5" hidden="false" customHeight="true" outlineLevel="0" collapsed="false">
      <c r="A300" s="0" t="n">
        <f aca="false">IF(B300="",0,1)</f>
        <v>0</v>
      </c>
      <c r="B300" s="324" t="str">
        <f aca="false">IF('07-COLUMNS'!A14="","",'07-COLUMNS'!A14)</f>
        <v/>
      </c>
      <c r="C300" s="313"/>
      <c r="D300" s="349" t="str">
        <f aca="false">IF('07-COLUMNS'!D14="","",'07-COLUMNS'!D14)</f>
        <v/>
      </c>
      <c r="E300" s="271" t="str">
        <f aca="false">IF(D300="","","ea")</f>
        <v/>
      </c>
      <c r="F300" s="271"/>
      <c r="G300" s="271"/>
      <c r="H300" s="271"/>
      <c r="I300" s="271"/>
      <c r="J300" s="287"/>
      <c r="K300" s="376"/>
    </row>
    <row r="301" customFormat="false" ht="13.5" hidden="false" customHeight="true" outlineLevel="0" collapsed="false">
      <c r="A301" s="0" t="n">
        <f aca="false">IF(B301="",0,1)</f>
        <v>0</v>
      </c>
      <c r="B301" s="324" t="str">
        <f aca="false">IF('07-COLUMNS'!A15="","",'07-COLUMNS'!A15)</f>
        <v/>
      </c>
      <c r="C301" s="313"/>
      <c r="D301" s="349" t="str">
        <f aca="false">IF('07-COLUMNS'!D15="","",'07-COLUMNS'!D15)</f>
        <v/>
      </c>
      <c r="E301" s="271" t="str">
        <f aca="false">IF(D301="","","ea")</f>
        <v/>
      </c>
      <c r="F301" s="271"/>
      <c r="G301" s="271"/>
      <c r="H301" s="271"/>
      <c r="I301" s="271"/>
      <c r="J301" s="287"/>
      <c r="K301" s="376"/>
    </row>
    <row r="302" customFormat="false" ht="13.5" hidden="false" customHeight="true" outlineLevel="0" collapsed="false">
      <c r="A302" s="0" t="n">
        <f aca="false">IF(B302="",0,1)</f>
        <v>0</v>
      </c>
      <c r="B302" s="324" t="str">
        <f aca="false">IF('07-COLUMNS'!A16="","",'07-COLUMNS'!A16)</f>
        <v/>
      </c>
      <c r="C302" s="313"/>
      <c r="D302" s="349" t="str">
        <f aca="false">IF('07-COLUMNS'!D16="","",'07-COLUMNS'!D16)</f>
        <v/>
      </c>
      <c r="E302" s="271" t="str">
        <f aca="false">IF(D302="","","ea")</f>
        <v/>
      </c>
      <c r="F302" s="271"/>
      <c r="G302" s="271"/>
      <c r="H302" s="271"/>
      <c r="I302" s="271"/>
      <c r="J302" s="287"/>
      <c r="K302" s="376"/>
    </row>
    <row r="303" customFormat="false" ht="13.5" hidden="false" customHeight="true" outlineLevel="0" collapsed="false">
      <c r="A303" s="0" t="n">
        <f aca="false">IF(B303="",0,1)</f>
        <v>0</v>
      </c>
      <c r="B303" s="324" t="str">
        <f aca="false">IF('07-COLUMNS'!A17="","",'07-COLUMNS'!A17)</f>
        <v/>
      </c>
      <c r="C303" s="313"/>
      <c r="D303" s="349" t="str">
        <f aca="false">IF('07-COLUMNS'!D17="","",'07-COLUMNS'!D17)</f>
        <v/>
      </c>
      <c r="E303" s="271" t="str">
        <f aca="false">IF(D303="","","ea")</f>
        <v/>
      </c>
      <c r="F303" s="271"/>
      <c r="G303" s="271"/>
      <c r="H303" s="271"/>
      <c r="I303" s="271"/>
      <c r="J303" s="287"/>
      <c r="K303" s="376"/>
      <c r="L303" s="0" t="n">
        <f aca="false">IF(K337="incl",0,K337)</f>
        <v>0</v>
      </c>
    </row>
    <row r="304" customFormat="false" ht="13.5" hidden="false" customHeight="true" outlineLevel="0" collapsed="false">
      <c r="A304" s="0" t="n">
        <f aca="false">IF(B304="",0,1)</f>
        <v>0</v>
      </c>
      <c r="B304" s="324" t="str">
        <f aca="false">IF('07-COLUMNS'!A18="","",'07-COLUMNS'!A18)</f>
        <v/>
      </c>
      <c r="C304" s="313"/>
      <c r="D304" s="349" t="str">
        <f aca="false">IF('07-COLUMNS'!D18="","",'07-COLUMNS'!D18)</f>
        <v/>
      </c>
      <c r="E304" s="271" t="str">
        <f aca="false">IF(D304="","","ea")</f>
        <v/>
      </c>
      <c r="F304" s="271"/>
      <c r="G304" s="302"/>
      <c r="H304" s="314"/>
      <c r="K304" s="291"/>
    </row>
    <row r="305" customFormat="false" ht="13.5" hidden="false" customHeight="true" outlineLevel="0" collapsed="false">
      <c r="A305" s="0" t="n">
        <f aca="false">IF(B305="",0,1)</f>
        <v>0</v>
      </c>
      <c r="B305" s="324" t="str">
        <f aca="false">IF('07-COLUMNS'!A19="","",'07-COLUMNS'!A19)</f>
        <v/>
      </c>
      <c r="C305" s="313"/>
      <c r="D305" s="349" t="str">
        <f aca="false">IF('07-COLUMNS'!D19="","",'07-COLUMNS'!D19)</f>
        <v/>
      </c>
      <c r="E305" s="271" t="str">
        <f aca="false">IF(D305="","","ea")</f>
        <v/>
      </c>
      <c r="F305" s="271"/>
      <c r="G305" s="302"/>
      <c r="H305" s="314"/>
      <c r="K305" s="291"/>
    </row>
    <row r="306" customFormat="false" ht="13.5" hidden="false" customHeight="true" outlineLevel="0" collapsed="false">
      <c r="A306" s="0" t="n">
        <f aca="false">IF(B306="",0,1)</f>
        <v>0</v>
      </c>
      <c r="B306" s="324" t="str">
        <f aca="false">IF('07-COLUMNS'!A20="","",'07-COLUMNS'!A20)</f>
        <v/>
      </c>
      <c r="C306" s="313"/>
      <c r="D306" s="349" t="str">
        <f aca="false">IF('07-COLUMNS'!D20="","",'07-COLUMNS'!D20)</f>
        <v/>
      </c>
      <c r="E306" s="271" t="str">
        <f aca="false">IF(D306="","","ea")</f>
        <v/>
      </c>
      <c r="F306" s="271"/>
      <c r="G306" s="271"/>
      <c r="H306" s="271"/>
      <c r="I306" s="271"/>
      <c r="J306" s="287"/>
      <c r="K306" s="376"/>
    </row>
    <row r="307" customFormat="false" ht="13.5" hidden="false" customHeight="true" outlineLevel="0" collapsed="false">
      <c r="A307" s="0" t="n">
        <f aca="false">IF(B307="",0,1)</f>
        <v>0</v>
      </c>
      <c r="B307" s="324" t="str">
        <f aca="false">IF('07-COLUMNS'!A21="","",'07-COLUMNS'!A21)</f>
        <v/>
      </c>
      <c r="C307" s="313"/>
      <c r="D307" s="349" t="str">
        <f aca="false">IF('07-COLUMNS'!D21="","",'07-COLUMNS'!D21)</f>
        <v/>
      </c>
      <c r="E307" s="271" t="str">
        <f aca="false">IF(D307="","","ea")</f>
        <v/>
      </c>
      <c r="F307" s="271"/>
      <c r="G307" s="271"/>
      <c r="H307" s="271"/>
      <c r="I307" s="271"/>
      <c r="J307" s="287"/>
      <c r="K307" s="376"/>
    </row>
    <row r="308" customFormat="false" ht="13.5" hidden="false" customHeight="true" outlineLevel="0" collapsed="false">
      <c r="A308" s="0" t="n">
        <f aca="false">IF(B308="",0,1)</f>
        <v>0</v>
      </c>
      <c r="B308" s="324" t="str">
        <f aca="false">IF('07-COLUMNS'!A22="","",'07-COLUMNS'!A22)</f>
        <v/>
      </c>
      <c r="C308" s="313"/>
      <c r="D308" s="349" t="str">
        <f aca="false">IF('07-COLUMNS'!D22="","",'07-COLUMNS'!D22)</f>
        <v/>
      </c>
      <c r="E308" s="271" t="str">
        <f aca="false">IF(D308="","","ea")</f>
        <v/>
      </c>
      <c r="F308" s="271"/>
      <c r="G308" s="271"/>
      <c r="H308" s="271"/>
      <c r="I308" s="271"/>
      <c r="J308" s="287"/>
      <c r="K308" s="376"/>
      <c r="L308" s="0" t="n">
        <f aca="false">IF(K342="incl",0,K342)</f>
        <v>0</v>
      </c>
    </row>
    <row r="309" customFormat="false" ht="13.5" hidden="false" customHeight="true" outlineLevel="0" collapsed="false">
      <c r="A309" s="0" t="n">
        <f aca="false">IF(B309="",0,1)</f>
        <v>0</v>
      </c>
      <c r="B309" s="324" t="str">
        <f aca="false">IF('07-COLUMNS'!A23="","",'07-COLUMNS'!A23)</f>
        <v/>
      </c>
      <c r="C309" s="313"/>
      <c r="D309" s="349" t="str">
        <f aca="false">IF('07-COLUMNS'!D23="","",'07-COLUMNS'!D23)</f>
        <v/>
      </c>
      <c r="E309" s="271" t="str">
        <f aca="false">IF(D309="","","ea")</f>
        <v/>
      </c>
      <c r="F309" s="271"/>
      <c r="G309" s="271"/>
      <c r="H309" s="271"/>
      <c r="I309" s="271"/>
      <c r="J309" s="287"/>
      <c r="K309" s="376"/>
    </row>
    <row r="310" customFormat="false" ht="13.5" hidden="false" customHeight="true" outlineLevel="0" collapsed="false">
      <c r="A310" s="0" t="n">
        <f aca="false">IF(B310="",0,1)</f>
        <v>0</v>
      </c>
      <c r="B310" s="324" t="str">
        <f aca="false">IF('07-COLUMNS'!A24="","",'07-COLUMNS'!A24)</f>
        <v/>
      </c>
      <c r="C310" s="313"/>
      <c r="D310" s="349" t="str">
        <f aca="false">IF('07-COLUMNS'!D24="","",'07-COLUMNS'!D24)</f>
        <v/>
      </c>
      <c r="E310" s="271" t="str">
        <f aca="false">IF(D310="","","ea")</f>
        <v/>
      </c>
      <c r="F310" s="271"/>
      <c r="G310" s="271"/>
      <c r="H310" s="271"/>
      <c r="I310" s="271"/>
      <c r="J310" s="287"/>
      <c r="K310" s="313"/>
    </row>
    <row r="311" customFormat="false" ht="13.5" hidden="false" customHeight="true" outlineLevel="0" collapsed="false">
      <c r="A311" s="0" t="n">
        <f aca="false">IF(B311="",0,1)</f>
        <v>0</v>
      </c>
      <c r="B311" s="324" t="str">
        <f aca="false">IF('07-COLUMNS'!A25="","",'07-COLUMNS'!A25)</f>
        <v/>
      </c>
      <c r="C311" s="313"/>
      <c r="D311" s="349" t="str">
        <f aca="false">IF('07-COLUMNS'!D25="","",'07-COLUMNS'!D25)</f>
        <v/>
      </c>
      <c r="E311" s="271" t="str">
        <f aca="false">IF(D311="","","ea")</f>
        <v/>
      </c>
      <c r="F311" s="271"/>
      <c r="G311" s="271"/>
      <c r="H311" s="271"/>
      <c r="I311" s="271"/>
      <c r="J311" s="287"/>
      <c r="K311" s="313"/>
    </row>
    <row r="312" customFormat="false" ht="13.5" hidden="false" customHeight="true" outlineLevel="0" collapsed="false">
      <c r="A312" s="0" t="n">
        <f aca="false">IF(B312="",0,1)</f>
        <v>0</v>
      </c>
      <c r="B312" s="324" t="str">
        <f aca="false">IF('07-COLUMNS'!A26="","",'07-COLUMNS'!A26)</f>
        <v/>
      </c>
      <c r="C312" s="313"/>
      <c r="D312" s="349" t="str">
        <f aca="false">IF('07-COLUMNS'!D26="","",'07-COLUMNS'!D26)</f>
        <v/>
      </c>
      <c r="E312" s="271" t="str">
        <f aca="false">IF(D312="","","ea")</f>
        <v/>
      </c>
      <c r="F312" s="271"/>
      <c r="G312" s="271"/>
      <c r="H312" s="271"/>
      <c r="I312" s="271"/>
      <c r="J312" s="287"/>
      <c r="K312" s="313"/>
      <c r="L312" s="0" t="n">
        <f aca="false">IF(K346="incl",0,K346)</f>
        <v>0</v>
      </c>
    </row>
    <row r="313" customFormat="false" ht="13.5" hidden="false" customHeight="true" outlineLevel="0" collapsed="false">
      <c r="A313" s="0" t="n">
        <f aca="false">IF(B313="",0,1)</f>
        <v>0</v>
      </c>
      <c r="B313" s="324" t="str">
        <f aca="false">IF('07-COLUMNS'!A27="","",'07-COLUMNS'!A27)</f>
        <v/>
      </c>
      <c r="C313" s="313"/>
      <c r="D313" s="349" t="str">
        <f aca="false">IF('07-COLUMNS'!D27="","",'07-COLUMNS'!D27)</f>
        <v/>
      </c>
      <c r="E313" s="271" t="str">
        <f aca="false">IF(D313="","","ea")</f>
        <v/>
      </c>
      <c r="F313" s="271"/>
      <c r="G313" s="271"/>
      <c r="H313" s="271"/>
      <c r="I313" s="271"/>
      <c r="J313" s="287"/>
      <c r="K313" s="313"/>
    </row>
    <row r="314" customFormat="false" ht="13.5" hidden="false" customHeight="true" outlineLevel="0" collapsed="false">
      <c r="A314" s="0" t="n">
        <f aca="false">IF(B314="",0,1)</f>
        <v>0</v>
      </c>
      <c r="B314" s="324" t="str">
        <f aca="false">IF('07-COLUMNS'!A46="","",'07-COLUMNS'!A46)</f>
        <v/>
      </c>
      <c r="C314" s="313"/>
      <c r="D314" s="349" t="str">
        <f aca="false">IF('07-COLUMNS'!D46="","",'07-COLUMNS'!D46)</f>
        <v/>
      </c>
      <c r="E314" s="271" t="str">
        <f aca="false">IF(D314="","","ea")</f>
        <v/>
      </c>
      <c r="F314" s="271"/>
      <c r="G314" s="302"/>
      <c r="H314" s="314"/>
    </row>
    <row r="315" customFormat="false" ht="13.5" hidden="false" customHeight="true" outlineLevel="0" collapsed="false">
      <c r="A315" s="0" t="n">
        <f aca="false">IF(B315="",0,1)</f>
        <v>0</v>
      </c>
      <c r="B315" s="324" t="str">
        <f aca="false">IF('07-COLUMNS'!A47="","",'07-COLUMNS'!A47)</f>
        <v/>
      </c>
      <c r="C315" s="313"/>
      <c r="D315" s="349" t="str">
        <f aca="false">IF('07-COLUMNS'!D47="","",'07-COLUMNS'!D47)</f>
        <v/>
      </c>
      <c r="E315" s="271" t="str">
        <f aca="false">IF(D315="","","ea")</f>
        <v/>
      </c>
      <c r="F315" s="271"/>
      <c r="G315" s="302"/>
      <c r="H315" s="314"/>
    </row>
    <row r="316" customFormat="false" ht="13.5" hidden="false" customHeight="true" outlineLevel="0" collapsed="false">
      <c r="A316" s="0" t="n">
        <f aca="false">IF(B316="",0,1)</f>
        <v>0</v>
      </c>
      <c r="B316" s="324" t="str">
        <f aca="false">IF('07-COLUMNS'!A48="","",'07-COLUMNS'!A48)</f>
        <v/>
      </c>
      <c r="C316" s="313"/>
      <c r="D316" s="349" t="str">
        <f aca="false">IF('07-COLUMNS'!D48="","",'07-COLUMNS'!D48)</f>
        <v/>
      </c>
      <c r="E316" s="271" t="str">
        <f aca="false">IF(D316="","","ea")</f>
        <v/>
      </c>
      <c r="F316" s="271"/>
      <c r="G316" s="271"/>
      <c r="H316" s="271"/>
      <c r="I316" s="271"/>
      <c r="J316" s="287"/>
      <c r="K316" s="313"/>
    </row>
    <row r="317" customFormat="false" ht="13.5" hidden="false" customHeight="true" outlineLevel="0" collapsed="false">
      <c r="A317" s="0" t="n">
        <f aca="false">IF(B317="",0,1)</f>
        <v>0</v>
      </c>
      <c r="B317" s="324" t="str">
        <f aca="false">IF('07-COLUMNS'!A49="","",'07-COLUMNS'!A49)</f>
        <v/>
      </c>
      <c r="C317" s="313"/>
      <c r="D317" s="349" t="str">
        <f aca="false">IF('07-COLUMNS'!D49="","",'07-COLUMNS'!D49)</f>
        <v/>
      </c>
      <c r="E317" s="271" t="str">
        <f aca="false">IF(D317="","","ea")</f>
        <v/>
      </c>
      <c r="F317" s="271"/>
      <c r="G317" s="271"/>
      <c r="H317" s="271"/>
      <c r="I317" s="271"/>
      <c r="J317" s="287"/>
      <c r="K317" s="313"/>
      <c r="L317" s="0" t="n">
        <f aca="false">IF(K351="incl",0,K351)</f>
        <v>0</v>
      </c>
    </row>
    <row r="318" customFormat="false" ht="13.5" hidden="false" customHeight="true" outlineLevel="0" collapsed="false">
      <c r="A318" s="0" t="n">
        <f aca="false">IF(B318="",0,1)</f>
        <v>0</v>
      </c>
      <c r="B318" s="324" t="str">
        <f aca="false">IF('07-COLUMNS'!A50="","",'07-COLUMNS'!A50)</f>
        <v/>
      </c>
      <c r="C318" s="313"/>
      <c r="D318" s="349" t="str">
        <f aca="false">IF('07-COLUMNS'!D50="","",'07-COLUMNS'!D50)</f>
        <v/>
      </c>
      <c r="E318" s="271" t="str">
        <f aca="false">IF(D318="","","ea")</f>
        <v/>
      </c>
      <c r="F318" s="271"/>
      <c r="G318" s="271"/>
      <c r="H318" s="271"/>
      <c r="I318" s="271"/>
      <c r="J318" s="287"/>
      <c r="K318" s="313"/>
    </row>
    <row r="319" customFormat="false" ht="13.5" hidden="false" customHeight="true" outlineLevel="0" collapsed="false">
      <c r="A319" s="0" t="n">
        <f aca="false">IF(B319="",0,1)</f>
        <v>0</v>
      </c>
      <c r="B319" s="324" t="str">
        <f aca="false">IF('07-COLUMNS'!A51="","",'07-COLUMNS'!A51)</f>
        <v/>
      </c>
      <c r="C319" s="313"/>
      <c r="D319" s="349" t="str">
        <f aca="false">IF('07-COLUMNS'!D51="","",'07-COLUMNS'!D51)</f>
        <v/>
      </c>
      <c r="E319" s="271" t="str">
        <f aca="false">IF(D319="","","ea")</f>
        <v/>
      </c>
      <c r="F319" s="271"/>
      <c r="G319" s="271"/>
      <c r="H319" s="271"/>
      <c r="I319" s="271"/>
      <c r="J319" s="287"/>
      <c r="K319" s="313"/>
    </row>
    <row r="320" customFormat="false" ht="13.5" hidden="false" customHeight="true" outlineLevel="0" collapsed="false">
      <c r="A320" s="0" t="n">
        <f aca="false">IF(B320="",0,1)</f>
        <v>0</v>
      </c>
      <c r="B320" s="324" t="str">
        <f aca="false">IF('07-COLUMNS'!A52="","",'07-COLUMNS'!A52)</f>
        <v/>
      </c>
      <c r="C320" s="313"/>
      <c r="D320" s="349" t="str">
        <f aca="false">IF('07-COLUMNS'!D52="","",'07-COLUMNS'!D52)</f>
        <v/>
      </c>
      <c r="E320" s="271" t="str">
        <f aca="false">IF(D320="","","ea")</f>
        <v/>
      </c>
      <c r="F320" s="271"/>
      <c r="G320" s="302"/>
      <c r="H320" s="314"/>
    </row>
    <row r="321" customFormat="false" ht="13.5" hidden="false" customHeight="true" outlineLevel="0" collapsed="false">
      <c r="A321" s="0" t="n">
        <f aca="false">IF(B321="",0,1)</f>
        <v>0</v>
      </c>
      <c r="B321" s="324" t="str">
        <f aca="false">IF('07-COLUMNS'!A53="","",'07-COLUMNS'!A53)</f>
        <v/>
      </c>
      <c r="C321" s="313"/>
      <c r="D321" s="349" t="str">
        <f aca="false">IF('07-COLUMNS'!D53="","",'07-COLUMNS'!D53)</f>
        <v/>
      </c>
      <c r="E321" s="271" t="str">
        <f aca="false">IF(D321="","","ea")</f>
        <v/>
      </c>
      <c r="F321" s="271"/>
      <c r="G321" s="302"/>
      <c r="H321" s="314"/>
    </row>
    <row r="322" customFormat="false" ht="13.5" hidden="false" customHeight="true" outlineLevel="0" collapsed="false">
      <c r="A322" s="0" t="n">
        <f aca="false">IF(SUM(A$296:A$321)&gt;0,1,0)</f>
        <v>0</v>
      </c>
      <c r="B322" s="306"/>
      <c r="C322" s="271"/>
      <c r="D322" s="371" t="n">
        <f aca="false">SUM(D296:D321)</f>
        <v>0</v>
      </c>
      <c r="E322" s="271" t="s">
        <v>879</v>
      </c>
      <c r="F322" s="271"/>
      <c r="G322" s="271"/>
      <c r="H322" s="271"/>
      <c r="I322" s="271"/>
      <c r="J322" s="271"/>
      <c r="K322" s="271"/>
      <c r="L322" s="0" t="n">
        <f aca="false">IF(K356="incl",0,K356)</f>
        <v>0</v>
      </c>
    </row>
    <row r="323" customFormat="false" ht="13.5" hidden="false" customHeight="true" outlineLevel="0" collapsed="false">
      <c r="A323" s="0" t="n">
        <f aca="false">IF(SUM(A$296:A$321)&gt;0,1,0)</f>
        <v>0</v>
      </c>
      <c r="B323" s="306"/>
      <c r="C323" s="271"/>
      <c r="D323" s="354"/>
      <c r="E323" s="271"/>
      <c r="F323" s="271"/>
      <c r="G323" s="271"/>
      <c r="H323" s="271"/>
      <c r="I323" s="271"/>
      <c r="J323" s="271"/>
      <c r="K323" s="271"/>
    </row>
    <row r="324" customFormat="false" ht="13.5" hidden="false" customHeight="true" outlineLevel="0" collapsed="false">
      <c r="A324" s="0" t="n">
        <f aca="false">IF(SUM(A$296:A$321)&gt;0,1,0)</f>
        <v>0</v>
      </c>
      <c r="B324" s="362" t="s">
        <v>840</v>
      </c>
      <c r="C324" s="271"/>
      <c r="D324" s="271"/>
      <c r="E324" s="271"/>
      <c r="F324" s="271"/>
      <c r="G324" s="271"/>
      <c r="H324" s="271"/>
      <c r="I324" s="271"/>
      <c r="J324" s="271"/>
      <c r="K324" s="302"/>
    </row>
    <row r="325" customFormat="false" ht="13.5" hidden="false" customHeight="true" outlineLevel="0" collapsed="false">
      <c r="A325" s="0" t="n">
        <f aca="false">IF(SUM(A$296:A$321)&gt;0,1,0)</f>
        <v>0</v>
      </c>
      <c r="B325" s="271" t="s">
        <v>880</v>
      </c>
      <c r="D325" s="271"/>
      <c r="E325" s="271"/>
      <c r="F325" s="271"/>
      <c r="K325" s="271"/>
    </row>
    <row r="326" customFormat="false" ht="13.5" hidden="false" customHeight="true" outlineLevel="0" collapsed="false">
      <c r="A326" s="0" t="n">
        <f aca="false">IF(SUM(A$296:A$321)&gt;0,1,0)</f>
        <v>0</v>
      </c>
      <c r="B326" s="271" t="s">
        <v>881</v>
      </c>
      <c r="C326" s="271"/>
      <c r="D326" s="271"/>
      <c r="E326" s="271"/>
      <c r="F326" s="271"/>
      <c r="G326" s="271"/>
      <c r="H326" s="271"/>
      <c r="I326" s="271"/>
      <c r="J326" s="271"/>
      <c r="K326" s="271"/>
    </row>
    <row r="327" customFormat="false" ht="13.5" hidden="false" customHeight="true" outlineLevel="0" collapsed="false">
      <c r="A327" s="0" t="n">
        <f aca="false">IF(SUM(A$296:A$321)&gt;0,1,0)</f>
        <v>0</v>
      </c>
      <c r="B327" s="320" t="s">
        <v>843</v>
      </c>
      <c r="C327" s="271"/>
      <c r="D327" s="271"/>
      <c r="E327" s="271"/>
      <c r="F327" s="271"/>
      <c r="K327" s="271"/>
    </row>
    <row r="328" customFormat="false" ht="13.5" hidden="false" customHeight="true" outlineLevel="0" collapsed="false">
      <c r="A328" s="0" t="n">
        <f aca="false">IF(SUM(A$296:A$321)&gt;0,1,0)</f>
        <v>0</v>
      </c>
      <c r="B328" s="271" t="s">
        <v>882</v>
      </c>
      <c r="C328" s="271"/>
      <c r="D328" s="271"/>
      <c r="E328" s="271"/>
      <c r="F328" s="271"/>
      <c r="G328" s="271"/>
      <c r="H328" s="271"/>
      <c r="I328" s="271"/>
      <c r="J328" s="271"/>
      <c r="K328" s="271"/>
    </row>
    <row r="329" customFormat="false" ht="13.5" hidden="false" customHeight="true" outlineLevel="0" collapsed="false">
      <c r="A329" s="0" t="n">
        <f aca="false">IF(SUM(A$296:A$321)&gt;0,1,0)</f>
        <v>0</v>
      </c>
      <c r="B329" s="271"/>
      <c r="C329" s="271"/>
      <c r="D329" s="271"/>
      <c r="E329" s="271"/>
      <c r="F329" s="271"/>
      <c r="G329" s="271"/>
      <c r="H329" s="271"/>
      <c r="I329" s="271"/>
      <c r="J329" s="271"/>
      <c r="K329" s="271"/>
    </row>
    <row r="330" customFormat="false" ht="19.5" hidden="false" customHeight="true" outlineLevel="0" collapsed="false">
      <c r="A330" s="315" t="n">
        <f aca="false">IF(SUM(A$332:A$371)&gt;0,1,0)</f>
        <v>0</v>
      </c>
      <c r="B330" s="315" t="s">
        <v>883</v>
      </c>
      <c r="C330" s="316" t="n">
        <f aca="false">'08-CIP EL. DECK'!D65</f>
        <v>0</v>
      </c>
      <c r="D330" s="316"/>
      <c r="E330" s="352"/>
      <c r="F330" s="352"/>
      <c r="G330" s="342"/>
      <c r="H330" s="342"/>
      <c r="I330" s="353"/>
      <c r="J330" s="353"/>
      <c r="K330" s="342"/>
    </row>
    <row r="331" customFormat="false" ht="13.5" hidden="false" customHeight="true" outlineLevel="0" collapsed="false">
      <c r="A331" s="0" t="n">
        <f aca="false">IF(SUM(A$332:A$371)&gt;0,1,0)</f>
        <v>0</v>
      </c>
      <c r="B331" s="363" t="s">
        <v>847</v>
      </c>
      <c r="C331" s="364" t="s">
        <v>847</v>
      </c>
      <c r="D331" s="364" t="s">
        <v>835</v>
      </c>
      <c r="E331" s="364"/>
      <c r="K331" s="10"/>
    </row>
    <row r="332" customFormat="false" ht="13.5" hidden="false" customHeight="true" outlineLevel="0" collapsed="false">
      <c r="A332" s="0" t="n">
        <f aca="false">IF(B332="",0,1)</f>
        <v>0</v>
      </c>
      <c r="B332" s="345" t="str">
        <f aca="false">IF('08-CIP EL. DECK'!A10="","",'08-CIP EL. DECK'!A10)</f>
        <v/>
      </c>
      <c r="C332" s="313" t="str">
        <f aca="false">IF('08-CIP EL. DECK'!E10="","",'08-CIP EL. DECK'!E10)</f>
        <v/>
      </c>
      <c r="D332" s="349" t="str">
        <f aca="false">IF('08-CIP EL. DECK'!C10="","",'08-CIP EL. DECK'!C10)</f>
        <v/>
      </c>
      <c r="E332" s="271" t="str">
        <f aca="false">IF(D332="","","SqFt")</f>
        <v/>
      </c>
      <c r="F332" s="271"/>
      <c r="G332" s="271"/>
      <c r="H332" s="271"/>
      <c r="I332" s="271"/>
      <c r="J332" s="287"/>
      <c r="K332" s="376"/>
      <c r="L332" s="0" t="n">
        <f aca="false">IF(K367="incl",0,K367)</f>
        <v>0</v>
      </c>
    </row>
    <row r="333" customFormat="false" ht="13.5" hidden="false" customHeight="true" outlineLevel="0" collapsed="false">
      <c r="A333" s="0" t="n">
        <f aca="false">IF(B333="",0,1)</f>
        <v>0</v>
      </c>
      <c r="B333" s="345" t="str">
        <f aca="false">IF('08-CIP EL. DECK'!A11="","",'08-CIP EL. DECK'!A11)</f>
        <v/>
      </c>
      <c r="C333" s="313" t="str">
        <f aca="false">IF('08-CIP EL. DECK'!E11="","",'08-CIP EL. DECK'!E11)</f>
        <v/>
      </c>
      <c r="D333" s="349" t="str">
        <f aca="false">IF('08-CIP EL. DECK'!C11="","",'08-CIP EL. DECK'!C11)</f>
        <v/>
      </c>
      <c r="E333" s="271" t="str">
        <f aca="false">IF(D333="","","SqFt")</f>
        <v/>
      </c>
      <c r="F333" s="271"/>
      <c r="G333" s="271"/>
      <c r="H333" s="271"/>
      <c r="I333" s="271"/>
      <c r="J333" s="271"/>
      <c r="K333" s="313"/>
    </row>
    <row r="334" customFormat="false" ht="13.5" hidden="false" customHeight="true" outlineLevel="0" collapsed="false">
      <c r="A334" s="0" t="n">
        <f aca="false">IF(B334="",0,1)</f>
        <v>0</v>
      </c>
      <c r="B334" s="345" t="str">
        <f aca="false">IF('08-CIP EL. DECK'!A12="","",'08-CIP EL. DECK'!A12)</f>
        <v/>
      </c>
      <c r="C334" s="313" t="str">
        <f aca="false">IF('08-CIP EL. DECK'!E12="","",'08-CIP EL. DECK'!E12)</f>
        <v/>
      </c>
      <c r="D334" s="349" t="str">
        <f aca="false">IF('08-CIP EL. DECK'!C12="","",'08-CIP EL. DECK'!C12)</f>
        <v/>
      </c>
      <c r="E334" s="271" t="str">
        <f aca="false">IF(D334="","","SqFt")</f>
        <v/>
      </c>
      <c r="F334" s="271"/>
      <c r="G334" s="271"/>
      <c r="H334" s="271"/>
      <c r="I334" s="271"/>
      <c r="J334" s="271"/>
      <c r="K334" s="376"/>
    </row>
    <row r="335" customFormat="false" ht="13.5" hidden="false" customHeight="true" outlineLevel="0" collapsed="false">
      <c r="A335" s="0" t="n">
        <f aca="false">IF(B335="",0,1)</f>
        <v>0</v>
      </c>
      <c r="B335" s="345" t="str">
        <f aca="false">IF('08-CIP EL. DECK'!A13="","",'08-CIP EL. DECK'!A13)</f>
        <v/>
      </c>
      <c r="C335" s="313" t="str">
        <f aca="false">IF('08-CIP EL. DECK'!E13="","",'08-CIP EL. DECK'!E13)</f>
        <v/>
      </c>
      <c r="D335" s="349" t="str">
        <f aca="false">IF('08-CIP EL. DECK'!C13="","",'08-CIP EL. DECK'!C13)</f>
        <v/>
      </c>
      <c r="E335" s="271" t="str">
        <f aca="false">IF(D335="","","SqFt")</f>
        <v/>
      </c>
      <c r="F335" s="271"/>
      <c r="G335" s="271"/>
      <c r="H335" s="271"/>
      <c r="I335" s="271"/>
      <c r="J335" s="271"/>
      <c r="K335" s="376"/>
    </row>
    <row r="336" customFormat="false" ht="13.5" hidden="false" customHeight="true" outlineLevel="0" collapsed="false">
      <c r="A336" s="0" t="n">
        <f aca="false">IF(B336="",0,1)</f>
        <v>0</v>
      </c>
      <c r="B336" s="345" t="str">
        <f aca="false">IF('08-CIP EL. DECK'!A14="","",'08-CIP EL. DECK'!A14)</f>
        <v/>
      </c>
      <c r="C336" s="313" t="str">
        <f aca="false">IF('08-CIP EL. DECK'!E14="","",'08-CIP EL. DECK'!E14)</f>
        <v/>
      </c>
      <c r="D336" s="349" t="str">
        <f aca="false">IF('08-CIP EL. DECK'!C14="","",'08-CIP EL. DECK'!C14)</f>
        <v/>
      </c>
      <c r="E336" s="271" t="str">
        <f aca="false">IF(D336="","","SqFt")</f>
        <v/>
      </c>
      <c r="F336" s="271"/>
      <c r="G336" s="271"/>
      <c r="H336" s="271"/>
      <c r="I336" s="271"/>
      <c r="J336" s="271"/>
      <c r="K336" s="376"/>
    </row>
    <row r="337" customFormat="false" ht="13.5" hidden="false" customHeight="true" outlineLevel="0" collapsed="false">
      <c r="A337" s="0" t="n">
        <f aca="false">IF(B337="",0,1)</f>
        <v>0</v>
      </c>
      <c r="B337" s="345" t="str">
        <f aca="false">IF('08-CIP EL. DECK'!A15="","",'08-CIP EL. DECK'!A15)</f>
        <v/>
      </c>
      <c r="C337" s="313" t="str">
        <f aca="false">IF('08-CIP EL. DECK'!E15="","",'08-CIP EL. DECK'!E15)</f>
        <v/>
      </c>
      <c r="D337" s="349" t="str">
        <f aca="false">IF('08-CIP EL. DECK'!C15="","",'08-CIP EL. DECK'!C15)</f>
        <v/>
      </c>
      <c r="E337" s="271" t="str">
        <f aca="false">IF(D337="","","SqFt")</f>
        <v/>
      </c>
      <c r="F337" s="271"/>
      <c r="G337" s="271"/>
      <c r="H337" s="271"/>
      <c r="I337" s="271"/>
      <c r="J337" s="271"/>
      <c r="K337" s="376"/>
    </row>
    <row r="338" customFormat="false" ht="13.5" hidden="false" customHeight="true" outlineLevel="0" collapsed="false">
      <c r="A338" s="0" t="n">
        <f aca="false">IF(B338="",0,1)</f>
        <v>0</v>
      </c>
      <c r="B338" s="345" t="str">
        <f aca="false">IF('08-CIP EL. DECK'!A16="","",'08-CIP EL. DECK'!A16)</f>
        <v/>
      </c>
      <c r="C338" s="313" t="str">
        <f aca="false">IF('08-CIP EL. DECK'!E16="","",'08-CIP EL. DECK'!E16)</f>
        <v/>
      </c>
      <c r="D338" s="349" t="str">
        <f aca="false">IF('08-CIP EL. DECK'!C16="","",'08-CIP EL. DECK'!C16)</f>
        <v/>
      </c>
      <c r="E338" s="271" t="str">
        <f aca="false">IF(D338="","","SqFt")</f>
        <v/>
      </c>
      <c r="F338" s="271"/>
      <c r="G338" s="271"/>
      <c r="H338" s="271"/>
      <c r="I338" s="271"/>
      <c r="J338" s="271"/>
      <c r="K338" s="376"/>
    </row>
    <row r="339" customFormat="false" ht="13.5" hidden="false" customHeight="true" outlineLevel="0" collapsed="false">
      <c r="A339" s="0" t="n">
        <f aca="false">IF(B339="",0,1)</f>
        <v>0</v>
      </c>
      <c r="B339" s="345" t="str">
        <f aca="false">IF('08-CIP EL. DECK'!A17="","",'08-CIP EL. DECK'!A17)</f>
        <v/>
      </c>
      <c r="C339" s="313" t="str">
        <f aca="false">IF('08-CIP EL. DECK'!E17="","",'08-CIP EL. DECK'!E17)</f>
        <v/>
      </c>
      <c r="D339" s="349" t="str">
        <f aca="false">IF('08-CIP EL. DECK'!C17="","",'08-CIP EL. DECK'!C17)</f>
        <v/>
      </c>
      <c r="E339" s="271" t="str">
        <f aca="false">IF(D339="","","SqFt")</f>
        <v/>
      </c>
      <c r="F339" s="271"/>
      <c r="G339" s="271"/>
      <c r="H339" s="271"/>
      <c r="I339" s="271"/>
      <c r="J339" s="271"/>
      <c r="K339" s="376"/>
    </row>
    <row r="340" customFormat="false" ht="13.5" hidden="false" customHeight="true" outlineLevel="0" collapsed="false">
      <c r="A340" s="0" t="n">
        <f aca="false">IF(B340="",0,1)</f>
        <v>0</v>
      </c>
      <c r="B340" s="345" t="str">
        <f aca="false">IF('08-CIP EL. DECK'!A18="","",'08-CIP EL. DECK'!A18)</f>
        <v/>
      </c>
      <c r="C340" s="313" t="str">
        <f aca="false">IF('08-CIP EL. DECK'!E18="","",'08-CIP EL. DECK'!E18)</f>
        <v/>
      </c>
      <c r="D340" s="349" t="str">
        <f aca="false">IF('08-CIP EL. DECK'!C18="","",'08-CIP EL. DECK'!C18)</f>
        <v/>
      </c>
      <c r="E340" s="271" t="str">
        <f aca="false">IF(D340="","","SqFt")</f>
        <v/>
      </c>
      <c r="F340" s="271"/>
      <c r="G340" s="271"/>
      <c r="H340" s="271"/>
      <c r="I340" s="271"/>
      <c r="J340" s="271"/>
      <c r="K340" s="376"/>
      <c r="L340" s="0" t="n">
        <f aca="false">IF(K542="incl",0,K542)</f>
        <v>0</v>
      </c>
    </row>
    <row r="341" customFormat="false" ht="13.5" hidden="false" customHeight="true" outlineLevel="0" collapsed="false">
      <c r="A341" s="0" t="n">
        <f aca="false">IF(B341="",0,1)</f>
        <v>0</v>
      </c>
      <c r="B341" s="345" t="str">
        <f aca="false">IF('08-CIP EL. DECK'!A19="","",'08-CIP EL. DECK'!A19)</f>
        <v/>
      </c>
      <c r="C341" s="313" t="str">
        <f aca="false">IF('08-CIP EL. DECK'!E19="","",'08-CIP EL. DECK'!E19)</f>
        <v/>
      </c>
      <c r="D341" s="349" t="str">
        <f aca="false">IF('08-CIP EL. DECK'!C19="","",'08-CIP EL. DECK'!C19)</f>
        <v/>
      </c>
      <c r="E341" s="271" t="str">
        <f aca="false">IF(D341="","","SqFt")</f>
        <v/>
      </c>
      <c r="F341" s="271"/>
      <c r="G341" s="271"/>
      <c r="H341" s="271"/>
      <c r="I341" s="271"/>
      <c r="J341" s="271"/>
      <c r="K341" s="376"/>
      <c r="L341" s="0" t="n">
        <f aca="false">IF(K374="incl",0,K374)</f>
        <v>0</v>
      </c>
    </row>
    <row r="342" customFormat="false" ht="13.5" hidden="false" customHeight="true" outlineLevel="0" collapsed="false">
      <c r="A342" s="0" t="n">
        <f aca="false">IF(B342="",0,1)</f>
        <v>0</v>
      </c>
      <c r="B342" s="345" t="str">
        <f aca="false">IF('08-CIP EL. DECK'!A20="","",'08-CIP EL. DECK'!A20)</f>
        <v/>
      </c>
      <c r="C342" s="313" t="str">
        <f aca="false">IF('08-CIP EL. DECK'!E20="","",'08-CIP EL. DECK'!E20)</f>
        <v/>
      </c>
      <c r="D342" s="349" t="str">
        <f aca="false">IF('08-CIP EL. DECK'!C20="","",'08-CIP EL. DECK'!C20)</f>
        <v/>
      </c>
      <c r="E342" s="271" t="str">
        <f aca="false">IF(D342="","","SqFt")</f>
        <v/>
      </c>
      <c r="F342" s="271"/>
      <c r="G342" s="271"/>
      <c r="H342" s="271"/>
      <c r="I342" s="271"/>
      <c r="J342" s="271"/>
      <c r="K342" s="376"/>
      <c r="L342" s="0" t="n">
        <f aca="false">IF(K375="incl",0,K375)</f>
        <v>0</v>
      </c>
    </row>
    <row r="343" customFormat="false" ht="13.5" hidden="false" customHeight="true" outlineLevel="0" collapsed="false">
      <c r="A343" s="0" t="n">
        <f aca="false">IF(B343="",0,1)</f>
        <v>0</v>
      </c>
      <c r="B343" s="345" t="str">
        <f aca="false">IF('08-CIP EL. DECK'!A21="","",'08-CIP EL. DECK'!A21)</f>
        <v/>
      </c>
      <c r="C343" s="313" t="str">
        <f aca="false">IF('08-CIP EL. DECK'!E21="","",'08-CIP EL. DECK'!E21)</f>
        <v/>
      </c>
      <c r="D343" s="349" t="str">
        <f aca="false">IF('08-CIP EL. DECK'!C21="","",'08-CIP EL. DECK'!C21)</f>
        <v/>
      </c>
      <c r="E343" s="271" t="str">
        <f aca="false">IF(D343="","","SqFt")</f>
        <v/>
      </c>
      <c r="F343" s="271"/>
      <c r="G343" s="271"/>
      <c r="H343" s="271"/>
      <c r="I343" s="271"/>
      <c r="J343" s="271"/>
      <c r="K343" s="376"/>
      <c r="L343" s="0" t="n">
        <f aca="false">IF(K376="incl",0,K376)</f>
        <v>0</v>
      </c>
    </row>
    <row r="344" customFormat="false" ht="13.5" hidden="false" customHeight="true" outlineLevel="0" collapsed="false">
      <c r="A344" s="0" t="n">
        <f aca="false">IF(B344="",0,1)</f>
        <v>0</v>
      </c>
      <c r="B344" s="345" t="str">
        <f aca="false">IF('08-CIP EL. DECK'!A22="","",'08-CIP EL. DECK'!A22)</f>
        <v/>
      </c>
      <c r="C344" s="313" t="str">
        <f aca="false">IF('08-CIP EL. DECK'!E22="","",'08-CIP EL. DECK'!E22)</f>
        <v/>
      </c>
      <c r="D344" s="349" t="str">
        <f aca="false">IF('08-CIP EL. DECK'!C22="","",'08-CIP EL. DECK'!C22)</f>
        <v/>
      </c>
      <c r="E344" s="271" t="str">
        <f aca="false">IF(D344="","","SqFt")</f>
        <v/>
      </c>
      <c r="F344" s="271"/>
      <c r="G344" s="271"/>
      <c r="H344" s="271"/>
      <c r="I344" s="271"/>
      <c r="J344" s="287"/>
      <c r="K344" s="376"/>
      <c r="L344" s="0" t="e">
        <f aca="false">IF(#ref!="incl",0,#ref!)</f>
        <v>#NAME?</v>
      </c>
    </row>
    <row r="345" customFormat="false" ht="13.5" hidden="false" customHeight="true" outlineLevel="0" collapsed="false">
      <c r="A345" s="0" t="n">
        <f aca="false">IF(B345="",0,1)</f>
        <v>0</v>
      </c>
      <c r="B345" s="345" t="str">
        <f aca="false">IF('08-CIP EL. DECK'!A23="","",'08-CIP EL. DECK'!A23)</f>
        <v/>
      </c>
      <c r="C345" s="313" t="str">
        <f aca="false">IF('08-CIP EL. DECK'!E23="","",'08-CIP EL. DECK'!E23)</f>
        <v/>
      </c>
      <c r="D345" s="349" t="str">
        <f aca="false">IF('08-CIP EL. DECK'!C23="","",'08-CIP EL. DECK'!C23)</f>
        <v/>
      </c>
      <c r="E345" s="271" t="str">
        <f aca="false">IF(D345="","","SqFt")</f>
        <v/>
      </c>
      <c r="F345" s="271"/>
      <c r="G345" s="271"/>
      <c r="H345" s="271"/>
      <c r="I345" s="271"/>
      <c r="J345" s="271"/>
      <c r="K345" s="376"/>
      <c r="L345" s="0" t="n">
        <f aca="false">IF(K377="incl",0,K377)</f>
        <v>0</v>
      </c>
    </row>
    <row r="346" customFormat="false" ht="13.5" hidden="false" customHeight="true" outlineLevel="0" collapsed="false">
      <c r="A346" s="0" t="n">
        <f aca="false">IF(B346="",0,1)</f>
        <v>0</v>
      </c>
      <c r="B346" s="345" t="str">
        <f aca="false">IF('08-CIP EL. DECK'!A24="","",'08-CIP EL. DECK'!A24)</f>
        <v/>
      </c>
      <c r="C346" s="313" t="str">
        <f aca="false">IF('08-CIP EL. DECK'!E24="","",'08-CIP EL. DECK'!E24)</f>
        <v/>
      </c>
      <c r="D346" s="349" t="str">
        <f aca="false">IF('08-CIP EL. DECK'!C24="","",'08-CIP EL. DECK'!C24)</f>
        <v/>
      </c>
      <c r="E346" s="271" t="str">
        <f aca="false">IF(D346="","","SqFt")</f>
        <v/>
      </c>
      <c r="F346" s="271"/>
      <c r="G346" s="271"/>
      <c r="H346" s="271"/>
      <c r="I346" s="271"/>
      <c r="J346" s="271"/>
      <c r="K346" s="313"/>
      <c r="L346" s="0" t="n">
        <f aca="false">IF(K378="incl",0,K378)</f>
        <v>0</v>
      </c>
    </row>
    <row r="347" customFormat="false" ht="13.5" hidden="false" customHeight="true" outlineLevel="0" collapsed="false">
      <c r="A347" s="0" t="n">
        <f aca="false">IF(B347="",0,1)</f>
        <v>0</v>
      </c>
      <c r="B347" s="345" t="str">
        <f aca="false">IF('08-CIP EL. DECK'!A25="","",'08-CIP EL. DECK'!A25)</f>
        <v/>
      </c>
      <c r="C347" s="313" t="str">
        <f aca="false">IF('08-CIP EL. DECK'!E25="","",'08-CIP EL. DECK'!E25)</f>
        <v/>
      </c>
      <c r="D347" s="349" t="str">
        <f aca="false">IF('08-CIP EL. DECK'!C25="","",'08-CIP EL. DECK'!C25)</f>
        <v/>
      </c>
      <c r="E347" s="271" t="str">
        <f aca="false">IF(D347="","","SqFt")</f>
        <v/>
      </c>
      <c r="F347" s="271"/>
      <c r="G347" s="271"/>
      <c r="H347" s="271"/>
      <c r="I347" s="271"/>
      <c r="J347" s="271"/>
      <c r="K347" s="313"/>
    </row>
    <row r="348" customFormat="false" ht="13.5" hidden="false" customHeight="true" outlineLevel="0" collapsed="false">
      <c r="A348" s="0" t="n">
        <f aca="false">IF(B348="",0,1)</f>
        <v>0</v>
      </c>
      <c r="B348" s="345" t="str">
        <f aca="false">IF('08-CIP EL. DECK'!A26="","",'08-CIP EL. DECK'!A26)</f>
        <v/>
      </c>
      <c r="C348" s="313" t="str">
        <f aca="false">IF('08-CIP EL. DECK'!E26="","",'08-CIP EL. DECK'!E26)</f>
        <v/>
      </c>
      <c r="D348" s="349" t="str">
        <f aca="false">IF('08-CIP EL. DECK'!C26="","",'08-CIP EL. DECK'!C26)</f>
        <v/>
      </c>
      <c r="E348" s="271" t="str">
        <f aca="false">IF(D348="","","SqFt")</f>
        <v/>
      </c>
      <c r="F348" s="271"/>
      <c r="G348" s="271"/>
      <c r="H348" s="271"/>
      <c r="I348" s="271"/>
      <c r="J348" s="271"/>
      <c r="K348" s="313"/>
    </row>
    <row r="349" customFormat="false" ht="13.5" hidden="false" customHeight="true" outlineLevel="0" collapsed="false">
      <c r="A349" s="0" t="n">
        <f aca="false">IF(B349="",0,1)</f>
        <v>0</v>
      </c>
      <c r="B349" s="345" t="str">
        <f aca="false">IF('08-CIP EL. DECK'!A27="","",'08-CIP EL. DECK'!A27)</f>
        <v/>
      </c>
      <c r="C349" s="313" t="str">
        <f aca="false">IF('08-CIP EL. DECK'!E27="","",'08-CIP EL. DECK'!E27)</f>
        <v/>
      </c>
      <c r="D349" s="349" t="str">
        <f aca="false">IF('08-CIP EL. DECK'!C27="","",'08-CIP EL. DECK'!C27)</f>
        <v/>
      </c>
      <c r="E349" s="271" t="str">
        <f aca="false">IF(D349="","","SqFt")</f>
        <v/>
      </c>
      <c r="F349" s="271"/>
      <c r="G349" s="271"/>
      <c r="H349" s="271"/>
      <c r="I349" s="271"/>
      <c r="J349" s="271"/>
      <c r="K349" s="313"/>
      <c r="L349" s="0" t="n">
        <f aca="false">IF(K380="incl",0,K380)</f>
        <v>0</v>
      </c>
    </row>
    <row r="350" customFormat="false" ht="13.5" hidden="false" customHeight="true" outlineLevel="0" collapsed="false">
      <c r="A350" s="0" t="n">
        <f aca="false">IF(B350="",0,1)</f>
        <v>0</v>
      </c>
      <c r="B350" s="345" t="str">
        <f aca="false">IF('08-CIP EL. DECK'!A28="","",'08-CIP EL. DECK'!A28)</f>
        <v/>
      </c>
      <c r="C350" s="313" t="str">
        <f aca="false">IF('08-CIP EL. DECK'!E28="","",'08-CIP EL. DECK'!E28)</f>
        <v/>
      </c>
      <c r="D350" s="349" t="str">
        <f aca="false">IF('08-CIP EL. DECK'!C28="","",'08-CIP EL. DECK'!C28)</f>
        <v/>
      </c>
      <c r="E350" s="271" t="str">
        <f aca="false">IF(D350="","","SqFt")</f>
        <v/>
      </c>
      <c r="F350" s="271"/>
      <c r="G350" s="271"/>
      <c r="H350" s="271"/>
      <c r="I350" s="271"/>
      <c r="J350" s="271"/>
      <c r="K350" s="313"/>
      <c r="L350" s="0" t="n">
        <f aca="false">IF(K381="incl",0,K381)</f>
        <v>0</v>
      </c>
    </row>
    <row r="351" customFormat="false" ht="13.5" hidden="false" customHeight="true" outlineLevel="0" collapsed="false">
      <c r="A351" s="0" t="n">
        <f aca="false">IF(B351="",0,1)</f>
        <v>0</v>
      </c>
      <c r="B351" s="345" t="str">
        <f aca="false">IF('08-CIP EL. DECK'!A29="","",'08-CIP EL. DECK'!A29)</f>
        <v/>
      </c>
      <c r="C351" s="313" t="str">
        <f aca="false">IF('08-CIP EL. DECK'!E29="","",'08-CIP EL. DECK'!E29)</f>
        <v/>
      </c>
      <c r="D351" s="349" t="str">
        <f aca="false">IF('08-CIP EL. DECK'!C29="","",'08-CIP EL. DECK'!C29)</f>
        <v/>
      </c>
      <c r="E351" s="271" t="str">
        <f aca="false">IF(D351="","","SqFt")</f>
        <v/>
      </c>
      <c r="F351" s="271"/>
      <c r="G351" s="271"/>
      <c r="H351" s="271"/>
      <c r="I351" s="271"/>
      <c r="J351" s="271"/>
      <c r="K351" s="313"/>
      <c r="L351" s="0" t="n">
        <f aca="false">IF(K382="incl",0,K382)</f>
        <v>0</v>
      </c>
    </row>
    <row r="352" customFormat="false" ht="13.5" hidden="false" customHeight="true" outlineLevel="0" collapsed="false">
      <c r="A352" s="0" t="n">
        <f aca="false">IF(B352="",0,1)</f>
        <v>0</v>
      </c>
      <c r="B352" s="345" t="str">
        <f aca="false">IF('08-CIP EL. DECK'!A30="","",'08-CIP EL. DECK'!A30)</f>
        <v/>
      </c>
      <c r="C352" s="313" t="str">
        <f aca="false">IF('08-CIP EL. DECK'!E30="","",'08-CIP EL. DECK'!E30)</f>
        <v/>
      </c>
      <c r="D352" s="349" t="str">
        <f aca="false">IF('08-CIP EL. DECK'!C30="","",'08-CIP EL. DECK'!C30)</f>
        <v/>
      </c>
      <c r="E352" s="271" t="str">
        <f aca="false">IF(D352="","","SqFt")</f>
        <v/>
      </c>
      <c r="F352" s="271"/>
      <c r="G352" s="271"/>
      <c r="H352" s="271"/>
      <c r="I352" s="271"/>
      <c r="J352" s="271"/>
      <c r="K352" s="313"/>
    </row>
    <row r="353" customFormat="false" ht="13.5" hidden="false" customHeight="true" outlineLevel="0" collapsed="false">
      <c r="A353" s="0" t="n">
        <f aca="false">IF(B353="",0,1)</f>
        <v>0</v>
      </c>
      <c r="B353" s="345" t="str">
        <f aca="false">IF('08-CIP EL. DECK'!A31="","",'08-CIP EL. DECK'!A31)</f>
        <v/>
      </c>
      <c r="C353" s="313" t="str">
        <f aca="false">IF('08-CIP EL. DECK'!E31="","",'08-CIP EL. DECK'!E31)</f>
        <v/>
      </c>
      <c r="D353" s="349" t="str">
        <f aca="false">IF('08-CIP EL. DECK'!C31="","",'08-CIP EL. DECK'!C31)</f>
        <v/>
      </c>
      <c r="E353" s="271" t="str">
        <f aca="false">IF(D353="","","SqFt")</f>
        <v/>
      </c>
      <c r="F353" s="271"/>
      <c r="G353" s="271"/>
      <c r="H353" s="271"/>
      <c r="I353" s="271"/>
      <c r="J353" s="271"/>
      <c r="K353" s="313"/>
      <c r="L353" s="0" t="n">
        <f aca="false">IF(K384="incl",0,K384)</f>
        <v>0</v>
      </c>
    </row>
    <row r="354" customFormat="false" ht="13.5" hidden="false" customHeight="true" outlineLevel="0" collapsed="false">
      <c r="A354" s="0" t="n">
        <f aca="false">IF(B354="",0,1)</f>
        <v>0</v>
      </c>
      <c r="B354" s="345" t="str">
        <f aca="false">IF('08-CIP EL. DECK'!A32="","",'08-CIP EL. DECK'!A32)</f>
        <v/>
      </c>
      <c r="C354" s="313" t="str">
        <f aca="false">IF('08-CIP EL. DECK'!E32="","",'08-CIP EL. DECK'!E32)</f>
        <v/>
      </c>
      <c r="D354" s="349" t="str">
        <f aca="false">IF('08-CIP EL. DECK'!C32="","",'08-CIP EL. DECK'!C32)</f>
        <v/>
      </c>
      <c r="E354" s="271" t="str">
        <f aca="false">IF(D354="","","SqFt")</f>
        <v/>
      </c>
      <c r="F354" s="271"/>
      <c r="G354" s="271"/>
      <c r="H354" s="271"/>
      <c r="I354" s="271"/>
      <c r="J354" s="271"/>
      <c r="K354" s="313"/>
      <c r="L354" s="0" t="n">
        <f aca="false">IF(K394="incl",0,K394)</f>
        <v>0</v>
      </c>
    </row>
    <row r="355" customFormat="false" ht="13.5" hidden="false" customHeight="true" outlineLevel="0" collapsed="false">
      <c r="A355" s="0" t="n">
        <f aca="false">IF(B355="",0,1)</f>
        <v>0</v>
      </c>
      <c r="B355" s="345" t="str">
        <f aca="false">IF('08-CIP EL. DECK'!A33="","",'08-CIP EL. DECK'!A33)</f>
        <v/>
      </c>
      <c r="C355" s="313" t="str">
        <f aca="false">IF('08-CIP EL. DECK'!E33="","",'08-CIP EL. DECK'!E33)</f>
        <v/>
      </c>
      <c r="D355" s="349" t="str">
        <f aca="false">IF('08-CIP EL. DECK'!C33="","",'08-CIP EL. DECK'!C33)</f>
        <v/>
      </c>
      <c r="E355" s="271" t="str">
        <f aca="false">IF(D355="","","SqFt")</f>
        <v/>
      </c>
      <c r="F355" s="271"/>
      <c r="G355" s="271"/>
      <c r="H355" s="271"/>
      <c r="I355" s="271"/>
      <c r="J355" s="271"/>
      <c r="K355" s="313"/>
      <c r="L355" s="0" t="n">
        <f aca="false">IF(K395="incl",0,K395)</f>
        <v>0</v>
      </c>
    </row>
    <row r="356" customFormat="false" ht="13.5" hidden="false" customHeight="true" outlineLevel="0" collapsed="false">
      <c r="A356" s="0" t="n">
        <f aca="false">IF(B356="",0,1)</f>
        <v>0</v>
      </c>
      <c r="B356" s="345" t="str">
        <f aca="false">IF('08-CIP EL. DECK'!A34="","",'08-CIP EL. DECK'!A34)</f>
        <v/>
      </c>
      <c r="C356" s="313" t="str">
        <f aca="false">IF('08-CIP EL. DECK'!E34="","",'08-CIP EL. DECK'!E34)</f>
        <v/>
      </c>
      <c r="D356" s="349" t="str">
        <f aca="false">IF('08-CIP EL. DECK'!C34="","",'08-CIP EL. DECK'!C34)</f>
        <v/>
      </c>
      <c r="E356" s="271" t="str">
        <f aca="false">IF(D356="","","SqFt")</f>
        <v/>
      </c>
      <c r="F356" s="271"/>
      <c r="G356" s="271"/>
      <c r="H356" s="271"/>
      <c r="I356" s="271"/>
      <c r="J356" s="271"/>
      <c r="K356" s="313"/>
    </row>
    <row r="357" customFormat="false" ht="13.5" hidden="false" customHeight="true" outlineLevel="0" collapsed="false">
      <c r="A357" s="0" t="n">
        <f aca="false">IF(B357="",0,1)</f>
        <v>0</v>
      </c>
      <c r="B357" s="345" t="str">
        <f aca="false">IF('08-CIP EL. DECK'!A35="","",'08-CIP EL. DECK'!A35)</f>
        <v/>
      </c>
      <c r="C357" s="313" t="str">
        <f aca="false">IF('08-CIP EL. DECK'!E35="","",'08-CIP EL. DECK'!E35)</f>
        <v/>
      </c>
      <c r="D357" s="349" t="str">
        <f aca="false">IF('08-CIP EL. DECK'!C35="","",'08-CIP EL. DECK'!C35)</f>
        <v/>
      </c>
      <c r="E357" s="271" t="str">
        <f aca="false">IF(D357="","","SqFt")</f>
        <v/>
      </c>
      <c r="F357" s="271"/>
      <c r="G357" s="271"/>
      <c r="H357" s="271"/>
      <c r="I357" s="271"/>
      <c r="J357" s="271"/>
      <c r="K357" s="313"/>
    </row>
    <row r="358" customFormat="false" ht="13.5" hidden="false" customHeight="true" outlineLevel="0" collapsed="false">
      <c r="A358" s="0" t="n">
        <f aca="false">IF(B358="",0,1)</f>
        <v>0</v>
      </c>
      <c r="B358" s="345" t="str">
        <f aca="false">IF('08-CIP EL. DECK'!A36="","",'08-CIP EL. DECK'!A36)</f>
        <v/>
      </c>
      <c r="C358" s="313" t="str">
        <f aca="false">IF('08-CIP EL. DECK'!E36="","",'08-CIP EL. DECK'!E36)</f>
        <v/>
      </c>
      <c r="D358" s="349" t="str">
        <f aca="false">IF('08-CIP EL. DECK'!C36="","",'08-CIP EL. DECK'!C36)</f>
        <v/>
      </c>
      <c r="E358" s="271" t="str">
        <f aca="false">IF(D358="","","SqFt")</f>
        <v/>
      </c>
      <c r="F358" s="271"/>
      <c r="G358" s="271"/>
      <c r="H358" s="271"/>
      <c r="I358" s="271"/>
      <c r="J358" s="271"/>
      <c r="K358" s="313"/>
    </row>
    <row r="359" customFormat="false" ht="13.5" hidden="false" customHeight="true" outlineLevel="0" collapsed="false">
      <c r="A359" s="0" t="n">
        <f aca="false">IF(B359="",0,1)</f>
        <v>0</v>
      </c>
      <c r="B359" s="345" t="str">
        <f aca="false">IF('08-CIP EL. DECK'!A37="","",'08-CIP EL. DECK'!A37)</f>
        <v/>
      </c>
      <c r="C359" s="313" t="str">
        <f aca="false">IF('08-CIP EL. DECK'!E37="","",'08-CIP EL. DECK'!E37)</f>
        <v/>
      </c>
      <c r="D359" s="349" t="str">
        <f aca="false">IF('08-CIP EL. DECK'!C37="","",'08-CIP EL. DECK'!C37)</f>
        <v/>
      </c>
      <c r="E359" s="271" t="str">
        <f aca="false">IF(D359="","","SqFt")</f>
        <v/>
      </c>
      <c r="F359" s="271"/>
      <c r="G359" s="271"/>
      <c r="H359" s="271"/>
      <c r="I359" s="271"/>
      <c r="J359" s="271"/>
      <c r="K359" s="313"/>
      <c r="L359" s="0" t="n">
        <f aca="false">IF(K399="incl",0,K399)</f>
        <v>0</v>
      </c>
    </row>
    <row r="360" customFormat="false" ht="13.5" hidden="false" customHeight="true" outlineLevel="0" collapsed="false">
      <c r="A360" s="0" t="n">
        <f aca="false">IF(B360="",0,1)</f>
        <v>0</v>
      </c>
      <c r="B360" s="345" t="str">
        <f aca="false">IF('08-CIP EL. DECK'!A38="","",'08-CIP EL. DECK'!A38)</f>
        <v/>
      </c>
      <c r="C360" s="313" t="str">
        <f aca="false">IF('08-CIP EL. DECK'!E38="","",'08-CIP EL. DECK'!E38)</f>
        <v/>
      </c>
      <c r="D360" s="349" t="str">
        <f aca="false">IF('08-CIP EL. DECK'!C38="","",'08-CIP EL. DECK'!C38)</f>
        <v/>
      </c>
      <c r="E360" s="271" t="str">
        <f aca="false">IF(D360="","","SqFt")</f>
        <v/>
      </c>
      <c r="F360" s="271"/>
      <c r="G360" s="271"/>
      <c r="H360" s="271"/>
      <c r="I360" s="271"/>
      <c r="J360" s="271"/>
      <c r="K360" s="313"/>
      <c r="L360" s="0" t="n">
        <f aca="false">IF(K400="incl",0,K400)</f>
        <v>0</v>
      </c>
    </row>
    <row r="361" customFormat="false" ht="13.5" hidden="false" customHeight="true" outlineLevel="0" collapsed="false">
      <c r="A361" s="0" t="n">
        <f aca="false">IF(B361="",0,1)</f>
        <v>0</v>
      </c>
      <c r="B361" s="345" t="str">
        <f aca="false">IF('08-CIP EL. DECK'!A39="","",'08-CIP EL. DECK'!A39)</f>
        <v/>
      </c>
      <c r="C361" s="313" t="str">
        <f aca="false">IF('08-CIP EL. DECK'!E39="","",'08-CIP EL. DECK'!E39)</f>
        <v/>
      </c>
      <c r="D361" s="349" t="str">
        <f aca="false">IF('08-CIP EL. DECK'!C39="","",'08-CIP EL. DECK'!C39)</f>
        <v/>
      </c>
      <c r="E361" s="271" t="str">
        <f aca="false">IF(D361="","","SqFt")</f>
        <v/>
      </c>
      <c r="F361" s="271"/>
      <c r="G361" s="271"/>
      <c r="H361" s="271"/>
      <c r="I361" s="271"/>
      <c r="J361" s="271"/>
      <c r="K361" s="313"/>
      <c r="L361" s="0" t="n">
        <f aca="false">IF(K407="incl",0,K407)</f>
        <v>0</v>
      </c>
    </row>
    <row r="362" customFormat="false" ht="13.5" hidden="false" customHeight="true" outlineLevel="0" collapsed="false">
      <c r="A362" s="0" t="n">
        <f aca="false">IF(B362="",0,1)</f>
        <v>0</v>
      </c>
      <c r="B362" s="345" t="str">
        <f aca="false">IF('08-CIP EL. DECK'!A40="","",'08-CIP EL. DECK'!A40)</f>
        <v/>
      </c>
      <c r="C362" s="313" t="str">
        <f aca="false">IF('08-CIP EL. DECK'!E40="","",'08-CIP EL. DECK'!E40)</f>
        <v/>
      </c>
      <c r="D362" s="349" t="str">
        <f aca="false">IF('08-CIP EL. DECK'!C40="","",'08-CIP EL. DECK'!C40)</f>
        <v/>
      </c>
      <c r="E362" s="271" t="str">
        <f aca="false">IF(D362="","","SqFt")</f>
        <v/>
      </c>
      <c r="F362" s="271"/>
      <c r="G362" s="271"/>
      <c r="H362" s="271"/>
      <c r="I362" s="271"/>
      <c r="J362" s="271"/>
      <c r="K362" s="313"/>
    </row>
    <row r="363" customFormat="false" ht="13.5" hidden="false" customHeight="true" outlineLevel="0" collapsed="false">
      <c r="A363" s="0" t="n">
        <f aca="false">IF(B363="",0,1)</f>
        <v>0</v>
      </c>
      <c r="B363" s="345" t="str">
        <f aca="false">IF('08-CIP EL. DECK'!A41="","",'08-CIP EL. DECK'!A41)</f>
        <v/>
      </c>
      <c r="C363" s="313" t="str">
        <f aca="false">IF('08-CIP EL. DECK'!E41="","",'08-CIP EL. DECK'!E41)</f>
        <v/>
      </c>
      <c r="D363" s="349" t="str">
        <f aca="false">IF('08-CIP EL. DECK'!C41="","",'08-CIP EL. DECK'!C41)</f>
        <v/>
      </c>
      <c r="E363" s="271" t="str">
        <f aca="false">IF(D363="","","SqFt")</f>
        <v/>
      </c>
      <c r="F363" s="271"/>
      <c r="G363" s="271"/>
      <c r="H363" s="271"/>
      <c r="I363" s="271"/>
      <c r="J363" s="271"/>
      <c r="K363" s="313"/>
    </row>
    <row r="364" customFormat="false" ht="13.5" hidden="false" customHeight="true" outlineLevel="0" collapsed="false">
      <c r="A364" s="0" t="n">
        <f aca="false">IF(B364="",0,1)</f>
        <v>0</v>
      </c>
      <c r="B364" s="345" t="str">
        <f aca="false">IF('08-CIP EL. DECK'!A42="","",'08-CIP EL. DECK'!A42)</f>
        <v/>
      </c>
      <c r="C364" s="313" t="str">
        <f aca="false">IF('08-CIP EL. DECK'!E42="","",'08-CIP EL. DECK'!E42)</f>
        <v/>
      </c>
      <c r="D364" s="349" t="str">
        <f aca="false">IF('08-CIP EL. DECK'!C42="","",'08-CIP EL. DECK'!C42)</f>
        <v/>
      </c>
      <c r="E364" s="271" t="str">
        <f aca="false">IF(D364="","","SqFt")</f>
        <v/>
      </c>
      <c r="F364" s="271"/>
      <c r="G364" s="271"/>
      <c r="H364" s="271"/>
      <c r="I364" s="271"/>
      <c r="J364" s="271"/>
      <c r="K364" s="313"/>
    </row>
    <row r="365" customFormat="false" ht="13.5" hidden="false" customHeight="true" outlineLevel="0" collapsed="false">
      <c r="A365" s="0" t="n">
        <f aca="false">IF(B365="",0,1)</f>
        <v>0</v>
      </c>
      <c r="B365" s="345" t="str">
        <f aca="false">IF('08-CIP EL. DECK'!A43="","",'08-CIP EL. DECK'!A43)</f>
        <v/>
      </c>
      <c r="C365" s="313" t="str">
        <f aca="false">IF('08-CIP EL. DECK'!E43="","",'08-CIP EL. DECK'!E43)</f>
        <v/>
      </c>
      <c r="D365" s="349" t="str">
        <f aca="false">IF('08-CIP EL. DECK'!C43="","",'08-CIP EL. DECK'!C43)</f>
        <v/>
      </c>
      <c r="E365" s="271" t="str">
        <f aca="false">IF(D365="","","SqFt")</f>
        <v/>
      </c>
      <c r="F365" s="271"/>
      <c r="G365" s="271"/>
      <c r="H365" s="271"/>
      <c r="I365" s="271"/>
      <c r="J365" s="271"/>
      <c r="K365" s="313"/>
      <c r="L365" s="0" t="n">
        <f aca="false">IF(K411="incl",0,K411)</f>
        <v>0</v>
      </c>
    </row>
    <row r="366" customFormat="false" ht="13.5" hidden="false" customHeight="true" outlineLevel="0" collapsed="false">
      <c r="A366" s="0" t="n">
        <f aca="false">IF(B366="",0,1)</f>
        <v>0</v>
      </c>
      <c r="B366" s="345" t="str">
        <f aca="false">IF('08-CIP EL. DECK'!A44="","",'08-CIP EL. DECK'!A44)</f>
        <v/>
      </c>
      <c r="C366" s="313" t="str">
        <f aca="false">IF('08-CIP EL. DECK'!E44="","",'08-CIP EL. DECK'!E44)</f>
        <v/>
      </c>
      <c r="D366" s="349" t="str">
        <f aca="false">IF('08-CIP EL. DECK'!C44="","",'08-CIP EL. DECK'!C44)</f>
        <v/>
      </c>
      <c r="E366" s="271" t="str">
        <f aca="false">IF(D366="","","SqFt")</f>
        <v/>
      </c>
      <c r="F366" s="271"/>
      <c r="G366" s="271"/>
      <c r="H366" s="271"/>
      <c r="I366" s="271"/>
      <c r="J366" s="271"/>
      <c r="K366" s="313"/>
      <c r="L366" s="0" t="n">
        <f aca="false">IF(K412="incl",0,K412)</f>
        <v>0</v>
      </c>
    </row>
    <row r="367" customFormat="false" ht="13.5" hidden="false" customHeight="true" outlineLevel="0" collapsed="false">
      <c r="A367" s="0" t="n">
        <f aca="false">IF(B367="",0,1)</f>
        <v>0</v>
      </c>
      <c r="B367" s="345" t="str">
        <f aca="false">IF('08-CIP EL. DECK'!A45="","",'08-CIP EL. DECK'!A45)</f>
        <v/>
      </c>
      <c r="C367" s="313" t="str">
        <f aca="false">IF('08-CIP EL. DECK'!E45="","",'08-CIP EL. DECK'!E45)</f>
        <v/>
      </c>
      <c r="D367" s="349" t="str">
        <f aca="false">IF('08-CIP EL. DECK'!C45="","",'08-CIP EL. DECK'!C45)</f>
        <v/>
      </c>
      <c r="E367" s="271" t="str">
        <f aca="false">IF(D367="","","SqFt")</f>
        <v/>
      </c>
      <c r="F367" s="271"/>
      <c r="G367" s="271"/>
      <c r="H367" s="271"/>
      <c r="I367" s="271"/>
      <c r="J367" s="271"/>
      <c r="K367" s="313"/>
      <c r="L367" s="0" t="n">
        <f aca="false">IF(K413="incl",0,K413)</f>
        <v>0</v>
      </c>
    </row>
    <row r="368" customFormat="false" ht="13.5" hidden="false" customHeight="true" outlineLevel="0" collapsed="false">
      <c r="A368" s="0" t="n">
        <f aca="false">IF(B368="",0,1)</f>
        <v>0</v>
      </c>
      <c r="B368" s="345" t="str">
        <f aca="false">IF('08-CIP EL. DECK'!A46="","",'08-CIP EL. DECK'!A46)</f>
        <v/>
      </c>
      <c r="C368" s="313" t="str">
        <f aca="false">IF('08-CIP EL. DECK'!E46="","",'08-CIP EL. DECK'!E46)</f>
        <v/>
      </c>
      <c r="D368" s="349" t="str">
        <f aca="false">IF('08-CIP EL. DECK'!C46="","",'08-CIP EL. DECK'!C46)</f>
        <v/>
      </c>
      <c r="E368" s="271" t="str">
        <f aca="false">IF(D368="","","SqFt")</f>
        <v/>
      </c>
      <c r="F368" s="271"/>
      <c r="G368" s="271"/>
      <c r="H368" s="271"/>
      <c r="I368" s="271"/>
      <c r="J368" s="271"/>
      <c r="K368" s="313"/>
    </row>
    <row r="369" customFormat="false" ht="13.5" hidden="false" customHeight="true" outlineLevel="0" collapsed="false">
      <c r="A369" s="0" t="n">
        <f aca="false">IF(B369="",0,1)</f>
        <v>0</v>
      </c>
      <c r="B369" s="345" t="str">
        <f aca="false">IF('08-CIP EL. DECK'!A47="","",'08-CIP EL. DECK'!A47)</f>
        <v/>
      </c>
      <c r="C369" s="313" t="str">
        <f aca="false">IF('08-CIP EL. DECK'!E47="","",'08-CIP EL. DECK'!E47)</f>
        <v/>
      </c>
      <c r="D369" s="349" t="str">
        <f aca="false">IF('08-CIP EL. DECK'!C47="","",'08-CIP EL. DECK'!C47)</f>
        <v/>
      </c>
      <c r="E369" s="271" t="str">
        <f aca="false">IF(D369="","","SqFt")</f>
        <v/>
      </c>
      <c r="F369" s="271"/>
      <c r="G369" s="271"/>
      <c r="H369" s="271"/>
      <c r="I369" s="271"/>
      <c r="J369" s="271"/>
      <c r="K369" s="313"/>
    </row>
    <row r="370" customFormat="false" ht="13.5" hidden="false" customHeight="true" outlineLevel="0" collapsed="false">
      <c r="A370" s="0" t="n">
        <f aca="false">IF(B370="",0,1)</f>
        <v>0</v>
      </c>
      <c r="B370" s="345" t="str">
        <f aca="false">IF('08-CIP EL. DECK'!A48="","",'08-CIP EL. DECK'!A48)</f>
        <v/>
      </c>
      <c r="C370" s="313" t="str">
        <f aca="false">IF('08-CIP EL. DECK'!E48="","",'08-CIP EL. DECK'!E48)</f>
        <v/>
      </c>
      <c r="D370" s="349" t="str">
        <f aca="false">IF('08-CIP EL. DECK'!C48="","",'08-CIP EL. DECK'!C48)</f>
        <v/>
      </c>
      <c r="E370" s="271" t="str">
        <f aca="false">IF(D370="","","SqFt")</f>
        <v/>
      </c>
      <c r="F370" s="271"/>
      <c r="G370" s="271"/>
      <c r="H370" s="271"/>
      <c r="I370" s="271"/>
      <c r="J370" s="271"/>
      <c r="K370" s="313"/>
      <c r="L370" s="0" t="n">
        <f aca="false">IF(K415="incl",0,K415)</f>
        <v>0</v>
      </c>
    </row>
    <row r="371" customFormat="false" ht="13.5" hidden="false" customHeight="true" outlineLevel="0" collapsed="false">
      <c r="A371" s="0" t="n">
        <f aca="false">IF(B371="",0,1)</f>
        <v>0</v>
      </c>
      <c r="B371" s="324" t="str">
        <f aca="false">IF('08-CIP EL. DECK'!A49="","",'08-CIP EL. DECK'!A49)</f>
        <v/>
      </c>
      <c r="C371" s="313" t="str">
        <f aca="false">IF('08-CIP EL. DECK'!E49="","",'08-CIP EL. DECK'!E49)</f>
        <v/>
      </c>
      <c r="D371" s="349" t="str">
        <f aca="false">IF('08-CIP EL. DECK'!C49="","",'08-CIP EL. DECK'!C49)</f>
        <v/>
      </c>
      <c r="E371" s="271" t="str">
        <f aca="false">IF(D371="","","SqFt")</f>
        <v/>
      </c>
      <c r="F371" s="271"/>
      <c r="G371" s="271"/>
      <c r="H371" s="271"/>
      <c r="I371" s="271"/>
      <c r="J371" s="271"/>
      <c r="K371" s="313"/>
      <c r="L371" s="0" t="n">
        <f aca="false">IF(K416="incl",0,K416)</f>
        <v>0</v>
      </c>
    </row>
    <row r="372" customFormat="false" ht="13.5" hidden="false" customHeight="true" outlineLevel="0" collapsed="false">
      <c r="A372" s="0" t="n">
        <f aca="false">IF(SUM(A$332:A$371)&gt;0,1,0)</f>
        <v>0</v>
      </c>
      <c r="B372" s="334"/>
      <c r="C372" s="313" t="s">
        <v>860</v>
      </c>
      <c r="D372" s="359" t="n">
        <f aca="false">SUM(D332:D371)</f>
        <v>0</v>
      </c>
      <c r="E372" s="271"/>
      <c r="F372" s="271"/>
      <c r="G372" s="271"/>
      <c r="H372" s="271"/>
      <c r="I372" s="271"/>
      <c r="J372" s="271"/>
      <c r="K372" s="313"/>
      <c r="L372" s="0" t="n">
        <f aca="false">IF(K417="incl",0,K417)</f>
        <v>0</v>
      </c>
    </row>
    <row r="373" customFormat="false" ht="13.5" hidden="false" customHeight="true" outlineLevel="0" collapsed="false">
      <c r="A373" s="341" t="n">
        <f aca="false">IF(SUM(A$332:A$371)&gt;0,1,0)</f>
        <v>0</v>
      </c>
      <c r="B373" s="334"/>
      <c r="C373" s="313"/>
      <c r="D373" s="349"/>
      <c r="E373" s="271"/>
      <c r="F373" s="271"/>
      <c r="G373" s="302"/>
      <c r="H373" s="314"/>
      <c r="L373" s="0" t="e">
        <f aca="false">IF(#ref!="incl",0,#ref!)</f>
        <v>#NAME?</v>
      </c>
    </row>
    <row r="374" customFormat="false" ht="13.5" hidden="false" customHeight="true" outlineLevel="0" collapsed="false">
      <c r="A374" s="0" t="n">
        <f aca="false">IF(SUM(A$332:A$371)&gt;0,1,0)</f>
        <v>0</v>
      </c>
      <c r="B374" s="362" t="s">
        <v>840</v>
      </c>
      <c r="C374" s="271"/>
      <c r="D374" s="271"/>
      <c r="E374" s="271"/>
      <c r="F374" s="271"/>
      <c r="G374" s="271"/>
      <c r="H374" s="271"/>
      <c r="I374" s="271"/>
      <c r="J374" s="271"/>
      <c r="K374" s="302"/>
    </row>
    <row r="375" customFormat="false" ht="13.5" hidden="false" customHeight="true" outlineLevel="0" collapsed="false">
      <c r="A375" s="0" t="n">
        <f aca="false">IF(SUM(A$332:A$371)&gt;0,1,0)</f>
        <v>0</v>
      </c>
      <c r="B375" s="271" t="s">
        <v>884</v>
      </c>
      <c r="D375" s="271"/>
      <c r="E375" s="271"/>
      <c r="F375" s="271"/>
      <c r="K375" s="271"/>
    </row>
    <row r="376" customFormat="false" ht="13.5" hidden="false" customHeight="true" outlineLevel="0" collapsed="false">
      <c r="A376" s="0" t="n">
        <f aca="false">IF(SUM(A$332:A$371)&gt;0,1,0)</f>
        <v>0</v>
      </c>
      <c r="B376" s="271" t="s">
        <v>865</v>
      </c>
      <c r="C376" s="271"/>
      <c r="D376" s="271"/>
      <c r="E376" s="271"/>
      <c r="F376" s="271"/>
      <c r="G376" s="271"/>
      <c r="H376" s="271"/>
      <c r="I376" s="271"/>
      <c r="J376" s="271"/>
      <c r="K376" s="271"/>
      <c r="L376" s="0" t="e">
        <f aca="false">IF(#ref!="incl",0,#ref!)</f>
        <v>#NAME?</v>
      </c>
    </row>
    <row r="377" customFormat="false" ht="13.5" hidden="false" customHeight="true" outlineLevel="0" collapsed="false">
      <c r="A377" s="0" t="n">
        <f aca="false">IF(SUM(A$332:A$371)&gt;0,1,0)</f>
        <v>0</v>
      </c>
      <c r="B377" s="320" t="s">
        <v>843</v>
      </c>
      <c r="C377" s="271"/>
      <c r="D377" s="271"/>
      <c r="E377" s="271"/>
      <c r="F377" s="271"/>
      <c r="K377" s="271"/>
      <c r="L377" s="0" t="n">
        <f aca="false">IF(K422="incl",0,K422)</f>
        <v>0</v>
      </c>
    </row>
    <row r="378" customFormat="false" ht="13.5" hidden="false" customHeight="true" outlineLevel="0" collapsed="false">
      <c r="A378" s="0" t="n">
        <f aca="false">IF(SUM(A$332:A$371)&gt;0,1,0)</f>
        <v>0</v>
      </c>
      <c r="B378" s="271" t="s">
        <v>885</v>
      </c>
      <c r="C378" s="271"/>
      <c r="D378" s="271"/>
      <c r="E378" s="271"/>
      <c r="F378" s="271"/>
      <c r="G378" s="271"/>
      <c r="H378" s="271"/>
      <c r="I378" s="271"/>
      <c r="J378" s="271"/>
      <c r="K378" s="271"/>
      <c r="L378" s="0" t="n">
        <f aca="false">IF(K423="incl",0,K423)</f>
        <v>0</v>
      </c>
    </row>
    <row r="379" customFormat="false" ht="13.5" hidden="false" customHeight="true" outlineLevel="0" collapsed="false">
      <c r="A379" s="0" t="n">
        <f aca="false">IF(SUM(A$332:A$371)&gt;0,1,0)</f>
        <v>0</v>
      </c>
      <c r="B379" s="271"/>
      <c r="C379" s="271"/>
      <c r="D379" s="271"/>
      <c r="E379" s="271"/>
      <c r="F379" s="271"/>
      <c r="G379" s="271"/>
      <c r="H379" s="271"/>
      <c r="I379" s="271"/>
      <c r="J379" s="271"/>
      <c r="K379" s="271"/>
      <c r="L379" s="311" t="n">
        <f aca="false">IF(K425="incl",0,K425)</f>
        <v>0</v>
      </c>
    </row>
    <row r="380" customFormat="false" ht="19.5" hidden="false" customHeight="true" outlineLevel="0" collapsed="false">
      <c r="A380" s="0" t="n">
        <f aca="false">IF(SUM(A$382:A$413)&gt;0,1,0)</f>
        <v>0</v>
      </c>
      <c r="B380" s="315" t="s">
        <v>886</v>
      </c>
      <c r="C380" s="316" t="n">
        <f aca="false">'09-SLAB ON DECK'!E45</f>
        <v>0</v>
      </c>
      <c r="D380" s="316"/>
      <c r="E380" s="352"/>
      <c r="F380" s="352"/>
      <c r="G380" s="342"/>
      <c r="H380" s="342"/>
      <c r="I380" s="353"/>
      <c r="J380" s="353"/>
      <c r="K380" s="342"/>
      <c r="L380" s="311" t="n">
        <f aca="false">IF(K426="incl",0,K426)</f>
        <v>0</v>
      </c>
    </row>
    <row r="381" customFormat="false" ht="13.5" hidden="false" customHeight="true" outlineLevel="0" collapsed="false">
      <c r="A381" s="0" t="n">
        <f aca="false">IF(SUM(A$382:A$413)&gt;0,1,0)</f>
        <v>0</v>
      </c>
      <c r="B381" s="363" t="s">
        <v>847</v>
      </c>
      <c r="C381" s="364"/>
      <c r="D381" s="364" t="s">
        <v>835</v>
      </c>
      <c r="E381" s="364"/>
      <c r="K381" s="10"/>
      <c r="L381" s="311" t="n">
        <f aca="false">IF(K427="incl",0,K427)</f>
        <v>0</v>
      </c>
    </row>
    <row r="382" customFormat="false" ht="13.5" hidden="false" customHeight="true" outlineLevel="0" collapsed="false">
      <c r="A382" s="0" t="n">
        <f aca="false">IF(B382="",0,1)</f>
        <v>0</v>
      </c>
      <c r="B382" s="324" t="str">
        <f aca="false">IF('09-SLAB ON DECK'!B10="","",'09-SLAB ON DECK'!B10)</f>
        <v/>
      </c>
      <c r="C382" s="313"/>
      <c r="D382" s="349" t="str">
        <f aca="false">IF('09-SLAB ON DECK'!D10="","",'09-SLAB ON DECK'!D10)</f>
        <v/>
      </c>
      <c r="E382" s="271" t="str">
        <f aca="false">IF(D382="","","SqFt")</f>
        <v/>
      </c>
      <c r="F382" s="271"/>
      <c r="G382" s="271"/>
      <c r="H382" s="271"/>
      <c r="I382" s="271"/>
      <c r="J382" s="271"/>
      <c r="K382" s="313"/>
      <c r="L382" s="311" t="n">
        <f aca="false">IF(K428="incl",0,K428)</f>
        <v>0</v>
      </c>
    </row>
    <row r="383" customFormat="false" ht="13.5" hidden="false" customHeight="true" outlineLevel="0" collapsed="false">
      <c r="A383" s="0" t="n">
        <f aca="false">IF(B383="",0,1)</f>
        <v>0</v>
      </c>
      <c r="B383" s="324" t="str">
        <f aca="false">IF('09-SLAB ON DECK'!B11="","",'09-SLAB ON DECK'!B11)</f>
        <v/>
      </c>
      <c r="C383" s="313" t="str">
        <f aca="false">IF('09-SLAB ON DECK'!E11="","",'09-SLAB ON DECK'!E11)</f>
        <v/>
      </c>
      <c r="D383" s="349" t="str">
        <f aca="false">IF('09-SLAB ON DECK'!D11="","",'09-SLAB ON DECK'!D11)</f>
        <v/>
      </c>
      <c r="E383" s="271" t="str">
        <f aca="false">IF(D383="","","SqFt")</f>
        <v/>
      </c>
      <c r="F383" s="271"/>
      <c r="G383" s="271"/>
      <c r="H383" s="271"/>
      <c r="I383" s="271"/>
      <c r="J383" s="287"/>
      <c r="K383" s="313"/>
      <c r="L383" s="311" t="n">
        <f aca="false">IF(K429="incl",0,K429)</f>
        <v>0</v>
      </c>
    </row>
    <row r="384" customFormat="false" ht="13.5" hidden="false" customHeight="true" outlineLevel="0" collapsed="false">
      <c r="A384" s="0" t="n">
        <f aca="false">IF(B384="",0,1)</f>
        <v>0</v>
      </c>
      <c r="B384" s="324" t="str">
        <f aca="false">IF('09-SLAB ON DECK'!B12="","",'09-SLAB ON DECK'!B12)</f>
        <v/>
      </c>
      <c r="C384" s="313" t="str">
        <f aca="false">IF('09-SLAB ON DECK'!E12="","",'09-SLAB ON DECK'!E12)</f>
        <v/>
      </c>
      <c r="D384" s="349" t="str">
        <f aca="false">IF('09-SLAB ON DECK'!D12="","",'09-SLAB ON DECK'!D12)</f>
        <v/>
      </c>
      <c r="E384" s="271" t="str">
        <f aca="false">IF(D384="","","SqFt")</f>
        <v/>
      </c>
      <c r="F384" s="271"/>
      <c r="G384" s="372"/>
      <c r="H384" s="271"/>
      <c r="I384" s="271"/>
      <c r="J384" s="287"/>
      <c r="K384" s="377"/>
      <c r="L384" s="311" t="n">
        <f aca="false">IF(K430="incl",0,K430)</f>
        <v>0</v>
      </c>
    </row>
    <row r="385" customFormat="false" ht="13.5" hidden="false" customHeight="true" outlineLevel="0" collapsed="false">
      <c r="A385" s="0" t="n">
        <f aca="false">IF(B385="",0,1)</f>
        <v>0</v>
      </c>
      <c r="B385" s="324" t="str">
        <f aca="false">IF('09-SLAB ON DECK'!B13="","",'09-SLAB ON DECK'!B13)</f>
        <v/>
      </c>
      <c r="C385" s="313" t="str">
        <f aca="false">IF('09-SLAB ON DECK'!E4="","",'09-SLAB ON DECK'!E4)</f>
        <v/>
      </c>
      <c r="D385" s="349" t="str">
        <f aca="false">IF('09-SLAB ON DECK'!D13="","",'09-SLAB ON DECK'!D13)</f>
        <v/>
      </c>
      <c r="E385" s="271" t="str">
        <f aca="false">IF(D385="","","SqFt")</f>
        <v/>
      </c>
      <c r="F385" s="271"/>
      <c r="G385" s="271"/>
      <c r="H385" s="271"/>
      <c r="I385" s="271"/>
      <c r="J385" s="271"/>
      <c r="K385" s="302"/>
      <c r="L385" s="0" t="n">
        <f aca="false">IF(K422="incl",0,K422)</f>
        <v>0</v>
      </c>
    </row>
    <row r="386" customFormat="false" ht="13.5" hidden="false" customHeight="true" outlineLevel="0" collapsed="false">
      <c r="A386" s="0" t="n">
        <f aca="false">IF(B386="",0,1)</f>
        <v>0</v>
      </c>
      <c r="B386" s="324" t="str">
        <f aca="false">IF('09-SLAB ON DECK'!B14="","",'09-SLAB ON DECK'!B14)</f>
        <v/>
      </c>
      <c r="C386" s="313" t="str">
        <f aca="false">IF('09-SLAB ON DECK'!E5="","",'09-SLAB ON DECK'!E5)</f>
        <v/>
      </c>
      <c r="D386" s="349" t="str">
        <f aca="false">IF('09-SLAB ON DECK'!D14="","",'09-SLAB ON DECK'!D14)</f>
        <v/>
      </c>
      <c r="E386" s="271" t="str">
        <f aca="false">IF(D386="","","SqFt")</f>
        <v/>
      </c>
      <c r="F386" s="271"/>
      <c r="K386" s="271"/>
      <c r="L386" s="0" t="n">
        <f aca="false">IF(K423="incl",0,K423)</f>
        <v>0</v>
      </c>
    </row>
    <row r="387" customFormat="false" ht="13.5" hidden="false" customHeight="true" outlineLevel="0" collapsed="false">
      <c r="A387" s="0" t="n">
        <f aca="false">IF(B387="",0,1)</f>
        <v>0</v>
      </c>
      <c r="B387" s="324" t="str">
        <f aca="false">IF('09-SLAB ON DECK'!B15="","",'09-SLAB ON DECK'!B15)</f>
        <v/>
      </c>
      <c r="C387" s="313" t="str">
        <f aca="false">IF('09-SLAB ON DECK'!E6="","",'09-SLAB ON DECK'!E6)</f>
        <v/>
      </c>
      <c r="D387" s="349" t="str">
        <f aca="false">IF('09-SLAB ON DECK'!D15="","",'09-SLAB ON DECK'!D15)</f>
        <v/>
      </c>
      <c r="E387" s="271" t="str">
        <f aca="false">IF(D387="","","SqFt")</f>
        <v/>
      </c>
      <c r="F387" s="271"/>
      <c r="K387" s="271"/>
      <c r="L387" s="323" t="n">
        <f aca="false">IF(K424="incl",0,K424)</f>
        <v>0</v>
      </c>
    </row>
    <row r="388" customFormat="false" ht="13.5" hidden="false" customHeight="true" outlineLevel="0" collapsed="false">
      <c r="A388" s="0" t="n">
        <f aca="false">IF(B388="",0,1)</f>
        <v>0</v>
      </c>
      <c r="B388" s="324" t="str">
        <f aca="false">IF('09-SLAB ON DECK'!B16="","",'09-SLAB ON DECK'!B16)</f>
        <v/>
      </c>
      <c r="C388" s="313" t="str">
        <f aca="false">IF('09-SLAB ON DECK'!E14="","",'09-SLAB ON DECK'!E14)</f>
        <v/>
      </c>
      <c r="D388" s="349" t="str">
        <f aca="false">IF('09-SLAB ON DECK'!D16="","",'09-SLAB ON DECK'!D16)</f>
        <v/>
      </c>
      <c r="E388" s="271" t="str">
        <f aca="false">IF(D388="","","SqFt")</f>
        <v/>
      </c>
      <c r="F388" s="271"/>
      <c r="K388" s="271"/>
      <c r="L388" s="311" t="n">
        <f aca="false">IF(K425="incl",0,K425)</f>
        <v>0</v>
      </c>
    </row>
    <row r="389" customFormat="false" ht="13.5" hidden="false" customHeight="true" outlineLevel="0" collapsed="false">
      <c r="A389" s="0" t="n">
        <f aca="false">IF(B389="",0,1)</f>
        <v>0</v>
      </c>
      <c r="B389" s="324" t="str">
        <f aca="false">IF('09-SLAB ON DECK'!B17="","",'09-SLAB ON DECK'!B17)</f>
        <v/>
      </c>
      <c r="C389" s="313" t="str">
        <f aca="false">IF('09-SLAB ON DECK'!E15="","",'09-SLAB ON DECK'!E15)</f>
        <v/>
      </c>
      <c r="D389" s="349" t="str">
        <f aca="false">IF('09-SLAB ON DECK'!D17="","",'09-SLAB ON DECK'!D17)</f>
        <v/>
      </c>
      <c r="E389" s="271" t="str">
        <f aca="false">IF(D389="","","SqFt")</f>
        <v/>
      </c>
      <c r="F389" s="271"/>
      <c r="G389" s="271"/>
      <c r="H389" s="271"/>
      <c r="I389" s="271"/>
      <c r="J389" s="287"/>
      <c r="K389" s="313"/>
      <c r="L389" s="311" t="n">
        <f aca="false">IF(K426="incl",0,K426)</f>
        <v>0</v>
      </c>
    </row>
    <row r="390" customFormat="false" ht="13.5" hidden="false" customHeight="true" outlineLevel="0" collapsed="false">
      <c r="A390" s="0" t="n">
        <f aca="false">IF(B390="",0,1)</f>
        <v>0</v>
      </c>
      <c r="B390" s="324" t="str">
        <f aca="false">IF('09-SLAB ON DECK'!B18="","",'09-SLAB ON DECK'!B18)</f>
        <v/>
      </c>
      <c r="C390" s="313" t="str">
        <f aca="false">IF('09-SLAB ON DECK'!E16="","",'09-SLAB ON DECK'!E16)</f>
        <v/>
      </c>
      <c r="D390" s="349" t="str">
        <f aca="false">IF('09-SLAB ON DECK'!D18="","",'09-SLAB ON DECK'!D18)</f>
        <v/>
      </c>
      <c r="E390" s="271" t="str">
        <f aca="false">IF(D390="","","SqFt")</f>
        <v/>
      </c>
      <c r="F390" s="271"/>
      <c r="G390" s="372"/>
      <c r="H390" s="271"/>
      <c r="I390" s="271"/>
      <c r="J390" s="271"/>
      <c r="K390" s="313"/>
      <c r="L390" s="311" t="n">
        <f aca="false">IF(K427="incl",0,K427)</f>
        <v>0</v>
      </c>
    </row>
    <row r="391" customFormat="false" ht="13.5" hidden="false" customHeight="true" outlineLevel="0" collapsed="false">
      <c r="A391" s="0" t="n">
        <f aca="false">IF(B391="",0,1)</f>
        <v>0</v>
      </c>
      <c r="B391" s="324" t="str">
        <f aca="false">IF('09-SLAB ON DECK'!B19="","",'09-SLAB ON DECK'!B19)</f>
        <v/>
      </c>
      <c r="C391" s="313" t="str">
        <f aca="false">IF('09-SLAB ON DECK'!E17="","",'09-SLAB ON DECK'!E17)</f>
        <v/>
      </c>
      <c r="D391" s="349" t="str">
        <f aca="false">IF('09-SLAB ON DECK'!D19="","",'09-SLAB ON DECK'!D19)</f>
        <v/>
      </c>
      <c r="E391" s="271" t="str">
        <f aca="false">IF(D391="","","SqFt")</f>
        <v/>
      </c>
      <c r="F391" s="271"/>
      <c r="G391" s="271"/>
      <c r="H391" s="271"/>
      <c r="I391" s="271"/>
      <c r="J391" s="271"/>
      <c r="K391" s="302"/>
      <c r="L391" s="311" t="n">
        <f aca="false">IF(K428="incl",0,K428)</f>
        <v>0</v>
      </c>
    </row>
    <row r="392" customFormat="false" ht="13.5" hidden="false" customHeight="true" outlineLevel="0" collapsed="false">
      <c r="A392" s="0" t="n">
        <f aca="false">IF(B392="",0,1)</f>
        <v>0</v>
      </c>
      <c r="B392" s="324" t="str">
        <f aca="false">IF('09-SLAB ON DECK'!B20="","",'09-SLAB ON DECK'!B20)</f>
        <v/>
      </c>
      <c r="C392" s="313" t="str">
        <f aca="false">IF('09-SLAB ON DECK'!E18="","",'09-SLAB ON DECK'!E18)</f>
        <v/>
      </c>
      <c r="D392" s="349" t="str">
        <f aca="false">IF('09-SLAB ON DECK'!D20="","",'09-SLAB ON DECK'!D20)</f>
        <v/>
      </c>
      <c r="E392" s="271" t="str">
        <f aca="false">IF(D392="","","SqFt")</f>
        <v/>
      </c>
      <c r="F392" s="271"/>
      <c r="K392" s="271"/>
      <c r="L392" s="311" t="n">
        <f aca="false">IF(K429="incl",0,K429)</f>
        <v>0</v>
      </c>
    </row>
    <row r="393" customFormat="false" ht="13.5" hidden="false" customHeight="true" outlineLevel="0" collapsed="false">
      <c r="A393" s="0" t="n">
        <f aca="false">IF(B393="",0,1)</f>
        <v>0</v>
      </c>
      <c r="B393" s="324" t="str">
        <f aca="false">IF('09-SLAB ON DECK'!B21="","",'09-SLAB ON DECK'!B21)</f>
        <v/>
      </c>
      <c r="C393" s="313" t="str">
        <f aca="false">IF('09-SLAB ON DECK'!E19="","",'09-SLAB ON DECK'!E19)</f>
        <v/>
      </c>
      <c r="D393" s="349" t="str">
        <f aca="false">IF('09-SLAB ON DECK'!D21="","",'09-SLAB ON DECK'!D21)</f>
        <v/>
      </c>
      <c r="E393" s="271" t="str">
        <f aca="false">IF(D393="","","SqFt")</f>
        <v/>
      </c>
      <c r="F393" s="271"/>
      <c r="K393" s="271"/>
      <c r="L393" s="311" t="n">
        <f aca="false">IF(K430="incl",0,K430)</f>
        <v>0</v>
      </c>
    </row>
    <row r="394" customFormat="false" ht="13.5" hidden="false" customHeight="true" outlineLevel="0" collapsed="false">
      <c r="A394" s="0" t="n">
        <f aca="false">IF(B394="",0,1)</f>
        <v>0</v>
      </c>
      <c r="B394" s="324" t="str">
        <f aca="false">IF('09-SLAB ON DECK'!B22="","",'09-SLAB ON DECK'!B22)</f>
        <v/>
      </c>
      <c r="C394" s="313" t="str">
        <f aca="false">IF('09-SLAB ON DECK'!E13="","",'09-SLAB ON DECK'!E13)</f>
        <v/>
      </c>
      <c r="D394" s="349" t="str">
        <f aca="false">IF('09-SLAB ON DECK'!D22="","",'09-SLAB ON DECK'!D22)</f>
        <v/>
      </c>
      <c r="E394" s="271" t="str">
        <f aca="false">IF(D394="","","SqFt")</f>
        <v/>
      </c>
      <c r="F394" s="271"/>
      <c r="G394" s="271"/>
      <c r="H394" s="271"/>
      <c r="I394" s="271"/>
      <c r="J394" s="271"/>
      <c r="K394" s="302"/>
      <c r="L394" s="311" t="n">
        <f aca="false">IF(K431="incl",0,K431)</f>
        <v>0</v>
      </c>
    </row>
    <row r="395" customFormat="false" ht="13.5" hidden="false" customHeight="true" outlineLevel="0" collapsed="false">
      <c r="A395" s="0" t="n">
        <f aca="false">IF(B395="",0,1)</f>
        <v>0</v>
      </c>
      <c r="B395" s="324" t="str">
        <f aca="false">IF('09-SLAB ON DECK'!B23="","",'09-SLAB ON DECK'!B23)</f>
        <v/>
      </c>
      <c r="C395" s="313" t="str">
        <f aca="false">IF('09-SLAB ON DECK'!E14="","",'09-SLAB ON DECK'!E14)</f>
        <v/>
      </c>
      <c r="D395" s="349" t="str">
        <f aca="false">IF('09-SLAB ON DECK'!D23="","",'09-SLAB ON DECK'!D23)</f>
        <v/>
      </c>
      <c r="E395" s="271" t="str">
        <f aca="false">IF(D395="","","SqFt")</f>
        <v/>
      </c>
      <c r="F395" s="271"/>
      <c r="K395" s="271"/>
      <c r="L395" s="311" t="n">
        <f aca="false">IF(K432="incl",0,K432)</f>
        <v>0</v>
      </c>
    </row>
    <row r="396" customFormat="false" ht="13.5" hidden="false" customHeight="true" outlineLevel="0" collapsed="false">
      <c r="A396" s="0" t="n">
        <f aca="false">IF(B396="",0,1)</f>
        <v>0</v>
      </c>
      <c r="B396" s="324" t="str">
        <f aca="false">IF('09-SLAB ON DECK'!B24="","",'09-SLAB ON DECK'!B24)</f>
        <v/>
      </c>
      <c r="C396" s="313" t="str">
        <f aca="false">IF('09-SLAB ON DECK'!E15="","",'09-SLAB ON DECK'!E15)</f>
        <v/>
      </c>
      <c r="D396" s="349" t="str">
        <f aca="false">IF('09-SLAB ON DECK'!D24="","",'09-SLAB ON DECK'!D24)</f>
        <v/>
      </c>
      <c r="E396" s="271" t="str">
        <f aca="false">IF(D396="","","SqFt")</f>
        <v/>
      </c>
      <c r="F396" s="271"/>
      <c r="K396" s="271"/>
      <c r="L396" s="311" t="n">
        <f aca="false">IF(K433="incl",0,K433)</f>
        <v>0</v>
      </c>
    </row>
    <row r="397" customFormat="false" ht="13.5" hidden="false" customHeight="true" outlineLevel="0" collapsed="false">
      <c r="A397" s="0" t="n">
        <f aca="false">IF(B397="",0,1)</f>
        <v>0</v>
      </c>
      <c r="B397" s="324" t="str">
        <f aca="false">IF('09-SLAB ON DECK'!B25="","",'09-SLAB ON DECK'!B25)</f>
        <v/>
      </c>
      <c r="C397" s="313" t="str">
        <f aca="false">IF('09-SLAB ON DECK'!E23="","",'09-SLAB ON DECK'!E23)</f>
        <v/>
      </c>
      <c r="D397" s="349" t="str">
        <f aca="false">IF('09-SLAB ON DECK'!D25="","",'09-SLAB ON DECK'!D25)</f>
        <v/>
      </c>
      <c r="E397" s="271" t="str">
        <f aca="false">IF(D397="","","SqFt")</f>
        <v/>
      </c>
      <c r="F397" s="271"/>
      <c r="K397" s="271"/>
      <c r="L397" s="311" t="n">
        <f aca="false">IF(K434="incl",0,K434)</f>
        <v>0</v>
      </c>
    </row>
    <row r="398" customFormat="false" ht="13.5" hidden="false" customHeight="true" outlineLevel="0" collapsed="false">
      <c r="A398" s="0" t="n">
        <f aca="false">IF(B398="",0,1)</f>
        <v>0</v>
      </c>
      <c r="B398" s="324" t="str">
        <f aca="false">IF('09-SLAB ON DECK'!B26="","",'09-SLAB ON DECK'!B26)</f>
        <v/>
      </c>
      <c r="C398" s="313" t="str">
        <f aca="false">IF('09-SLAB ON DECK'!E24="","",'09-SLAB ON DECK'!E24)</f>
        <v/>
      </c>
      <c r="D398" s="349" t="str">
        <f aca="false">IF('09-SLAB ON DECK'!D26="","",'09-SLAB ON DECK'!D26)</f>
        <v/>
      </c>
      <c r="E398" s="271" t="str">
        <f aca="false">IF(D398="","","SqFt")</f>
        <v/>
      </c>
      <c r="F398" s="271"/>
      <c r="G398" s="271"/>
      <c r="H398" s="271"/>
      <c r="I398" s="271"/>
      <c r="J398" s="287"/>
      <c r="K398" s="313"/>
      <c r="L398" s="311" t="n">
        <f aca="false">IF(K435="incl",0,K435)</f>
        <v>0</v>
      </c>
    </row>
    <row r="399" customFormat="false" ht="13.5" hidden="false" customHeight="true" outlineLevel="0" collapsed="false">
      <c r="A399" s="0" t="n">
        <f aca="false">IF(B399="",0,1)</f>
        <v>0</v>
      </c>
      <c r="B399" s="324" t="str">
        <f aca="false">IF('09-SLAB ON DECK'!B27="","",'09-SLAB ON DECK'!B27)</f>
        <v/>
      </c>
      <c r="C399" s="313" t="str">
        <f aca="false">IF('09-SLAB ON DECK'!E25="","",'09-SLAB ON DECK'!E25)</f>
        <v/>
      </c>
      <c r="D399" s="349" t="str">
        <f aca="false">IF('09-SLAB ON DECK'!D27="","",'09-SLAB ON DECK'!D27)</f>
        <v/>
      </c>
      <c r="E399" s="271" t="str">
        <f aca="false">IF(D399="","","SqFt")</f>
        <v/>
      </c>
      <c r="F399" s="271"/>
      <c r="G399" s="372"/>
      <c r="H399" s="271"/>
      <c r="I399" s="271"/>
      <c r="J399" s="271"/>
      <c r="K399" s="313"/>
      <c r="L399" s="311" t="n">
        <f aca="false">IF(K436="incl",0,K436)</f>
        <v>0</v>
      </c>
    </row>
    <row r="400" customFormat="false" ht="13.5" hidden="false" customHeight="true" outlineLevel="0" collapsed="false">
      <c r="A400" s="0" t="n">
        <f aca="false">IF(B400="",0,1)</f>
        <v>0</v>
      </c>
      <c r="B400" s="324" t="str">
        <f aca="false">IF('09-SLAB ON DECK'!B28="","",'09-SLAB ON DECK'!B28)</f>
        <v/>
      </c>
      <c r="C400" s="313" t="str">
        <f aca="false">IF('09-SLAB ON DECK'!E26="","",'09-SLAB ON DECK'!E26)</f>
        <v/>
      </c>
      <c r="D400" s="349" t="str">
        <f aca="false">IF('09-SLAB ON DECK'!D28="","",'09-SLAB ON DECK'!D28)</f>
        <v/>
      </c>
      <c r="E400" s="271" t="str">
        <f aca="false">IF(D400="","","SqFt")</f>
        <v/>
      </c>
      <c r="F400" s="271"/>
      <c r="G400" s="271"/>
      <c r="H400" s="271"/>
      <c r="I400" s="271"/>
      <c r="J400" s="271"/>
      <c r="K400" s="302"/>
      <c r="L400" s="311" t="n">
        <f aca="false">IF(K437="incl",0,K437)</f>
        <v>0</v>
      </c>
    </row>
    <row r="401" customFormat="false" ht="13.5" hidden="false" customHeight="true" outlineLevel="0" collapsed="false">
      <c r="A401" s="0" t="n">
        <f aca="false">IF(B401="",0,1)</f>
        <v>0</v>
      </c>
      <c r="B401" s="324" t="str">
        <f aca="false">IF('09-SLAB ON DECK'!B29="","",'09-SLAB ON DECK'!B29)</f>
        <v/>
      </c>
      <c r="C401" s="313" t="str">
        <f aca="false">IF('09-SLAB ON DECK'!E21="","",'09-SLAB ON DECK'!E21)</f>
        <v/>
      </c>
      <c r="D401" s="349" t="str">
        <f aca="false">IF('09-SLAB ON DECK'!D29="","",'09-SLAB ON DECK'!D29)</f>
        <v/>
      </c>
      <c r="E401" s="271" t="str">
        <f aca="false">IF(D401="","","SqFt")</f>
        <v/>
      </c>
      <c r="F401" s="271"/>
      <c r="K401" s="271"/>
      <c r="L401" s="311" t="n">
        <f aca="false">IF(K432="incl",0,K432)</f>
        <v>0</v>
      </c>
    </row>
    <row r="402" customFormat="false" ht="13.5" hidden="false" customHeight="true" outlineLevel="0" collapsed="false">
      <c r="A402" s="0" t="n">
        <f aca="false">IF(B402="",0,1)</f>
        <v>0</v>
      </c>
      <c r="B402" s="324" t="str">
        <f aca="false">IF('09-SLAB ON DECK'!B30="","",'09-SLAB ON DECK'!B30)</f>
        <v/>
      </c>
      <c r="C402" s="313" t="str">
        <f aca="false">IF('09-SLAB ON DECK'!E22="","",'09-SLAB ON DECK'!E22)</f>
        <v/>
      </c>
      <c r="D402" s="349" t="str">
        <f aca="false">IF('09-SLAB ON DECK'!D30="","",'09-SLAB ON DECK'!D30)</f>
        <v/>
      </c>
      <c r="E402" s="271" t="str">
        <f aca="false">IF(D402="","","SqFt")</f>
        <v/>
      </c>
      <c r="F402" s="271"/>
      <c r="K402" s="271"/>
      <c r="L402" s="311" t="n">
        <f aca="false">IF(K433="incl",0,K433)</f>
        <v>0</v>
      </c>
    </row>
    <row r="403" customFormat="false" ht="13.5" hidden="false" customHeight="true" outlineLevel="0" collapsed="false">
      <c r="A403" s="0" t="n">
        <f aca="false">IF(B403="",0,1)</f>
        <v>0</v>
      </c>
      <c r="B403" s="324" t="str">
        <f aca="false">IF('09-SLAB ON DECK'!B31="","",'09-SLAB ON DECK'!B31)</f>
        <v/>
      </c>
      <c r="C403" s="313" t="str">
        <f aca="false">IF('09-SLAB ON DECK'!E23="","",'09-SLAB ON DECK'!E23)</f>
        <v/>
      </c>
      <c r="D403" s="349" t="str">
        <f aca="false">IF('09-SLAB ON DECK'!D31="","",'09-SLAB ON DECK'!D31)</f>
        <v/>
      </c>
      <c r="E403" s="271" t="str">
        <f aca="false">IF(D403="","","SqFt")</f>
        <v/>
      </c>
      <c r="F403" s="271"/>
      <c r="K403" s="271"/>
      <c r="L403" s="311" t="n">
        <f aca="false">IF(K434="incl",0,K434)</f>
        <v>0</v>
      </c>
    </row>
    <row r="404" customFormat="false" ht="13.5" hidden="false" customHeight="true" outlineLevel="0" collapsed="false">
      <c r="A404" s="0" t="n">
        <f aca="false">IF(B404="",0,1)</f>
        <v>0</v>
      </c>
      <c r="B404" s="324" t="str">
        <f aca="false">IF('09-SLAB ON DECK'!B32="","",'09-SLAB ON DECK'!B32)</f>
        <v/>
      </c>
      <c r="C404" s="313" t="str">
        <f aca="false">IF('09-SLAB ON DECK'!E24="","",'09-SLAB ON DECK'!E24)</f>
        <v/>
      </c>
      <c r="D404" s="349" t="str">
        <f aca="false">IF('09-SLAB ON DECK'!D32="","",'09-SLAB ON DECK'!D32)</f>
        <v/>
      </c>
      <c r="E404" s="271" t="str">
        <f aca="false">IF(D404="","","SqFt")</f>
        <v/>
      </c>
      <c r="F404" s="271"/>
      <c r="G404" s="271"/>
      <c r="H404" s="271"/>
      <c r="I404" s="271"/>
      <c r="J404" s="287"/>
      <c r="K404" s="313"/>
    </row>
    <row r="405" customFormat="false" ht="13.5" hidden="false" customHeight="true" outlineLevel="0" collapsed="false">
      <c r="A405" s="0" t="n">
        <f aca="false">IF(B405="",0,1)</f>
        <v>0</v>
      </c>
      <c r="B405" s="324" t="str">
        <f aca="false">IF('09-SLAB ON DECK'!B33="","",'09-SLAB ON DECK'!B33)</f>
        <v/>
      </c>
      <c r="C405" s="313" t="str">
        <f aca="false">IF('09-SLAB ON DECK'!E25="","",'09-SLAB ON DECK'!E25)</f>
        <v/>
      </c>
      <c r="D405" s="349" t="str">
        <f aca="false">IF('09-SLAB ON DECK'!D33="","",'09-SLAB ON DECK'!D33)</f>
        <v/>
      </c>
      <c r="E405" s="271" t="str">
        <f aca="false">IF(D405="","","SqFt")</f>
        <v/>
      </c>
      <c r="F405" s="271"/>
      <c r="G405" s="372"/>
      <c r="H405" s="271"/>
      <c r="I405" s="271"/>
      <c r="J405" s="271"/>
      <c r="K405" s="313"/>
      <c r="L405" s="0" t="n">
        <f aca="false">IF(K436="incl",0,K436)</f>
        <v>0</v>
      </c>
    </row>
    <row r="406" customFormat="false" ht="13.5" hidden="false" customHeight="true" outlineLevel="0" collapsed="false">
      <c r="A406" s="0" t="n">
        <f aca="false">IF(B406="",0,1)</f>
        <v>0</v>
      </c>
      <c r="B406" s="324" t="str">
        <f aca="false">IF('09-SLAB ON DECK'!B34="","",'09-SLAB ON DECK'!B34)</f>
        <v/>
      </c>
      <c r="C406" s="313" t="str">
        <f aca="false">IF('09-SLAB ON DECK'!E26="","",'09-SLAB ON DECK'!E26)</f>
        <v/>
      </c>
      <c r="D406" s="349" t="str">
        <f aca="false">IF('09-SLAB ON DECK'!D34="","",'09-SLAB ON DECK'!D34)</f>
        <v/>
      </c>
      <c r="E406" s="271" t="str">
        <f aca="false">IF(D406="","","SqFt")</f>
        <v/>
      </c>
      <c r="F406" s="271"/>
      <c r="G406" s="271"/>
      <c r="H406" s="271"/>
      <c r="I406" s="271"/>
      <c r="J406" s="271"/>
      <c r="K406" s="302"/>
      <c r="L406" s="0" t="n">
        <f aca="false">IF(K437="incl",0,K437)</f>
        <v>0</v>
      </c>
    </row>
    <row r="407" customFormat="false" ht="13.5" hidden="false" customHeight="true" outlineLevel="0" collapsed="false">
      <c r="A407" s="0" t="n">
        <f aca="false">IF(B407="",0,1)</f>
        <v>0</v>
      </c>
      <c r="B407" s="324" t="str">
        <f aca="false">IF('09-SLAB ON DECK'!B35="","",'09-SLAB ON DECK'!B35)</f>
        <v/>
      </c>
      <c r="C407" s="313" t="str">
        <f aca="false">IF('09-SLAB ON DECK'!E27="","",'09-SLAB ON DECK'!E27)</f>
        <v/>
      </c>
      <c r="D407" s="349" t="str">
        <f aca="false">IF('09-SLAB ON DECK'!D35="","",'09-SLAB ON DECK'!D35)</f>
        <v/>
      </c>
      <c r="E407" s="271" t="str">
        <f aca="false">IF(D407="","","SqFt")</f>
        <v/>
      </c>
      <c r="F407" s="271"/>
      <c r="K407" s="271"/>
      <c r="L407" s="311" t="n">
        <f aca="false">IF(K438="incl",0,K438)</f>
        <v>0</v>
      </c>
    </row>
    <row r="408" customFormat="false" ht="13.5" hidden="false" customHeight="true" outlineLevel="0" collapsed="false">
      <c r="A408" s="0" t="n">
        <f aca="false">IF(B408="",0,1)</f>
        <v>0</v>
      </c>
      <c r="B408" s="324" t="str">
        <f aca="false">IF('09-SLAB ON DECK'!B36="","",'09-SLAB ON DECK'!B36)</f>
        <v/>
      </c>
      <c r="C408" s="313" t="str">
        <f aca="false">IF('09-SLAB ON DECK'!E28="","",'09-SLAB ON DECK'!E28)</f>
        <v/>
      </c>
      <c r="D408" s="349" t="str">
        <f aca="false">IF('09-SLAB ON DECK'!D36="","",'09-SLAB ON DECK'!D36)</f>
        <v/>
      </c>
      <c r="E408" s="271" t="str">
        <f aca="false">IF(D408="","","SqFt")</f>
        <v/>
      </c>
      <c r="F408" s="271"/>
      <c r="K408" s="271"/>
      <c r="L408" s="311" t="n">
        <f aca="false">IF(K439="incl",0,K439)</f>
        <v>0</v>
      </c>
    </row>
    <row r="409" customFormat="false" ht="13.5" hidden="false" customHeight="true" outlineLevel="0" collapsed="false">
      <c r="A409" s="0" t="n">
        <f aca="false">IF(B409="",0,1)</f>
        <v>0</v>
      </c>
      <c r="B409" s="324" t="str">
        <f aca="false">IF('09-SLAB ON DECK'!B37="","",'09-SLAB ON DECK'!B37)</f>
        <v/>
      </c>
      <c r="C409" s="313" t="str">
        <f aca="false">IF('09-SLAB ON DECK'!E29="","",'09-SLAB ON DECK'!E29)</f>
        <v/>
      </c>
      <c r="D409" s="349" t="str">
        <f aca="false">IF('09-SLAB ON DECK'!D37="","",'09-SLAB ON DECK'!D37)</f>
        <v/>
      </c>
      <c r="E409" s="271" t="str">
        <f aca="false">IF(D409="","","SqFt")</f>
        <v/>
      </c>
      <c r="F409" s="271"/>
      <c r="K409" s="271"/>
      <c r="L409" s="311" t="n">
        <f aca="false">IF(K440="incl",0,K440)</f>
        <v>0</v>
      </c>
    </row>
    <row r="410" customFormat="false" ht="13.5" hidden="false" customHeight="true" outlineLevel="0" collapsed="false">
      <c r="A410" s="0" t="n">
        <f aca="false">IF(B410="",0,1)</f>
        <v>0</v>
      </c>
      <c r="B410" s="324" t="str">
        <f aca="false">IF('09-SLAB ON DECK'!B38="","",'09-SLAB ON DECK'!B38)</f>
        <v/>
      </c>
      <c r="C410" s="313" t="str">
        <f aca="false">IF('09-SLAB ON DECK'!E30="","",'09-SLAB ON DECK'!E30)</f>
        <v/>
      </c>
      <c r="D410" s="349" t="str">
        <f aca="false">IF('09-SLAB ON DECK'!D38="","",'09-SLAB ON DECK'!D38)</f>
        <v/>
      </c>
      <c r="E410" s="271" t="str">
        <f aca="false">IF(D410="","","SqFt")</f>
        <v/>
      </c>
      <c r="F410" s="271"/>
      <c r="G410" s="271"/>
      <c r="H410" s="271"/>
      <c r="I410" s="271"/>
      <c r="J410" s="287"/>
      <c r="K410" s="313"/>
    </row>
    <row r="411" customFormat="false" ht="13.5" hidden="false" customHeight="true" outlineLevel="0" collapsed="false">
      <c r="A411" s="0" t="n">
        <f aca="false">IF(B411="",0,1)</f>
        <v>0</v>
      </c>
      <c r="B411" s="324" t="str">
        <f aca="false">IF('09-SLAB ON DECK'!B39="","",'09-SLAB ON DECK'!B39)</f>
        <v/>
      </c>
      <c r="C411" s="313" t="str">
        <f aca="false">IF('09-SLAB ON DECK'!E31="","",'09-SLAB ON DECK'!E31)</f>
        <v/>
      </c>
      <c r="D411" s="349" t="str">
        <f aca="false">IF('09-SLAB ON DECK'!D39="","",'09-SLAB ON DECK'!D39)</f>
        <v/>
      </c>
      <c r="E411" s="271" t="str">
        <f aca="false">IF(D411="","","SqFt")</f>
        <v/>
      </c>
      <c r="F411" s="271"/>
      <c r="G411" s="372"/>
      <c r="H411" s="271"/>
      <c r="I411" s="271"/>
      <c r="J411" s="271"/>
      <c r="K411" s="313"/>
      <c r="L411" s="0" t="n">
        <f aca="false">IF(K442="incl",0,K442)</f>
        <v>0</v>
      </c>
    </row>
    <row r="412" customFormat="false" ht="13.5" hidden="false" customHeight="true" outlineLevel="0" collapsed="false">
      <c r="A412" s="0" t="n">
        <f aca="false">IF(B412="",0,1)</f>
        <v>0</v>
      </c>
      <c r="B412" s="324" t="str">
        <f aca="false">IF('09-SLAB ON DECK'!B40="","",'09-SLAB ON DECK'!B40)</f>
        <v/>
      </c>
      <c r="C412" s="313" t="str">
        <f aca="false">IF('09-SLAB ON DECK'!E32="","",'09-SLAB ON DECK'!E32)</f>
        <v/>
      </c>
      <c r="D412" s="349" t="str">
        <f aca="false">IF('09-SLAB ON DECK'!D40="","",'09-SLAB ON DECK'!D40)</f>
        <v/>
      </c>
      <c r="E412" s="271" t="str">
        <f aca="false">IF(D412="","","SqFt")</f>
        <v/>
      </c>
      <c r="F412" s="271"/>
      <c r="G412" s="271"/>
      <c r="H412" s="271"/>
      <c r="I412" s="271"/>
      <c r="J412" s="271"/>
      <c r="K412" s="302"/>
      <c r="L412" s="0" t="n">
        <f aca="false">IF(K443="incl",0,K443)</f>
        <v>0</v>
      </c>
    </row>
    <row r="413" customFormat="false" ht="13.5" hidden="false" customHeight="true" outlineLevel="0" collapsed="false">
      <c r="A413" s="0" t="n">
        <f aca="false">IF(B413="",0,1)</f>
        <v>0</v>
      </c>
      <c r="B413" s="324" t="str">
        <f aca="false">IF('09-SLAB ON DECK'!B41="","",'09-SLAB ON DECK'!B41)</f>
        <v/>
      </c>
      <c r="C413" s="313" t="str">
        <f aca="false">IF('09-SLAB ON DECK'!E33="","",'09-SLAB ON DECK'!E33)</f>
        <v/>
      </c>
      <c r="D413" s="349" t="str">
        <f aca="false">IF('09-SLAB ON DECK'!D41="","",'09-SLAB ON DECK'!D41)</f>
        <v/>
      </c>
      <c r="E413" s="271" t="str">
        <f aca="false">IF(D413="","","SqFt")</f>
        <v/>
      </c>
      <c r="F413" s="271"/>
      <c r="K413" s="271"/>
      <c r="L413" s="0" t="n">
        <f aca="false">IF(K451="incl",0,K451)</f>
        <v>0</v>
      </c>
    </row>
    <row r="414" customFormat="false" ht="13.5" hidden="false" customHeight="true" outlineLevel="0" collapsed="false">
      <c r="A414" s="0" t="n">
        <f aca="false">IF(SUM(A$382:A$413)&gt;0,1,0)</f>
        <v>0</v>
      </c>
      <c r="B414" s="334"/>
      <c r="C414" s="287" t="str">
        <f aca="false">IF('09-SLAB ON DECK'!E34="","",'09-SLAB ON DECK'!E34)</f>
        <v/>
      </c>
      <c r="D414" s="359" t="str">
        <f aca="false">IF('09-SLAB ON DECK'!C34="","",'09-SLAB ON DECK'!C34)</f>
        <v/>
      </c>
      <c r="E414" s="271" t="str">
        <f aca="false">IF(D414="","","SqFt")</f>
        <v/>
      </c>
      <c r="F414" s="271"/>
      <c r="K414" s="271"/>
      <c r="L414" s="0" t="n">
        <f aca="false">IF(K452="incl",0,K452)</f>
        <v>0</v>
      </c>
    </row>
    <row r="415" customFormat="false" ht="13.5" hidden="false" customHeight="true" outlineLevel="0" collapsed="false">
      <c r="A415" s="0" t="n">
        <f aca="false">IF(SUM(A$382:A$413)&gt;0,1,0)</f>
        <v>0</v>
      </c>
      <c r="B415" s="362" t="s">
        <v>840</v>
      </c>
      <c r="C415" s="271"/>
      <c r="D415" s="271"/>
      <c r="E415" s="271"/>
      <c r="F415" s="271"/>
      <c r="G415" s="271"/>
      <c r="H415" s="271"/>
      <c r="I415" s="271"/>
      <c r="J415" s="271"/>
      <c r="K415" s="302"/>
      <c r="L415" s="0" t="e">
        <f aca="false">IF(#ref!="incl",0,#ref!)</f>
        <v>#NAME?</v>
      </c>
    </row>
    <row r="416" customFormat="false" ht="13.5" hidden="false" customHeight="true" outlineLevel="0" collapsed="false">
      <c r="A416" s="0" t="n">
        <f aca="false">IF(SUM(A$382:A$413)&gt;0,1,0)</f>
        <v>0</v>
      </c>
      <c r="B416" s="271" t="s">
        <v>887</v>
      </c>
      <c r="D416" s="271"/>
      <c r="E416" s="271"/>
      <c r="F416" s="271"/>
      <c r="K416" s="271"/>
      <c r="L416" s="0" t="n">
        <f aca="false">IF(K454="incl",0,K454)</f>
        <v>0</v>
      </c>
    </row>
    <row r="417" customFormat="false" ht="13.5" hidden="false" customHeight="true" outlineLevel="0" collapsed="false">
      <c r="A417" s="0" t="n">
        <f aca="false">IF(SUM(A$382:A$413)&gt;0,1,0)</f>
        <v>0</v>
      </c>
      <c r="B417" s="271" t="s">
        <v>888</v>
      </c>
      <c r="C417" s="271"/>
      <c r="D417" s="271"/>
      <c r="E417" s="271"/>
      <c r="F417" s="271"/>
      <c r="G417" s="271"/>
      <c r="H417" s="271"/>
      <c r="I417" s="271"/>
      <c r="J417" s="271"/>
      <c r="K417" s="271"/>
      <c r="L417" s="0" t="n">
        <f aca="false">IF(K455="incl",0,K455)</f>
        <v>0</v>
      </c>
    </row>
    <row r="418" customFormat="false" ht="13.5" hidden="false" customHeight="true" outlineLevel="0" collapsed="false">
      <c r="A418" s="0" t="n">
        <f aca="false">IF(SUM(A$382:A$413)&gt;0,1,0)</f>
        <v>0</v>
      </c>
      <c r="B418" s="320" t="s">
        <v>843</v>
      </c>
      <c r="C418" s="271"/>
      <c r="D418" s="271"/>
      <c r="E418" s="271"/>
      <c r="F418" s="271"/>
      <c r="K418" s="271"/>
      <c r="L418" s="0" t="n">
        <f aca="false">IF(K458="incl",0,K458)</f>
        <v>0</v>
      </c>
    </row>
    <row r="419" customFormat="false" ht="13.5" hidden="false" customHeight="true" outlineLevel="0" collapsed="false">
      <c r="A419" s="0" t="n">
        <f aca="false">IF(SUM(A$382:A$413)&gt;0,1,0)</f>
        <v>0</v>
      </c>
      <c r="B419" s="271" t="s">
        <v>889</v>
      </c>
      <c r="C419" s="271"/>
      <c r="D419" s="271"/>
      <c r="E419" s="271"/>
      <c r="F419" s="271"/>
      <c r="G419" s="271"/>
      <c r="H419" s="271"/>
      <c r="I419" s="271"/>
      <c r="J419" s="271"/>
      <c r="K419" s="271"/>
      <c r="L419" s="0" t="n">
        <f aca="false">IF(K459="incl",0,K459)</f>
        <v>0</v>
      </c>
    </row>
    <row r="420" customFormat="false" ht="13.5" hidden="false" customHeight="true" outlineLevel="0" collapsed="false">
      <c r="A420" s="0" t="n">
        <f aca="false">IF(SUM(A$382:A$413)&gt;0,1,0)</f>
        <v>0</v>
      </c>
      <c r="B420" s="271"/>
      <c r="C420" s="271"/>
      <c r="D420" s="271"/>
      <c r="E420" s="271"/>
      <c r="F420" s="271"/>
      <c r="G420" s="271"/>
      <c r="H420" s="271"/>
      <c r="I420" s="271"/>
      <c r="J420" s="271"/>
      <c r="K420" s="271"/>
      <c r="L420" s="0" t="n">
        <f aca="false">IF(K460="incl",0,K460)</f>
        <v>0</v>
      </c>
    </row>
    <row r="421" customFormat="false" ht="30" hidden="false" customHeight="true" outlineLevel="0" collapsed="false">
      <c r="A421" s="0" t="n">
        <f aca="false">IF(SUM(A$425:A$441)&gt;0,1,0)</f>
        <v>0</v>
      </c>
      <c r="B421" s="271"/>
      <c r="C421" s="271"/>
      <c r="D421" s="271"/>
      <c r="E421" s="272" t="s">
        <v>825</v>
      </c>
      <c r="F421" s="271"/>
      <c r="G421" s="271"/>
      <c r="H421" s="271"/>
      <c r="I421" s="271"/>
      <c r="J421" s="271"/>
      <c r="K421" s="378"/>
    </row>
    <row r="422" customFormat="false" ht="13.5" hidden="false" customHeight="true" outlineLevel="0" collapsed="false">
      <c r="A422" s="0" t="n">
        <f aca="false">IF(SUM(A$425:A$441)&gt;0,1,0)</f>
        <v>0</v>
      </c>
      <c r="B422" s="337"/>
      <c r="C422" s="271"/>
      <c r="D422" s="271"/>
      <c r="E422" s="272"/>
      <c r="F422" s="271"/>
      <c r="G422" s="271"/>
      <c r="H422" s="271"/>
      <c r="I422" s="271"/>
      <c r="J422" s="271"/>
      <c r="K422" s="271"/>
    </row>
    <row r="423" customFormat="false" ht="19.5" hidden="false" customHeight="true" outlineLevel="0" collapsed="false">
      <c r="A423" s="0" t="n">
        <f aca="false">IF(SUM(A$425:A$441)&gt;0,1,0)</f>
        <v>0</v>
      </c>
      <c r="B423" s="315" t="s">
        <v>890</v>
      </c>
      <c r="C423" s="316" t="n">
        <f aca="false">'10-PAVING'!D39</f>
        <v>0</v>
      </c>
      <c r="D423" s="316"/>
      <c r="E423" s="352"/>
      <c r="F423" s="352"/>
      <c r="G423" s="342"/>
      <c r="H423" s="342"/>
      <c r="I423" s="353"/>
      <c r="J423" s="353"/>
      <c r="K423" s="342"/>
      <c r="L423" s="0" t="n">
        <f aca="false">IF(K465="incl",0,K465)</f>
        <v>0</v>
      </c>
      <c r="N423" s="291" t="n">
        <f aca="false">'10-PAVING'!D39</f>
        <v>0</v>
      </c>
    </row>
    <row r="424" customFormat="false" ht="13.5" hidden="false" customHeight="true" outlineLevel="0" collapsed="false">
      <c r="A424" s="341" t="n">
        <f aca="false">IF(SUM(A$425:A$441)&gt;0,1,0)</f>
        <v>0</v>
      </c>
      <c r="B424" s="363" t="s">
        <v>847</v>
      </c>
      <c r="C424" s="364" t="s">
        <v>858</v>
      </c>
      <c r="D424" s="364" t="s">
        <v>859</v>
      </c>
      <c r="E424" s="364" t="s">
        <v>519</v>
      </c>
      <c r="F424" s="379" t="s">
        <v>891</v>
      </c>
      <c r="G424" s="379"/>
      <c r="H424" s="314"/>
      <c r="I424" s="340"/>
      <c r="J424" s="340"/>
      <c r="K424" s="380"/>
      <c r="L424" s="0" t="n">
        <f aca="false">IF(K466="incl",0,K466)</f>
        <v>0</v>
      </c>
    </row>
    <row r="425" customFormat="false" ht="13.5" hidden="false" customHeight="true" outlineLevel="0" collapsed="false">
      <c r="A425" s="0" t="n">
        <f aca="false">IF(B425="",0,1)</f>
        <v>0</v>
      </c>
      <c r="B425" s="271" t="str">
        <f aca="false">IF('10-PAVING'!A10="","",'10-PAVING'!A10)</f>
        <v/>
      </c>
      <c r="C425" s="381" t="str">
        <f aca="false">IF('10-PAVING'!E10="","",'10-PAVING'!E10)</f>
        <v/>
      </c>
      <c r="D425" s="382" t="str">
        <f aca="false">IF('10-PAVING'!C10="","",'10-PAVING'!C10)</f>
        <v/>
      </c>
      <c r="E425" s="383" t="str">
        <f aca="false">IF(D425="","","SqFt")</f>
        <v/>
      </c>
      <c r="F425" s="376" t="n">
        <f aca="false">'10-PAVING'!U10</f>
        <v>0</v>
      </c>
      <c r="G425" s="376"/>
      <c r="H425" s="314"/>
      <c r="I425" s="314"/>
      <c r="J425" s="314"/>
      <c r="K425" s="307"/>
    </row>
    <row r="426" customFormat="false" ht="13.5" hidden="false" customHeight="true" outlineLevel="0" collapsed="false">
      <c r="A426" s="0" t="n">
        <f aca="false">IF(B426="",0,1)</f>
        <v>0</v>
      </c>
      <c r="B426" s="271" t="str">
        <f aca="false">IF('10-PAVING'!A11="","",'10-PAVING'!A11)</f>
        <v/>
      </c>
      <c r="C426" s="381" t="str">
        <f aca="false">IF('10-PAVING'!E11="","",'10-PAVING'!E11)</f>
        <v/>
      </c>
      <c r="D426" s="382" t="str">
        <f aca="false">IF('10-PAVING'!C11="","",'10-PAVING'!C11)</f>
        <v/>
      </c>
      <c r="E426" s="384" t="str">
        <f aca="false">IF(D426="","","SqFt")</f>
        <v/>
      </c>
      <c r="F426" s="376" t="n">
        <f aca="false">'10-PAVING'!U11</f>
        <v>0</v>
      </c>
      <c r="G426" s="376"/>
      <c r="H426" s="271"/>
      <c r="I426" s="314"/>
      <c r="J426" s="271"/>
      <c r="K426" s="307"/>
    </row>
    <row r="427" customFormat="false" ht="13.5" hidden="false" customHeight="true" outlineLevel="0" collapsed="false">
      <c r="A427" s="0" t="n">
        <f aca="false">IF(B427="",0,1)</f>
        <v>0</v>
      </c>
      <c r="B427" s="271" t="str">
        <f aca="false">IF('10-PAVING'!A12="","",'10-PAVING'!A12)</f>
        <v/>
      </c>
      <c r="C427" s="381" t="str">
        <f aca="false">IF('10-PAVING'!E12="","",'10-PAVING'!E12)</f>
        <v/>
      </c>
      <c r="D427" s="382" t="str">
        <f aca="false">IF('10-PAVING'!C12="","",'10-PAVING'!C12)</f>
        <v/>
      </c>
      <c r="E427" s="384" t="str">
        <f aca="false">IF(D427="","","SqFt")</f>
        <v/>
      </c>
      <c r="F427" s="376" t="n">
        <f aca="false">'10-PAVING'!U12</f>
        <v>0</v>
      </c>
      <c r="G427" s="376"/>
      <c r="H427" s="271"/>
      <c r="I427" s="314"/>
      <c r="J427" s="271"/>
      <c r="K427" s="307"/>
    </row>
    <row r="428" customFormat="false" ht="13.5" hidden="false" customHeight="true" outlineLevel="0" collapsed="false">
      <c r="A428" s="0" t="n">
        <f aca="false">IF(B428="",0,1)</f>
        <v>0</v>
      </c>
      <c r="B428" s="271" t="str">
        <f aca="false">IF('10-PAVING'!A13="","",'10-PAVING'!A13)</f>
        <v/>
      </c>
      <c r="C428" s="381" t="str">
        <f aca="false">IF('10-PAVING'!E13="","",'10-PAVING'!E13)</f>
        <v/>
      </c>
      <c r="D428" s="382" t="str">
        <f aca="false">IF('10-PAVING'!C13="","",'10-PAVING'!C13)</f>
        <v/>
      </c>
      <c r="E428" s="384" t="str">
        <f aca="false">IF(D428="","","SqFt")</f>
        <v/>
      </c>
      <c r="F428" s="376" t="n">
        <f aca="false">'10-PAVING'!U13</f>
        <v>0</v>
      </c>
      <c r="G428" s="376"/>
      <c r="H428" s="271"/>
      <c r="I428" s="314"/>
      <c r="J428" s="271"/>
      <c r="K428" s="307"/>
      <c r="L428" s="0" t="n">
        <f aca="false">IF(K470="incl",0,K470)</f>
        <v>0</v>
      </c>
    </row>
    <row r="429" customFormat="false" ht="13.5" hidden="false" customHeight="true" outlineLevel="0" collapsed="false">
      <c r="A429" s="0" t="n">
        <f aca="false">IF(B429="",0,1)</f>
        <v>0</v>
      </c>
      <c r="B429" s="271" t="str">
        <f aca="false">IF('10-PAVING'!A14="","",'10-PAVING'!A14)</f>
        <v/>
      </c>
      <c r="C429" s="381" t="str">
        <f aca="false">IF('10-PAVING'!E14="","",'10-PAVING'!E14)</f>
        <v/>
      </c>
      <c r="D429" s="382" t="str">
        <f aca="false">IF('10-PAVING'!C14="","",'10-PAVING'!C14)</f>
        <v/>
      </c>
      <c r="E429" s="384" t="str">
        <f aca="false">IF(D429="","","SqFt")</f>
        <v/>
      </c>
      <c r="F429" s="376" t="n">
        <f aca="false">'10-PAVING'!U14</f>
        <v>0</v>
      </c>
      <c r="G429" s="376"/>
      <c r="H429" s="314"/>
      <c r="I429" s="314"/>
      <c r="J429" s="314"/>
      <c r="K429" s="307"/>
      <c r="L429" s="0" t="n">
        <f aca="false">IF(K476="incl",0,K476)</f>
        <v>0</v>
      </c>
    </row>
    <row r="430" customFormat="false" ht="13.5" hidden="false" customHeight="true" outlineLevel="0" collapsed="false">
      <c r="A430" s="0" t="n">
        <f aca="false">IF(B430="",0,1)</f>
        <v>0</v>
      </c>
      <c r="B430" s="271" t="str">
        <f aca="false">IF('10-PAVING'!A15="","",'10-PAVING'!A15)</f>
        <v/>
      </c>
      <c r="C430" s="381" t="str">
        <f aca="false">IF('10-PAVING'!E15="","",'10-PAVING'!E15)</f>
        <v/>
      </c>
      <c r="D430" s="382" t="str">
        <f aca="false">IF('10-PAVING'!C15="","",'10-PAVING'!C15)</f>
        <v/>
      </c>
      <c r="E430" s="384" t="str">
        <f aca="false">IF(D430="","","SqFt")</f>
        <v/>
      </c>
      <c r="F430" s="376" t="n">
        <f aca="false">'10-PAVING'!U15</f>
        <v>0</v>
      </c>
      <c r="G430" s="376"/>
      <c r="H430" s="271"/>
      <c r="I430" s="314"/>
      <c r="J430" s="271"/>
      <c r="K430" s="307"/>
    </row>
    <row r="431" customFormat="false" ht="13.5" hidden="false" customHeight="true" outlineLevel="0" collapsed="false">
      <c r="A431" s="0" t="n">
        <f aca="false">IF(B431="",0,1)</f>
        <v>0</v>
      </c>
      <c r="B431" s="271" t="str">
        <f aca="false">IF('10-PAVING'!A16="","",'10-PAVING'!A16)</f>
        <v/>
      </c>
      <c r="C431" s="381" t="str">
        <f aca="false">IF('10-PAVING'!E16="","",'10-PAVING'!E16)</f>
        <v/>
      </c>
      <c r="D431" s="382" t="str">
        <f aca="false">IF('10-PAVING'!C16="","",'10-PAVING'!C16)</f>
        <v/>
      </c>
      <c r="E431" s="384" t="str">
        <f aca="false">IF(D431="","","SqFt")</f>
        <v/>
      </c>
      <c r="F431" s="376" t="n">
        <f aca="false">'10-PAVING'!U16</f>
        <v>0</v>
      </c>
      <c r="G431" s="376"/>
      <c r="H431" s="271"/>
      <c r="I431" s="314"/>
      <c r="J431" s="271"/>
      <c r="K431" s="307"/>
    </row>
    <row r="432" customFormat="false" ht="13.5" hidden="false" customHeight="true" outlineLevel="0" collapsed="false">
      <c r="A432" s="0" t="n">
        <f aca="false">IF(B432="",0,1)</f>
        <v>0</v>
      </c>
      <c r="B432" s="271" t="str">
        <f aca="false">IF('10-PAVING'!A17="","",'10-PAVING'!A17)</f>
        <v/>
      </c>
      <c r="C432" s="381" t="str">
        <f aca="false">IF('10-PAVING'!E17="","",'10-PAVING'!E17)</f>
        <v/>
      </c>
      <c r="D432" s="382" t="str">
        <f aca="false">IF('10-PAVING'!C17="","",'10-PAVING'!C17)</f>
        <v/>
      </c>
      <c r="E432" s="384" t="str">
        <f aca="false">IF(D432="","","SqFt")</f>
        <v/>
      </c>
      <c r="F432" s="376" t="n">
        <f aca="false">'10-PAVING'!U17</f>
        <v>0</v>
      </c>
      <c r="G432" s="376"/>
      <c r="H432" s="271"/>
      <c r="I432" s="314"/>
      <c r="J432" s="271"/>
      <c r="K432" s="307"/>
    </row>
    <row r="433" customFormat="false" ht="13.5" hidden="false" customHeight="true" outlineLevel="0" collapsed="false">
      <c r="A433" s="0" t="n">
        <f aca="false">IF(B433="",0,1)</f>
        <v>0</v>
      </c>
      <c r="B433" s="271" t="str">
        <f aca="false">IF('10-PAVING'!A18="","",'10-PAVING'!A18)</f>
        <v/>
      </c>
      <c r="C433" s="381" t="str">
        <f aca="false">IF('10-PAVING'!E18="","",'10-PAVING'!E18)</f>
        <v/>
      </c>
      <c r="D433" s="382" t="str">
        <f aca="false">IF('10-PAVING'!C18="","",'10-PAVING'!C18)</f>
        <v/>
      </c>
      <c r="E433" s="384" t="str">
        <f aca="false">IF(D433="","","SqFt")</f>
        <v/>
      </c>
      <c r="F433" s="376" t="n">
        <f aca="false">'10-PAVING'!U18</f>
        <v>0</v>
      </c>
      <c r="G433" s="376"/>
      <c r="H433" s="314"/>
      <c r="I433" s="314"/>
      <c r="J433" s="314"/>
      <c r="K433" s="307"/>
      <c r="L433" s="311" t="n">
        <f aca="false">IF(K480="incl",0,K480)</f>
        <v>0</v>
      </c>
    </row>
    <row r="434" customFormat="false" ht="13.5" hidden="false" customHeight="true" outlineLevel="0" collapsed="false">
      <c r="A434" s="0" t="n">
        <f aca="false">IF(B434="",0,1)</f>
        <v>0</v>
      </c>
      <c r="B434" s="271" t="str">
        <f aca="false">IF('10-PAVING'!A19="","",'10-PAVING'!A19)</f>
        <v/>
      </c>
      <c r="C434" s="381" t="str">
        <f aca="false">IF('10-PAVING'!E19="","",'10-PAVING'!E19)</f>
        <v/>
      </c>
      <c r="D434" s="382" t="str">
        <f aca="false">IF('10-PAVING'!C19="","",'10-PAVING'!C19)</f>
        <v/>
      </c>
      <c r="E434" s="384" t="str">
        <f aca="false">IF(D434="","","SqFt")</f>
        <v/>
      </c>
      <c r="F434" s="376" t="n">
        <f aca="false">'10-PAVING'!U19</f>
        <v>0</v>
      </c>
      <c r="G434" s="376"/>
      <c r="H434" s="271"/>
      <c r="I434" s="314"/>
      <c r="J434" s="271"/>
      <c r="K434" s="307"/>
      <c r="L434" s="311" t="n">
        <f aca="false">IF(K481="incl",0,K481)</f>
        <v>0</v>
      </c>
    </row>
    <row r="435" customFormat="false" ht="13.5" hidden="false" customHeight="true" outlineLevel="0" collapsed="false">
      <c r="A435" s="0" t="n">
        <f aca="false">IF(B435="",0,1)</f>
        <v>0</v>
      </c>
      <c r="B435" s="271" t="str">
        <f aca="false">IF('10-PAVING'!A20="","",'10-PAVING'!A20)</f>
        <v/>
      </c>
      <c r="C435" s="381" t="str">
        <f aca="false">IF('10-PAVING'!E20="","",'10-PAVING'!E20)</f>
        <v/>
      </c>
      <c r="D435" s="382" t="str">
        <f aca="false">IF('10-PAVING'!C20="","",'10-PAVING'!C20)</f>
        <v/>
      </c>
      <c r="E435" s="384" t="str">
        <f aca="false">IF(D435="","","SqFt")</f>
        <v/>
      </c>
      <c r="F435" s="376" t="n">
        <f aca="false">'10-PAVING'!U20</f>
        <v>0</v>
      </c>
      <c r="G435" s="376"/>
      <c r="H435" s="271"/>
      <c r="I435" s="314"/>
      <c r="J435" s="271"/>
      <c r="K435" s="307"/>
      <c r="L435" s="0" t="n">
        <f aca="false">IF(K482="incl",0,K482)</f>
        <v>0</v>
      </c>
    </row>
    <row r="436" customFormat="false" ht="13.5" hidden="false" customHeight="true" outlineLevel="0" collapsed="false">
      <c r="A436" s="0" t="n">
        <f aca="false">IF(B436="",0,1)</f>
        <v>0</v>
      </c>
      <c r="B436" s="271" t="str">
        <f aca="false">IF('10-PAVING'!A21="","",'10-PAVING'!A21)</f>
        <v/>
      </c>
      <c r="C436" s="381" t="str">
        <f aca="false">IF('10-PAVING'!E21="","",'10-PAVING'!E21)</f>
        <v/>
      </c>
      <c r="D436" s="382" t="str">
        <f aca="false">IF('10-PAVING'!C21="","",'10-PAVING'!C21)</f>
        <v/>
      </c>
      <c r="E436" s="384" t="str">
        <f aca="false">IF(D436="","","SqFt")</f>
        <v/>
      </c>
      <c r="F436" s="376" t="n">
        <f aca="false">'10-PAVING'!U21</f>
        <v>0</v>
      </c>
      <c r="G436" s="376"/>
      <c r="H436" s="271"/>
      <c r="I436" s="314"/>
      <c r="J436" s="271"/>
      <c r="K436" s="307"/>
      <c r="L436" s="323" t="n">
        <f aca="false">IF(K483="incl",0,K483)</f>
        <v>0</v>
      </c>
    </row>
    <row r="437" customFormat="false" ht="13.5" hidden="false" customHeight="true" outlineLevel="0" collapsed="false">
      <c r="A437" s="0" t="n">
        <f aca="false">IF(B437="",0,1)</f>
        <v>0</v>
      </c>
      <c r="B437" s="271" t="str">
        <f aca="false">IF('10-PAVING'!A22="","",'10-PAVING'!A22)</f>
        <v/>
      </c>
      <c r="C437" s="381" t="str">
        <f aca="false">IF('10-PAVING'!E22="","",'10-PAVING'!E22)</f>
        <v/>
      </c>
      <c r="D437" s="382" t="str">
        <f aca="false">IF('10-PAVING'!C22="","",'10-PAVING'!C22)</f>
        <v/>
      </c>
      <c r="E437" s="384" t="str">
        <f aca="false">IF(D437="","","SqFt")</f>
        <v/>
      </c>
      <c r="F437" s="376" t="n">
        <f aca="false">'10-PAVING'!U22</f>
        <v>0</v>
      </c>
      <c r="G437" s="376"/>
      <c r="H437" s="314"/>
      <c r="I437" s="314"/>
      <c r="J437" s="314"/>
      <c r="K437" s="307"/>
      <c r="L437" s="323" t="n">
        <f aca="false">IF(K484="incl",0,K484)</f>
        <v>0</v>
      </c>
    </row>
    <row r="438" customFormat="false" ht="13.5" hidden="false" customHeight="true" outlineLevel="0" collapsed="false">
      <c r="A438" s="0" t="n">
        <f aca="false">IF(B438="",0,1)</f>
        <v>0</v>
      </c>
      <c r="B438" s="271" t="str">
        <f aca="false">IF('10-PAVING'!A23="","",'10-PAVING'!A23)</f>
        <v/>
      </c>
      <c r="C438" s="381" t="str">
        <f aca="false">IF('10-PAVING'!E23="","",'10-PAVING'!E23)</f>
        <v/>
      </c>
      <c r="D438" s="382" t="str">
        <f aca="false">IF('10-PAVING'!C23="","",'10-PAVING'!C23)</f>
        <v/>
      </c>
      <c r="E438" s="384" t="str">
        <f aca="false">IF(D438="","","SqFt")</f>
        <v/>
      </c>
      <c r="F438" s="376" t="n">
        <f aca="false">'10-PAVING'!U23</f>
        <v>0</v>
      </c>
      <c r="G438" s="376"/>
      <c r="H438" s="271"/>
      <c r="I438" s="314"/>
      <c r="J438" s="271"/>
      <c r="K438" s="307"/>
      <c r="L438" s="323" t="n">
        <f aca="false">IF(K485="incl",0,K485)</f>
        <v>0</v>
      </c>
    </row>
    <row r="439" customFormat="false" ht="13.5" hidden="false" customHeight="true" outlineLevel="0" collapsed="false">
      <c r="A439" s="0" t="n">
        <f aca="false">IF(B439="",0,1)</f>
        <v>0</v>
      </c>
      <c r="B439" s="271" t="str">
        <f aca="false">IF('10-PAVING'!A24="","",'10-PAVING'!A24)</f>
        <v/>
      </c>
      <c r="C439" s="381" t="str">
        <f aca="false">IF('10-PAVING'!E24="","",'10-PAVING'!E24)</f>
        <v/>
      </c>
      <c r="D439" s="382" t="str">
        <f aca="false">IF('10-PAVING'!C24="","",'10-PAVING'!C24)</f>
        <v/>
      </c>
      <c r="E439" s="384" t="str">
        <f aca="false">IF(D439="","","SqFt")</f>
        <v/>
      </c>
      <c r="F439" s="376" t="n">
        <f aca="false">'10-PAVING'!U24</f>
        <v>0</v>
      </c>
      <c r="G439" s="376"/>
      <c r="H439" s="271"/>
      <c r="I439" s="314"/>
      <c r="J439" s="271"/>
      <c r="K439" s="307"/>
      <c r="L439" s="323" t="n">
        <f aca="false">IF(K486="incl",0,K486)</f>
        <v>0</v>
      </c>
    </row>
    <row r="440" customFormat="false" ht="13.5" hidden="false" customHeight="true" outlineLevel="0" collapsed="false">
      <c r="A440" s="0" t="n">
        <f aca="false">IF(B440="",0,1)</f>
        <v>0</v>
      </c>
      <c r="B440" s="271" t="str">
        <f aca="false">IF('10-PAVING'!A25="","",'10-PAVING'!A25)</f>
        <v/>
      </c>
      <c r="C440" s="381" t="str">
        <f aca="false">IF('10-PAVING'!E25="","",'10-PAVING'!E25)</f>
        <v/>
      </c>
      <c r="D440" s="382" t="str">
        <f aca="false">IF('10-PAVING'!C25="","",'10-PAVING'!C25)</f>
        <v/>
      </c>
      <c r="E440" s="384" t="str">
        <f aca="false">IF(D440="","","SqFt")</f>
        <v/>
      </c>
      <c r="F440" s="376" t="n">
        <f aca="false">'10-PAVING'!U25</f>
        <v>0</v>
      </c>
      <c r="G440" s="376"/>
      <c r="H440" s="271"/>
      <c r="I440" s="314"/>
      <c r="J440" s="271"/>
      <c r="K440" s="307"/>
      <c r="L440" s="0" t="e">
        <f aca="false">IF(#ref!="incl",0,#ref!)</f>
        <v>#NAME?</v>
      </c>
    </row>
    <row r="441" customFormat="false" ht="13.5" hidden="false" customHeight="true" outlineLevel="0" collapsed="false">
      <c r="A441" s="0" t="n">
        <f aca="false">IF(B441="",0,1)</f>
        <v>0</v>
      </c>
      <c r="B441" s="271" t="str">
        <f aca="false">IF('10-PAVING'!A26="","",'10-PAVING'!A26)</f>
        <v/>
      </c>
      <c r="C441" s="381" t="str">
        <f aca="false">IF('10-PAVING'!E26="","",'10-PAVING'!E26)</f>
        <v/>
      </c>
      <c r="D441" s="382" t="str">
        <f aca="false">IF('10-PAVING'!C26="","",'10-PAVING'!C26)</f>
        <v/>
      </c>
      <c r="E441" s="384" t="str">
        <f aca="false">IF(D441="","","SqFt")</f>
        <v/>
      </c>
      <c r="F441" s="376" t="n">
        <f aca="false">'10-PAVING'!U26</f>
        <v>0</v>
      </c>
      <c r="G441" s="376"/>
      <c r="H441" s="271"/>
      <c r="I441" s="314"/>
      <c r="J441" s="271"/>
      <c r="K441" s="307"/>
      <c r="L441" s="0" t="n">
        <f aca="false">IF(K488="incl",0,K488)</f>
        <v>0</v>
      </c>
    </row>
    <row r="442" customFormat="false" ht="13.5" hidden="false" customHeight="true" outlineLevel="0" collapsed="false">
      <c r="A442" s="0" t="n">
        <f aca="false">IF(B442="",0,1)</f>
        <v>0</v>
      </c>
      <c r="B442" s="271" t="str">
        <f aca="false">IF('10-PAVING'!A27="","",'10-PAVING'!A27)</f>
        <v/>
      </c>
      <c r="C442" s="381" t="str">
        <f aca="false">IF('10-PAVING'!E27="","",'10-PAVING'!E27)</f>
        <v/>
      </c>
      <c r="D442" s="382" t="str">
        <f aca="false">IF('10-PAVING'!C27="","",'10-PAVING'!C27)</f>
        <v/>
      </c>
      <c r="E442" s="384" t="str">
        <f aca="false">IF(D442="","","SqFt")</f>
        <v/>
      </c>
      <c r="F442" s="376" t="n">
        <f aca="false">'10-PAVING'!U27</f>
        <v>0</v>
      </c>
      <c r="G442" s="376"/>
      <c r="H442" s="287"/>
      <c r="I442" s="385"/>
      <c r="J442" s="386"/>
      <c r="K442" s="314"/>
      <c r="L442" s="0" t="n">
        <f aca="false">IF(K489="incl",0,K489)</f>
        <v>0</v>
      </c>
    </row>
    <row r="443" customFormat="false" ht="13.5" hidden="false" customHeight="true" outlineLevel="0" collapsed="false">
      <c r="A443" s="0" t="n">
        <f aca="false">IF(B443="",0,1)</f>
        <v>0</v>
      </c>
      <c r="B443" s="271" t="str">
        <f aca="false">IF('10-PAVING'!A28="","",'10-PAVING'!A28)</f>
        <v/>
      </c>
      <c r="C443" s="381" t="str">
        <f aca="false">IF('10-PAVING'!E28="","",'10-PAVING'!E28)</f>
        <v/>
      </c>
      <c r="D443" s="382" t="str">
        <f aca="false">IF('10-PAVING'!C28="","",'10-PAVING'!C28)</f>
        <v/>
      </c>
      <c r="E443" s="384" t="str">
        <f aca="false">IF(D443="","","SqFt")</f>
        <v/>
      </c>
      <c r="F443" s="376" t="n">
        <f aca="false">'10-PAVING'!U28</f>
        <v>0</v>
      </c>
      <c r="G443" s="376"/>
      <c r="I443" s="274"/>
      <c r="J443" s="274"/>
      <c r="K443" s="314"/>
    </row>
    <row r="444" customFormat="false" ht="13.5" hidden="false" customHeight="true" outlineLevel="0" collapsed="false">
      <c r="A444" s="0" t="n">
        <f aca="false">IF(B444="",0,1)</f>
        <v>0</v>
      </c>
      <c r="B444" s="271"/>
      <c r="C444" s="381" t="str">
        <f aca="false">IF('10-PAVING'!E29="","",'10-PAVING'!E29)</f>
        <v/>
      </c>
      <c r="D444" s="382" t="str">
        <f aca="false">IF('10-PAVING'!C29="","",'10-PAVING'!C29)</f>
        <v/>
      </c>
      <c r="E444" s="384" t="str">
        <f aca="false">IF(D444="","","SqFt")</f>
        <v/>
      </c>
      <c r="F444" s="376" t="n">
        <f aca="false">'10-PAVING'!U29</f>
        <v>0</v>
      </c>
      <c r="G444" s="376"/>
      <c r="I444" s="274"/>
      <c r="J444" s="274"/>
      <c r="K444" s="314"/>
    </row>
    <row r="445" customFormat="false" ht="13.5" hidden="false" customHeight="true" outlineLevel="0" collapsed="false">
      <c r="A445" s="0" t="n">
        <f aca="false">IF(B445="",0,1)</f>
        <v>0</v>
      </c>
      <c r="B445" s="271"/>
      <c r="C445" s="381" t="str">
        <f aca="false">IF('10-PAVING'!E30="","",'10-PAVING'!E30)</f>
        <v/>
      </c>
      <c r="D445" s="382" t="str">
        <f aca="false">IF('10-PAVING'!C30="","",'10-PAVING'!C30)</f>
        <v/>
      </c>
      <c r="E445" s="384" t="str">
        <f aca="false">IF(D445="","","SqFt")</f>
        <v/>
      </c>
      <c r="F445" s="376" t="n">
        <f aca="false">'10-PAVING'!U30</f>
        <v>0</v>
      </c>
      <c r="G445" s="376"/>
      <c r="I445" s="274"/>
      <c r="J445" s="274"/>
      <c r="K445" s="314"/>
    </row>
    <row r="446" customFormat="false" ht="13.5" hidden="false" customHeight="true" outlineLevel="0" collapsed="false">
      <c r="A446" s="0" t="n">
        <f aca="false">IF(B446="",0,1)</f>
        <v>0</v>
      </c>
      <c r="B446" s="271"/>
      <c r="C446" s="381" t="str">
        <f aca="false">IF('10-PAVING'!E31="","",'10-PAVING'!E31)</f>
        <v/>
      </c>
      <c r="D446" s="382" t="str">
        <f aca="false">IF('10-PAVING'!C31="","",'10-PAVING'!C31)</f>
        <v/>
      </c>
      <c r="E446" s="384" t="str">
        <f aca="false">IF(D446="","","SqFt")</f>
        <v/>
      </c>
      <c r="F446" s="376" t="n">
        <f aca="false">'10-PAVING'!U31</f>
        <v>0</v>
      </c>
      <c r="G446" s="376"/>
      <c r="I446" s="274"/>
      <c r="J446" s="274"/>
      <c r="K446" s="314"/>
    </row>
    <row r="447" customFormat="false" ht="13.5" hidden="false" customHeight="true" outlineLevel="0" collapsed="false">
      <c r="A447" s="0" t="n">
        <f aca="false">IF(B447="",0,1)</f>
        <v>0</v>
      </c>
      <c r="B447" s="271"/>
      <c r="C447" s="381" t="str">
        <f aca="false">IF('10-PAVING'!E32="","",'10-PAVING'!E32)</f>
        <v/>
      </c>
      <c r="D447" s="382" t="str">
        <f aca="false">IF('10-PAVING'!C32="","",'10-PAVING'!C32)</f>
        <v/>
      </c>
      <c r="E447" s="384" t="str">
        <f aca="false">IF(D447="","","SqFt")</f>
        <v/>
      </c>
      <c r="F447" s="376" t="n">
        <f aca="false">'10-PAVING'!U32</f>
        <v>0</v>
      </c>
      <c r="G447" s="376"/>
      <c r="I447" s="274"/>
      <c r="J447" s="274"/>
      <c r="K447" s="314"/>
    </row>
    <row r="448" customFormat="false" ht="13.5" hidden="false" customHeight="true" outlineLevel="0" collapsed="false">
      <c r="A448" s="0" t="n">
        <f aca="false">IF(B448="",0,1)</f>
        <v>0</v>
      </c>
      <c r="B448" s="271"/>
      <c r="C448" s="381" t="str">
        <f aca="false">IF('10-PAVING'!E33="","",'10-PAVING'!E33)</f>
        <v/>
      </c>
      <c r="D448" s="382" t="str">
        <f aca="false">IF('10-PAVING'!C33="","",'10-PAVING'!C33)</f>
        <v/>
      </c>
      <c r="E448" s="384" t="str">
        <f aca="false">IF(D448="","","SqFt")</f>
        <v/>
      </c>
      <c r="F448" s="376" t="n">
        <f aca="false">'10-PAVING'!U33</f>
        <v>0</v>
      </c>
      <c r="G448" s="376"/>
      <c r="I448" s="274"/>
      <c r="J448" s="274"/>
      <c r="K448" s="314"/>
    </row>
    <row r="449" customFormat="false" ht="13.5" hidden="false" customHeight="true" outlineLevel="0" collapsed="false">
      <c r="A449" s="0" t="n">
        <f aca="false">IF(B449="",0,1)</f>
        <v>0</v>
      </c>
      <c r="B449" s="271"/>
      <c r="C449" s="381" t="str">
        <f aca="false">IF('10-PAVING'!E34="","",'10-PAVING'!E34)</f>
        <v/>
      </c>
      <c r="D449" s="382" t="str">
        <f aca="false">IF('10-PAVING'!C34="","",'10-PAVING'!C34)</f>
        <v/>
      </c>
      <c r="E449" s="384" t="str">
        <f aca="false">IF(D449="","","SqFt")</f>
        <v/>
      </c>
      <c r="F449" s="376" t="n">
        <f aca="false">'10-PAVING'!U34</f>
        <v>0</v>
      </c>
      <c r="G449" s="376"/>
      <c r="I449" s="274"/>
      <c r="J449" s="274"/>
      <c r="K449" s="314"/>
    </row>
    <row r="450" customFormat="false" ht="13.5" hidden="false" customHeight="true" outlineLevel="0" collapsed="false">
      <c r="B450" s="271"/>
      <c r="C450" s="381"/>
      <c r="D450" s="382"/>
      <c r="E450" s="384"/>
      <c r="F450" s="376"/>
      <c r="G450" s="376"/>
      <c r="I450" s="274"/>
      <c r="J450" s="274"/>
      <c r="K450" s="314"/>
    </row>
    <row r="451" customFormat="false" ht="13.5" hidden="false" customHeight="true" outlineLevel="0" collapsed="false">
      <c r="A451" s="271" t="n">
        <f aca="false">IF(SUM(A$425:A$441)&gt;0,1,0)</f>
        <v>0</v>
      </c>
      <c r="B451" s="320" t="s">
        <v>892</v>
      </c>
      <c r="C451" s="271"/>
      <c r="E451" s="384"/>
      <c r="F451" s="384"/>
      <c r="G451" s="314"/>
      <c r="H451" s="314"/>
      <c r="I451" s="355"/>
      <c r="J451" s="355"/>
      <c r="K451" s="314"/>
    </row>
    <row r="452" customFormat="false" ht="13.5" hidden="false" customHeight="true" outlineLevel="0" collapsed="false">
      <c r="A452" s="271" t="n">
        <f aca="false">IF(SUM(A$425:A$441)&gt;0,1,0)</f>
        <v>0</v>
      </c>
      <c r="B452" s="271" t="s">
        <v>893</v>
      </c>
      <c r="C452" s="271"/>
      <c r="E452" s="384"/>
      <c r="F452" s="384"/>
      <c r="G452" s="314"/>
      <c r="H452" s="314"/>
      <c r="I452" s="355"/>
      <c r="J452" s="355"/>
      <c r="K452" s="314"/>
      <c r="L452" s="0" t="n">
        <f aca="false">IF(K491="incl",0,K491)</f>
        <v>0</v>
      </c>
    </row>
    <row r="453" customFormat="false" ht="13.5" hidden="false" customHeight="true" outlineLevel="0" collapsed="false">
      <c r="A453" s="271" t="n">
        <f aca="false">IF(SUM(A$425:A$441)&gt;0,1,0)</f>
        <v>0</v>
      </c>
      <c r="B453" s="271" t="s">
        <v>894</v>
      </c>
      <c r="C453" s="271"/>
      <c r="D453" s="384"/>
      <c r="E453" s="384"/>
      <c r="F453" s="384"/>
      <c r="G453" s="314"/>
      <c r="H453" s="314"/>
      <c r="I453" s="355"/>
      <c r="J453" s="355"/>
      <c r="K453" s="314"/>
      <c r="L453" s="0" t="n">
        <f aca="false">IF(K492="incl",0,K492)</f>
        <v>0</v>
      </c>
    </row>
    <row r="454" customFormat="false" ht="13.5" hidden="false" customHeight="true" outlineLevel="0" collapsed="false">
      <c r="A454" s="271" t="n">
        <f aca="false">IF(SUM(A$425:A$441)&gt;0,1,0)</f>
        <v>0</v>
      </c>
      <c r="B454" s="320" t="s">
        <v>843</v>
      </c>
      <c r="C454" s="271"/>
      <c r="D454" s="271"/>
      <c r="E454" s="271"/>
      <c r="F454" s="271"/>
      <c r="G454" s="271"/>
      <c r="H454" s="271"/>
      <c r="I454" s="271"/>
      <c r="J454" s="271"/>
      <c r="K454" s="314"/>
      <c r="L454" s="0" t="e">
        <f aca="false">IF(#ref!="incl",0,#ref!)</f>
        <v>#NAME?</v>
      </c>
    </row>
    <row r="455" customFormat="false" ht="13.5" hidden="false" customHeight="true" outlineLevel="0" collapsed="false">
      <c r="A455" s="271" t="n">
        <f aca="false">IF(SUM(A$425:A$441)&gt;0,1,0)</f>
        <v>0</v>
      </c>
      <c r="B455" s="271" t="s">
        <v>895</v>
      </c>
      <c r="C455" s="271"/>
      <c r="D455" s="271"/>
      <c r="E455" s="271"/>
      <c r="F455" s="271"/>
      <c r="G455" s="271"/>
      <c r="H455" s="271"/>
      <c r="I455" s="387"/>
      <c r="J455" s="387"/>
      <c r="K455" s="358"/>
      <c r="L455" s="0" t="n">
        <f aca="false">IF(K495="incl",0,K495)</f>
        <v>0</v>
      </c>
    </row>
    <row r="456" customFormat="false" ht="13.5" hidden="false" customHeight="true" outlineLevel="0" collapsed="false">
      <c r="A456" s="271" t="n">
        <f aca="false">IF(SUM(A$425:A$441)&gt;0,1,0)</f>
        <v>0</v>
      </c>
      <c r="B456" s="271" t="s">
        <v>896</v>
      </c>
      <c r="C456" s="271"/>
      <c r="D456" s="271"/>
      <c r="E456" s="271"/>
      <c r="F456" s="271"/>
      <c r="G456" s="271"/>
      <c r="H456" s="271"/>
      <c r="I456" s="387"/>
      <c r="J456" s="387"/>
      <c r="K456" s="358"/>
      <c r="L456" s="0" t="n">
        <f aca="false">IF(K496="incl",0,K496)</f>
        <v>0</v>
      </c>
    </row>
    <row r="457" customFormat="false" ht="13.5" hidden="false" customHeight="true" outlineLevel="0" collapsed="false">
      <c r="A457" s="271" t="n">
        <f aca="false">IF(SUM(A$425:A$441)&gt;0,1,0)</f>
        <v>0</v>
      </c>
      <c r="B457" s="271"/>
      <c r="C457" s="271"/>
      <c r="D457" s="271"/>
      <c r="E457" s="271"/>
      <c r="F457" s="271"/>
      <c r="G457" s="271"/>
      <c r="H457" s="271"/>
      <c r="I457" s="387"/>
      <c r="J457" s="387"/>
      <c r="K457" s="358"/>
    </row>
    <row r="458" customFormat="false" ht="19.5" hidden="false" customHeight="true" outlineLevel="0" collapsed="false">
      <c r="A458" s="271" t="n">
        <f aca="false">IF(SUM(A$459:A$482)&gt;0,1,0)</f>
        <v>1</v>
      </c>
      <c r="B458" s="315" t="s">
        <v>897</v>
      </c>
      <c r="C458" s="316" t="n">
        <f aca="false">IF('11-Sidewalks'!D36=0,0,'11-Sidewalks'!D36)</f>
        <v>0</v>
      </c>
      <c r="D458" s="316"/>
      <c r="E458" s="352"/>
      <c r="F458" s="388" t="s">
        <v>891</v>
      </c>
      <c r="G458" s="388"/>
      <c r="H458" s="342"/>
      <c r="I458" s="353"/>
      <c r="J458" s="353"/>
      <c r="K458" s="342"/>
      <c r="L458" s="0" t="n">
        <f aca="false">IF(K497="incl",0,K497)</f>
        <v>0</v>
      </c>
      <c r="N458" s="311" t="n">
        <f aca="false">C458</f>
        <v>0</v>
      </c>
    </row>
    <row r="459" customFormat="false" ht="13.5" hidden="false" customHeight="true" outlineLevel="0" collapsed="false">
      <c r="A459" s="0" t="n">
        <f aca="false">IF(B459="",0,1)</f>
        <v>0</v>
      </c>
      <c r="B459" s="341"/>
      <c r="C459" s="271"/>
      <c r="D459" s="271"/>
      <c r="E459" s="271"/>
      <c r="F459" s="271"/>
      <c r="G459" s="314"/>
      <c r="H459" s="314"/>
      <c r="I459" s="340"/>
      <c r="J459" s="340"/>
      <c r="K459" s="314"/>
      <c r="L459" s="0" t="n">
        <f aca="false">IF(K498="incl",0,K498)</f>
        <v>0</v>
      </c>
    </row>
    <row r="460" customFormat="false" ht="13.5" hidden="false" customHeight="true" outlineLevel="0" collapsed="false">
      <c r="A460" s="0" t="n">
        <f aca="false">IF(B460="",0,1)</f>
        <v>0</v>
      </c>
      <c r="B460" s="271" t="str">
        <f aca="false">IF('11-Sidewalks'!A10="","",'11-Sidewalks'!A10)</f>
        <v/>
      </c>
      <c r="C460" s="271"/>
      <c r="D460" s="349" t="str">
        <f aca="false">IF('11-Sidewalks'!C10="","",'11-Sidewalks'!C10)</f>
        <v/>
      </c>
      <c r="E460" s="271" t="str">
        <f aca="false">IF(D460="","","SqFt")</f>
        <v/>
      </c>
      <c r="F460" s="376" t="n">
        <f aca="false">'11-Sidewalks'!U10</f>
        <v>0</v>
      </c>
      <c r="G460" s="376"/>
      <c r="H460" s="271"/>
      <c r="I460" s="386"/>
      <c r="J460" s="386"/>
      <c r="K460" s="389"/>
      <c r="L460" s="0" t="n">
        <f aca="false">IF(K536="incl",0,K536)</f>
        <v>0</v>
      </c>
    </row>
    <row r="461" customFormat="false" ht="13.5" hidden="false" customHeight="true" outlineLevel="0" collapsed="false">
      <c r="A461" s="0" t="n">
        <f aca="false">IF(B461="",0,1)</f>
        <v>0</v>
      </c>
      <c r="B461" s="271" t="str">
        <f aca="false">IF('11-Sidewalks'!A11="","",'11-Sidewalks'!A11)</f>
        <v/>
      </c>
      <c r="C461" s="271"/>
      <c r="D461" s="349" t="str">
        <f aca="false">IF('11-Sidewalks'!C11="","",'11-Sidewalks'!C11)</f>
        <v/>
      </c>
      <c r="E461" s="271" t="str">
        <f aca="false">IF(D461="","","SqFt")</f>
        <v/>
      </c>
      <c r="F461" s="376" t="n">
        <f aca="false">'11-Sidewalks'!U11</f>
        <v>0</v>
      </c>
      <c r="G461" s="376"/>
      <c r="H461" s="271"/>
      <c r="K461" s="389"/>
      <c r="L461" s="0" t="n">
        <f aca="false">IF(K500="incl",0,K500)</f>
        <v>0</v>
      </c>
    </row>
    <row r="462" customFormat="false" ht="13.5" hidden="false" customHeight="true" outlineLevel="0" collapsed="false">
      <c r="A462" s="0" t="n">
        <f aca="false">IF(B462="",0,1)</f>
        <v>0</v>
      </c>
      <c r="B462" s="271" t="str">
        <f aca="false">IF('11-Sidewalks'!A12="","",'11-Sidewalks'!A12)</f>
        <v/>
      </c>
      <c r="C462" s="271"/>
      <c r="D462" s="349" t="str">
        <f aca="false">IF('11-Sidewalks'!C12="","",'11-Sidewalks'!C12)</f>
        <v/>
      </c>
      <c r="E462" s="271" t="str">
        <f aca="false">IF(D462="","","SqFt")</f>
        <v/>
      </c>
      <c r="F462" s="376" t="n">
        <f aca="false">'11-Sidewalks'!U12</f>
        <v>0</v>
      </c>
      <c r="G462" s="376"/>
      <c r="H462" s="271"/>
      <c r="K462" s="389"/>
      <c r="L462" s="0" t="n">
        <f aca="false">IF(K501="incl",0,K501)</f>
        <v>0</v>
      </c>
    </row>
    <row r="463" customFormat="false" ht="13.5" hidden="false" customHeight="true" outlineLevel="0" collapsed="false">
      <c r="A463" s="0" t="n">
        <f aca="false">IF(B463="",0,1)</f>
        <v>0</v>
      </c>
      <c r="B463" s="271" t="str">
        <f aca="false">IF('11-Sidewalks'!A13="","",'11-Sidewalks'!A13)</f>
        <v/>
      </c>
      <c r="C463" s="271"/>
      <c r="D463" s="349" t="str">
        <f aca="false">IF('11-Sidewalks'!C13="","",'11-Sidewalks'!C13)</f>
        <v/>
      </c>
      <c r="E463" s="271" t="str">
        <f aca="false">IF(D463="","","SqFt")</f>
        <v/>
      </c>
      <c r="F463" s="376" t="n">
        <f aca="false">'11-Sidewalks'!U13</f>
        <v>0</v>
      </c>
      <c r="G463" s="376"/>
      <c r="H463" s="271"/>
      <c r="K463" s="389"/>
      <c r="L463" s="0" t="n">
        <f aca="false">IF(K503="incl",0,K503)</f>
        <v>0</v>
      </c>
    </row>
    <row r="464" customFormat="false" ht="13.5" hidden="false" customHeight="true" outlineLevel="0" collapsed="false">
      <c r="A464" s="0" t="n">
        <f aca="false">IF(B464="",0,1)</f>
        <v>0</v>
      </c>
      <c r="B464" s="271" t="str">
        <f aca="false">IF('11-Sidewalks'!A14="","",'11-Sidewalks'!A14)</f>
        <v/>
      </c>
      <c r="C464" s="271"/>
      <c r="D464" s="349" t="str">
        <f aca="false">IF('11-Sidewalks'!C14="","",'11-Sidewalks'!C14)</f>
        <v/>
      </c>
      <c r="E464" s="271" t="str">
        <f aca="false">IF(D464="","","SqFt")</f>
        <v/>
      </c>
      <c r="F464" s="376" t="n">
        <f aca="false">'11-Sidewalks'!U14</f>
        <v>0</v>
      </c>
      <c r="G464" s="376"/>
      <c r="H464" s="271"/>
      <c r="K464" s="389"/>
      <c r="L464" s="0" t="n">
        <f aca="false">IF(K534="incl",0,K534)</f>
        <v>0</v>
      </c>
    </row>
    <row r="465" customFormat="false" ht="13.5" hidden="false" customHeight="true" outlineLevel="0" collapsed="false">
      <c r="A465" s="0" t="n">
        <f aca="false">IF(B465="",0,1)</f>
        <v>0</v>
      </c>
      <c r="B465" s="271" t="str">
        <f aca="false">IF('11-Sidewalks'!A15="","",'11-Sidewalks'!A15)</f>
        <v/>
      </c>
      <c r="C465" s="271"/>
      <c r="D465" s="349" t="str">
        <f aca="false">IF('11-Sidewalks'!C15="","",'11-Sidewalks'!C15)</f>
        <v/>
      </c>
      <c r="E465" s="271" t="str">
        <f aca="false">IF(D465="","","SqFt")</f>
        <v/>
      </c>
      <c r="F465" s="376" t="n">
        <f aca="false">'11-Sidewalks'!U15</f>
        <v>0</v>
      </c>
      <c r="G465" s="376"/>
      <c r="H465" s="271"/>
      <c r="J465" s="386"/>
      <c r="K465" s="389"/>
    </row>
    <row r="466" customFormat="false" ht="13.5" hidden="false" customHeight="true" outlineLevel="0" collapsed="false">
      <c r="A466" s="0" t="n">
        <f aca="false">IF(B466="",0,1)</f>
        <v>0</v>
      </c>
      <c r="B466" s="271" t="str">
        <f aca="false">IF('11-Sidewalks'!A16="","",'11-Sidewalks'!A16)</f>
        <v/>
      </c>
      <c r="C466" s="271"/>
      <c r="D466" s="349" t="str">
        <f aca="false">IF('11-Sidewalks'!C16="","",'11-Sidewalks'!C16)</f>
        <v/>
      </c>
      <c r="E466" s="271" t="str">
        <f aca="false">IF(D466="","","SqFt")</f>
        <v/>
      </c>
      <c r="F466" s="376" t="n">
        <f aca="false">'11-Sidewalks'!U16</f>
        <v>0</v>
      </c>
      <c r="G466" s="376"/>
      <c r="H466" s="271"/>
      <c r="K466" s="389"/>
    </row>
    <row r="467" customFormat="false" ht="13.5" hidden="false" customHeight="true" outlineLevel="0" collapsed="false">
      <c r="A467" s="0" t="n">
        <f aca="false">IF(B467="",0,1)</f>
        <v>0</v>
      </c>
      <c r="B467" s="271" t="str">
        <f aca="false">IF('11-Sidewalks'!A17="","",'11-Sidewalks'!A17)</f>
        <v/>
      </c>
      <c r="C467" s="271"/>
      <c r="D467" s="349" t="str">
        <f aca="false">IF('11-Sidewalks'!C17="","",'11-Sidewalks'!C17)</f>
        <v/>
      </c>
      <c r="E467" s="271" t="str">
        <f aca="false">IF(D467="","","SqFt")</f>
        <v/>
      </c>
      <c r="F467" s="376" t="n">
        <f aca="false">'11-Sidewalks'!U17</f>
        <v>0</v>
      </c>
      <c r="G467" s="376"/>
      <c r="H467" s="271"/>
      <c r="K467" s="389"/>
    </row>
    <row r="468" customFormat="false" ht="13.5" hidden="false" customHeight="true" outlineLevel="0" collapsed="false">
      <c r="A468" s="0" t="n">
        <f aca="false">IF(B468="",0,1)</f>
        <v>0</v>
      </c>
      <c r="B468" s="271" t="str">
        <f aca="false">IF('11-Sidewalks'!A18="","",'11-Sidewalks'!A18)</f>
        <v/>
      </c>
      <c r="C468" s="271"/>
      <c r="D468" s="349" t="str">
        <f aca="false">IF('11-Sidewalks'!C18="","",'11-Sidewalks'!C18)</f>
        <v/>
      </c>
      <c r="E468" s="271" t="str">
        <f aca="false">IF(D468="","","SqFt")</f>
        <v/>
      </c>
      <c r="F468" s="376" t="n">
        <f aca="false">'11-Sidewalks'!U18</f>
        <v>0</v>
      </c>
      <c r="G468" s="376"/>
      <c r="H468" s="271"/>
      <c r="K468" s="389"/>
    </row>
    <row r="469" customFormat="false" ht="13.5" hidden="false" customHeight="true" outlineLevel="0" collapsed="false">
      <c r="A469" s="0" t="n">
        <f aca="false">IF(B469="",0,1)</f>
        <v>0</v>
      </c>
      <c r="B469" s="271" t="str">
        <f aca="false">IF('11-Sidewalks'!A19="","",'11-Sidewalks'!A19)</f>
        <v/>
      </c>
      <c r="C469" s="271"/>
      <c r="D469" s="349" t="str">
        <f aca="false">IF('11-Sidewalks'!C19="","",'11-Sidewalks'!C19)</f>
        <v/>
      </c>
      <c r="E469" s="271" t="str">
        <f aca="false">IF(D469="","","SqFt")</f>
        <v/>
      </c>
      <c r="F469" s="376" t="n">
        <f aca="false">'11-Sidewalks'!U19</f>
        <v>0</v>
      </c>
      <c r="G469" s="376"/>
      <c r="H469" s="271"/>
      <c r="K469" s="389"/>
    </row>
    <row r="470" customFormat="false" ht="13.5" hidden="false" customHeight="true" outlineLevel="0" collapsed="false">
      <c r="A470" s="0" t="n">
        <f aca="false">IF(B470="",0,1)</f>
        <v>0</v>
      </c>
      <c r="B470" s="271" t="str">
        <f aca="false">IF('11-Sidewalks'!A20="","",'11-Sidewalks'!A20)</f>
        <v/>
      </c>
      <c r="C470" s="271"/>
      <c r="D470" s="349" t="str">
        <f aca="false">IF('11-Sidewalks'!C20="","",'11-Sidewalks'!C20)</f>
        <v/>
      </c>
      <c r="E470" s="271" t="str">
        <f aca="false">IF(D470="","","SqFt")</f>
        <v/>
      </c>
      <c r="F470" s="376" t="n">
        <f aca="false">'11-Sidewalks'!U20</f>
        <v>0</v>
      </c>
      <c r="G470" s="376"/>
      <c r="H470" s="271"/>
      <c r="J470" s="386"/>
      <c r="K470" s="389"/>
    </row>
    <row r="471" customFormat="false" ht="13.5" hidden="false" customHeight="true" outlineLevel="0" collapsed="false">
      <c r="A471" s="0" t="n">
        <f aca="false">IF(B471="",0,1)</f>
        <v>0</v>
      </c>
      <c r="B471" s="271" t="str">
        <f aca="false">IF('11-Sidewalks'!A21="","",'11-Sidewalks'!A21)</f>
        <v/>
      </c>
      <c r="C471" s="271"/>
      <c r="D471" s="349" t="str">
        <f aca="false">IF('11-Sidewalks'!C21="","",'11-Sidewalks'!C21)</f>
        <v/>
      </c>
      <c r="E471" s="271" t="str">
        <f aca="false">IF(D471="","","SqFt")</f>
        <v/>
      </c>
      <c r="F471" s="376" t="n">
        <f aca="false">'11-Sidewalks'!U21</f>
        <v>0</v>
      </c>
      <c r="G471" s="376"/>
      <c r="H471" s="271"/>
      <c r="K471" s="389"/>
    </row>
    <row r="472" customFormat="false" ht="13.5" hidden="false" customHeight="true" outlineLevel="0" collapsed="false">
      <c r="A472" s="0" t="n">
        <f aca="false">IF(B472="",0,1)</f>
        <v>0</v>
      </c>
      <c r="B472" s="271" t="str">
        <f aca="false">IF('11-Sidewalks'!A22="","",'11-Sidewalks'!A22)</f>
        <v/>
      </c>
      <c r="C472" s="271"/>
      <c r="D472" s="349" t="str">
        <f aca="false">IF('11-Sidewalks'!C22="","",'11-Sidewalks'!C22)</f>
        <v/>
      </c>
      <c r="E472" s="271" t="str">
        <f aca="false">IF(D472="","","SqFt")</f>
        <v/>
      </c>
      <c r="F472" s="376" t="n">
        <f aca="false">'11-Sidewalks'!U22</f>
        <v>0</v>
      </c>
      <c r="G472" s="376"/>
      <c r="H472" s="271"/>
      <c r="K472" s="389"/>
    </row>
    <row r="473" customFormat="false" ht="13.5" hidden="false" customHeight="true" outlineLevel="0" collapsed="false">
      <c r="A473" s="0" t="n">
        <f aca="false">IF(B473="",0,1)</f>
        <v>0</v>
      </c>
      <c r="B473" s="271" t="str">
        <f aca="false">IF('11-Sidewalks'!A23="","",'11-Sidewalks'!A23)</f>
        <v/>
      </c>
      <c r="C473" s="271"/>
      <c r="D473" s="349" t="str">
        <f aca="false">IF('11-Sidewalks'!C23="","",'11-Sidewalks'!C23)</f>
        <v/>
      </c>
      <c r="E473" s="271" t="str">
        <f aca="false">IF(D473="","","SqFt")</f>
        <v/>
      </c>
      <c r="F473" s="376" t="n">
        <f aca="false">'11-Sidewalks'!U23</f>
        <v>0</v>
      </c>
      <c r="G473" s="376"/>
      <c r="H473" s="271"/>
      <c r="K473" s="389"/>
    </row>
    <row r="474" customFormat="false" ht="13.5" hidden="false" customHeight="true" outlineLevel="0" collapsed="false">
      <c r="A474" s="0" t="n">
        <f aca="false">IF(B474="",0,1)</f>
        <v>0</v>
      </c>
      <c r="B474" s="271" t="str">
        <f aca="false">IF('11-Sidewalks'!A24="","",'11-Sidewalks'!A24)</f>
        <v/>
      </c>
      <c r="C474" s="271"/>
      <c r="D474" s="349" t="str">
        <f aca="false">IF('11-Sidewalks'!C24="","",'11-Sidewalks'!C24)</f>
        <v/>
      </c>
      <c r="E474" s="271" t="str">
        <f aca="false">IF(D474="","","SqFt")</f>
        <v/>
      </c>
      <c r="F474" s="376" t="n">
        <f aca="false">'11-Sidewalks'!U24</f>
        <v>0</v>
      </c>
      <c r="G474" s="376"/>
      <c r="H474" s="271"/>
      <c r="K474" s="389"/>
    </row>
    <row r="475" customFormat="false" ht="13.5" hidden="false" customHeight="true" outlineLevel="0" collapsed="false">
      <c r="A475" s="0" t="n">
        <f aca="false">IF(B475="",0,1)</f>
        <v>0</v>
      </c>
      <c r="B475" s="271" t="str">
        <f aca="false">IF('11-Sidewalks'!A25="","",'11-Sidewalks'!A25)</f>
        <v/>
      </c>
      <c r="C475" s="271"/>
      <c r="D475" s="349" t="str">
        <f aca="false">IF('11-Sidewalks'!C25="","",'11-Sidewalks'!C25)</f>
        <v/>
      </c>
      <c r="E475" s="271" t="str">
        <f aca="false">IF(D475="","","SqFt")</f>
        <v/>
      </c>
      <c r="F475" s="376" t="n">
        <f aca="false">'11-Sidewalks'!U25</f>
        <v>0</v>
      </c>
      <c r="G475" s="376"/>
      <c r="H475" s="271"/>
      <c r="J475" s="386"/>
      <c r="K475" s="389"/>
    </row>
    <row r="476" customFormat="false" ht="13.5" hidden="false" customHeight="true" outlineLevel="0" collapsed="false">
      <c r="A476" s="0" t="n">
        <f aca="false">IF(B476="",0,1)</f>
        <v>0</v>
      </c>
      <c r="B476" s="271" t="str">
        <f aca="false">IF('11-Sidewalks'!A26="","",'11-Sidewalks'!A26)</f>
        <v/>
      </c>
      <c r="C476" s="271"/>
      <c r="D476" s="349" t="str">
        <f aca="false">IF('11-Sidewalks'!C26="","",'11-Sidewalks'!C26)</f>
        <v/>
      </c>
      <c r="E476" s="271" t="str">
        <f aca="false">IF(D476="","","SqFt")</f>
        <v/>
      </c>
      <c r="F476" s="376" t="n">
        <f aca="false">'11-Sidewalks'!U26</f>
        <v>0</v>
      </c>
      <c r="G476" s="376"/>
      <c r="H476" s="271"/>
      <c r="K476" s="389"/>
    </row>
    <row r="477" customFormat="false" ht="13.5" hidden="false" customHeight="true" outlineLevel="0" collapsed="false">
      <c r="A477" s="0" t="n">
        <f aca="false">IF(B477="",0,1)</f>
        <v>0</v>
      </c>
      <c r="B477" s="271" t="str">
        <f aca="false">IF('11-Sidewalks'!A27="","",'11-Sidewalks'!A27)</f>
        <v/>
      </c>
      <c r="C477" s="271"/>
      <c r="D477" s="349" t="str">
        <f aca="false">IF('11-Sidewalks'!C27="","",'11-Sidewalks'!C27)</f>
        <v/>
      </c>
      <c r="E477" s="271" t="str">
        <f aca="false">IF(D477="","","SqFt")</f>
        <v/>
      </c>
      <c r="F477" s="376" t="n">
        <f aca="false">'11-Sidewalks'!U27</f>
        <v>0</v>
      </c>
      <c r="G477" s="376"/>
      <c r="H477" s="271"/>
      <c r="K477" s="389"/>
    </row>
    <row r="478" customFormat="false" ht="13.5" hidden="false" customHeight="true" outlineLevel="0" collapsed="false">
      <c r="A478" s="0" t="n">
        <f aca="false">IF(B478="",0,1)</f>
        <v>0</v>
      </c>
      <c r="B478" s="271" t="str">
        <f aca="false">IF('11-Sidewalks'!A28="","",'11-Sidewalks'!A28)</f>
        <v/>
      </c>
      <c r="C478" s="271"/>
      <c r="D478" s="349" t="str">
        <f aca="false">IF('11-Sidewalks'!C28="","",'11-Sidewalks'!C28)</f>
        <v/>
      </c>
      <c r="E478" s="271" t="str">
        <f aca="false">IF(D478="","","SqFt")</f>
        <v/>
      </c>
      <c r="F478" s="376" t="n">
        <f aca="false">'11-Sidewalks'!U28</f>
        <v>0</v>
      </c>
      <c r="G478" s="376"/>
      <c r="H478" s="271"/>
      <c r="K478" s="389"/>
    </row>
    <row r="479" customFormat="false" ht="13.5" hidden="false" customHeight="true" outlineLevel="0" collapsed="false">
      <c r="A479" s="0" t="n">
        <f aca="false">IF(B479="",0,1)</f>
        <v>0</v>
      </c>
      <c r="B479" s="271" t="str">
        <f aca="false">IF('11-Sidewalks'!A29="","",'11-Sidewalks'!A29)</f>
        <v/>
      </c>
      <c r="C479" s="271"/>
      <c r="D479" s="349" t="str">
        <f aca="false">IF('11-Sidewalks'!C29="","",'11-Sidewalks'!C29)</f>
        <v/>
      </c>
      <c r="E479" s="271" t="str">
        <f aca="false">IF(D479="","","SqFt")</f>
        <v/>
      </c>
      <c r="F479" s="376" t="n">
        <f aca="false">'11-Sidewalks'!U29</f>
        <v>0</v>
      </c>
      <c r="G479" s="376"/>
      <c r="H479" s="271"/>
      <c r="K479" s="389"/>
    </row>
    <row r="480" customFormat="false" ht="13.5" hidden="false" customHeight="true" outlineLevel="0" collapsed="false">
      <c r="A480" s="0" t="n">
        <f aca="false">IF(B480="",0,1)</f>
        <v>0</v>
      </c>
      <c r="B480" s="271" t="str">
        <f aca="false">IF('11-Sidewalks'!A30="","",'11-Sidewalks'!A30)</f>
        <v/>
      </c>
      <c r="C480" s="271"/>
      <c r="D480" s="349" t="str">
        <f aca="false">IF('11-Sidewalks'!C30="","",'11-Sidewalks'!C30)</f>
        <v/>
      </c>
      <c r="E480" s="271" t="str">
        <f aca="false">IF(D480="","","SqFt")</f>
        <v/>
      </c>
      <c r="F480" s="376" t="n">
        <f aca="false">'11-Sidewalks'!U30</f>
        <v>0</v>
      </c>
      <c r="G480" s="376"/>
      <c r="H480" s="271"/>
      <c r="J480" s="386"/>
      <c r="K480" s="389"/>
    </row>
    <row r="481" customFormat="false" ht="13.5" hidden="false" customHeight="true" outlineLevel="0" collapsed="false">
      <c r="A481" s="0" t="n">
        <f aca="false">IF(B481="",0,1)</f>
        <v>0</v>
      </c>
      <c r="B481" s="271" t="str">
        <f aca="false">IF('11-Sidewalks'!A31="","",'11-Sidewalks'!A31)</f>
        <v/>
      </c>
      <c r="C481" s="271"/>
      <c r="D481" s="349" t="str">
        <f aca="false">IF('11-Sidewalks'!C31="","",'11-Sidewalks'!C31)</f>
        <v/>
      </c>
      <c r="E481" s="271" t="str">
        <f aca="false">IF(D481="","","SqFt")</f>
        <v/>
      </c>
      <c r="F481" s="376" t="n">
        <f aca="false">'11-Sidewalks'!U31</f>
        <v>0</v>
      </c>
      <c r="G481" s="376"/>
      <c r="H481" s="271"/>
      <c r="K481" s="389"/>
    </row>
    <row r="482" customFormat="false" ht="13.5" hidden="false" customHeight="true" outlineLevel="0" collapsed="false">
      <c r="A482" s="0" t="n">
        <f aca="false">IF(B482="",0,1)</f>
        <v>1</v>
      </c>
      <c r="B482" s="271" t="str">
        <f aca="false">IF('11-Sidewalks'!A62="","",'11-Sidewalks'!A62)</f>
        <v>ADA RAMPS</v>
      </c>
      <c r="C482" s="271"/>
      <c r="D482" s="349" t="str">
        <f aca="false">IF('11-Sidewalks'!H62="","",'11-Sidewalks'!H62)</f>
        <v/>
      </c>
      <c r="E482" s="306" t="s">
        <v>878</v>
      </c>
      <c r="F482" s="376"/>
      <c r="G482" s="376"/>
      <c r="H482" s="271"/>
      <c r="I482" s="386"/>
      <c r="J482" s="386"/>
      <c r="K482" s="390" t="s">
        <v>898</v>
      </c>
    </row>
    <row r="483" customFormat="false" ht="13.5" hidden="false" customHeight="true" outlineLevel="0" collapsed="false">
      <c r="A483" s="271" t="n">
        <f aca="false">IF(SUM(A$459:A$482)&gt;0,1,0)</f>
        <v>1</v>
      </c>
      <c r="B483" s="271"/>
      <c r="C483" s="274" t="s">
        <v>899</v>
      </c>
      <c r="D483" s="359" t="n">
        <f aca="false">SUM(D460:D481)</f>
        <v>0</v>
      </c>
      <c r="E483" s="271" t="s">
        <v>900</v>
      </c>
      <c r="F483" s="271"/>
      <c r="G483" s="271"/>
      <c r="H483" s="287" t="s">
        <v>862</v>
      </c>
      <c r="I483" s="391" t="e">
        <f aca="false">C458/D483</f>
        <v>#DIV/0!</v>
      </c>
      <c r="J483" s="314" t="s">
        <v>863</v>
      </c>
      <c r="K483" s="314"/>
    </row>
    <row r="484" customFormat="false" ht="13.5" hidden="false" customHeight="true" outlineLevel="0" collapsed="false">
      <c r="A484" s="271" t="n">
        <f aca="false">IF(SUM(A$459:A$482)&gt;0,1,0)</f>
        <v>1</v>
      </c>
      <c r="B484" s="271"/>
      <c r="C484" s="271"/>
      <c r="D484" s="271"/>
      <c r="E484" s="271"/>
      <c r="F484" s="271"/>
      <c r="G484" s="271"/>
      <c r="H484" s="271"/>
      <c r="I484" s="274"/>
      <c r="J484" s="274"/>
      <c r="K484" s="314"/>
    </row>
    <row r="485" customFormat="false" ht="13.5" hidden="false" customHeight="true" outlineLevel="0" collapsed="false">
      <c r="A485" s="341" t="n">
        <f aca="false">IF(SUM(A$459:A$482)&gt;0,1,0)</f>
        <v>1</v>
      </c>
      <c r="B485" s="320" t="s">
        <v>892</v>
      </c>
      <c r="C485" s="271"/>
      <c r="D485" s="271"/>
      <c r="E485" s="271"/>
      <c r="F485" s="271"/>
      <c r="G485" s="271"/>
      <c r="H485" s="271"/>
      <c r="I485" s="274"/>
      <c r="J485" s="274"/>
      <c r="K485" s="314"/>
    </row>
    <row r="486" customFormat="false" ht="13.5" hidden="false" customHeight="true" outlineLevel="0" collapsed="false">
      <c r="A486" s="341" t="n">
        <f aca="false">IF(SUM(A$459:A$482)&gt;0,1,0)</f>
        <v>1</v>
      </c>
      <c r="B486" s="271" t="s">
        <v>901</v>
      </c>
      <c r="C486" s="271"/>
      <c r="D486" s="271"/>
      <c r="E486" s="271"/>
      <c r="F486" s="271"/>
      <c r="G486" s="271"/>
      <c r="H486" s="271"/>
      <c r="I486" s="274"/>
      <c r="J486" s="274"/>
      <c r="K486" s="314"/>
    </row>
    <row r="487" customFormat="false" ht="13.5" hidden="false" customHeight="true" outlineLevel="0" collapsed="false">
      <c r="A487" s="341" t="n">
        <f aca="false">IF(SUM(A$459:A$482)&gt;0,1,0)</f>
        <v>1</v>
      </c>
      <c r="B487" s="271" t="s">
        <v>902</v>
      </c>
      <c r="C487" s="271"/>
      <c r="D487" s="271"/>
      <c r="E487" s="271"/>
      <c r="F487" s="271"/>
      <c r="G487" s="302"/>
      <c r="H487" s="314"/>
      <c r="I487" s="340"/>
      <c r="J487" s="340"/>
      <c r="K487" s="314"/>
    </row>
    <row r="488" customFormat="false" ht="13.5" hidden="false" customHeight="true" outlineLevel="0" collapsed="false">
      <c r="A488" s="341" t="n">
        <f aca="false">IF(SUM(A$459:A$482)&gt;0,1,0)</f>
        <v>1</v>
      </c>
      <c r="B488" s="320" t="s">
        <v>903</v>
      </c>
      <c r="C488" s="271"/>
      <c r="D488" s="271"/>
      <c r="E488" s="271"/>
      <c r="F488" s="271"/>
      <c r="G488" s="271"/>
      <c r="H488" s="271"/>
      <c r="I488" s="274"/>
      <c r="J488" s="274"/>
      <c r="K488" s="314"/>
    </row>
    <row r="489" customFormat="false" ht="13.5" hidden="false" customHeight="true" outlineLevel="0" collapsed="false">
      <c r="A489" s="341" t="n">
        <f aca="false">IF(SUM(A$459:A$482)&gt;0,1,0)</f>
        <v>1</v>
      </c>
      <c r="B489" s="271" t="s">
        <v>904</v>
      </c>
      <c r="C489" s="271"/>
      <c r="D489" s="271"/>
      <c r="E489" s="271"/>
      <c r="F489" s="271"/>
      <c r="G489" s="271"/>
      <c r="H489" s="271"/>
    </row>
    <row r="490" customFormat="false" ht="13.5" hidden="false" customHeight="true" outlineLevel="0" collapsed="false">
      <c r="A490" s="341" t="n">
        <f aca="false">IF(SUM(A$459:A$482)&gt;0,1,0)</f>
        <v>1</v>
      </c>
      <c r="B490" s="271"/>
      <c r="C490" s="271"/>
      <c r="D490" s="271"/>
      <c r="E490" s="271"/>
      <c r="F490" s="271"/>
      <c r="G490" s="271"/>
      <c r="H490" s="271"/>
    </row>
    <row r="491" customFormat="false" ht="19.5" hidden="false" customHeight="true" outlineLevel="0" collapsed="false">
      <c r="A491" s="0" t="n">
        <f aca="false">IF(SUM(A$493:A$519)&gt;0,1,0)</f>
        <v>0</v>
      </c>
      <c r="B491" s="315" t="s">
        <v>905</v>
      </c>
      <c r="C491" s="316" t="n">
        <f aca="false">SUM(H493:H520)</f>
        <v>0</v>
      </c>
      <c r="D491" s="316"/>
      <c r="E491" s="352"/>
      <c r="F491" s="352"/>
      <c r="G491" s="342"/>
      <c r="H491" s="342"/>
      <c r="I491" s="353"/>
      <c r="J491" s="353"/>
      <c r="K491" s="342"/>
      <c r="L491" s="0" t="n">
        <f aca="false">IF(K527="incl",0,K527)</f>
        <v>0</v>
      </c>
      <c r="N491" s="392" t="n">
        <f aca="false">'13-Miscellaneous'!K41</f>
        <v>0</v>
      </c>
    </row>
    <row r="492" customFormat="false" ht="13.5" hidden="false" customHeight="true" outlineLevel="0" collapsed="false">
      <c r="A492" s="341" t="n">
        <f aca="false">IF(SUM(A$493:A$519)&gt;0,1,0)</f>
        <v>0</v>
      </c>
      <c r="B492" s="271" t="s">
        <v>847</v>
      </c>
      <c r="C492" s="271"/>
      <c r="D492" s="271"/>
      <c r="E492" s="271"/>
      <c r="F492" s="271"/>
      <c r="G492" s="314"/>
      <c r="H492" s="314"/>
      <c r="I492" s="340"/>
      <c r="J492" s="340"/>
      <c r="K492" s="314"/>
    </row>
    <row r="493" customFormat="false" ht="13.5" hidden="false" customHeight="true" outlineLevel="0" collapsed="false">
      <c r="A493" s="0" t="n">
        <f aca="false">IF(B493="",0,1)</f>
        <v>0</v>
      </c>
      <c r="B493" s="271" t="str">
        <f aca="false">IF(D493=0,"",'13-Miscellaneous'!B10)</f>
        <v/>
      </c>
      <c r="C493" s="271"/>
      <c r="D493" s="349" t="n">
        <f aca="false">'13-Miscellaneous'!G10</f>
        <v>0</v>
      </c>
      <c r="E493" s="271" t="str">
        <f aca="false">IF(D493="","",'13-Miscellaneous'!I10)</f>
        <v>EA</v>
      </c>
      <c r="F493" s="393" t="n">
        <f aca="false">IF(D493="","",'13-Miscellaneous'!H10)</f>
        <v>1150</v>
      </c>
      <c r="G493" s="314" t="str">
        <f aca="false">E493</f>
        <v>EA</v>
      </c>
      <c r="H493" s="302" t="n">
        <f aca="false">IF(D493="","",D493*F493)</f>
        <v>0</v>
      </c>
      <c r="I493" s="340"/>
      <c r="J493" s="340"/>
      <c r="K493" s="314"/>
      <c r="L493" s="0" t="n">
        <f aca="false">IF(K529="incl",0,K529)</f>
        <v>0</v>
      </c>
    </row>
    <row r="494" customFormat="false" ht="13.5" hidden="false" customHeight="true" outlineLevel="0" collapsed="false">
      <c r="A494" s="0" t="n">
        <f aca="false">IF(B494="",0,1)</f>
        <v>0</v>
      </c>
      <c r="B494" s="271" t="str">
        <f aca="false">IF(D494=0,"",'13-Miscellaneous'!B11)</f>
        <v/>
      </c>
      <c r="C494" s="271"/>
      <c r="D494" s="349" t="n">
        <f aca="false">'13-Miscellaneous'!G11</f>
        <v>0</v>
      </c>
      <c r="E494" s="271" t="str">
        <f aca="false">IF(D494="","",'13-Miscellaneous'!I11)</f>
        <v>EA</v>
      </c>
      <c r="F494" s="393" t="n">
        <f aca="false">IF(D494="","",'13-Miscellaneous'!H11)</f>
        <v>350</v>
      </c>
      <c r="G494" s="314" t="str">
        <f aca="false">E494</f>
        <v>EA</v>
      </c>
      <c r="H494" s="302" t="n">
        <f aca="false">IF(D494="","",D494*F494)</f>
        <v>0</v>
      </c>
      <c r="I494" s="340"/>
      <c r="J494" s="340"/>
      <c r="K494" s="314"/>
    </row>
    <row r="495" customFormat="false" ht="13.5" hidden="false" customHeight="true" outlineLevel="0" collapsed="false">
      <c r="A495" s="0" t="n">
        <f aca="false">IF(B495="",0,1)</f>
        <v>0</v>
      </c>
      <c r="B495" s="271" t="str">
        <f aca="false">IF(D495=0,"",'13-Miscellaneous'!B12)</f>
        <v/>
      </c>
      <c r="C495" s="271"/>
      <c r="D495" s="349" t="n">
        <f aca="false">'13-Miscellaneous'!G12</f>
        <v>0</v>
      </c>
      <c r="E495" s="271" t="str">
        <f aca="false">IF(D495="","",'13-Miscellaneous'!I12)</f>
        <v>EA</v>
      </c>
      <c r="F495" s="393" t="n">
        <f aca="false">IF(D495="","",'13-Miscellaneous'!H12)</f>
        <v>300</v>
      </c>
      <c r="G495" s="314" t="str">
        <f aca="false">E495</f>
        <v>EA</v>
      </c>
      <c r="H495" s="302" t="n">
        <f aca="false">IF(D495="","",D495*F495)</f>
        <v>0</v>
      </c>
      <c r="I495" s="340"/>
      <c r="J495" s="340"/>
      <c r="K495" s="314"/>
    </row>
    <row r="496" customFormat="false" ht="13.5" hidden="false" customHeight="true" outlineLevel="0" collapsed="false">
      <c r="A496" s="0" t="n">
        <f aca="false">IF(B496="",0,1)</f>
        <v>0</v>
      </c>
      <c r="B496" s="271" t="str">
        <f aca="false">IF(D496=0,"",'13-Miscellaneous'!B13)</f>
        <v/>
      </c>
      <c r="C496" s="271"/>
      <c r="D496" s="349" t="n">
        <f aca="false">'13-Miscellaneous'!G13</f>
        <v>0</v>
      </c>
      <c r="E496" s="271" t="str">
        <f aca="false">IF(D496="","",'13-Miscellaneous'!I13)</f>
        <v>EA</v>
      </c>
      <c r="F496" s="393" t="n">
        <f aca="false">IF(D496="","",'13-Miscellaneous'!H13)</f>
        <v>150</v>
      </c>
      <c r="G496" s="314" t="str">
        <f aca="false">E496</f>
        <v>EA</v>
      </c>
      <c r="H496" s="302" t="n">
        <f aca="false">IF(D496="","",D496*F496)</f>
        <v>0</v>
      </c>
      <c r="I496" s="340"/>
      <c r="J496" s="340"/>
      <c r="K496" s="314"/>
    </row>
    <row r="497" customFormat="false" ht="13.5" hidden="false" customHeight="true" outlineLevel="0" collapsed="false">
      <c r="A497" s="0" t="n">
        <f aca="false">IF(B497="",0,1)</f>
        <v>0</v>
      </c>
      <c r="B497" s="271" t="str">
        <f aca="false">IF(D497=0,"",'13-Miscellaneous'!B14)</f>
        <v/>
      </c>
      <c r="C497" s="271"/>
      <c r="D497" s="349" t="n">
        <f aca="false">'13-Miscellaneous'!G14</f>
        <v>0</v>
      </c>
      <c r="E497" s="271" t="str">
        <f aca="false">IF(D497="","",'13-Miscellaneous'!I14)</f>
        <v>EA</v>
      </c>
      <c r="F497" s="393" t="n">
        <f aca="false">IF(D497="","",'13-Miscellaneous'!H14)</f>
        <v>300</v>
      </c>
      <c r="G497" s="314" t="str">
        <f aca="false">E497</f>
        <v>EA</v>
      </c>
      <c r="H497" s="302" t="n">
        <f aca="false">IF(D497="","",D497*F497)</f>
        <v>0</v>
      </c>
      <c r="I497" s="340"/>
      <c r="J497" s="340"/>
      <c r="K497" s="314"/>
    </row>
    <row r="498" customFormat="false" ht="13.5" hidden="false" customHeight="true" outlineLevel="0" collapsed="false">
      <c r="A498" s="0" t="n">
        <f aca="false">IF(B498="",0,1)</f>
        <v>0</v>
      </c>
      <c r="B498" s="271" t="str">
        <f aca="false">IF(D498=0,"",'13-Miscellaneous'!B17)</f>
        <v/>
      </c>
      <c r="C498" s="271"/>
      <c r="D498" s="349" t="n">
        <f aca="false">'13-Miscellaneous'!G17</f>
        <v>0</v>
      </c>
      <c r="E498" s="271" t="str">
        <f aca="false">IF(D498="","",'13-Miscellaneous'!I17)</f>
        <v>EA</v>
      </c>
      <c r="F498" s="393" t="n">
        <f aca="false">IF(D498="","",'13-Miscellaneous'!H17)</f>
        <v>18600</v>
      </c>
      <c r="G498" s="314" t="str">
        <f aca="false">E498</f>
        <v>EA</v>
      </c>
      <c r="H498" s="302" t="n">
        <f aca="false">IF(D498="","",D498*F498)</f>
        <v>0</v>
      </c>
      <c r="I498" s="274"/>
      <c r="J498" s="274"/>
      <c r="K498" s="314"/>
    </row>
    <row r="499" customFormat="false" ht="13.5" hidden="false" customHeight="true" outlineLevel="0" collapsed="false">
      <c r="A499" s="0" t="n">
        <f aca="false">IF(B499="",0,1)</f>
        <v>0</v>
      </c>
      <c r="B499" s="271" t="str">
        <f aca="false">IF(D499=0,"",'13-Miscellaneous'!B18)</f>
        <v/>
      </c>
      <c r="C499" s="271"/>
      <c r="D499" s="349" t="n">
        <f aca="false">'13-Miscellaneous'!G18</f>
        <v>0</v>
      </c>
      <c r="E499" s="271" t="str">
        <f aca="false">IF(D499="","",'13-Miscellaneous'!I18)</f>
        <v>EA</v>
      </c>
      <c r="F499" s="393" t="n">
        <f aca="false">IF(D499="","",'13-Miscellaneous'!H18)</f>
        <v>2600</v>
      </c>
      <c r="G499" s="314" t="str">
        <f aca="false">E499</f>
        <v>EA</v>
      </c>
      <c r="H499" s="302" t="n">
        <f aca="false">IF(D499="","",D499*F499)</f>
        <v>0</v>
      </c>
      <c r="I499" s="340"/>
      <c r="J499" s="340"/>
      <c r="K499" s="314"/>
    </row>
    <row r="500" customFormat="false" ht="13.5" hidden="false" customHeight="true" outlineLevel="0" collapsed="false">
      <c r="A500" s="0" t="n">
        <f aca="false">IF(B500="",0,1)</f>
        <v>0</v>
      </c>
      <c r="B500" s="271" t="str">
        <f aca="false">IF(D500=0,"",'13-Miscellaneous'!B19)</f>
        <v/>
      </c>
      <c r="C500" s="271"/>
      <c r="D500" s="349" t="n">
        <f aca="false">'13-Miscellaneous'!G19</f>
        <v>0</v>
      </c>
      <c r="E500" s="271" t="str">
        <f aca="false">IF(D500="","",'13-Miscellaneous'!I19)</f>
        <v>EA</v>
      </c>
      <c r="F500" s="393" t="n">
        <f aca="false">IF(D500="","",'13-Miscellaneous'!H19)</f>
        <v>2800</v>
      </c>
      <c r="G500" s="314" t="str">
        <f aca="false">E500</f>
        <v>EA</v>
      </c>
      <c r="H500" s="302" t="n">
        <f aca="false">IF(D500="","",D500*F500)</f>
        <v>0</v>
      </c>
      <c r="I500" s="340"/>
      <c r="J500" s="340"/>
      <c r="K500" s="314"/>
    </row>
    <row r="501" customFormat="false" ht="13.5" hidden="false" customHeight="true" outlineLevel="0" collapsed="false">
      <c r="A501" s="0" t="n">
        <f aca="false">IF(B501="",0,1)</f>
        <v>0</v>
      </c>
      <c r="B501" s="271" t="str">
        <f aca="false">IF(D501=0,"",'13-Miscellaneous'!B20)</f>
        <v/>
      </c>
      <c r="C501" s="271"/>
      <c r="D501" s="349" t="n">
        <f aca="false">'13-Miscellaneous'!G20</f>
        <v>0</v>
      </c>
      <c r="E501" s="271" t="str">
        <f aca="false">IF(D501="","",'13-Miscellaneous'!I20)</f>
        <v>LF</v>
      </c>
      <c r="F501" s="393" t="n">
        <f aca="false">IF(D501="","",'13-Miscellaneous'!H20)</f>
        <v>500</v>
      </c>
      <c r="G501" s="314" t="str">
        <f aca="false">E501</f>
        <v>LF</v>
      </c>
      <c r="H501" s="302" t="n">
        <f aca="false">IF(D501="","",D501*F501)</f>
        <v>0</v>
      </c>
      <c r="I501" s="340"/>
      <c r="J501" s="340"/>
      <c r="K501" s="314"/>
    </row>
    <row r="502" customFormat="false" ht="13.5" hidden="false" customHeight="true" outlineLevel="0" collapsed="false">
      <c r="B502" s="271" t="str">
        <f aca="false">IF(D502=0,"",'13-Miscellaneous'!B21)</f>
        <v/>
      </c>
      <c r="C502" s="271"/>
      <c r="D502" s="349" t="n">
        <f aca="false">'13-Miscellaneous'!G21</f>
        <v>0</v>
      </c>
      <c r="E502" s="271" t="str">
        <f aca="false">IF(D502="","",'13-Miscellaneous'!I21)</f>
        <v>EA</v>
      </c>
      <c r="F502" s="393" t="n">
        <f aca="false">IF(D502="","",'13-Miscellaneous'!H21)</f>
        <v>2500</v>
      </c>
      <c r="G502" s="314" t="str">
        <f aca="false">E502</f>
        <v>EA</v>
      </c>
      <c r="H502" s="302" t="n">
        <f aca="false">IF(D502="","",D502*F502)</f>
        <v>0</v>
      </c>
      <c r="I502" s="340"/>
      <c r="J502" s="340"/>
      <c r="K502" s="314"/>
    </row>
    <row r="503" customFormat="false" ht="13.5" hidden="false" customHeight="true" outlineLevel="0" collapsed="false">
      <c r="A503" s="0" t="n">
        <f aca="false">IF(B503="",0,1)</f>
        <v>0</v>
      </c>
      <c r="B503" s="271" t="str">
        <f aca="false">IF(D503=0,"",'13-Miscellaneous'!B22)</f>
        <v/>
      </c>
      <c r="C503" s="271"/>
      <c r="D503" s="349" t="n">
        <f aca="false">'13-Miscellaneous'!G22</f>
        <v>0</v>
      </c>
      <c r="E503" s="271" t="str">
        <f aca="false">IF(D503="","",'13-Miscellaneous'!I22)</f>
        <v>EA</v>
      </c>
      <c r="F503" s="393" t="n">
        <f aca="false">IF(D503="","",'13-Miscellaneous'!H22)</f>
        <v>40</v>
      </c>
      <c r="G503" s="314" t="str">
        <f aca="false">E503</f>
        <v>EA</v>
      </c>
      <c r="H503" s="302" t="n">
        <f aca="false">IF(D503="","",D503*F503)</f>
        <v>0</v>
      </c>
      <c r="I503" s="340"/>
      <c r="J503" s="340"/>
      <c r="K503" s="314"/>
    </row>
    <row r="504" customFormat="false" ht="13.5" hidden="false" customHeight="true" outlineLevel="0" collapsed="false">
      <c r="A504" s="0" t="n">
        <f aca="false">IF(B504="",0,1)</f>
        <v>0</v>
      </c>
      <c r="B504" s="271" t="str">
        <f aca="false">IF(D504=0,"",'13-Miscellaneous'!B25)</f>
        <v/>
      </c>
      <c r="C504" s="271"/>
      <c r="D504" s="349" t="n">
        <f aca="false">'13-Miscellaneous'!G25</f>
        <v>0</v>
      </c>
      <c r="E504" s="271" t="str">
        <f aca="false">IF(D504="","",'13-Miscellaneous'!I25)</f>
        <v>EA</v>
      </c>
      <c r="F504" s="393" t="n">
        <f aca="false">IF(D504="","",'13-Miscellaneous'!H25)</f>
        <v>450</v>
      </c>
      <c r="G504" s="314" t="str">
        <f aca="false">E504</f>
        <v>EA</v>
      </c>
      <c r="H504" s="302" t="n">
        <f aca="false">IF(D504="","",D504*F504)</f>
        <v>0</v>
      </c>
      <c r="I504" s="340"/>
      <c r="J504" s="340"/>
      <c r="K504" s="314"/>
    </row>
    <row r="505" customFormat="false" ht="13.5" hidden="false" customHeight="true" outlineLevel="0" collapsed="false">
      <c r="A505" s="0" t="n">
        <f aca="false">IF(B505="",0,1)</f>
        <v>0</v>
      </c>
      <c r="B505" s="271" t="str">
        <f aca="false">IF(D505=0,"",'13-Miscellaneous'!B26)</f>
        <v/>
      </c>
      <c r="C505" s="271"/>
      <c r="D505" s="349" t="n">
        <f aca="false">'13-Miscellaneous'!G26</f>
        <v>0</v>
      </c>
      <c r="E505" s="271" t="str">
        <f aca="false">IF(D505="","",'13-Miscellaneous'!I26)</f>
        <v>EA</v>
      </c>
      <c r="F505" s="393" t="n">
        <f aca="false">IF(D505="","",'13-Miscellaneous'!H26)</f>
        <v>550</v>
      </c>
      <c r="G505" s="314" t="str">
        <f aca="false">E505</f>
        <v>EA</v>
      </c>
      <c r="H505" s="302" t="n">
        <f aca="false">IF(D505="","",D505*F505)</f>
        <v>0</v>
      </c>
      <c r="I505" s="340"/>
      <c r="J505" s="340"/>
      <c r="K505" s="314"/>
    </row>
    <row r="506" s="10" customFormat="true" ht="13.5" hidden="false" customHeight="true" outlineLevel="0" collapsed="false">
      <c r="A506" s="10" t="n">
        <f aca="false">IF(B506="",0,1)</f>
        <v>0</v>
      </c>
      <c r="B506" s="271" t="str">
        <f aca="false">IF(D506=0,"",'13-Miscellaneous'!B27)</f>
        <v/>
      </c>
      <c r="C506" s="271"/>
      <c r="D506" s="349" t="n">
        <f aca="false">'13-Miscellaneous'!G27</f>
        <v>0</v>
      </c>
      <c r="E506" s="271" t="str">
        <f aca="false">IF(D506="","",'13-Miscellaneous'!I27)</f>
        <v>EA</v>
      </c>
      <c r="F506" s="393" t="n">
        <f aca="false">IF(D506="","",'13-Miscellaneous'!H27)</f>
        <v>1150</v>
      </c>
      <c r="G506" s="314" t="str">
        <f aca="false">E506</f>
        <v>EA</v>
      </c>
      <c r="H506" s="302" t="n">
        <f aca="false">IF(D506="","",D506*F506)</f>
        <v>0</v>
      </c>
      <c r="I506" s="340"/>
      <c r="J506" s="340"/>
      <c r="K506" s="314"/>
    </row>
    <row r="507" customFormat="false" ht="13.5" hidden="false" customHeight="true" outlineLevel="0" collapsed="false">
      <c r="A507" s="0" t="n">
        <f aca="false">IF(B507="",0,1)</f>
        <v>0</v>
      </c>
      <c r="B507" s="271" t="str">
        <f aca="false">IF(D507=0,"",'13-Miscellaneous'!B28)</f>
        <v/>
      </c>
      <c r="C507" s="271"/>
      <c r="D507" s="349" t="n">
        <f aca="false">'13-Miscellaneous'!G28</f>
        <v>0</v>
      </c>
      <c r="E507" s="271" t="str">
        <f aca="false">IF(D507="","",'13-Miscellaneous'!I28)</f>
        <v>LF</v>
      </c>
      <c r="F507" s="393" t="n">
        <f aca="false">IF(D507="","",'13-Miscellaneous'!H28)</f>
        <v>43</v>
      </c>
      <c r="G507" s="314" t="str">
        <f aca="false">E507</f>
        <v>LF</v>
      </c>
      <c r="H507" s="302" t="n">
        <f aca="false">IF(D507="","",D507*F507)</f>
        <v>0</v>
      </c>
      <c r="I507" s="340"/>
      <c r="J507" s="340"/>
      <c r="K507" s="314"/>
    </row>
    <row r="508" customFormat="false" ht="13.5" hidden="false" customHeight="true" outlineLevel="0" collapsed="false">
      <c r="A508" s="0" t="n">
        <f aca="false">IF(B508="",0,1)</f>
        <v>0</v>
      </c>
      <c r="B508" s="271" t="str">
        <f aca="false">IF(D508=0,"",'13-Miscellaneous'!B29)</f>
        <v/>
      </c>
      <c r="C508" s="271"/>
      <c r="D508" s="349" t="n">
        <f aca="false">'13-Miscellaneous'!G29</f>
        <v>0</v>
      </c>
      <c r="E508" s="271" t="str">
        <f aca="false">IF(D508="","",'13-Miscellaneous'!I29)</f>
        <v>LF</v>
      </c>
      <c r="F508" s="393" t="n">
        <f aca="false">IF(D508="","",'13-Miscellaneous'!H29)</f>
        <v>38</v>
      </c>
      <c r="G508" s="314" t="str">
        <f aca="false">E508</f>
        <v>LF</v>
      </c>
      <c r="H508" s="302" t="n">
        <f aca="false">IF(D508="","",D508*F508)</f>
        <v>0</v>
      </c>
      <c r="I508" s="340"/>
      <c r="J508" s="340"/>
      <c r="K508" s="314"/>
    </row>
    <row r="509" customFormat="false" ht="13.5" hidden="false" customHeight="true" outlineLevel="0" collapsed="false">
      <c r="B509" s="271" t="str">
        <f aca="false">IF(D509=0,"",'13-Miscellaneous'!B30)</f>
        <v/>
      </c>
      <c r="C509" s="271"/>
      <c r="D509" s="349" t="n">
        <f aca="false">'13-Miscellaneous'!G30</f>
        <v>0</v>
      </c>
      <c r="E509" s="271" t="str">
        <f aca="false">IF(D509="","",'13-Miscellaneous'!I30)</f>
        <v>EA</v>
      </c>
      <c r="F509" s="393" t="n">
        <f aca="false">IF(D509="","",'13-Miscellaneous'!H30)</f>
        <v>350</v>
      </c>
      <c r="G509" s="314" t="str">
        <f aca="false">E509</f>
        <v>EA</v>
      </c>
      <c r="H509" s="302" t="n">
        <f aca="false">IF(D509="","",D509*F509)</f>
        <v>0</v>
      </c>
      <c r="I509" s="340"/>
      <c r="J509" s="340"/>
      <c r="K509" s="314"/>
    </row>
    <row r="510" customFormat="false" ht="13.5" hidden="false" customHeight="true" outlineLevel="0" collapsed="false">
      <c r="B510" s="271" t="str">
        <f aca="false">IF(D510=0,"",'13-Miscellaneous'!B31)</f>
        <v/>
      </c>
      <c r="C510" s="271"/>
      <c r="D510" s="349" t="n">
        <f aca="false">'13-Miscellaneous'!G31</f>
        <v>0</v>
      </c>
      <c r="E510" s="271" t="str">
        <f aca="false">IF(D510="","",'13-Miscellaneous'!I31)</f>
        <v>ea</v>
      </c>
      <c r="F510" s="393" t="n">
        <f aca="false">IF(D510="","",'13-Miscellaneous'!H31)</f>
        <v>1400</v>
      </c>
      <c r="G510" s="314" t="str">
        <f aca="false">E510</f>
        <v>ea</v>
      </c>
      <c r="H510" s="302" t="n">
        <f aca="false">IF(D510="","",D510*F510)</f>
        <v>0</v>
      </c>
      <c r="I510" s="340"/>
      <c r="J510" s="340"/>
      <c r="K510" s="314"/>
    </row>
    <row r="511" customFormat="false" ht="13.5" hidden="false" customHeight="true" outlineLevel="0" collapsed="false">
      <c r="A511" s="0" t="n">
        <f aca="false">IF(B511="",0,1)</f>
        <v>0</v>
      </c>
      <c r="B511" s="271" t="str">
        <f aca="false">IF(D511=0,"",'13-Miscellaneous'!B32)</f>
        <v/>
      </c>
      <c r="C511" s="271"/>
      <c r="D511" s="349" t="n">
        <f aca="false">'13-Miscellaneous'!G32</f>
        <v>0</v>
      </c>
      <c r="E511" s="271" t="str">
        <f aca="false">IF(D511="","",'13-Miscellaneous'!I32)</f>
        <v>EA</v>
      </c>
      <c r="F511" s="393" t="n">
        <f aca="false">IF(D511="","",'13-Miscellaneous'!H32)</f>
        <v>11050</v>
      </c>
      <c r="G511" s="314" t="str">
        <f aca="false">E511</f>
        <v>EA</v>
      </c>
      <c r="H511" s="302" t="n">
        <f aca="false">IF(D511="","",D511*F511)</f>
        <v>0</v>
      </c>
      <c r="I511" s="340"/>
      <c r="J511" s="340"/>
      <c r="K511" s="314"/>
    </row>
    <row r="512" customFormat="false" ht="13.5" hidden="false" customHeight="true" outlineLevel="0" collapsed="false">
      <c r="A512" s="0" t="n">
        <f aca="false">IF(B512="",0,1)</f>
        <v>0</v>
      </c>
      <c r="B512" s="271"/>
      <c r="C512" s="271"/>
      <c r="D512" s="349"/>
      <c r="E512" s="271"/>
      <c r="F512" s="393"/>
      <c r="G512" s="314"/>
      <c r="H512" s="302"/>
      <c r="I512" s="340"/>
      <c r="J512" s="340"/>
      <c r="K512" s="314"/>
    </row>
    <row r="513" customFormat="false" ht="13.5" hidden="false" customHeight="true" outlineLevel="0" collapsed="false">
      <c r="A513" s="0" t="n">
        <f aca="false">IF(B513="",0,1)</f>
        <v>0</v>
      </c>
      <c r="B513" s="271" t="str">
        <f aca="false">IF(D513=0,"",'13-Miscellaneous'!B34)</f>
        <v/>
      </c>
      <c r="C513" s="271"/>
      <c r="D513" s="349" t="n">
        <f aca="false">'13-Miscellaneous'!G34</f>
        <v>0</v>
      </c>
      <c r="E513" s="271" t="str">
        <f aca="false">IF(D513="","",'13-Miscellaneous'!I34)</f>
        <v>EA</v>
      </c>
      <c r="F513" s="393" t="n">
        <f aca="false">IF(D513="","",'13-Miscellaneous'!H34)</f>
        <v>250</v>
      </c>
      <c r="G513" s="314" t="str">
        <f aca="false">E513</f>
        <v>EA</v>
      </c>
      <c r="H513" s="302" t="n">
        <f aca="false">IF(D513="","",D513*F513)</f>
        <v>0</v>
      </c>
      <c r="I513" s="340"/>
      <c r="J513" s="340"/>
      <c r="K513" s="314"/>
    </row>
    <row r="514" customFormat="false" ht="13.5" hidden="false" customHeight="true" outlineLevel="0" collapsed="false">
      <c r="A514" s="0" t="n">
        <f aca="false">IF(B514="",0,1)</f>
        <v>0</v>
      </c>
      <c r="B514" s="271" t="str">
        <f aca="false">IF(D514=0,"",'13-Miscellaneous'!B35)</f>
        <v/>
      </c>
      <c r="C514" s="271"/>
      <c r="D514" s="349" t="n">
        <f aca="false">'13-Miscellaneous'!G35</f>
        <v>0</v>
      </c>
      <c r="E514" s="271" t="str">
        <f aca="false">IF(D514="","",'13-Miscellaneous'!I35)</f>
        <v>EA</v>
      </c>
      <c r="F514" s="393" t="n">
        <f aca="false">IF(D514="","",'13-Miscellaneous'!H35)</f>
        <v>125</v>
      </c>
      <c r="G514" s="314" t="str">
        <f aca="false">E514</f>
        <v>EA</v>
      </c>
      <c r="H514" s="302" t="n">
        <f aca="false">IF(D514="","",D514*F514)</f>
        <v>0</v>
      </c>
      <c r="I514" s="340"/>
      <c r="J514" s="340"/>
      <c r="K514" s="314"/>
    </row>
    <row r="515" customFormat="false" ht="13.5" hidden="false" customHeight="true" outlineLevel="0" collapsed="false">
      <c r="A515" s="0" t="n">
        <f aca="false">IF(B515="",0,1)</f>
        <v>0</v>
      </c>
      <c r="B515" s="271" t="str">
        <f aca="false">IF(D515=0,"",'13-Miscellaneous'!B36)</f>
        <v/>
      </c>
      <c r="C515" s="271"/>
      <c r="D515" s="349" t="n">
        <f aca="false">'13-Miscellaneous'!G36</f>
        <v>0</v>
      </c>
      <c r="E515" s="271" t="str">
        <f aca="false">IF(D515="","",'13-Miscellaneous'!I36)</f>
        <v>LF</v>
      </c>
      <c r="F515" s="393" t="n">
        <f aca="false">IF(D515="","",'13-Miscellaneous'!H36)</f>
        <v>110</v>
      </c>
      <c r="G515" s="314" t="str">
        <f aca="false">E515</f>
        <v>LF</v>
      </c>
      <c r="H515" s="302" t="n">
        <f aca="false">IF(D515="","",D515*F515)</f>
        <v>0</v>
      </c>
      <c r="I515" s="340"/>
      <c r="J515" s="340"/>
      <c r="K515" s="314"/>
    </row>
    <row r="516" customFormat="false" ht="13.5" hidden="false" customHeight="true" outlineLevel="0" collapsed="false">
      <c r="A516" s="0" t="n">
        <f aca="false">IF(B516="",0,1)</f>
        <v>0</v>
      </c>
      <c r="B516" s="271" t="str">
        <f aca="false">IF(D516=0,"",'13-Miscellaneous'!B37)</f>
        <v/>
      </c>
      <c r="C516" s="271"/>
      <c r="D516" s="349" t="n">
        <f aca="false">'13-Miscellaneous'!G37</f>
        <v>0</v>
      </c>
      <c r="E516" s="271" t="str">
        <f aca="false">IF(D516="","",'13-Miscellaneous'!I37)</f>
        <v>EA</v>
      </c>
      <c r="F516" s="393" t="n">
        <f aca="false">IF(D516="","",'13-Miscellaneous'!H37)</f>
        <v>550</v>
      </c>
      <c r="G516" s="314" t="str">
        <f aca="false">E516</f>
        <v>EA</v>
      </c>
      <c r="H516" s="302" t="n">
        <f aca="false">IF(D516="","",D516*F516)</f>
        <v>0</v>
      </c>
      <c r="I516" s="340"/>
      <c r="J516" s="340"/>
      <c r="K516" s="314"/>
    </row>
    <row r="517" customFormat="false" ht="13.5" hidden="false" customHeight="true" outlineLevel="0" collapsed="false">
      <c r="A517" s="0" t="n">
        <f aca="false">IF(B517="",0,1)</f>
        <v>0</v>
      </c>
      <c r="B517" s="271" t="str">
        <f aca="false">IF(D517=0,"",'13-Miscellaneous'!B38)</f>
        <v/>
      </c>
      <c r="C517" s="271"/>
      <c r="D517" s="349" t="n">
        <f aca="false">'13-Miscellaneous'!G38</f>
        <v>0</v>
      </c>
      <c r="E517" s="271" t="str">
        <f aca="false">IF(D517="","",'13-Miscellaneous'!I38)</f>
        <v>LF</v>
      </c>
      <c r="F517" s="393" t="n">
        <f aca="false">IF(D517="","",'13-Miscellaneous'!H38)</f>
        <v>0</v>
      </c>
      <c r="G517" s="314" t="str">
        <f aca="false">E517</f>
        <v>LF</v>
      </c>
      <c r="H517" s="302" t="n">
        <f aca="false">IF(D517="","",D517*F517)</f>
        <v>0</v>
      </c>
      <c r="I517" s="340"/>
      <c r="J517" s="340"/>
      <c r="K517" s="314"/>
    </row>
    <row r="518" customFormat="false" ht="13.5" hidden="false" customHeight="true" outlineLevel="0" collapsed="false">
      <c r="A518" s="0" t="n">
        <f aca="false">IF(B518="",0,1)</f>
        <v>0</v>
      </c>
      <c r="B518" s="271" t="str">
        <f aca="false">IF(D518=0,"",'13-Miscellaneous'!B39)</f>
        <v/>
      </c>
      <c r="C518" s="271"/>
      <c r="D518" s="349" t="n">
        <f aca="false">'13-Miscellaneous'!G39</f>
        <v>0</v>
      </c>
      <c r="E518" s="271" t="str">
        <f aca="false">IF(D518="","",'13-Miscellaneous'!I39)</f>
        <v>LF</v>
      </c>
      <c r="F518" s="393" t="n">
        <f aca="false">IF(D518="","",'13-Miscellaneous'!H39)</f>
        <v>0</v>
      </c>
      <c r="G518" s="314" t="str">
        <f aca="false">E518</f>
        <v>LF</v>
      </c>
      <c r="H518" s="302" t="n">
        <f aca="false">IF(D518="","",D518*F518)</f>
        <v>0</v>
      </c>
      <c r="I518" s="340"/>
      <c r="J518" s="340"/>
      <c r="K518" s="314"/>
    </row>
    <row r="519" customFormat="false" ht="13.5" hidden="false" customHeight="true" outlineLevel="0" collapsed="false">
      <c r="A519" s="0" t="n">
        <f aca="false">IF(B519="",0,1)</f>
        <v>0</v>
      </c>
      <c r="B519" s="271" t="str">
        <f aca="false">IF(D519=0,"",'13-Miscellaneous'!B40)</f>
        <v/>
      </c>
      <c r="C519" s="271"/>
      <c r="D519" s="349" t="n">
        <f aca="false">'13-Miscellaneous'!G40</f>
        <v>0</v>
      </c>
      <c r="E519" s="271" t="str">
        <f aca="false">IF(D519="","",'13-Miscellaneous'!I40)</f>
        <v>LF</v>
      </c>
      <c r="F519" s="393" t="n">
        <f aca="false">IF(D519="","",'13-Miscellaneous'!H40)</f>
        <v>0</v>
      </c>
      <c r="G519" s="314" t="str">
        <f aca="false">E519</f>
        <v>LF</v>
      </c>
      <c r="H519" s="302" t="n">
        <f aca="false">IF(D519="","",D519*F519)</f>
        <v>0</v>
      </c>
      <c r="I519" s="340"/>
      <c r="J519" s="340"/>
      <c r="K519" s="314"/>
    </row>
    <row r="520" customFormat="false" ht="13.5" hidden="false" customHeight="true" outlineLevel="0" collapsed="false">
      <c r="A520" s="341" t="n">
        <v>1</v>
      </c>
      <c r="B520" s="271" t="str">
        <f aca="false">IF(D520=0,"",'13-Miscellaneous'!B41)</f>
        <v/>
      </c>
      <c r="C520" s="271"/>
      <c r="D520" s="349"/>
      <c r="E520" s="271"/>
      <c r="F520" s="393"/>
      <c r="G520" s="314"/>
      <c r="H520" s="302" t="str">
        <f aca="false">IF(D520="","",D520*F520)</f>
        <v/>
      </c>
      <c r="I520" s="340"/>
      <c r="J520" s="340"/>
      <c r="K520" s="314"/>
    </row>
    <row r="521" customFormat="false" ht="13.5" hidden="false" customHeight="true" outlineLevel="0" collapsed="false">
      <c r="A521" s="0" t="n">
        <v>1</v>
      </c>
      <c r="B521" s="272"/>
      <c r="D521" s="271"/>
      <c r="G521" s="291"/>
    </row>
    <row r="522" customFormat="false" ht="13.5" hidden="false" customHeight="true" outlineLevel="0" collapsed="false">
      <c r="A522" s="0" t="n">
        <v>1</v>
      </c>
      <c r="B522" s="315"/>
      <c r="C522" s="318"/>
      <c r="D522" s="352"/>
      <c r="E522" s="352"/>
      <c r="F522" s="394"/>
      <c r="G522" s="308"/>
      <c r="H522" s="395"/>
      <c r="I522" s="318"/>
      <c r="J522" s="318"/>
      <c r="K522" s="318"/>
    </row>
    <row r="523" customFormat="false" ht="12.65" hidden="false" customHeight="false" outlineLevel="0" collapsed="false">
      <c r="A523" s="0" t="n">
        <v>1</v>
      </c>
    </row>
    <row r="524" customFormat="false" ht="15" hidden="false" customHeight="false" outlineLevel="0" collapsed="false">
      <c r="A524" s="265" t="n">
        <v>1</v>
      </c>
      <c r="B524" s="396"/>
      <c r="C524" s="265"/>
      <c r="D524" s="265"/>
      <c r="E524" s="265"/>
      <c r="F524" s="265"/>
      <c r="G524" s="265"/>
      <c r="H524" s="265"/>
      <c r="I524" s="397"/>
      <c r="J524" s="398" t="s">
        <v>828</v>
      </c>
      <c r="K524" s="399" t="n">
        <f aca="false">K47</f>
        <v>808755.175867466</v>
      </c>
    </row>
    <row r="525" customFormat="false" ht="12.75" hidden="false" customHeight="false" outlineLevel="0" collapsed="false">
      <c r="A525" s="0" t="n">
        <v>1</v>
      </c>
      <c r="B525" s="271"/>
      <c r="C525" s="10"/>
    </row>
    <row r="526" customFormat="false" ht="39.75" hidden="false" customHeight="true" outlineLevel="0" collapsed="false">
      <c r="A526" s="0" t="n">
        <f aca="false">IF(B526="",0,1)</f>
        <v>1</v>
      </c>
      <c r="B526" s="272" t="s">
        <v>906</v>
      </c>
      <c r="C526" s="271"/>
    </row>
    <row r="527" customFormat="false" ht="12.65" hidden="false" customHeight="false" outlineLevel="0" collapsed="false">
      <c r="A527" s="341" t="n">
        <v>1</v>
      </c>
      <c r="B527" s="341"/>
      <c r="C527" s="271"/>
      <c r="D527" s="349"/>
      <c r="E527" s="271"/>
      <c r="F527" s="393"/>
      <c r="G527" s="314"/>
      <c r="H527" s="302"/>
      <c r="I527" s="340"/>
      <c r="J527" s="340"/>
      <c r="K527" s="314"/>
    </row>
    <row r="528" customFormat="false" ht="12.65" hidden="false" customHeight="false" outlineLevel="0" collapsed="false">
      <c r="A528" s="0" t="n">
        <v>1</v>
      </c>
      <c r="B528" s="271"/>
      <c r="C528" s="10"/>
    </row>
    <row r="529" customFormat="false" ht="12.65" hidden="false" customHeight="false" outlineLevel="0" collapsed="false">
      <c r="A529" s="0" t="n">
        <f aca="false">IF(B529="",0,1)</f>
        <v>0</v>
      </c>
      <c r="B529" s="341"/>
      <c r="C529" s="271"/>
      <c r="D529" s="271"/>
      <c r="G529" s="400"/>
      <c r="H529" s="400"/>
      <c r="I529" s="271"/>
      <c r="J529" s="271"/>
    </row>
    <row r="530" customFormat="false" ht="12.65" hidden="false" customHeight="false" outlineLevel="0" collapsed="false">
      <c r="A530" s="0" t="n">
        <f aca="false">IF(B530="",0,1)</f>
        <v>0</v>
      </c>
      <c r="B530" s="10"/>
      <c r="C530" s="271"/>
      <c r="D530" s="271"/>
      <c r="G530" s="400"/>
      <c r="H530" s="400"/>
      <c r="I530" s="271"/>
      <c r="J530" s="271"/>
    </row>
    <row r="531" customFormat="false" ht="12.75" hidden="false" customHeight="true" outlineLevel="0" collapsed="false">
      <c r="A531" s="0" t="n">
        <f aca="false">IF(B531="",0,1)</f>
        <v>0</v>
      </c>
      <c r="B531" s="10"/>
      <c r="C531" s="271"/>
      <c r="D531" s="271"/>
    </row>
    <row r="532" customFormat="false" ht="15" hidden="false" customHeight="false" outlineLevel="0" collapsed="false">
      <c r="A532" s="0" t="n">
        <f aca="false">IF(B532="",0,1)</f>
        <v>1</v>
      </c>
      <c r="B532" s="401" t="s">
        <v>907</v>
      </c>
      <c r="C532" s="16"/>
    </row>
    <row r="533" customFormat="false" ht="15" hidden="false" customHeight="false" outlineLevel="0" collapsed="false">
      <c r="A533" s="0" t="n">
        <f aca="false">IF(B533="",0,1)</f>
        <v>1</v>
      </c>
      <c r="B533" s="402" t="s">
        <v>908</v>
      </c>
      <c r="C533" s="16"/>
    </row>
    <row r="534" customFormat="false" ht="15" hidden="false" customHeight="false" outlineLevel="0" collapsed="false">
      <c r="A534" s="0" t="n">
        <f aca="false">IF(B534="",0,1)</f>
        <v>1</v>
      </c>
      <c r="B534" s="402" t="s">
        <v>909</v>
      </c>
      <c r="C534" s="16"/>
    </row>
    <row r="535" customFormat="false" ht="15" hidden="false" customHeight="false" outlineLevel="0" collapsed="false">
      <c r="A535" s="0" t="n">
        <f aca="false">IF(B535="",0,1)</f>
        <v>1</v>
      </c>
      <c r="B535" s="402" t="s">
        <v>910</v>
      </c>
      <c r="C535" s="16"/>
    </row>
    <row r="536" customFormat="false" ht="15" hidden="false" customHeight="false" outlineLevel="0" collapsed="false">
      <c r="A536" s="0" t="n">
        <f aca="false">IF(B536="",0,1)</f>
        <v>1</v>
      </c>
      <c r="B536" s="402" t="s">
        <v>911</v>
      </c>
      <c r="C536" s="16"/>
      <c r="L536" s="0" t="n">
        <f aca="false">IF(K569="incl",0,K569)</f>
        <v>0</v>
      </c>
    </row>
    <row r="537" customFormat="false" ht="15" hidden="false" customHeight="false" outlineLevel="0" collapsed="false">
      <c r="A537" s="0" t="n">
        <f aca="false">IF(B537="",0,1)</f>
        <v>1</v>
      </c>
      <c r="B537" s="303" t="s">
        <v>912</v>
      </c>
      <c r="C537" s="16"/>
      <c r="L537" s="323" t="n">
        <f aca="false">IF(K570="incl",0,K570)</f>
        <v>0</v>
      </c>
    </row>
    <row r="538" customFormat="false" ht="15" hidden="false" customHeight="false" outlineLevel="0" collapsed="false">
      <c r="A538" s="0" t="n">
        <f aca="false">IF(B538="",0,1)</f>
        <v>1</v>
      </c>
      <c r="B538" s="402" t="s">
        <v>913</v>
      </c>
      <c r="C538" s="16"/>
      <c r="L538" s="323" t="n">
        <f aca="false">IF(K571="incl",0,K571)</f>
        <v>0</v>
      </c>
    </row>
    <row r="539" customFormat="false" ht="15" hidden="false" customHeight="false" outlineLevel="0" collapsed="false">
      <c r="A539" s="0" t="n">
        <f aca="false">IF(B539="",0,1)</f>
        <v>1</v>
      </c>
      <c r="B539" s="402" t="s">
        <v>914</v>
      </c>
      <c r="C539" s="16"/>
      <c r="L539" s="323" t="n">
        <f aca="false">IF(K572="incl",0,K572)</f>
        <v>0</v>
      </c>
    </row>
    <row r="540" customFormat="false" ht="15" hidden="false" customHeight="false" outlineLevel="0" collapsed="false">
      <c r="A540" s="0" t="n">
        <f aca="false">IF(B540="",0,1)</f>
        <v>1</v>
      </c>
      <c r="B540" s="402" t="s">
        <v>915</v>
      </c>
      <c r="C540" s="16"/>
      <c r="L540" s="323" t="n">
        <f aca="false">IF(K573="incl",0,K573)</f>
        <v>0</v>
      </c>
    </row>
    <row r="541" customFormat="false" ht="15" hidden="false" customHeight="false" outlineLevel="0" collapsed="false">
      <c r="A541" s="0" t="n">
        <f aca="false">IF(B541="",0,1)</f>
        <v>1</v>
      </c>
      <c r="B541" s="402" t="s">
        <v>916</v>
      </c>
      <c r="C541" s="16"/>
      <c r="D541" s="271"/>
      <c r="L541" s="323" t="n">
        <f aca="false">IF(K574="incl",0,K574)</f>
        <v>0</v>
      </c>
    </row>
    <row r="542" customFormat="false" ht="15" hidden="false" customHeight="false" outlineLevel="0" collapsed="false">
      <c r="A542" s="0" t="n">
        <f aca="false">IF(B542="",0,1)</f>
        <v>1</v>
      </c>
      <c r="B542" s="402" t="s">
        <v>917</v>
      </c>
      <c r="C542" s="16"/>
      <c r="L542" s="323" t="n">
        <f aca="false">IF(K575="incl",0,K575)</f>
        <v>0</v>
      </c>
    </row>
    <row r="543" customFormat="false" ht="15" hidden="false" customHeight="false" outlineLevel="0" collapsed="false">
      <c r="A543" s="0" t="n">
        <f aca="false">IF(B543="",0,1)</f>
        <v>1</v>
      </c>
      <c r="B543" s="277" t="s">
        <v>918</v>
      </c>
      <c r="C543" s="16"/>
      <c r="D543" s="271"/>
      <c r="L543" s="0" t="n">
        <f aca="false">IF(K540="incl",0,K540)</f>
        <v>0</v>
      </c>
    </row>
    <row r="544" customFormat="false" ht="15" hidden="false" customHeight="false" outlineLevel="0" collapsed="false">
      <c r="A544" s="0" t="n">
        <f aca="false">IF(B544="",0,1)</f>
        <v>1</v>
      </c>
      <c r="B544" s="401" t="s">
        <v>919</v>
      </c>
      <c r="C544" s="16"/>
      <c r="D544" s="271"/>
      <c r="L544" s="0" t="n">
        <f aca="false">IF(K577="incl",0,K577)</f>
        <v>0</v>
      </c>
    </row>
    <row r="545" customFormat="false" ht="15" hidden="false" customHeight="false" outlineLevel="0" collapsed="false">
      <c r="A545" s="0" t="n">
        <f aca="false">IF(B545="",0,1)</f>
        <v>1</v>
      </c>
      <c r="B545" s="402" t="s">
        <v>920</v>
      </c>
      <c r="C545" s="16"/>
      <c r="D545" s="271"/>
      <c r="L545" s="0" t="n">
        <f aca="false">IF(K578="incl",0,K578)</f>
        <v>0</v>
      </c>
    </row>
    <row r="546" customFormat="false" ht="15" hidden="false" customHeight="false" outlineLevel="0" collapsed="false">
      <c r="A546" s="0" t="n">
        <f aca="false">IF(B546="",0,1)</f>
        <v>1</v>
      </c>
      <c r="B546" s="402" t="s">
        <v>921</v>
      </c>
      <c r="C546" s="16"/>
      <c r="D546" s="271"/>
      <c r="L546" s="0" t="n">
        <f aca="false">IF(K579="incl",0,K579)</f>
        <v>0</v>
      </c>
    </row>
    <row r="547" customFormat="false" ht="15" hidden="false" customHeight="false" outlineLevel="0" collapsed="false">
      <c r="A547" s="0" t="n">
        <f aca="false">IF(B547="",0,1)</f>
        <v>1</v>
      </c>
      <c r="B547" s="402" t="s">
        <v>922</v>
      </c>
      <c r="C547" s="16"/>
      <c r="D547" s="271"/>
      <c r="L547" s="0" t="n">
        <f aca="false">IF(K580="incl",0,K580)</f>
        <v>0</v>
      </c>
    </row>
    <row r="548" customFormat="false" ht="15" hidden="false" customHeight="false" outlineLevel="0" collapsed="false">
      <c r="A548" s="0" t="n">
        <f aca="false">IF(B548="",0,1)</f>
        <v>1</v>
      </c>
      <c r="B548" s="402" t="s">
        <v>923</v>
      </c>
      <c r="C548" s="16"/>
      <c r="D548" s="271"/>
    </row>
    <row r="549" customFormat="false" ht="15" hidden="false" customHeight="false" outlineLevel="0" collapsed="false">
      <c r="A549" s="0" t="n">
        <f aca="false">IF(B549="",0,1)</f>
        <v>1</v>
      </c>
      <c r="B549" s="402" t="s">
        <v>924</v>
      </c>
      <c r="C549" s="16"/>
      <c r="D549" s="271"/>
    </row>
    <row r="550" customFormat="false" ht="15" hidden="false" customHeight="false" outlineLevel="0" collapsed="false">
      <c r="A550" s="0" t="n">
        <f aca="false">IF(B550="",0,1)</f>
        <v>1</v>
      </c>
      <c r="B550" s="402" t="s">
        <v>925</v>
      </c>
      <c r="C550" s="16"/>
      <c r="D550" s="271"/>
    </row>
    <row r="551" customFormat="false" ht="15" hidden="false" customHeight="false" outlineLevel="0" collapsed="false">
      <c r="A551" s="0" t="n">
        <f aca="false">IF(B551="",0,1)</f>
        <v>1</v>
      </c>
      <c r="B551" s="402" t="s">
        <v>926</v>
      </c>
      <c r="C551" s="16"/>
      <c r="D551" s="271"/>
      <c r="L551" s="0" t="n">
        <f aca="false">IF(K585="incl",0,K585)</f>
        <v>0</v>
      </c>
    </row>
    <row r="552" customFormat="false" ht="15" hidden="false" customHeight="false" outlineLevel="0" collapsed="false">
      <c r="A552" s="0" t="n">
        <f aca="false">IF(B552="",0,1)</f>
        <v>1</v>
      </c>
      <c r="B552" s="402" t="s">
        <v>927</v>
      </c>
      <c r="C552" s="16"/>
      <c r="D552" s="271"/>
    </row>
    <row r="553" customFormat="false" ht="15" hidden="false" customHeight="false" outlineLevel="0" collapsed="false">
      <c r="A553" s="0" t="n">
        <f aca="false">IF(B553="",0,1)</f>
        <v>1</v>
      </c>
      <c r="B553" s="402" t="s">
        <v>928</v>
      </c>
      <c r="C553" s="16"/>
      <c r="D553" s="271"/>
    </row>
    <row r="554" customFormat="false" ht="15" hidden="false" customHeight="false" outlineLevel="0" collapsed="false">
      <c r="A554" s="0" t="n">
        <f aca="false">IF(B554="",0,1)</f>
        <v>1</v>
      </c>
      <c r="B554" s="402" t="s">
        <v>929</v>
      </c>
      <c r="C554" s="16"/>
      <c r="D554" s="271"/>
      <c r="L554" s="0" t="n">
        <f aca="false">IF(K589="incl",0,K589)</f>
        <v>0</v>
      </c>
    </row>
    <row r="555" customFormat="false" ht="15" hidden="false" customHeight="false" outlineLevel="0" collapsed="false">
      <c r="A555" s="0" t="n">
        <f aca="false">IF(B555="",0,1)</f>
        <v>1</v>
      </c>
      <c r="B555" s="402" t="s">
        <v>930</v>
      </c>
      <c r="C555" s="16"/>
      <c r="D555" s="271"/>
      <c r="L555" s="0" t="n">
        <f aca="false">IF(K590="incl",0,K590)</f>
        <v>0</v>
      </c>
    </row>
    <row r="556" customFormat="false" ht="15" hidden="false" customHeight="false" outlineLevel="0" collapsed="false">
      <c r="A556" s="0" t="n">
        <f aca="false">IF(B556="",0,1)</f>
        <v>1</v>
      </c>
      <c r="B556" s="402" t="s">
        <v>931</v>
      </c>
      <c r="C556" s="16"/>
      <c r="D556" s="271"/>
      <c r="L556" s="0" t="n">
        <f aca="false">IF(K591="incl",0,K591)</f>
        <v>0</v>
      </c>
    </row>
    <row r="557" customFormat="false" ht="14.25" hidden="false" customHeight="true" outlineLevel="0" collapsed="false">
      <c r="A557" s="0" t="n">
        <f aca="false">IF(B557="",0,1)</f>
        <v>1</v>
      </c>
      <c r="B557" s="402" t="s">
        <v>932</v>
      </c>
      <c r="C557" s="16"/>
      <c r="D557" s="271"/>
      <c r="L557" s="0" t="n">
        <f aca="false">IF(K592="incl",0,K592)</f>
        <v>0</v>
      </c>
    </row>
    <row r="558" customFormat="false" ht="14.25" hidden="false" customHeight="true" outlineLevel="0" collapsed="false">
      <c r="A558" s="0" t="n">
        <f aca="false">IF(B558="",0,1)</f>
        <v>1</v>
      </c>
      <c r="B558" s="303" t="s">
        <v>933</v>
      </c>
      <c r="C558" s="16"/>
      <c r="D558" s="271"/>
    </row>
    <row r="559" customFormat="false" ht="15" hidden="false" customHeight="false" outlineLevel="0" collapsed="false">
      <c r="A559" s="0" t="n">
        <f aca="false">IF(B559="",0,1)</f>
        <v>1</v>
      </c>
      <c r="B559" s="402" t="s">
        <v>934</v>
      </c>
      <c r="C559" s="16"/>
    </row>
    <row r="560" customFormat="false" ht="15" hidden="false" customHeight="false" outlineLevel="0" collapsed="false">
      <c r="A560" s="0" t="n">
        <f aca="false">IF(B560="",0,1)</f>
        <v>1</v>
      </c>
      <c r="B560" s="402" t="s">
        <v>935</v>
      </c>
      <c r="C560" s="16"/>
    </row>
    <row r="561" customFormat="false" ht="15" hidden="false" customHeight="false" outlineLevel="0" collapsed="false">
      <c r="A561" s="0" t="n">
        <f aca="false">IF(B561="",0,1)</f>
        <v>1</v>
      </c>
      <c r="B561" s="402" t="s">
        <v>936</v>
      </c>
      <c r="C561" s="16"/>
    </row>
    <row r="562" customFormat="false" ht="15" hidden="false" customHeight="false" outlineLevel="0" collapsed="false">
      <c r="A562" s="0" t="n">
        <f aca="false">IF(B562="",0,1)</f>
        <v>1</v>
      </c>
      <c r="B562" s="402" t="s">
        <v>937</v>
      </c>
      <c r="C562" s="16"/>
    </row>
    <row r="563" customFormat="false" ht="15" hidden="false" customHeight="false" outlineLevel="0" collapsed="false">
      <c r="A563" s="0" t="n">
        <f aca="false">IF(B563="",0,1)</f>
        <v>1</v>
      </c>
      <c r="B563" s="402" t="s">
        <v>938</v>
      </c>
      <c r="C563" s="16"/>
    </row>
    <row r="564" customFormat="false" ht="15" hidden="false" customHeight="false" outlineLevel="0" collapsed="false">
      <c r="A564" s="0" t="n">
        <f aca="false">IF(B564="",0,1)</f>
        <v>1</v>
      </c>
      <c r="B564" s="402" t="s">
        <v>939</v>
      </c>
      <c r="C564" s="16"/>
      <c r="L564" s="0" t="n">
        <f aca="false">IF(K599="incl",0,K599)</f>
        <v>0</v>
      </c>
    </row>
    <row r="565" customFormat="false" ht="15" hidden="false" customHeight="false" outlineLevel="0" collapsed="false">
      <c r="A565" s="0" t="n">
        <f aca="false">IF(B565="",0,1)</f>
        <v>1</v>
      </c>
      <c r="B565" s="403" t="s">
        <v>940</v>
      </c>
      <c r="C565" s="16"/>
    </row>
    <row r="566" customFormat="false" ht="15" hidden="false" customHeight="false" outlineLevel="0" collapsed="false">
      <c r="A566" s="0" t="n">
        <f aca="false">IF(B566="",0,1)</f>
        <v>1</v>
      </c>
      <c r="B566" s="403" t="s">
        <v>941</v>
      </c>
      <c r="C566" s="16"/>
    </row>
    <row r="567" customFormat="false" ht="15" hidden="false" customHeight="false" outlineLevel="0" collapsed="false">
      <c r="A567" s="0" t="n">
        <f aca="false">IF(B567="",0,1)</f>
        <v>1</v>
      </c>
      <c r="B567" s="403" t="s">
        <v>942</v>
      </c>
      <c r="C567" s="16"/>
    </row>
    <row r="568" customFormat="false" ht="15" hidden="false" customHeight="false" outlineLevel="0" collapsed="false">
      <c r="A568" s="0" t="n">
        <f aca="false">IF(B568="",0,1)</f>
        <v>1</v>
      </c>
      <c r="B568" s="403" t="s">
        <v>943</v>
      </c>
      <c r="C568" s="16"/>
      <c r="L568" s="0" t="n">
        <f aca="false">IF(K603="incl",0,K603)</f>
        <v>0</v>
      </c>
    </row>
    <row r="569" customFormat="false" ht="14.25" hidden="false" customHeight="true" outlineLevel="0" collapsed="false">
      <c r="A569" s="0" t="n">
        <f aca="false">IF(B569="",0,1)</f>
        <v>1</v>
      </c>
      <c r="B569" s="403" t="s">
        <v>944</v>
      </c>
      <c r="C569" s="16"/>
      <c r="D569" s="271"/>
      <c r="E569" s="271"/>
      <c r="F569" s="271"/>
      <c r="G569" s="271"/>
      <c r="H569" s="271"/>
      <c r="I569" s="271"/>
      <c r="J569" s="271"/>
      <c r="K569" s="271"/>
      <c r="L569" s="0" t="n">
        <f aca="false">IF(K604="incl",0,K604)</f>
        <v>0</v>
      </c>
    </row>
    <row r="570" customFormat="false" ht="12.75" hidden="false" customHeight="true" outlineLevel="0" collapsed="false">
      <c r="A570" s="0" t="n">
        <f aca="false">IF(B570="",0,1)</f>
        <v>1</v>
      </c>
      <c r="B570" s="403" t="s">
        <v>945</v>
      </c>
      <c r="C570" s="16"/>
      <c r="D570" s="349"/>
      <c r="E570" s="271"/>
      <c r="F570" s="393"/>
      <c r="G570" s="314"/>
      <c r="H570" s="302"/>
      <c r="I570" s="274"/>
      <c r="J570" s="274"/>
      <c r="K570" s="314"/>
    </row>
    <row r="571" customFormat="false" ht="17.25" hidden="false" customHeight="true" outlineLevel="0" collapsed="false">
      <c r="A571" s="0" t="n">
        <f aca="false">IF(B571="",0,1)</f>
        <v>1</v>
      </c>
      <c r="B571" s="403" t="s">
        <v>946</v>
      </c>
      <c r="C571" s="16"/>
      <c r="D571" s="349"/>
      <c r="E571" s="271"/>
      <c r="F571" s="393"/>
      <c r="G571" s="314"/>
      <c r="H571" s="302"/>
      <c r="I571" s="340"/>
      <c r="J571" s="340"/>
      <c r="K571" s="314"/>
    </row>
    <row r="572" customFormat="false" ht="15" hidden="false" customHeight="false" outlineLevel="0" collapsed="false">
      <c r="A572" s="0" t="n">
        <f aca="false">IF(B572="",0,1)</f>
        <v>1</v>
      </c>
      <c r="B572" s="403" t="s">
        <v>947</v>
      </c>
      <c r="C572" s="16"/>
      <c r="D572" s="349"/>
      <c r="E572" s="271"/>
      <c r="F572" s="393"/>
      <c r="G572" s="314"/>
      <c r="H572" s="302"/>
      <c r="I572" s="274"/>
      <c r="J572" s="274"/>
      <c r="K572" s="314"/>
      <c r="L572" s="0" t="n">
        <f aca="false">IF(K607="incl",0,K607)</f>
        <v>0</v>
      </c>
    </row>
    <row r="573" customFormat="false" ht="15" hidden="false" customHeight="false" outlineLevel="0" collapsed="false">
      <c r="A573" s="0" t="n">
        <f aca="false">IF(B573="",0,1)</f>
        <v>1</v>
      </c>
      <c r="B573" s="403" t="s">
        <v>948</v>
      </c>
      <c r="C573" s="16"/>
      <c r="D573" s="349"/>
      <c r="E573" s="271"/>
      <c r="F573" s="393"/>
      <c r="G573" s="314"/>
      <c r="H573" s="302"/>
      <c r="I573" s="340"/>
      <c r="J573" s="340"/>
      <c r="K573" s="314"/>
      <c r="L573" s="0" t="n">
        <f aca="false">IF(K608="incl",0,K608)</f>
        <v>0</v>
      </c>
    </row>
    <row r="574" customFormat="false" ht="15" hidden="false" customHeight="false" outlineLevel="0" collapsed="false">
      <c r="A574" s="0" t="n">
        <f aca="false">IF(B574="",0,1)</f>
        <v>1</v>
      </c>
      <c r="B574" s="402" t="s">
        <v>949</v>
      </c>
      <c r="C574" s="16"/>
      <c r="D574" s="349"/>
      <c r="E574" s="271"/>
      <c r="F574" s="393"/>
      <c r="G574" s="314"/>
      <c r="H574" s="302"/>
      <c r="I574" s="340"/>
      <c r="J574" s="340"/>
      <c r="K574" s="314"/>
    </row>
    <row r="575" customFormat="false" ht="15" hidden="false" customHeight="false" outlineLevel="0" collapsed="false">
      <c r="A575" s="0" t="n">
        <f aca="false">IF(B575="",0,1)</f>
        <v>1</v>
      </c>
      <c r="B575" s="403" t="s">
        <v>950</v>
      </c>
      <c r="C575" s="16"/>
      <c r="D575" s="349"/>
      <c r="E575" s="271"/>
      <c r="F575" s="393"/>
      <c r="G575" s="314"/>
      <c r="H575" s="302"/>
      <c r="I575" s="274"/>
      <c r="J575" s="274"/>
      <c r="K575" s="314"/>
    </row>
    <row r="576" customFormat="false" ht="15" hidden="false" customHeight="false" outlineLevel="0" collapsed="false">
      <c r="A576" s="0" t="n">
        <f aca="false">IF(B576="",0,1)</f>
        <v>1</v>
      </c>
      <c r="B576" s="402" t="s">
        <v>951</v>
      </c>
      <c r="C576" s="16"/>
      <c r="D576" s="349"/>
      <c r="E576" s="271"/>
      <c r="F576" s="393"/>
      <c r="G576" s="314"/>
      <c r="H576" s="302"/>
      <c r="I576" s="340"/>
      <c r="J576" s="340"/>
      <c r="K576" s="314"/>
    </row>
    <row r="577" customFormat="false" ht="15" hidden="false" customHeight="false" outlineLevel="0" collapsed="false">
      <c r="A577" s="0" t="n">
        <f aca="false">IF(B577="",0,1)</f>
        <v>1</v>
      </c>
      <c r="B577" s="402" t="s">
        <v>952</v>
      </c>
      <c r="C577" s="16"/>
      <c r="D577" s="349"/>
      <c r="E577" s="271"/>
      <c r="F577" s="393"/>
      <c r="G577" s="314"/>
      <c r="H577" s="302"/>
      <c r="I577" s="340"/>
      <c r="J577" s="340"/>
      <c r="K577" s="314"/>
    </row>
    <row r="578" customFormat="false" ht="15" hidden="false" customHeight="false" outlineLevel="0" collapsed="false">
      <c r="A578" s="0" t="n">
        <f aca="false">IF(B578="",0,1)</f>
        <v>1</v>
      </c>
      <c r="B578" s="402" t="s">
        <v>953</v>
      </c>
      <c r="C578" s="16"/>
      <c r="D578" s="349"/>
      <c r="E578" s="271"/>
      <c r="F578" s="393"/>
      <c r="G578" s="314"/>
      <c r="H578" s="302"/>
      <c r="I578" s="340"/>
      <c r="J578" s="340"/>
      <c r="K578" s="314"/>
      <c r="L578" s="0" t="n">
        <f aca="false">IF(K613="incl",0,K613)</f>
        <v>0</v>
      </c>
    </row>
    <row r="579" customFormat="false" ht="31.5" hidden="false" customHeight="true" outlineLevel="0" collapsed="false">
      <c r="A579" s="271"/>
      <c r="B579" s="271"/>
      <c r="C579" s="271"/>
      <c r="D579" s="271"/>
      <c r="E579" s="271"/>
      <c r="F579" s="271"/>
      <c r="G579" s="271"/>
      <c r="H579" s="271"/>
      <c r="I579" s="387"/>
      <c r="J579" s="387"/>
      <c r="K579" s="358"/>
      <c r="L579" s="0" t="n">
        <f aca="false">IF(K614="incl",0,K614)</f>
        <v>0</v>
      </c>
    </row>
    <row r="580" customFormat="false" ht="13.5" hidden="false" customHeight="true" outlineLevel="0" collapsed="false">
      <c r="C580" s="271"/>
      <c r="D580" s="272"/>
      <c r="E580" s="272"/>
      <c r="F580" s="272"/>
      <c r="G580" s="341"/>
      <c r="H580" s="341"/>
      <c r="I580" s="272"/>
      <c r="J580" s="272"/>
      <c r="K580" s="314"/>
    </row>
    <row r="581" customFormat="false" ht="12.75" hidden="false" customHeight="true" outlineLevel="0" collapsed="false">
      <c r="B581" s="271"/>
      <c r="C581" s="271"/>
      <c r="D581" s="271"/>
      <c r="E581" s="271"/>
      <c r="F581" s="271"/>
      <c r="G581" s="271"/>
      <c r="H581" s="271"/>
      <c r="I581" s="271"/>
      <c r="J581" s="271"/>
      <c r="K581" s="271"/>
      <c r="L581" s="0" t="n">
        <f aca="false">IF(K616="incl",0,K616)</f>
        <v>0</v>
      </c>
    </row>
    <row r="582" customFormat="false" ht="12" hidden="false" customHeight="false" outlineLevel="0" collapsed="false">
      <c r="B582" s="271"/>
      <c r="C582" s="271"/>
      <c r="D582" s="271"/>
      <c r="E582" s="271"/>
      <c r="F582" s="271"/>
      <c r="G582" s="271"/>
      <c r="H582" s="271"/>
      <c r="I582" s="271"/>
      <c r="J582" s="271"/>
      <c r="K582" s="271"/>
      <c r="L582" s="0" t="n">
        <f aca="false">IF(K617="incl",0,K617)</f>
        <v>0</v>
      </c>
    </row>
    <row r="583" customFormat="false" ht="12" hidden="false" customHeight="false" outlineLevel="0" collapsed="false">
      <c r="B583" s="271"/>
      <c r="C583" s="271"/>
      <c r="D583" s="271"/>
      <c r="E583" s="271"/>
      <c r="F583" s="271"/>
      <c r="G583" s="271"/>
      <c r="H583" s="271"/>
      <c r="I583" s="271"/>
      <c r="J583" s="271"/>
      <c r="K583" s="271"/>
      <c r="L583" s="0" t="n">
        <f aca="false">IF(K618="incl",0,K618)</f>
        <v>0</v>
      </c>
    </row>
    <row r="584" customFormat="false" ht="12" hidden="false" customHeight="false" outlineLevel="0" collapsed="false">
      <c r="B584" s="271"/>
      <c r="C584" s="271"/>
      <c r="D584" s="271"/>
      <c r="E584" s="271"/>
      <c r="F584" s="271"/>
      <c r="G584" s="271"/>
      <c r="H584" s="271"/>
      <c r="I584" s="271"/>
      <c r="J584" s="271"/>
      <c r="K584" s="271"/>
    </row>
    <row r="585" customFormat="false" ht="12" hidden="false" customHeight="false" outlineLevel="0" collapsed="false">
      <c r="B585" s="272"/>
      <c r="C585" s="271"/>
      <c r="D585" s="271"/>
      <c r="E585" s="271"/>
      <c r="F585" s="271"/>
      <c r="G585" s="271"/>
      <c r="H585" s="271"/>
      <c r="I585" s="271"/>
      <c r="J585" s="271"/>
      <c r="K585" s="271"/>
      <c r="L585" s="0" t="n">
        <f aca="false">IF(K620="incl",0,K620)</f>
        <v>0</v>
      </c>
    </row>
    <row r="586" customFormat="false" ht="12" hidden="false" customHeight="false" outlineLevel="0" collapsed="false">
      <c r="B586" s="271"/>
      <c r="C586" s="271"/>
      <c r="D586" s="271"/>
      <c r="E586" s="271"/>
      <c r="F586" s="271"/>
      <c r="G586" s="271"/>
      <c r="H586" s="271"/>
      <c r="I586" s="271"/>
      <c r="J586" s="271"/>
      <c r="K586" s="271"/>
      <c r="L586" s="0" t="n">
        <f aca="false">IF(K320="incl",0,K320)</f>
        <v>0</v>
      </c>
    </row>
    <row r="587" customFormat="false" ht="12" hidden="false" customHeight="false" outlineLevel="0" collapsed="false">
      <c r="B587" s="271"/>
      <c r="C587" s="271"/>
      <c r="D587" s="271"/>
      <c r="E587" s="271"/>
      <c r="F587" s="271"/>
      <c r="G587" s="271"/>
      <c r="H587" s="271"/>
      <c r="I587" s="271"/>
      <c r="J587" s="271"/>
      <c r="K587" s="271"/>
      <c r="L587" s="0" t="n">
        <f aca="false">IF(K622="incl",0,K622)</f>
        <v>0</v>
      </c>
    </row>
    <row r="594" customFormat="false" ht="12" hidden="false" customHeight="false" outlineLevel="0" collapsed="false">
      <c r="C594" s="404"/>
      <c r="D594" s="404"/>
    </row>
    <row r="595" customFormat="false" ht="12" hidden="false" customHeight="false" outlineLevel="0" collapsed="false">
      <c r="C595" s="271"/>
      <c r="D595" s="271"/>
    </row>
    <row r="596" customFormat="false" ht="12" hidden="false" customHeight="false" outlineLevel="0" collapsed="false">
      <c r="C596" s="271"/>
      <c r="D596" s="271"/>
    </row>
    <row r="597" customFormat="false" ht="12" hidden="false" customHeight="false" outlineLevel="0" collapsed="false">
      <c r="C597" s="271"/>
      <c r="D597" s="271"/>
    </row>
    <row r="598" customFormat="false" ht="12" hidden="false" customHeight="false" outlineLevel="0" collapsed="false">
      <c r="C598" s="271"/>
      <c r="D598" s="271"/>
    </row>
    <row r="599" customFormat="false" ht="12" hidden="false" customHeight="false" outlineLevel="0" collapsed="false">
      <c r="C599" s="271"/>
      <c r="D599" s="271"/>
    </row>
    <row r="600" customFormat="false" ht="12" hidden="false" customHeight="false" outlineLevel="0" collapsed="false">
      <c r="C600" s="404"/>
      <c r="D600" s="404"/>
    </row>
  </sheetData>
  <mergeCells count="69">
    <mergeCell ref="J3:K3"/>
    <mergeCell ref="B33:J33"/>
    <mergeCell ref="B35:J35"/>
    <mergeCell ref="B36:C36"/>
    <mergeCell ref="B37:C37"/>
    <mergeCell ref="C62:D62"/>
    <mergeCell ref="C103:D103"/>
    <mergeCell ref="C139:D139"/>
    <mergeCell ref="C174:D174"/>
    <mergeCell ref="C216:D216"/>
    <mergeCell ref="C259:D259"/>
    <mergeCell ref="C294:D294"/>
    <mergeCell ref="C330:D330"/>
    <mergeCell ref="C380:D380"/>
    <mergeCell ref="C423:D423"/>
    <mergeCell ref="F424:G424"/>
    <mergeCell ref="F425:G425"/>
    <mergeCell ref="F426:G426"/>
    <mergeCell ref="F427:G427"/>
    <mergeCell ref="F428:G428"/>
    <mergeCell ref="F429:G429"/>
    <mergeCell ref="F430:G430"/>
    <mergeCell ref="F431:G431"/>
    <mergeCell ref="F432:G432"/>
    <mergeCell ref="F433:G433"/>
    <mergeCell ref="F434:G434"/>
    <mergeCell ref="F435:G435"/>
    <mergeCell ref="F436:G436"/>
    <mergeCell ref="F437:G437"/>
    <mergeCell ref="F438:G438"/>
    <mergeCell ref="F439:G439"/>
    <mergeCell ref="F440:G440"/>
    <mergeCell ref="F441:G441"/>
    <mergeCell ref="F442:G442"/>
    <mergeCell ref="F443:G443"/>
    <mergeCell ref="F444:G444"/>
    <mergeCell ref="F445:G445"/>
    <mergeCell ref="F446:G446"/>
    <mergeCell ref="F447:G447"/>
    <mergeCell ref="F448:G448"/>
    <mergeCell ref="F449:G449"/>
    <mergeCell ref="C458:D458"/>
    <mergeCell ref="F458:G458"/>
    <mergeCell ref="F460:G460"/>
    <mergeCell ref="F461:G461"/>
    <mergeCell ref="F462:G462"/>
    <mergeCell ref="F463:G463"/>
    <mergeCell ref="F464:G464"/>
    <mergeCell ref="F465:G465"/>
    <mergeCell ref="F466:G466"/>
    <mergeCell ref="F467:G467"/>
    <mergeCell ref="F468:G468"/>
    <mergeCell ref="F469:G469"/>
    <mergeCell ref="F470:G470"/>
    <mergeCell ref="F471:G471"/>
    <mergeCell ref="F472:G472"/>
    <mergeCell ref="F473:G473"/>
    <mergeCell ref="F474:G474"/>
    <mergeCell ref="F475:G475"/>
    <mergeCell ref="F476:G476"/>
    <mergeCell ref="F477:G477"/>
    <mergeCell ref="F478:G478"/>
    <mergeCell ref="F479:G479"/>
    <mergeCell ref="F480:G480"/>
    <mergeCell ref="F481:G481"/>
    <mergeCell ref="F482:G482"/>
    <mergeCell ref="C491:D491"/>
    <mergeCell ref="C594:D594"/>
    <mergeCell ref="C600:D600"/>
  </mergeCells>
  <printOptions headings="false" gridLines="false" gridLinesSet="true" horizontalCentered="false" verticalCentered="false"/>
  <pageMargins left="0.45" right="0.359722222222222" top="0.611111111111111"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
    <oddFooter>&amp;LOffice: 817-228-0452&amp;C&amp;14CTH Concrete, LLC
&amp;10 225 Creekside Dr.
Fort Worth, Tx 76131
&amp;P of &amp;N&amp;REmail: Cdykgraaf@cthconcrete.com</oddFooter>
  </headerFooter>
  <rowBreaks count="3" manualBreakCount="3">
    <brk id="59" man="true" max="16383" min="0"/>
    <brk id="420" man="true" max="16383" min="0"/>
    <brk id="525"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4">
              <controlPr defaultSize="0" print="false" autoFill="0" autoPict="0" macro="Sheet20.TestHide">
                <anchor moveWithCells="true" sizeWithCells="false">
                  <from>
                    <xdr:col>13</xdr:col>
                    <xdr:colOff>200160</xdr:colOff>
                    <xdr:row>0</xdr:row>
                    <xdr:rowOff>138240</xdr:rowOff>
                  </from>
                  <to>
                    <xdr:col>14</xdr:col>
                    <xdr:colOff>-1621080</xdr:colOff>
                    <xdr:row>1</xdr:row>
                    <xdr:rowOff>252720</xdr:rowOff>
                  </to>
                </anchor>
              </controlPr>
            </control>
          </mc:Choice>
        </mc:AlternateContent>
        <mc:AlternateContent xmlns:mc="http://schemas.openxmlformats.org/markup-compatibility/2006">
          <mc:Choice Requires="x14">
            <control shapeId="1002" r:id="rId4" name="Button 46">
              <controlPr defaultSize="0" print="false" autoFill="0" autoPict="0" macro="Module2.UnhideAllRows">
                <anchor moveWithCells="true" sizeWithCells="false">
                  <from>
                    <xdr:col>13</xdr:col>
                    <xdr:colOff>200160</xdr:colOff>
                    <xdr:row>2</xdr:row>
                    <xdr:rowOff>162000</xdr:rowOff>
                  </from>
                  <to>
                    <xdr:col>14</xdr:col>
                    <xdr:colOff>-1621080</xdr:colOff>
                    <xdr:row>5</xdr:row>
                    <xdr:rowOff>28800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true"/>
  </sheetPr>
  <dimension ref="A1:CA306"/>
  <sheetViews>
    <sheetView showFormulas="false" showGridLines="false" showRowColHeaders="true" showZeros="true" rightToLeft="false" tabSelected="false" showOutlineSymbols="true" defaultGridColor="true" view="normal" topLeftCell="A1" colorId="64" zoomScale="70" zoomScaleNormal="70" zoomScalePageLayoutView="90" workbookViewId="0">
      <selection pane="topLeft" activeCell="G19" activeCellId="0" sqref="G19"/>
    </sheetView>
  </sheetViews>
  <sheetFormatPr defaultColWidth="9.18359375" defaultRowHeight="15" customHeight="false" zeroHeight="false" outlineLevelRow="0" outlineLevelCol="0"/>
  <cols>
    <col collapsed="false" customWidth="true" hidden="false" outlineLevel="0" max="1" min="1" style="16" width="12.18"/>
    <col collapsed="false" customWidth="true" hidden="false" outlineLevel="0" max="2" min="2" style="16" width="15.18"/>
    <col collapsed="false" customWidth="true" hidden="false" outlineLevel="0" max="3" min="3" style="16" width="12.45"/>
    <col collapsed="false" customWidth="true" hidden="false" outlineLevel="0" max="4" min="4" style="15" width="5.18"/>
    <col collapsed="false" customWidth="true" hidden="false" outlineLevel="0" max="5" min="5" style="16" width="15.82"/>
    <col collapsed="false" customWidth="true" hidden="false" outlineLevel="0" max="6" min="6" style="16" width="10.18"/>
    <col collapsed="false" customWidth="true" hidden="false" outlineLevel="0" max="7" min="7" style="16" width="15.45"/>
    <col collapsed="false" customWidth="true" hidden="false" outlineLevel="0" max="9" min="8" style="16" width="12.82"/>
    <col collapsed="false" customWidth="true" hidden="false" outlineLevel="0" max="10" min="10" style="16" width="17.18"/>
    <col collapsed="false" customWidth="true" hidden="false" outlineLevel="0" max="11" min="11" style="16" width="15"/>
    <col collapsed="false" customWidth="true" hidden="false" outlineLevel="0" max="12" min="12" style="16" width="15.18"/>
    <col collapsed="false" customWidth="true" hidden="false" outlineLevel="0" max="13" min="13" style="16" width="13.82"/>
    <col collapsed="false" customWidth="true" hidden="false" outlineLevel="0" max="14" min="14" style="16" width="12.82"/>
    <col collapsed="false" customWidth="true" hidden="false" outlineLevel="0" max="15" min="15" style="405" width="15.18"/>
    <col collapsed="false" customWidth="true" hidden="false" outlineLevel="0" max="16" min="16" style="405" width="12.82"/>
    <col collapsed="false" customWidth="true" hidden="false" outlineLevel="0" max="21" min="17" style="16" width="12.82"/>
    <col collapsed="false" customWidth="true" hidden="false" outlineLevel="0" max="22" min="22" style="16" width="16.45"/>
    <col collapsed="false" customWidth="true" hidden="false" outlineLevel="0" max="23" min="23" style="16" width="19.54"/>
    <col collapsed="false" customWidth="true" hidden="false" outlineLevel="0" max="24" min="24" style="16" width="14.18"/>
    <col collapsed="false" customWidth="true" hidden="false" outlineLevel="0" max="25" min="25" style="16" width="13.18"/>
    <col collapsed="false" customWidth="true" hidden="false" outlineLevel="0" max="27" min="26" style="16" width="15.45"/>
    <col collapsed="false" customWidth="true" hidden="false" outlineLevel="0" max="28" min="28" style="16" width="12.54"/>
    <col collapsed="false" customWidth="true" hidden="false" outlineLevel="0" max="29" min="29" style="16" width="12.45"/>
    <col collapsed="false" customWidth="true" hidden="false" outlineLevel="0" max="30" min="30" style="16" width="18.82"/>
    <col collapsed="false" customWidth="true" hidden="false" outlineLevel="0" max="31" min="31" style="16" width="18.18"/>
    <col collapsed="false" customWidth="true" hidden="false" outlineLevel="0" max="32" min="32" style="16" width="12.54"/>
    <col collapsed="false" customWidth="true" hidden="false" outlineLevel="0" max="33" min="33" style="16" width="12.45"/>
    <col collapsed="false" customWidth="true" hidden="false" outlineLevel="0" max="34" min="34" style="16" width="18.82"/>
    <col collapsed="false" customWidth="true" hidden="false" outlineLevel="0" max="35" min="35" style="16" width="18.18"/>
    <col collapsed="false" customWidth="true" hidden="false" outlineLevel="0" max="36" min="36" style="16" width="12.54"/>
    <col collapsed="false" customWidth="true" hidden="false" outlineLevel="0" max="37" min="37" style="16" width="12.45"/>
    <col collapsed="false" customWidth="true" hidden="false" outlineLevel="0" max="38" min="38" style="16" width="18.82"/>
    <col collapsed="false" customWidth="true" hidden="false" outlineLevel="0" max="39" min="39" style="16" width="18.18"/>
    <col collapsed="false" customWidth="true" hidden="false" outlineLevel="0" max="40" min="40" style="16" width="12.54"/>
    <col collapsed="false" customWidth="true" hidden="false" outlineLevel="0" max="41" min="41" style="16" width="12.45"/>
    <col collapsed="false" customWidth="true" hidden="false" outlineLevel="0" max="42" min="42" style="16" width="18.82"/>
    <col collapsed="false" customWidth="true" hidden="false" outlineLevel="0" max="43" min="43" style="16" width="18.18"/>
    <col collapsed="false" customWidth="true" hidden="false" outlineLevel="0" max="44" min="44" style="16" width="12.54"/>
    <col collapsed="false" customWidth="true" hidden="false" outlineLevel="0" max="45" min="45" style="16" width="12.45"/>
    <col collapsed="false" customWidth="true" hidden="false" outlineLevel="0" max="46" min="46" style="16" width="18.82"/>
    <col collapsed="false" customWidth="true" hidden="false" outlineLevel="0" max="47" min="47" style="16" width="18.18"/>
    <col collapsed="false" customWidth="false" hidden="false" outlineLevel="0" max="48" min="48" style="16" width="9.18"/>
    <col collapsed="false" customWidth="true" hidden="false" outlineLevel="0" max="49" min="49" style="16" width="13.54"/>
    <col collapsed="false" customWidth="false" hidden="false" outlineLevel="0" max="50" min="50" style="16" width="9.18"/>
    <col collapsed="false" customWidth="true" hidden="false" outlineLevel="0" max="51" min="51" style="16" width="16"/>
    <col collapsed="false" customWidth="false" hidden="false" outlineLevel="0" max="54" min="52" style="16" width="9.18"/>
    <col collapsed="false" customWidth="true" hidden="false" outlineLevel="0" max="55" min="55" style="16" width="12"/>
    <col collapsed="false" customWidth="false" hidden="false" outlineLevel="0" max="58" min="56" style="16" width="9.18"/>
    <col collapsed="false" customWidth="true" hidden="false" outlineLevel="0" max="59" min="59" style="16" width="12"/>
    <col collapsed="false" customWidth="false" hidden="false" outlineLevel="0" max="62" min="60" style="16" width="9.18"/>
    <col collapsed="false" customWidth="true" hidden="false" outlineLevel="0" max="63" min="63" style="16" width="11.82"/>
    <col collapsed="false" customWidth="false" hidden="false" outlineLevel="0" max="66" min="64" style="16" width="9.18"/>
    <col collapsed="false" customWidth="true" hidden="false" outlineLevel="0" max="67" min="67" style="16" width="14"/>
    <col collapsed="false" customWidth="false" hidden="false" outlineLevel="0" max="69" min="68" style="16" width="9.18"/>
    <col collapsed="false" customWidth="true" hidden="false" outlineLevel="0" max="70" min="70" style="16" width="11.45"/>
    <col collapsed="false" customWidth="true" hidden="false" outlineLevel="0" max="71" min="71" style="16" width="16.45"/>
    <col collapsed="false" customWidth="true" hidden="false" outlineLevel="0" max="72" min="72" style="16" width="10.54"/>
    <col collapsed="false" customWidth="false" hidden="false" outlineLevel="0" max="73" min="73" style="16" width="9.18"/>
    <col collapsed="false" customWidth="true" hidden="false" outlineLevel="0" max="74" min="74" style="16" width="13.54"/>
    <col collapsed="false" customWidth="true" hidden="false" outlineLevel="0" max="75" min="75" style="16" width="14.82"/>
    <col collapsed="false" customWidth="false" hidden="false" outlineLevel="0" max="77" min="76" style="16" width="9.18"/>
    <col collapsed="false" customWidth="true" hidden="false" outlineLevel="0" max="78" min="78" style="16" width="15.82"/>
    <col collapsed="false" customWidth="true" hidden="false" outlineLevel="0" max="79" min="79" style="16" width="13.54"/>
    <col collapsed="false" customWidth="false" hidden="false" outlineLevel="0" max="16384" min="80" style="16" width="9.18"/>
  </cols>
  <sheetData>
    <row r="1" customFormat="false" ht="21.75" hidden="false" customHeight="true" outlineLevel="0" collapsed="false">
      <c r="A1" s="406"/>
      <c r="B1" s="407" t="s">
        <v>2</v>
      </c>
      <c r="C1" s="408" t="str">
        <f aca="false">Information!C2</f>
        <v>Trammell Crow – LBJ</v>
      </c>
      <c r="D1" s="409"/>
      <c r="E1" s="410"/>
      <c r="F1" s="411"/>
      <c r="G1" s="412"/>
      <c r="H1" s="412"/>
      <c r="I1" s="413"/>
      <c r="J1" s="414"/>
      <c r="K1" s="165"/>
      <c r="L1" s="415"/>
      <c r="M1" s="412"/>
      <c r="N1" s="412"/>
      <c r="O1" s="416" t="s">
        <v>1</v>
      </c>
      <c r="P1" s="417" t="s">
        <v>954</v>
      </c>
      <c r="Q1" s="412"/>
      <c r="R1" s="412"/>
      <c r="S1" s="412"/>
      <c r="T1" s="165"/>
      <c r="U1" s="165"/>
      <c r="V1" s="165"/>
      <c r="W1" s="165"/>
      <c r="X1" s="418"/>
      <c r="Y1" s="419"/>
      <c r="Z1" s="420"/>
      <c r="AA1" s="10"/>
    </row>
    <row r="2" customFormat="false" ht="17.25" hidden="false" customHeight="true" outlineLevel="0" collapsed="false">
      <c r="A2" s="421"/>
      <c r="B2" s="422" t="s">
        <v>15</v>
      </c>
      <c r="C2" s="423" t="n">
        <f aca="false">Information!C3</f>
        <v>0</v>
      </c>
      <c r="D2" s="424"/>
      <c r="E2" s="425"/>
      <c r="F2" s="426"/>
      <c r="G2" s="427"/>
      <c r="H2" s="427"/>
      <c r="I2" s="428"/>
      <c r="J2" s="429" t="s">
        <v>955</v>
      </c>
      <c r="K2" s="430" t="n">
        <f aca="false">Information!I11</f>
        <v>0</v>
      </c>
      <c r="L2" s="431"/>
      <c r="M2" s="431"/>
      <c r="N2" s="432"/>
      <c r="O2" s="433" t="n">
        <f aca="false">Information!L11</f>
        <v>0</v>
      </c>
      <c r="P2" s="434"/>
      <c r="Q2" s="427"/>
      <c r="R2" s="427"/>
      <c r="S2" s="427"/>
      <c r="T2" s="10"/>
      <c r="U2" s="10"/>
      <c r="V2" s="10"/>
      <c r="W2" s="10"/>
      <c r="X2" s="10"/>
      <c r="Y2" s="435"/>
      <c r="Z2" s="436"/>
      <c r="AA2" s="10"/>
    </row>
    <row r="3" customFormat="false" ht="15.75" hidden="false" customHeight="true" outlineLevel="0" collapsed="false">
      <c r="A3" s="421"/>
      <c r="B3" s="422" t="s">
        <v>956</v>
      </c>
      <c r="C3" s="437" t="str">
        <f aca="false">Information!C4</f>
        <v>Dallas, TX</v>
      </c>
      <c r="D3" s="438"/>
      <c r="E3" s="439"/>
      <c r="F3" s="440"/>
      <c r="G3" s="427"/>
      <c r="H3" s="427"/>
      <c r="I3" s="428"/>
      <c r="J3" s="429" t="s">
        <v>71</v>
      </c>
      <c r="K3" s="441" t="n">
        <f aca="false">Information!I12</f>
        <v>0</v>
      </c>
      <c r="L3" s="442"/>
      <c r="M3" s="442"/>
      <c r="N3" s="443"/>
      <c r="O3" s="444" t="n">
        <f aca="false">Information!L12</f>
        <v>0</v>
      </c>
      <c r="P3" s="445"/>
      <c r="Q3" s="427"/>
      <c r="R3" s="427"/>
      <c r="S3" s="427"/>
      <c r="T3" s="446" t="s">
        <v>957</v>
      </c>
      <c r="U3" s="410"/>
      <c r="V3" s="410"/>
      <c r="W3" s="447" t="n">
        <f aca="false">Information!C7</f>
        <v>0</v>
      </c>
      <c r="X3" s="448"/>
      <c r="Y3" s="435"/>
      <c r="Z3" s="436"/>
      <c r="AA3" s="10"/>
    </row>
    <row r="4" customFormat="false" ht="21" hidden="false" customHeight="true" outlineLevel="0" collapsed="false">
      <c r="A4" s="421"/>
      <c r="B4" s="427"/>
      <c r="C4" s="54" t="s">
        <v>0</v>
      </c>
      <c r="D4" s="11"/>
      <c r="E4" s="54" t="s">
        <v>1</v>
      </c>
      <c r="F4" s="427"/>
      <c r="G4" s="427"/>
      <c r="H4" s="427"/>
      <c r="I4" s="428"/>
      <c r="J4" s="429" t="s">
        <v>79</v>
      </c>
      <c r="K4" s="449" t="n">
        <f aca="false">Information!I13</f>
        <v>0</v>
      </c>
      <c r="L4" s="450"/>
      <c r="M4" s="450"/>
      <c r="N4" s="451"/>
      <c r="O4" s="452" t="n">
        <f aca="false">Information!L13</f>
        <v>0</v>
      </c>
      <c r="P4" s="453"/>
      <c r="Q4" s="427"/>
      <c r="R4" s="427"/>
      <c r="S4" s="427"/>
      <c r="T4" s="454" t="s">
        <v>958</v>
      </c>
      <c r="U4" s="455"/>
      <c r="V4" s="455"/>
      <c r="W4" s="6"/>
      <c r="X4" s="456"/>
      <c r="Y4" s="435"/>
      <c r="Z4" s="436"/>
      <c r="AA4" s="10"/>
    </row>
    <row r="5" customFormat="false" ht="13.5" hidden="false" customHeight="true" outlineLevel="0" collapsed="false">
      <c r="A5" s="421"/>
      <c r="B5" s="422" t="s">
        <v>959</v>
      </c>
      <c r="C5" s="457" t="n">
        <f aca="false">Information!I2</f>
        <v>0</v>
      </c>
      <c r="D5" s="458"/>
      <c r="E5" s="459" t="n">
        <f aca="false">Information!J2</f>
        <v>0</v>
      </c>
      <c r="F5" s="427"/>
      <c r="G5" s="427"/>
      <c r="H5" s="427"/>
      <c r="I5" s="460"/>
      <c r="J5" s="461" t="s">
        <v>87</v>
      </c>
      <c r="K5" s="462" t="n">
        <f aca="false">Information!I14</f>
        <v>0</v>
      </c>
      <c r="L5" s="463"/>
      <c r="M5" s="463"/>
      <c r="N5" s="464"/>
      <c r="O5" s="465" t="n">
        <f aca="false">Information!L14</f>
        <v>0</v>
      </c>
      <c r="P5" s="466"/>
      <c r="Q5" s="427"/>
      <c r="R5" s="427"/>
      <c r="S5" s="427"/>
      <c r="T5" s="467" t="s">
        <v>958</v>
      </c>
      <c r="U5" s="468"/>
      <c r="V5" s="468"/>
      <c r="W5" s="469"/>
      <c r="X5" s="470"/>
      <c r="Y5" s="435"/>
      <c r="Z5" s="436"/>
      <c r="AA5" s="10"/>
    </row>
    <row r="6" customFormat="false" ht="13.5" hidden="false" customHeight="true" outlineLevel="0" collapsed="false">
      <c r="A6" s="421"/>
      <c r="B6" s="422" t="s">
        <v>960</v>
      </c>
      <c r="C6" s="471" t="n">
        <f aca="false">Information!I3</f>
        <v>0</v>
      </c>
      <c r="D6" s="458"/>
      <c r="E6" s="472" t="n">
        <f aca="false">Information!J3</f>
        <v>0</v>
      </c>
      <c r="F6" s="427"/>
      <c r="G6" s="427"/>
      <c r="H6" s="427"/>
      <c r="I6" s="427"/>
      <c r="J6" s="473"/>
      <c r="K6" s="10"/>
      <c r="L6" s="10"/>
      <c r="M6" s="163" t="s">
        <v>961</v>
      </c>
      <c r="N6" s="10"/>
      <c r="O6" s="10"/>
      <c r="P6" s="427"/>
      <c r="Q6" s="427"/>
      <c r="R6" s="427"/>
      <c r="S6" s="427"/>
      <c r="T6" s="427"/>
      <c r="U6" s="427"/>
      <c r="V6" s="427"/>
      <c r="W6" s="427"/>
      <c r="X6" s="427"/>
      <c r="Y6" s="435"/>
      <c r="Z6" s="436"/>
      <c r="AA6" s="10"/>
    </row>
    <row r="7" customFormat="false" ht="13.5" hidden="false" customHeight="true" outlineLevel="0" collapsed="false">
      <c r="A7" s="474"/>
      <c r="B7" s="475" t="s">
        <v>962</v>
      </c>
      <c r="C7" s="476"/>
      <c r="D7" s="477" t="str">
        <f aca="false">Pricing!A3</f>
        <v>SRM</v>
      </c>
      <c r="E7" s="478"/>
      <c r="F7" s="427"/>
      <c r="G7" s="479" t="s">
        <v>963</v>
      </c>
      <c r="H7" s="480" t="s">
        <v>964</v>
      </c>
      <c r="I7" s="480" t="s">
        <v>965</v>
      </c>
      <c r="J7" s="481" t="s">
        <v>966</v>
      </c>
      <c r="K7" s="480" t="s">
        <v>967</v>
      </c>
      <c r="L7" s="482" t="s">
        <v>968</v>
      </c>
      <c r="M7" s="480" t="s">
        <v>969</v>
      </c>
      <c r="N7" s="480" t="s">
        <v>970</v>
      </c>
      <c r="O7" s="480" t="s">
        <v>971</v>
      </c>
      <c r="P7" s="480" t="s">
        <v>972</v>
      </c>
      <c r="Q7" s="480" t="s">
        <v>973</v>
      </c>
      <c r="R7" s="480" t="s">
        <v>974</v>
      </c>
      <c r="S7" s="480" t="s">
        <v>975</v>
      </c>
      <c r="T7" s="480" t="s">
        <v>976</v>
      </c>
      <c r="U7" s="480" t="s">
        <v>977</v>
      </c>
      <c r="V7" s="480" t="s">
        <v>978</v>
      </c>
      <c r="W7" s="482" t="s">
        <v>979</v>
      </c>
      <c r="X7" s="483" t="s">
        <v>980</v>
      </c>
      <c r="Y7" s="484" t="s">
        <v>981</v>
      </c>
      <c r="Z7" s="128"/>
      <c r="AA7" s="10"/>
    </row>
    <row r="8" customFormat="false" ht="13.5" hidden="false" customHeight="true" outlineLevel="0" collapsed="false">
      <c r="A8" s="421"/>
      <c r="B8" s="427"/>
      <c r="C8" s="485"/>
      <c r="D8" s="486"/>
      <c r="E8" s="487" t="s">
        <v>982</v>
      </c>
      <c r="F8" s="54" t="s">
        <v>983</v>
      </c>
      <c r="G8" s="488" t="s">
        <v>554</v>
      </c>
      <c r="H8" s="489" t="s">
        <v>984</v>
      </c>
      <c r="I8" s="489" t="s">
        <v>985</v>
      </c>
      <c r="J8" s="490"/>
      <c r="K8" s="489"/>
      <c r="L8" s="491" t="s">
        <v>554</v>
      </c>
      <c r="M8" s="489"/>
      <c r="N8" s="489" t="s">
        <v>986</v>
      </c>
      <c r="O8" s="489" t="s">
        <v>987</v>
      </c>
      <c r="P8" s="489" t="s">
        <v>973</v>
      </c>
      <c r="Q8" s="489"/>
      <c r="R8" s="489"/>
      <c r="S8" s="489"/>
      <c r="T8" s="489"/>
      <c r="U8" s="489" t="s">
        <v>988</v>
      </c>
      <c r="V8" s="489" t="s">
        <v>989</v>
      </c>
      <c r="W8" s="491" t="s">
        <v>990</v>
      </c>
      <c r="X8" s="492"/>
      <c r="Y8" s="493" t="s">
        <v>991</v>
      </c>
      <c r="Z8" s="436"/>
      <c r="AA8" s="10"/>
    </row>
    <row r="9" customFormat="false" ht="15" hidden="false" customHeight="true" outlineLevel="0" collapsed="false">
      <c r="A9" s="494" t="s">
        <v>992</v>
      </c>
      <c r="B9" s="495"/>
      <c r="C9" s="496" t="s">
        <v>993</v>
      </c>
      <c r="D9" s="497" t="s">
        <v>994</v>
      </c>
      <c r="E9" s="496" t="s">
        <v>995</v>
      </c>
      <c r="F9" s="498" t="s">
        <v>519</v>
      </c>
      <c r="G9" s="499"/>
      <c r="H9" s="500"/>
      <c r="I9" s="500"/>
      <c r="J9" s="501"/>
      <c r="K9" s="500"/>
      <c r="L9" s="502"/>
      <c r="M9" s="500"/>
      <c r="N9" s="500" t="s">
        <v>996</v>
      </c>
      <c r="O9" s="500"/>
      <c r="P9" s="500"/>
      <c r="Q9" s="500"/>
      <c r="R9" s="500"/>
      <c r="S9" s="500"/>
      <c r="T9" s="500"/>
      <c r="U9" s="500"/>
      <c r="V9" s="500"/>
      <c r="W9" s="502"/>
      <c r="X9" s="503"/>
      <c r="Y9" s="504" t="s">
        <v>997</v>
      </c>
      <c r="Z9" s="505" t="s">
        <v>998</v>
      </c>
      <c r="AA9" s="10"/>
      <c r="AB9" s="506"/>
      <c r="AF9" s="506"/>
      <c r="AJ9" s="506"/>
      <c r="AN9" s="506"/>
      <c r="AR9" s="506"/>
    </row>
    <row r="10" customFormat="false" ht="16.5" hidden="false" customHeight="true" outlineLevel="0" collapsed="false">
      <c r="A10" s="507"/>
      <c r="B10" s="126"/>
      <c r="C10" s="10"/>
      <c r="D10" s="508"/>
      <c r="E10" s="509"/>
      <c r="F10" s="317"/>
      <c r="G10" s="510"/>
      <c r="H10" s="510"/>
      <c r="I10" s="510"/>
      <c r="J10" s="510"/>
      <c r="K10" s="510"/>
      <c r="L10" s="510"/>
      <c r="M10" s="510"/>
      <c r="N10" s="510"/>
      <c r="O10" s="510"/>
      <c r="P10" s="510"/>
      <c r="Q10" s="510"/>
      <c r="R10" s="510"/>
      <c r="S10" s="510"/>
      <c r="T10" s="510"/>
      <c r="U10" s="510"/>
      <c r="V10" s="510"/>
      <c r="W10" s="510"/>
      <c r="X10" s="511"/>
      <c r="Y10" s="512"/>
      <c r="Z10" s="513"/>
      <c r="AA10" s="10"/>
    </row>
    <row r="11" customFormat="false" ht="16.5" hidden="false" customHeight="true" outlineLevel="0" collapsed="false">
      <c r="A11" s="514" t="s">
        <v>999</v>
      </c>
      <c r="B11" s="515"/>
      <c r="C11" s="516" t="n">
        <f aca="false">'01-Piers'!E39</f>
        <v>106</v>
      </c>
      <c r="D11" s="517" t="s">
        <v>1000</v>
      </c>
      <c r="E11" s="518" t="n">
        <f aca="false">'01-Piers'!E42</f>
        <v>348809.432670982</v>
      </c>
      <c r="F11" s="519" t="n">
        <f aca="false">IF(C11=0,0,E11/C11)</f>
        <v>3290.65502519794</v>
      </c>
      <c r="G11" s="520" t="n">
        <f aca="false">SUM('01-Piers'!W49:W72)+'01-Piers'!W76+'01-Piers'!W77+'01-Piers'!W78</f>
        <v>3436.96396765957</v>
      </c>
      <c r="H11" s="520"/>
      <c r="I11" s="520"/>
      <c r="J11" s="520"/>
      <c r="K11" s="520" t="n">
        <f aca="false">SUM('01-Piers'!O53:P53)</f>
        <v>58241.0543678564</v>
      </c>
      <c r="L11" s="520" t="n">
        <f aca="false">SUM('01-Piers'!W73:W75)</f>
        <v>7219.01300378568</v>
      </c>
      <c r="M11" s="520" t="n">
        <f aca="false">SUM('01-Piers'!O49:P52)</f>
        <v>99310.0702477648</v>
      </c>
      <c r="N11" s="520" t="n">
        <f aca="false">SUM('01-Piers'!W79:W81)</f>
        <v>614.31875</v>
      </c>
      <c r="O11" s="520" t="n">
        <f aca="false">SUM('01-Piers'!O78:P83)+'01-Piers'!O54-'01-Piers'!O82:P82</f>
        <v>76626.0233829333</v>
      </c>
      <c r="P11" s="520" t="n">
        <f aca="false">SUM('01-Piers'!O57:P63)</f>
        <v>32040.707907951</v>
      </c>
      <c r="Q11" s="520" t="n">
        <f aca="false">SUM('01-Piers'!L57:M62)</f>
        <v>0</v>
      </c>
      <c r="R11" s="520" t="n">
        <f aca="false">SUM('01-Piers'!O66:P68)</f>
        <v>8875</v>
      </c>
      <c r="S11" s="520" t="n">
        <f aca="false">'01-Piers'!O69</f>
        <v>2000</v>
      </c>
      <c r="T11" s="520" t="n">
        <f aca="false">SUM('01-Piers'!O71:P76)</f>
        <v>7238.0625</v>
      </c>
      <c r="U11" s="520" t="n">
        <f aca="false">SUM('01-Piers'!O82:P82)</f>
        <v>0</v>
      </c>
      <c r="V11" s="520" t="n">
        <f aca="false">'01-Piers'!O84</f>
        <v>0</v>
      </c>
      <c r="W11" s="521" t="n">
        <f aca="false">IF(X11=0,0,SUM(G11:T11)/C11)</f>
        <v>2788.69069932029</v>
      </c>
      <c r="X11" s="522" t="n">
        <f aca="false">IF(C11=0,0,SUM(G11:V11))</f>
        <v>295601.214127951</v>
      </c>
      <c r="Y11" s="523" t="n">
        <f aca="false">IF(C11=0,0,1-(X11/E11))</f>
        <v>0.152542372881356</v>
      </c>
      <c r="Z11" s="524" t="n">
        <f aca="false">'01-Piers'!S39</f>
        <v>632.699340592593</v>
      </c>
      <c r="AA11" s="374" t="n">
        <f aca="false">X11-K73</f>
        <v>0</v>
      </c>
      <c r="AB11" s="525"/>
      <c r="AF11" s="525"/>
      <c r="AJ11" s="525"/>
      <c r="AN11" s="525"/>
      <c r="AR11" s="525"/>
    </row>
    <row r="12" customFormat="false" ht="16.5" hidden="false" customHeight="true" outlineLevel="0" collapsed="false">
      <c r="A12" s="514" t="s">
        <v>1001</v>
      </c>
      <c r="B12" s="515"/>
      <c r="C12" s="526" t="n">
        <f aca="false">'02-Gd Beams'!I63</f>
        <v>0</v>
      </c>
      <c r="D12" s="517" t="s">
        <v>868</v>
      </c>
      <c r="E12" s="518" t="n">
        <f aca="false">'02-Gd Beams'!E40</f>
        <v>0</v>
      </c>
      <c r="F12" s="527" t="n">
        <f aca="false">IF(C12=0,0,E12/C12)</f>
        <v>0</v>
      </c>
      <c r="G12" s="520" t="n">
        <f aca="false">SUM('02-Gd Beams'!X48:X77)+SUM('02-Gd Beams'!X81:X83)+SUM('02-Gd Beams'!O57:P59)</f>
        <v>0</v>
      </c>
      <c r="H12" s="520" t="n">
        <f aca="false">SUM('02-Gd Beams'!O55:P56)</f>
        <v>0</v>
      </c>
      <c r="I12" s="520" t="n">
        <f aca="false">SUM('02-Gd Beams'!O54:P54)</f>
        <v>0</v>
      </c>
      <c r="J12" s="520"/>
      <c r="K12" s="520" t="n">
        <f aca="false">SUM('02-Gd Beams'!O52:P53)</f>
        <v>0</v>
      </c>
      <c r="L12" s="520" t="n">
        <f aca="false">SUM('02-Gd Beams'!X78:X80)</f>
        <v>0</v>
      </c>
      <c r="M12" s="520" t="n">
        <f aca="false">SUM('02-Gd Beams'!O48:P51)</f>
        <v>0</v>
      </c>
      <c r="N12" s="520" t="n">
        <f aca="false">SUM('02-Gd Beams'!X84:X86)</f>
        <v>0</v>
      </c>
      <c r="O12" s="520" t="n">
        <f aca="false">SUM('02-Gd Beams'!O85:P89)</f>
        <v>0</v>
      </c>
      <c r="P12" s="520" t="n">
        <f aca="false">SUM('02-Gd Beams'!O62:P70)</f>
        <v>0</v>
      </c>
      <c r="Q12" s="520" t="n">
        <f aca="false">SUM('02-Gd Beams'!L62:M69)</f>
        <v>0</v>
      </c>
      <c r="R12" s="520" t="n">
        <f aca="false">SUM('02-Gd Beams'!O73:P75)</f>
        <v>0</v>
      </c>
      <c r="S12" s="520" t="n">
        <f aca="false">'02-Gd Beams'!O76</f>
        <v>0</v>
      </c>
      <c r="T12" s="520" t="n">
        <f aca="false">SUM('02-Gd Beams'!O78:P83)+SUM('02-Gd Beams'!O60:P60)</f>
        <v>0</v>
      </c>
      <c r="U12" s="520" t="n">
        <f aca="false">SUM('02-Gd Beams'!O90:P90)</f>
        <v>0</v>
      </c>
      <c r="V12" s="520" t="n">
        <f aca="false">'02-Gd Beams'!O91</f>
        <v>0</v>
      </c>
      <c r="W12" s="521" t="n">
        <f aca="false">IF(X12=0,0,SUM(G12:T12)/C12)</f>
        <v>0</v>
      </c>
      <c r="X12" s="522" t="n">
        <f aca="false">IF(C12=0,0,SUM(G12:V12))</f>
        <v>0</v>
      </c>
      <c r="Y12" s="523" t="n">
        <f aca="false">IF(C12=0,0,1-(X12/E12))</f>
        <v>0</v>
      </c>
      <c r="Z12" s="524" t="n">
        <f aca="false">'02-Gd Beams'!L48+'02-Gd Beams'!L50+'02-Gd Beams'!L51</f>
        <v>0</v>
      </c>
      <c r="AA12" s="77" t="n">
        <f aca="false">X12-O73</f>
        <v>0</v>
      </c>
      <c r="AB12" s="525"/>
      <c r="AF12" s="525"/>
      <c r="AJ12" s="525"/>
      <c r="AN12" s="525"/>
      <c r="AR12" s="525"/>
    </row>
    <row r="13" customFormat="false" ht="16.5" hidden="false" customHeight="true" outlineLevel="0" collapsed="false">
      <c r="A13" s="507"/>
      <c r="B13" s="528"/>
      <c r="C13" s="526"/>
      <c r="D13" s="10"/>
      <c r="E13" s="518"/>
      <c r="F13" s="529"/>
      <c r="G13" s="520"/>
      <c r="H13" s="520"/>
      <c r="I13" s="520"/>
      <c r="J13" s="520"/>
      <c r="K13" s="520"/>
      <c r="L13" s="520"/>
      <c r="M13" s="520"/>
      <c r="N13" s="520"/>
      <c r="O13" s="520"/>
      <c r="P13" s="520"/>
      <c r="Q13" s="520"/>
      <c r="R13" s="520"/>
      <c r="S13" s="520"/>
      <c r="T13" s="520"/>
      <c r="U13" s="520"/>
      <c r="V13" s="520"/>
      <c r="W13" s="521"/>
      <c r="X13" s="522"/>
      <c r="Y13" s="523"/>
      <c r="Z13" s="524" t="n">
        <v>0</v>
      </c>
      <c r="AA13" s="10"/>
      <c r="AB13" s="525"/>
      <c r="AF13" s="525"/>
      <c r="AJ13" s="525"/>
      <c r="AN13" s="525"/>
      <c r="AR13" s="525"/>
    </row>
    <row r="14" customFormat="false" ht="16.5" hidden="false" customHeight="true" outlineLevel="0" collapsed="false">
      <c r="A14" s="514" t="s">
        <v>1002</v>
      </c>
      <c r="B14" s="515"/>
      <c r="C14" s="516" t="n">
        <f aca="false">'03-Walls &amp; Footings'!H67</f>
        <v>0</v>
      </c>
      <c r="D14" s="530" t="s">
        <v>868</v>
      </c>
      <c r="E14" s="518" t="n">
        <f aca="false">'03-Walls &amp; Footings'!D40</f>
        <v>0</v>
      </c>
      <c r="F14" s="519" t="str">
        <f aca="false">IF(C14=0,"",E14/C14)</f>
        <v/>
      </c>
      <c r="G14" s="520" t="n">
        <f aca="false">SUM('03-Walls &amp; Footings'!W51:W82)+'03-Walls &amp; Footings'!N61+'03-Walls &amp; Footings'!N62+'03-Walls &amp; Footings'!N63+'03-Walls &amp; Footings'!W86+'03-Walls &amp; Footings'!W87+'03-Walls &amp; Footings'!W88</f>
        <v>0</v>
      </c>
      <c r="H14" s="520" t="n">
        <f aca="false">SUM('03-Walls &amp; Footings'!N59:O60)</f>
        <v>0</v>
      </c>
      <c r="I14" s="520"/>
      <c r="J14" s="520" t="n">
        <f aca="false">SUM('03-Walls &amp; Footings'!N58:O58)</f>
        <v>0</v>
      </c>
      <c r="K14" s="520" t="n">
        <f aca="false">SUM('03-Walls &amp; Footings'!N56:O57)</f>
        <v>0</v>
      </c>
      <c r="L14" s="520" t="n">
        <f aca="false">SUM('03-Walls &amp; Footings'!W83:W88)</f>
        <v>0</v>
      </c>
      <c r="M14" s="520" t="n">
        <f aca="false">SUM('03-Walls &amp; Footings'!N51:O55)</f>
        <v>0</v>
      </c>
      <c r="N14" s="520" t="n">
        <f aca="false">SUM('03-Walls &amp; Footings'!N91:O91)+'03-Walls &amp; Footings'!W89+'03-Walls &amp; Footings'!W90+'03-Walls &amp; Footings'!W91</f>
        <v>0</v>
      </c>
      <c r="O14" s="520" t="n">
        <f aca="false">SUM('03-Walls &amp; Footings'!N90:O95)-'03-Walls &amp; Footings'!N91-'03-Walls &amp; Footings'!N95+'03-Walls &amp; Footings'!N64</f>
        <v>0</v>
      </c>
      <c r="P14" s="520" t="n">
        <f aca="false">SUM('03-Walls &amp; Footings'!N66:O75)</f>
        <v>0</v>
      </c>
      <c r="Q14" s="520" t="n">
        <f aca="false">SUM('03-Walls &amp; Footings'!K66:K74)</f>
        <v>0</v>
      </c>
      <c r="R14" s="520" t="n">
        <f aca="false">SUM('03-Walls &amp; Footings'!N78:O80)</f>
        <v>0</v>
      </c>
      <c r="S14" s="520" t="n">
        <f aca="false">'03-Walls &amp; Footings'!N81</f>
        <v>0</v>
      </c>
      <c r="T14" s="520" t="n">
        <f aca="false">SUM('03-Walls &amp; Footings'!N83:O88)</f>
        <v>0</v>
      </c>
      <c r="U14" s="520" t="n">
        <f aca="false">'03-Walls &amp; Footings'!N95</f>
        <v>0</v>
      </c>
      <c r="V14" s="520" t="n">
        <f aca="false">'03-Walls &amp; Footings'!N96</f>
        <v>0</v>
      </c>
      <c r="W14" s="521"/>
      <c r="X14" s="522" t="n">
        <f aca="false">IF(C14=0,0,SUM(G14:V14))</f>
        <v>0</v>
      </c>
      <c r="Y14" s="523" t="n">
        <f aca="false">IF(C14=0,0,1-(X14/E14))</f>
        <v>0</v>
      </c>
      <c r="Z14" s="524" t="n">
        <f aca="false">SUM('03-Walls &amp; Footings'!K51:L55)</f>
        <v>0</v>
      </c>
      <c r="AA14" s="361" t="n">
        <f aca="false">X14-AE73</f>
        <v>0</v>
      </c>
      <c r="AB14" s="525"/>
      <c r="AF14" s="525"/>
      <c r="AJ14" s="525"/>
      <c r="AN14" s="525"/>
      <c r="AR14" s="525"/>
    </row>
    <row r="15" customFormat="false" ht="16.5" hidden="false" customHeight="true" outlineLevel="0" collapsed="false">
      <c r="A15" s="514" t="s">
        <v>1003</v>
      </c>
      <c r="B15" s="515"/>
      <c r="C15" s="531" t="n">
        <f aca="false">'04-PT Slab on Grade'!I79</f>
        <v>62723</v>
      </c>
      <c r="D15" s="517" t="s">
        <v>868</v>
      </c>
      <c r="E15" s="518" t="n">
        <f aca="false">'04-PT Slab on Grade'!E45</f>
        <v>808755.175867466</v>
      </c>
      <c r="F15" s="532" t="n">
        <f aca="false">IF(C15=0,0,E15/$C$15)</f>
        <v>12.8940767480424</v>
      </c>
      <c r="G15" s="520" t="n">
        <f aca="false">SUM('04-PT Slab on Grade'!Z66:Z103)-'04-PT Slab on Grade'!Z100-'04-PT Slab on Grade'!Z99-'04-PT Slab on Grade'!Z98-'04-PT Slab on Grade'!Z90-'04-PT Slab on Grade'!Z89-'04-PT Slab on Grade'!Z88-'04-PT Slab on Grade'!Z87</f>
        <v>32237.1347680328</v>
      </c>
      <c r="H15" s="520" t="n">
        <f aca="false">SUM('04-PT Slab on Grade'!O73:P73)</f>
        <v>10478.0320216049</v>
      </c>
      <c r="I15" s="520" t="n">
        <f aca="false">SUM('04-PT Slab on Grade'!Z87:Z90)</f>
        <v>17993.8059297052</v>
      </c>
      <c r="J15" s="520" t="n">
        <f aca="false">SUM('04-PT Slab on Grade'!O72:P72)</f>
        <v>57713.000375</v>
      </c>
      <c r="K15" s="520" t="n">
        <f aca="false">SUM('04-PT Slab on Grade'!O70:P71)</f>
        <v>42907.2763681768</v>
      </c>
      <c r="L15" s="520" t="n">
        <f aca="false">SUM('04-PT Slab on Grade'!Z98:Z100)</f>
        <v>1747.48211730589</v>
      </c>
      <c r="M15" s="520" t="n">
        <f aca="false">SUM('04-PT Slab on Grade'!O65:P69)</f>
        <v>319874.686081173</v>
      </c>
      <c r="N15" s="520" t="n">
        <f aca="false">'04-PT Slab on Grade'!O104+'04-PT Slab on Grade'!Z104+'04-PT Slab on Grade'!Z105+'04-PT Slab on Grade'!Z106</f>
        <v>2457.275</v>
      </c>
      <c r="O15" s="520" t="n">
        <f aca="false">SUM('04-PT Slab on Grade'!O103:P109)-'04-PT Slab on Grade'!O104-'04-PT Slab on Grade'!O108:P108</f>
        <v>35283.1338271605</v>
      </c>
      <c r="P15" s="520" t="n">
        <f aca="false">SUM('04-PT Slab on Grade'!O79:P88)</f>
        <v>131779.342268877</v>
      </c>
      <c r="Q15" s="520" t="n">
        <f aca="false">SUM('04-PT Slab on Grade'!L79:M87)</f>
        <v>0</v>
      </c>
      <c r="R15" s="520" t="n">
        <f aca="false">SUM('04-PT Slab on Grade'!O91:P93)</f>
        <v>14406.6890625</v>
      </c>
      <c r="S15" s="520" t="n">
        <f aca="false">'04-PT Slab on Grade'!O94</f>
        <v>5488.2625</v>
      </c>
      <c r="T15" s="520" t="n">
        <f aca="false">SUM('04-PT Slab on Grade'!O96:P101)</f>
        <v>30899.25</v>
      </c>
      <c r="U15" s="520" t="n">
        <f aca="false">SUM('04-PT Slab on Grade'!O108)</f>
        <v>0</v>
      </c>
      <c r="V15" s="520" t="n">
        <f aca="false">'04-PT Slab on Grade'!O110</f>
        <v>0</v>
      </c>
      <c r="W15" s="520"/>
      <c r="X15" s="522" t="n">
        <f aca="false">IF(C15=0,0,SUM(G15:V15))</f>
        <v>703265.370319536</v>
      </c>
      <c r="Y15" s="523" t="n">
        <f aca="false">IF(C15=0,0,1-(X15/E15))</f>
        <v>0.130434782608696</v>
      </c>
      <c r="Z15" s="524" t="n">
        <f aca="false">SUM('04-PT Slab on Grade'!L65:L69)</f>
        <v>2205.19586419753</v>
      </c>
      <c r="AA15" s="77" t="n">
        <f aca="false">X15-W73</f>
        <v>0</v>
      </c>
      <c r="AB15" s="525"/>
      <c r="AF15" s="525"/>
      <c r="AJ15" s="525"/>
      <c r="AN15" s="525"/>
      <c r="AR15" s="525"/>
    </row>
    <row r="16" customFormat="false" ht="16.5" hidden="false" customHeight="true" outlineLevel="0" collapsed="false">
      <c r="A16" s="507"/>
      <c r="B16" s="528"/>
      <c r="C16" s="516"/>
      <c r="D16" s="10"/>
      <c r="E16" s="518"/>
      <c r="F16" s="533" t="s">
        <v>1004</v>
      </c>
      <c r="G16" s="155" t="n">
        <f aca="false">IF(C15=0,0,G15/C15)</f>
        <v>0.5139603457748</v>
      </c>
      <c r="H16" s="155" t="n">
        <f aca="false">IF($C15=0,0,H15/$C$15)</f>
        <v>0.167052469135802</v>
      </c>
      <c r="I16" s="155" t="n">
        <f aca="false">IF($C15=0,0,I15/$C$15)</f>
        <v>0.28687731660962</v>
      </c>
      <c r="J16" s="155" t="n">
        <f aca="false">IF($C15=0,0,J15/$C$15)</f>
        <v>0.920125</v>
      </c>
      <c r="K16" s="155" t="n">
        <f aca="false">IF($C15=0,0,K15/$C$15)</f>
        <v>0.684075640007282</v>
      </c>
      <c r="L16" s="155" t="n">
        <f aca="false">IF($C15=0,0,L15/$C$15)</f>
        <v>0.027860308296891</v>
      </c>
      <c r="M16" s="155" t="n">
        <f aca="false">IF($C15=0,0,M15/$C$15)</f>
        <v>5.09979889484197</v>
      </c>
      <c r="N16" s="155" t="n">
        <f aca="false">IF($C15=0,0,N15/$C$15)</f>
        <v>0.0391766178275912</v>
      </c>
      <c r="O16" s="155" t="n">
        <f aca="false">IF($C15=0,0,O15/$C$15)</f>
        <v>0.562523058960198</v>
      </c>
      <c r="P16" s="155" t="n">
        <f aca="false">IF($C15=0,0,P15/$C$15)</f>
        <v>2.10097320391047</v>
      </c>
      <c r="Q16" s="155" t="n">
        <f aca="false">IF($C15=0,0,Q15/$C$15)</f>
        <v>0</v>
      </c>
      <c r="R16" s="155" t="n">
        <f aca="false">IF($C15=0,0,R15/$C$15)</f>
        <v>0.2296875</v>
      </c>
      <c r="S16" s="155"/>
      <c r="T16" s="155" t="n">
        <f aca="false">IF($C15=0,0,T15/$C$15)</f>
        <v>0.492630295107058</v>
      </c>
      <c r="U16" s="155"/>
      <c r="V16" s="155"/>
      <c r="W16" s="534" t="n">
        <f aca="false">SUM(G16:T16)</f>
        <v>11.1247406504717</v>
      </c>
      <c r="X16" s="535"/>
      <c r="Y16" s="523"/>
      <c r="Z16" s="513"/>
      <c r="AA16" s="10"/>
      <c r="AB16" s="525"/>
      <c r="AF16" s="525"/>
      <c r="AJ16" s="525"/>
      <c r="AN16" s="525"/>
      <c r="AR16" s="525"/>
    </row>
    <row r="17" customFormat="false" ht="16.5" hidden="false" customHeight="true" outlineLevel="0" collapsed="false">
      <c r="A17" s="514" t="s">
        <v>1003</v>
      </c>
      <c r="B17" s="515"/>
      <c r="C17" s="531" t="n">
        <f aca="false">'04-PT Slab on Grade Wrap'!I79</f>
        <v>0</v>
      </c>
      <c r="D17" s="517" t="s">
        <v>868</v>
      </c>
      <c r="E17" s="518" t="n">
        <f aca="false">'04-PT Slab on Grade Wrap'!E45</f>
        <v>0</v>
      </c>
      <c r="F17" s="532" t="n">
        <f aca="false">IF(C17=0,0,E17/$C$17)</f>
        <v>0</v>
      </c>
      <c r="G17" s="520" t="n">
        <f aca="false">SUM('04-PT Slab on Grade Wrap'!Z66:Z103)-'04-PT Slab on Grade Wrap'!Z100-'04-PT Slab on Grade Wrap'!Z99-'04-PT Slab on Grade Wrap'!Z98-'04-PT Slab on Grade Wrap'!Z90-'04-PT Slab on Grade Wrap'!Z89-'04-PT Slab on Grade Wrap'!Z88-'04-PT Slab on Grade Wrap'!Z87</f>
        <v>0</v>
      </c>
      <c r="H17" s="520" t="n">
        <f aca="false">SUM('04-PT Slab on Grade Wrap'!O73:P73)</f>
        <v>0</v>
      </c>
      <c r="I17" s="520" t="n">
        <f aca="false">SUM('04-PT Slab on Grade Wrap'!Z87:Z90)</f>
        <v>0</v>
      </c>
      <c r="J17" s="520" t="n">
        <f aca="false">SUM('04-PT Slab on Grade Wrap'!O72:P72)</f>
        <v>0</v>
      </c>
      <c r="K17" s="520" t="n">
        <f aca="false">SUM('04-PT Slab on Grade Wrap'!O70:P71)</f>
        <v>0</v>
      </c>
      <c r="L17" s="520" t="n">
        <f aca="false">SUM('04-PT Slab on Grade Wrap'!Z98:Z100)</f>
        <v>0</v>
      </c>
      <c r="M17" s="520" t="n">
        <f aca="false">SUM('04-PT Slab on Grade Wrap'!O65:P69)</f>
        <v>0</v>
      </c>
      <c r="N17" s="520" t="n">
        <f aca="false">'04-PT Slab on Grade Wrap'!O104+'04-PT Slab on Grade Wrap'!Z104+'04-PT Slab on Grade Wrap'!Z105+'04-PT Slab on Grade Wrap'!Z106</f>
        <v>0</v>
      </c>
      <c r="O17" s="520" t="n">
        <f aca="false">SUM('04-PT Slab on Grade Wrap'!O103:P109)-'04-PT Slab on Grade Wrap'!O104-'04-PT Slab on Grade Wrap'!O108:P108</f>
        <v>0</v>
      </c>
      <c r="P17" s="520" t="n">
        <f aca="false">SUM('04-PT Slab on Grade Wrap'!O79:P88)</f>
        <v>0</v>
      </c>
      <c r="Q17" s="520" t="n">
        <f aca="false">SUM('04-PT Slab on Grade Wrap'!L79:M87)</f>
        <v>0</v>
      </c>
      <c r="R17" s="520" t="n">
        <f aca="false">SUM('04-PT Slab on Grade Wrap'!O91:P93)</f>
        <v>0</v>
      </c>
      <c r="S17" s="520" t="n">
        <f aca="false">'04-PT Slab on Grade Wrap'!O94</f>
        <v>0</v>
      </c>
      <c r="T17" s="520" t="n">
        <f aca="false">SUM('04-PT Slab on Grade Wrap'!O96:P101)</f>
        <v>0</v>
      </c>
      <c r="U17" s="520" t="n">
        <f aca="false">SUM('04-PT Slab on Grade Wrap'!O108)</f>
        <v>0</v>
      </c>
      <c r="V17" s="520" t="n">
        <f aca="false">'04-PT Slab on Grade Wrap'!O110</f>
        <v>0</v>
      </c>
      <c r="W17" s="520"/>
      <c r="X17" s="522" t="n">
        <f aca="false">IF(C17=0,0,SUM(G17:V17))</f>
        <v>0</v>
      </c>
      <c r="Y17" s="523" t="n">
        <f aca="false">IF(C17=0,0,1-(X17/E17))</f>
        <v>0</v>
      </c>
      <c r="Z17" s="524" t="n">
        <f aca="false">SUM('04-PT Slab on Grade Wrap'!L65:L69)</f>
        <v>0</v>
      </c>
      <c r="AA17" s="77" t="n">
        <f aca="false">X17-S73</f>
        <v>0</v>
      </c>
      <c r="AB17" s="525"/>
      <c r="AF17" s="525"/>
      <c r="AJ17" s="525"/>
      <c r="AN17" s="525"/>
      <c r="AR17" s="525"/>
    </row>
    <row r="18" customFormat="false" ht="16.5" hidden="false" customHeight="true" outlineLevel="0" collapsed="false">
      <c r="A18" s="507"/>
      <c r="B18" s="528"/>
      <c r="C18" s="516"/>
      <c r="D18" s="10"/>
      <c r="E18" s="518"/>
      <c r="F18" s="533" t="s">
        <v>1004</v>
      </c>
      <c r="G18" s="155" t="n">
        <f aca="false">IF(C17=0,0,G17/C17)</f>
        <v>0</v>
      </c>
      <c r="H18" s="155" t="n">
        <f aca="false">IF($C17=0,0,H17/$C$17)</f>
        <v>0</v>
      </c>
      <c r="I18" s="155" t="n">
        <f aca="false">IF($C17=0,0,I17/$C$17)</f>
        <v>0</v>
      </c>
      <c r="J18" s="155" t="n">
        <f aca="false">IF($C17=0,0,J17/$C$17)</f>
        <v>0</v>
      </c>
      <c r="K18" s="155" t="n">
        <f aca="false">IF($C17=0,0,K17/$C$17)</f>
        <v>0</v>
      </c>
      <c r="L18" s="155" t="n">
        <f aca="false">IF($C17=0,0,L17/$C$17)</f>
        <v>0</v>
      </c>
      <c r="M18" s="155" t="n">
        <f aca="false">IF($C17=0,0,M17/$C$17)</f>
        <v>0</v>
      </c>
      <c r="N18" s="155" t="n">
        <f aca="false">IF($C17=0,0,N17/$C$17)</f>
        <v>0</v>
      </c>
      <c r="O18" s="155" t="n">
        <f aca="false">IF($C17=0,0,O17/$C$17)</f>
        <v>0</v>
      </c>
      <c r="P18" s="155" t="n">
        <f aca="false">IF($C17=0,0,P17/$C$17)</f>
        <v>0</v>
      </c>
      <c r="Q18" s="155" t="n">
        <f aca="false">IF($C17=0,0,Q17/$C$17)</f>
        <v>0</v>
      </c>
      <c r="R18" s="155" t="n">
        <f aca="false">IF($C17=0,0,R17/$C$17)</f>
        <v>0</v>
      </c>
      <c r="S18" s="155" t="n">
        <f aca="false">IF($C17=0,0,S17/$C$17)</f>
        <v>0</v>
      </c>
      <c r="T18" s="155" t="n">
        <f aca="false">IF($C17=0,0,T17/$C$17)</f>
        <v>0</v>
      </c>
      <c r="U18" s="155"/>
      <c r="V18" s="155"/>
      <c r="W18" s="534" t="n">
        <f aca="false">SUM(G18:T18)</f>
        <v>0</v>
      </c>
      <c r="X18" s="535"/>
      <c r="Y18" s="523"/>
      <c r="Z18" s="513"/>
      <c r="AA18" s="10"/>
      <c r="AB18" s="525"/>
      <c r="AF18" s="525"/>
      <c r="AJ18" s="525"/>
      <c r="AN18" s="525"/>
      <c r="AR18" s="525"/>
    </row>
    <row r="19" customFormat="false" ht="16.5" hidden="false" customHeight="true" outlineLevel="0" collapsed="false">
      <c r="A19" s="514" t="s">
        <v>1005</v>
      </c>
      <c r="B19" s="515"/>
      <c r="C19" s="531" t="n">
        <f aca="false">'05-Slabs'!I79</f>
        <v>0</v>
      </c>
      <c r="D19" s="517" t="s">
        <v>868</v>
      </c>
      <c r="E19" s="518" t="n">
        <f aca="false">'05-Slabs'!E45</f>
        <v>0</v>
      </c>
      <c r="F19" s="532" t="n">
        <f aca="false">IF(C19=0,0,E19/$C$19)</f>
        <v>0</v>
      </c>
      <c r="G19" s="520" t="n">
        <f aca="false">SUM('05-Slabs'!Z66:Z103)-'05-Slabs'!Z100-'05-Slabs'!Z99-'05-Slabs'!Z98-'05-Slabs'!Z90-'05-Slabs'!Z89-'05-Slabs'!Z88-'05-Slabs'!Z87</f>
        <v>0</v>
      </c>
      <c r="H19" s="520" t="n">
        <f aca="false">SUM('05-Slabs'!O73:P73)</f>
        <v>0</v>
      </c>
      <c r="I19" s="520" t="n">
        <f aca="false">SUM('05-Slabs'!Z87:Z90)</f>
        <v>0</v>
      </c>
      <c r="J19" s="520" t="n">
        <f aca="false">SUM('05-Slabs'!O72:P72)</f>
        <v>0</v>
      </c>
      <c r="K19" s="520" t="n">
        <f aca="false">SUM('05-Slabs'!O70:P71)</f>
        <v>0</v>
      </c>
      <c r="L19" s="520" t="n">
        <f aca="false">SUM('05-Slabs'!Z98:Z100)</f>
        <v>0</v>
      </c>
      <c r="M19" s="520" t="n">
        <f aca="false">SUM('05-Slabs'!O65:P69)</f>
        <v>0</v>
      </c>
      <c r="N19" s="520" t="n">
        <f aca="false">'05-Slabs'!O104+'05-Slabs'!Z104+'05-Slabs'!Z105+'05-Slabs'!Z106</f>
        <v>0</v>
      </c>
      <c r="O19" s="520" t="n">
        <f aca="false">SUM('05-Slabs'!O103:P109)-'05-Slabs'!O104-'05-Slabs'!O108:P108</f>
        <v>0</v>
      </c>
      <c r="P19" s="520" t="n">
        <f aca="false">SUM('05-Slabs'!O79:P88)</f>
        <v>0</v>
      </c>
      <c r="Q19" s="520" t="n">
        <f aca="false">SUM('05-Slabs'!L79:M87)</f>
        <v>0</v>
      </c>
      <c r="R19" s="520" t="n">
        <f aca="false">SUM('05-Slabs'!O91:P93)</f>
        <v>0</v>
      </c>
      <c r="S19" s="520" t="n">
        <f aca="false">'05-Slabs'!O94</f>
        <v>0</v>
      </c>
      <c r="T19" s="520" t="n">
        <f aca="false">SUM('05-Slabs'!O96:P101)</f>
        <v>0</v>
      </c>
      <c r="U19" s="520" t="n">
        <f aca="false">SUM('05-Slabs'!O108)</f>
        <v>0</v>
      </c>
      <c r="V19" s="520" t="n">
        <f aca="false">'05-Slabs'!O110</f>
        <v>0</v>
      </c>
      <c r="W19" s="520"/>
      <c r="X19" s="522" t="n">
        <f aca="false">IF(C19=0,0,SUM(G19:V19))</f>
        <v>0</v>
      </c>
      <c r="Y19" s="523" t="n">
        <f aca="false">IF(C19=0,0,1-(X19/E19))</f>
        <v>0</v>
      </c>
      <c r="Z19" s="524" t="n">
        <f aca="false">SUM('05-Slabs'!L65:M67)</f>
        <v>0</v>
      </c>
      <c r="AA19" s="77" t="n">
        <f aca="false">X19-AA73</f>
        <v>0</v>
      </c>
      <c r="AB19" s="525"/>
      <c r="AF19" s="525"/>
      <c r="AJ19" s="525"/>
      <c r="AN19" s="525"/>
      <c r="AR19" s="525"/>
    </row>
    <row r="20" customFormat="false" ht="16.5" hidden="false" customHeight="true" outlineLevel="0" collapsed="false">
      <c r="A20" s="507"/>
      <c r="B20" s="528"/>
      <c r="C20" s="516"/>
      <c r="D20" s="10"/>
      <c r="E20" s="518"/>
      <c r="F20" s="533" t="s">
        <v>1004</v>
      </c>
      <c r="G20" s="536" t="n">
        <f aca="false">IF($C$19=0,0,G19/$C19)</f>
        <v>0</v>
      </c>
      <c r="H20" s="536" t="n">
        <f aca="false">IF($C$19=0,0,H19/$C19)</f>
        <v>0</v>
      </c>
      <c r="I20" s="536" t="n">
        <f aca="false">IF($C$19=0,0,I19/$C19)</f>
        <v>0</v>
      </c>
      <c r="J20" s="536" t="n">
        <f aca="false">IF($C$19=0,0,J19/$C19)</f>
        <v>0</v>
      </c>
      <c r="K20" s="536" t="n">
        <f aca="false">IF($C$19=0,0,K19/$C19)</f>
        <v>0</v>
      </c>
      <c r="L20" s="536" t="n">
        <f aca="false">IF($C$19=0,0,L19/$C19)</f>
        <v>0</v>
      </c>
      <c r="M20" s="536" t="n">
        <f aca="false">IF($C$19=0,0,M19/$C19)</f>
        <v>0</v>
      </c>
      <c r="N20" s="536" t="n">
        <f aca="false">IF($C$19=0,0,N19/$C19)</f>
        <v>0</v>
      </c>
      <c r="O20" s="536" t="n">
        <f aca="false">IF($C$19=0,0,O19/$C19)</f>
        <v>0</v>
      </c>
      <c r="P20" s="536" t="n">
        <f aca="false">IF($C$19=0,0,P19/$C19)</f>
        <v>0</v>
      </c>
      <c r="Q20" s="536" t="n">
        <f aca="false">IF($C$19=0,0,Q19/$C19)</f>
        <v>0</v>
      </c>
      <c r="R20" s="536" t="n">
        <f aca="false">IF($C$19=0,0,R19/$C19)</f>
        <v>0</v>
      </c>
      <c r="S20" s="536"/>
      <c r="T20" s="536" t="n">
        <f aca="false">IF($C$19=0,0,T19/$C19)</f>
        <v>0</v>
      </c>
      <c r="U20" s="536" t="n">
        <f aca="false">IF($C$19=0,0,U19/$C19)</f>
        <v>0</v>
      </c>
      <c r="V20" s="536"/>
      <c r="W20" s="537" t="n">
        <f aca="false">IF($C$19=0,0,W19/$C19)</f>
        <v>0</v>
      </c>
      <c r="X20" s="538"/>
      <c r="Y20" s="523"/>
      <c r="Z20" s="513"/>
      <c r="AA20" s="10"/>
      <c r="AB20" s="525"/>
      <c r="AF20" s="525"/>
      <c r="AJ20" s="525"/>
      <c r="AN20" s="525"/>
      <c r="AR20" s="525"/>
    </row>
    <row r="21" customFormat="false" ht="16.5" hidden="false" customHeight="true" outlineLevel="0" collapsed="false">
      <c r="A21" s="507"/>
      <c r="B21" s="528"/>
      <c r="C21" s="516"/>
      <c r="D21" s="10"/>
      <c r="E21" s="518"/>
      <c r="F21" s="529"/>
      <c r="G21" s="520"/>
      <c r="H21" s="520"/>
      <c r="I21" s="520"/>
      <c r="J21" s="520"/>
      <c r="K21" s="520"/>
      <c r="L21" s="520"/>
      <c r="M21" s="520"/>
      <c r="N21" s="520"/>
      <c r="O21" s="520"/>
      <c r="P21" s="520"/>
      <c r="Q21" s="520"/>
      <c r="R21" s="520"/>
      <c r="S21" s="520"/>
      <c r="T21" s="520"/>
      <c r="U21" s="520"/>
      <c r="V21" s="520"/>
      <c r="W21" s="521"/>
      <c r="X21" s="522"/>
      <c r="Y21" s="523"/>
      <c r="Z21" s="524"/>
      <c r="AA21" s="10"/>
      <c r="AB21" s="525"/>
      <c r="AF21" s="525"/>
      <c r="AJ21" s="525"/>
      <c r="AN21" s="525"/>
      <c r="AR21" s="525"/>
    </row>
    <row r="22" customFormat="false" ht="16.5" hidden="false" customHeight="true" outlineLevel="0" collapsed="false">
      <c r="A22" s="514" t="s">
        <v>1006</v>
      </c>
      <c r="B22" s="515"/>
      <c r="C22" s="516" t="n">
        <f aca="false">SUM('06-Walls &amp; Footings'!H$67:I$70)</f>
        <v>3452.55</v>
      </c>
      <c r="D22" s="517" t="s">
        <v>849</v>
      </c>
      <c r="E22" s="539" t="n">
        <f aca="false">SUM('06-Walls &amp; Footings'!D$40:E$40)</f>
        <v>230548.729567468</v>
      </c>
      <c r="F22" s="540" t="n">
        <f aca="false">SUM('06-Walls &amp; Footings'!B$42)</f>
        <v>42.8218251144788</v>
      </c>
      <c r="G22" s="520" t="n">
        <f aca="false">SUM('06-Walls &amp; Footings'!W$51:W$82)+SUM('06-Walls &amp; Footings'!N$61:O$63)+'06-Walls &amp; Footings'!W$86+'06-Walls &amp; Footings'!W$87+'06-Walls &amp; Footings'!W$88</f>
        <v>26741.8587120691</v>
      </c>
      <c r="H22" s="520" t="n">
        <f aca="false">SUM('06-Walls &amp; Footings'!N$59:O$60)</f>
        <v>7680</v>
      </c>
      <c r="I22" s="520"/>
      <c r="J22" s="520" t="n">
        <f aca="false">SUM('06-Walls &amp; Footings'!N$58:O$58)</f>
        <v>0</v>
      </c>
      <c r="K22" s="520" t="n">
        <f aca="false">SUM('06-Walls &amp; Footings'!N$56:O$57)</f>
        <v>20080.7081323866</v>
      </c>
      <c r="L22" s="520" t="n">
        <f aca="false">SUM('06-Walls &amp; Footings'!W$83:W$87)</f>
        <v>1349.11329043958</v>
      </c>
      <c r="M22" s="520" t="n">
        <f aca="false">SUM('06-Walls &amp; Footings'!N$51:O$55)</f>
        <v>43904.2595853395</v>
      </c>
      <c r="N22" s="520" t="n">
        <f aca="false">SUM('06-Walls &amp; Footings'!W$89:W$91)</f>
        <v>567.5</v>
      </c>
      <c r="O22" s="520" t="n">
        <f aca="false">SUM('06-Walls &amp; Footings'!N$90:O$95)+'06-Walls &amp; Footings'!N$64-'06-Walls &amp; Footings'!N$91-'06-Walls &amp; Footings'!N$95+'06-Walls &amp; Footings'!N$91</f>
        <v>2850</v>
      </c>
      <c r="P22" s="520" t="n">
        <f aca="false">SUM('06-Walls &amp; Footings'!N$66:O$75)</f>
        <v>83022.9664253893</v>
      </c>
      <c r="Q22" s="520" t="n">
        <f aca="false">SUM('06-Walls &amp; Footings'!K$66:K$72)</f>
        <v>0</v>
      </c>
      <c r="R22" s="520" t="n">
        <f aca="false">SUM('06-Walls &amp; Footings'!N$78:O$80)</f>
        <v>6000</v>
      </c>
      <c r="S22" s="520" t="n">
        <f aca="false">'06-Walls &amp; Footings'!N$81</f>
        <v>0</v>
      </c>
      <c r="T22" s="520" t="n">
        <f aca="false">SUM('06-Walls &amp; Footings'!N$83:O$88)</f>
        <v>8280.75</v>
      </c>
      <c r="U22" s="520" t="n">
        <f aca="false">SUM('06-Walls &amp; Footings'!N$95)</f>
        <v>0</v>
      </c>
      <c r="V22" s="520" t="n">
        <f aca="false">'06-Walls &amp; Footings'!N$96</f>
        <v>0</v>
      </c>
      <c r="W22" s="521"/>
      <c r="X22" s="522" t="n">
        <f aca="false">SUM(G22:V22)</f>
        <v>200477.156145624</v>
      </c>
      <c r="Y22" s="523" t="n">
        <f aca="false">IF(C22=0,0,1-(X22/E22))</f>
        <v>0.130434782608696</v>
      </c>
      <c r="Z22" s="524" t="n">
        <f aca="false">SUM('06-Walls &amp; Footings'!K$51:L$55)</f>
        <v>284.860604938272</v>
      </c>
      <c r="AA22" s="374" t="n">
        <f aca="false">X$22-AI$73</f>
        <v>0</v>
      </c>
      <c r="AB22" s="525"/>
      <c r="AF22" s="525"/>
      <c r="AJ22" s="525"/>
      <c r="AN22" s="525"/>
      <c r="AR22" s="525"/>
    </row>
    <row r="23" customFormat="false" ht="16.5" hidden="false" customHeight="true" outlineLevel="0" collapsed="false">
      <c r="A23" s="514" t="s">
        <v>1007</v>
      </c>
      <c r="B23" s="515"/>
      <c r="C23" s="516" t="n">
        <f aca="false">SUM('06-Footings'!H$67:I$70)</f>
        <v>0</v>
      </c>
      <c r="D23" s="517" t="s">
        <v>849</v>
      </c>
      <c r="E23" s="539" t="n">
        <f aca="false">SUM('06-Footings'!D$40:E$40)</f>
        <v>0</v>
      </c>
      <c r="F23" s="540" t="n">
        <f aca="false">SUM('06-Footings'!B$42)</f>
        <v>0</v>
      </c>
      <c r="G23" s="520" t="n">
        <f aca="false">SUM('06-Footings'!W$51:W$82)+SUM('06-Footings'!N$61:O$63)+'06-Footings'!W$86+'06-Footings'!W$87+'06-Footings'!W$88</f>
        <v>0</v>
      </c>
      <c r="H23" s="520" t="n">
        <f aca="false">SUM('06-Footings'!N$59:O$60)</f>
        <v>0</v>
      </c>
      <c r="I23" s="520"/>
      <c r="J23" s="520" t="n">
        <f aca="false">SUM('06-Footings'!N$58:O$58)</f>
        <v>0</v>
      </c>
      <c r="K23" s="520" t="n">
        <f aca="false">SUM('06-Footings'!N$56:O$57)</f>
        <v>0</v>
      </c>
      <c r="L23" s="520" t="n">
        <f aca="false">SUM('06-Footings'!W$83:W$87)</f>
        <v>0</v>
      </c>
      <c r="M23" s="520" t="n">
        <f aca="false">SUM('06-Footings'!N$51:O$55)</f>
        <v>0</v>
      </c>
      <c r="N23" s="520" t="n">
        <f aca="false">SUM('06-Footings'!W$89:W$91)</f>
        <v>0</v>
      </c>
      <c r="O23" s="520" t="n">
        <f aca="false">SUM('06-Footings'!N$90:O$95)+'06-Footings'!N$64-'06-Footings'!N$91-'06-Footings'!N$95+'06-Footings'!N$91</f>
        <v>0</v>
      </c>
      <c r="P23" s="520" t="n">
        <f aca="false">SUM('06-Footings'!N$66:O$75)</f>
        <v>0</v>
      </c>
      <c r="Q23" s="520" t="n">
        <f aca="false">SUM('06-Footings'!K$66:K$72)</f>
        <v>0</v>
      </c>
      <c r="R23" s="520" t="n">
        <f aca="false">SUM('06-Footings'!N$78:O$80)</f>
        <v>0</v>
      </c>
      <c r="S23" s="520" t="n">
        <f aca="false">'06-Footings'!N$81</f>
        <v>0</v>
      </c>
      <c r="T23" s="520" t="n">
        <f aca="false">SUM('06-Footings'!N$83:O$88)</f>
        <v>0</v>
      </c>
      <c r="U23" s="520" t="n">
        <f aca="false">SUM('06-Footings'!N$95)</f>
        <v>0</v>
      </c>
      <c r="V23" s="520" t="n">
        <f aca="false">'06-Footings'!N$96</f>
        <v>0</v>
      </c>
      <c r="W23" s="521"/>
      <c r="X23" s="522" t="n">
        <f aca="false">SUM(G23:V23)</f>
        <v>0</v>
      </c>
      <c r="Y23" s="523" t="n">
        <f aca="false">IF(C23=0,0,1-(X23/E23))</f>
        <v>0</v>
      </c>
      <c r="Z23" s="524" t="n">
        <f aca="false">SUM('06-Footings'!K$51:L$55)</f>
        <v>0</v>
      </c>
      <c r="AA23" s="374" t="n">
        <f aca="false">X$23-AI$73</f>
        <v>-200477.156145624</v>
      </c>
      <c r="AB23" s="525"/>
      <c r="AF23" s="525"/>
      <c r="AJ23" s="525"/>
      <c r="AN23" s="525"/>
      <c r="AR23" s="525"/>
    </row>
    <row r="24" customFormat="false" ht="16.5" hidden="false" customHeight="true" outlineLevel="0" collapsed="false">
      <c r="A24" s="514" t="s">
        <v>1008</v>
      </c>
      <c r="B24" s="515"/>
      <c r="C24" s="516" t="n">
        <f aca="false">SUM('06-Garage Walls &amp; Footings'!H$67:I$70)</f>
        <v>0</v>
      </c>
      <c r="D24" s="517" t="s">
        <v>849</v>
      </c>
      <c r="E24" s="539" t="n">
        <f aca="false">SUM('06-Garage Walls &amp; Footings'!D$40:E$40)</f>
        <v>0</v>
      </c>
      <c r="F24" s="540" t="n">
        <f aca="false">SUM('06-Garage Walls &amp; Footings'!B$42)</f>
        <v>0</v>
      </c>
      <c r="G24" s="520" t="n">
        <f aca="false">SUM('06-Garage Walls &amp; Footings'!W$51:W$82)+SUM('06-Garage Walls &amp; Footings'!N$61:O$63)+'06-Garage Walls &amp; Footings'!W$86+'06-Garage Walls &amp; Footings'!W$87+'06-Garage Walls &amp; Footings'!W$88</f>
        <v>0</v>
      </c>
      <c r="H24" s="520" t="n">
        <f aca="false">SUM('06-Garage Walls &amp; Footings'!N$59:O$60)</f>
        <v>0</v>
      </c>
      <c r="I24" s="520"/>
      <c r="J24" s="520" t="n">
        <f aca="false">SUM('06-Garage Walls &amp; Footings'!N$58:O$58)</f>
        <v>0</v>
      </c>
      <c r="K24" s="520" t="n">
        <f aca="false">SUM('06-Garage Walls &amp; Footings'!N$56:O$57)</f>
        <v>0</v>
      </c>
      <c r="L24" s="520" t="n">
        <f aca="false">SUM('06-Garage Walls &amp; Footings'!W$83:W$87)</f>
        <v>0</v>
      </c>
      <c r="M24" s="520" t="n">
        <f aca="false">SUM('06-Garage Walls &amp; Footings'!N$51:O$55)</f>
        <v>0</v>
      </c>
      <c r="N24" s="520" t="n">
        <f aca="false">SUM('06-Garage Walls &amp; Footings'!W$89:W$91)</f>
        <v>0</v>
      </c>
      <c r="O24" s="520" t="n">
        <f aca="false">SUM('06-Garage Walls &amp; Footings'!N$90:O$95)+'06-Garage Walls &amp; Footings'!N$64-'06-Garage Walls &amp; Footings'!N$91-'06-Garage Walls &amp; Footings'!N$95+'06-Garage Walls &amp; Footings'!N$91</f>
        <v>0</v>
      </c>
      <c r="P24" s="520" t="n">
        <f aca="false">SUM('06-Garage Walls &amp; Footings'!N$66:O$75)</f>
        <v>0</v>
      </c>
      <c r="Q24" s="520" t="n">
        <f aca="false">SUM('06-Garage Walls &amp; Footings'!K$66:K$72)</f>
        <v>0</v>
      </c>
      <c r="R24" s="520" t="n">
        <f aca="false">SUM('06-Garage Walls &amp; Footings'!N$78:O$80)</f>
        <v>0</v>
      </c>
      <c r="S24" s="520" t="n">
        <f aca="false">'06-Garage Walls &amp; Footings'!N$81</f>
        <v>0</v>
      </c>
      <c r="T24" s="520" t="n">
        <f aca="false">SUM('06-Garage Walls &amp; Footings'!N$83:O$88)</f>
        <v>0</v>
      </c>
      <c r="U24" s="520" t="n">
        <f aca="false">SUM('06-Garage Walls &amp; Footings'!N$95)</f>
        <v>0</v>
      </c>
      <c r="V24" s="520" t="n">
        <f aca="false">'06-Garage Walls &amp; Footings'!N$96</f>
        <v>0</v>
      </c>
      <c r="W24" s="521"/>
      <c r="X24" s="522" t="n">
        <f aca="false">SUM(G24:V24)</f>
        <v>0</v>
      </c>
      <c r="Y24" s="523" t="n">
        <f aca="false">IF(C24=0,0,1-(X24/E24))</f>
        <v>0</v>
      </c>
      <c r="Z24" s="524" t="n">
        <f aca="false">SUM('06-Garage Walls &amp; Footings'!K$51:L$55)</f>
        <v>0</v>
      </c>
      <c r="AA24" s="374" t="n">
        <f aca="false">X$24-AQ$73</f>
        <v>0</v>
      </c>
      <c r="AB24" s="525"/>
      <c r="AF24" s="525"/>
      <c r="AJ24" s="525"/>
      <c r="AN24" s="525"/>
      <c r="AR24" s="525"/>
    </row>
    <row r="25" customFormat="false" ht="16.5" hidden="false" customHeight="true" outlineLevel="0" collapsed="false">
      <c r="A25" s="514" t="s">
        <v>1009</v>
      </c>
      <c r="B25" s="515"/>
      <c r="C25" s="516" t="n">
        <f aca="false">SUM('06-Garage Walls &amp; Footings'!H$67:I$70)</f>
        <v>0</v>
      </c>
      <c r="D25" s="517" t="s">
        <v>849</v>
      </c>
      <c r="E25" s="539" t="n">
        <f aca="false">SUM('06-Garage Footings'!D$40:E$40)</f>
        <v>0</v>
      </c>
      <c r="F25" s="540" t="n">
        <f aca="false">SUM('06-Garage Footings'!B$42)</f>
        <v>0</v>
      </c>
      <c r="G25" s="520" t="n">
        <f aca="false">SUM('06-Garage Footings'!W$51:W$82)+SUM('06-Garage Footings'!N$61:O$63)+'06-Garage Footings'!W$86+'06-Garage Footings'!W$87+'06-Garage Footings'!W$88</f>
        <v>0</v>
      </c>
      <c r="H25" s="520" t="n">
        <f aca="false">SUM('06-Garage Footings'!N$59:O$60)</f>
        <v>0</v>
      </c>
      <c r="I25" s="520"/>
      <c r="J25" s="520" t="n">
        <f aca="false">SUM('06-Garage Footings'!N$58:O$58)</f>
        <v>0</v>
      </c>
      <c r="K25" s="520" t="n">
        <f aca="false">SUM('06-Garage Footings'!N$56:O$57)</f>
        <v>0</v>
      </c>
      <c r="L25" s="520" t="n">
        <f aca="false">SUM('06-Garage Footings'!W$83:W$87)</f>
        <v>0</v>
      </c>
      <c r="M25" s="520" t="n">
        <f aca="false">SUM('06-Garage Footings'!N$51:O$55)</f>
        <v>0</v>
      </c>
      <c r="N25" s="520" t="n">
        <f aca="false">SUM('06-Garage Footings'!W$89:W$91)</f>
        <v>0</v>
      </c>
      <c r="O25" s="520" t="n">
        <f aca="false">SUM('06-Garage Footings'!N$90:O$95)+'06-Garage Footings'!N$64-'06-Garage Footings'!N$91-'06-Garage Footings'!N$95+'06-Garage Footings'!N$91</f>
        <v>0</v>
      </c>
      <c r="P25" s="520" t="n">
        <f aca="false">SUM('06-Garage Footings'!N$66:O$75)</f>
        <v>0</v>
      </c>
      <c r="Q25" s="520" t="n">
        <f aca="false">SUM('06-Garage Footings'!K$66:K$72)</f>
        <v>0</v>
      </c>
      <c r="R25" s="520" t="n">
        <f aca="false">SUM('06-Garage Footings'!N$78:O$80)</f>
        <v>0</v>
      </c>
      <c r="S25" s="520" t="n">
        <f aca="false">'06-Garage Footings'!N$81</f>
        <v>0</v>
      </c>
      <c r="T25" s="520" t="n">
        <f aca="false">SUM('06-Garage Footings'!N$83:O$88)</f>
        <v>0</v>
      </c>
      <c r="U25" s="520" t="n">
        <f aca="false">SUM('06-Garage Footings'!N$95)</f>
        <v>0</v>
      </c>
      <c r="V25" s="520" t="n">
        <f aca="false">'06-Garage Footings'!N$96</f>
        <v>0</v>
      </c>
      <c r="W25" s="521"/>
      <c r="X25" s="522" t="n">
        <f aca="false">SUM(G25:V25)</f>
        <v>0</v>
      </c>
      <c r="Y25" s="523" t="n">
        <f aca="false">IF(C25=0,0,1-(X25/E25))</f>
        <v>0</v>
      </c>
      <c r="Z25" s="524" t="n">
        <f aca="false">SUM('06-Garage Footings'!K$51:L$55)</f>
        <v>0</v>
      </c>
      <c r="AA25" s="374" t="n">
        <f aca="false">X$25-AU$73</f>
        <v>0</v>
      </c>
      <c r="AB25" s="525"/>
      <c r="AF25" s="525"/>
      <c r="AJ25" s="525"/>
      <c r="AN25" s="525"/>
      <c r="AR25" s="525"/>
    </row>
    <row r="26" customFormat="false" ht="16.5" hidden="false" customHeight="true" outlineLevel="0" collapsed="false">
      <c r="A26" s="514" t="s">
        <v>1010</v>
      </c>
      <c r="B26" s="515"/>
      <c r="C26" s="516" t="n">
        <f aca="false">'07-COLUMNS'!D54</f>
        <v>0</v>
      </c>
      <c r="D26" s="517" t="s">
        <v>1000</v>
      </c>
      <c r="E26" s="518" t="n">
        <f aca="false">'07-COLUMNS'!D58</f>
        <v>0</v>
      </c>
      <c r="F26" s="519" t="n">
        <f aca="false">IF(C26=0,0,E26/C26)</f>
        <v>0</v>
      </c>
      <c r="G26" s="520" t="n">
        <f aca="false">SUM('07-COLUMNS'!W67:W86)+SUM('07-COLUMNS'!W91:W96)+'07-COLUMNS'!W100+'07-COLUMNS'!W101+'07-COLUMNS'!W102</f>
        <v>0</v>
      </c>
      <c r="H26" s="520" t="n">
        <f aca="false">SUM('07-COLUMNS'!N75:O76)</f>
        <v>0</v>
      </c>
      <c r="I26" s="520" t="n">
        <f aca="false">SUM('08-CIP EL. DECK'!W91)</f>
        <v>0</v>
      </c>
      <c r="J26" s="520" t="n">
        <f aca="false">SUM('07-COLUMNS'!N74:O74)</f>
        <v>0</v>
      </c>
      <c r="K26" s="520" t="n">
        <f aca="false">SUM('07-COLUMNS'!N72:O73)</f>
        <v>0</v>
      </c>
      <c r="L26" s="520" t="n">
        <f aca="false">SUM('07-COLUMNS'!W97:W102)+'07-COLUMNS'!W108</f>
        <v>0</v>
      </c>
      <c r="M26" s="520" t="n">
        <f aca="false">SUM('07-COLUMNS'!N67:O71)</f>
        <v>0</v>
      </c>
      <c r="N26" s="520" t="n">
        <f aca="false">SUM('07-COLUMNS'!W103:W105)</f>
        <v>0</v>
      </c>
      <c r="O26" s="520" t="n">
        <f aca="false">SUM('07-COLUMNS'!N104:O109)-'07-COLUMNS'!N109+'07-COLUMNS'!N80</f>
        <v>0</v>
      </c>
      <c r="P26" s="520" t="n">
        <f aca="false">SUM('07-COLUMNS'!N82:O89)</f>
        <v>0</v>
      </c>
      <c r="Q26" s="520" t="n">
        <f aca="false">SUM('07-COLUMNS'!K82:L88)</f>
        <v>0</v>
      </c>
      <c r="R26" s="520" t="n">
        <f aca="false">SUM('07-COLUMNS'!N92:O94)</f>
        <v>0</v>
      </c>
      <c r="S26" s="520" t="n">
        <f aca="false">'07-COLUMNS'!N95</f>
        <v>0</v>
      </c>
      <c r="T26" s="520" t="n">
        <f aca="false">SUM('07-COLUMNS'!N97:O102)</f>
        <v>0</v>
      </c>
      <c r="U26" s="520" t="n">
        <f aca="false">SUM('07-COLUMNS'!N109:O109)</f>
        <v>0</v>
      </c>
      <c r="V26" s="520" t="n">
        <f aca="false">'07-COLUMNS'!N110</f>
        <v>0</v>
      </c>
      <c r="W26" s="521" t="n">
        <f aca="false">IF(C26=0,0,SUM(G26:T26)/C26)</f>
        <v>0</v>
      </c>
      <c r="X26" s="522" t="n">
        <f aca="false">SUM(G26:V26)</f>
        <v>0</v>
      </c>
      <c r="Y26" s="523" t="n">
        <f aca="false">IF(C26=0,0,1-(X26/E26))</f>
        <v>0</v>
      </c>
      <c r="Z26" s="524" t="n">
        <f aca="false">SUM('07-COLUMNS'!U10:U53)</f>
        <v>0</v>
      </c>
      <c r="AA26" s="374" t="n">
        <f aca="false">X26-AY73</f>
        <v>0</v>
      </c>
    </row>
    <row r="27" customFormat="false" ht="16.5" hidden="false" customHeight="true" outlineLevel="0" collapsed="false">
      <c r="A27" s="514"/>
      <c r="B27" s="541"/>
      <c r="C27" s="542"/>
      <c r="D27" s="543"/>
      <c r="E27" s="539"/>
      <c r="F27" s="544"/>
      <c r="G27" s="520"/>
      <c r="H27" s="520"/>
      <c r="I27" s="520"/>
      <c r="J27" s="520"/>
      <c r="K27" s="520"/>
      <c r="L27" s="520"/>
      <c r="M27" s="520"/>
      <c r="N27" s="520"/>
      <c r="O27" s="520"/>
      <c r="P27" s="520"/>
      <c r="Q27" s="520"/>
      <c r="R27" s="520"/>
      <c r="S27" s="520"/>
      <c r="T27" s="520"/>
      <c r="U27" s="520"/>
      <c r="V27" s="520"/>
      <c r="W27" s="521"/>
      <c r="X27" s="545"/>
      <c r="Y27" s="523"/>
      <c r="Z27" s="524"/>
      <c r="AA27" s="10"/>
    </row>
    <row r="28" customFormat="false" ht="16.5" hidden="false" customHeight="true" outlineLevel="0" collapsed="false">
      <c r="A28" s="514" t="s">
        <v>1011</v>
      </c>
      <c r="B28" s="515"/>
      <c r="C28" s="531" t="n">
        <f aca="false">'08-CIP EL. DECK'!C50:D50</f>
        <v>0</v>
      </c>
      <c r="D28" s="517" t="s">
        <v>868</v>
      </c>
      <c r="E28" s="518" t="n">
        <f aca="false">'08-CIP EL. DECK'!D65</f>
        <v>0</v>
      </c>
      <c r="F28" s="527" t="n">
        <f aca="false">IF(C28=0,0,E28/C28)</f>
        <v>0</v>
      </c>
      <c r="G28" s="546" t="n">
        <f aca="false">SUM('08-CIP EL. DECK'!W73:W106)+'08-CIP EL. DECK'!N82+'08-CIP EL. DECK'!N81+'08-CIP EL. DECK'!W111+'08-CIP EL. DECK'!W112+'08-CIP EL. DECK'!W113</f>
        <v>0</v>
      </c>
      <c r="H28" s="546"/>
      <c r="I28" s="546" t="n">
        <f aca="false">SUM('08-CIP EL. DECK'!W91)</f>
        <v>0</v>
      </c>
      <c r="J28" s="546" t="n">
        <f aca="false">SUM('08-CIP EL. DECK'!N80:O80)+'08-CIP EL. DECK'!N118</f>
        <v>0</v>
      </c>
      <c r="K28" s="546" t="n">
        <f aca="false">SUM('08-CIP EL. DECK'!N78:O79)</f>
        <v>0</v>
      </c>
      <c r="L28" s="546" t="n">
        <f aca="false">SUM('08-CIP EL. DECK'!W107:W113)+'08-CIP EL. DECK'!W118</f>
        <v>0</v>
      </c>
      <c r="M28" s="546" t="n">
        <f aca="false">SUM('08-CIP EL. DECK'!N73:O77)</f>
        <v>0</v>
      </c>
      <c r="N28" s="546" t="n">
        <f aca="false">SUM('08-CIP EL. DECK'!W113:W115)+'08-CIP EL. DECK'!N116:O116</f>
        <v>0</v>
      </c>
      <c r="O28" s="546" t="n">
        <f aca="false">SUM('08-CIP EL. DECK'!N112:O115)+'08-CIP EL. DECK'!N117:O117+'08-CIP EL. DECK'!N83+'08-CIP EL. DECK'!N84</f>
        <v>0</v>
      </c>
      <c r="P28" s="546" t="n">
        <f aca="false">SUM('08-CIP EL. DECK'!N87:O97)</f>
        <v>0</v>
      </c>
      <c r="Q28" s="546" t="n">
        <f aca="false">SUM('08-CIP EL. DECK'!K87:L96)</f>
        <v>0</v>
      </c>
      <c r="R28" s="546" t="n">
        <f aca="false">SUM('08-CIP EL. DECK'!N100:O102)</f>
        <v>0</v>
      </c>
      <c r="S28" s="546" t="n">
        <f aca="false">'08-CIP EL. DECK'!N103</f>
        <v>0</v>
      </c>
      <c r="T28" s="546" t="n">
        <f aca="false">SUM('08-CIP EL. DECK'!N105:O110)</f>
        <v>0</v>
      </c>
      <c r="U28" s="546" t="n">
        <f aca="false">SUM('08-CIP EL. DECK'!N117:O117)</f>
        <v>0</v>
      </c>
      <c r="V28" s="546" t="n">
        <f aca="false">'08-CIP EL. DECK'!N119</f>
        <v>0</v>
      </c>
      <c r="W28" s="547" t="n">
        <f aca="false">IF(C28=0,0,X28/C28)</f>
        <v>0</v>
      </c>
      <c r="X28" s="522" t="n">
        <f aca="false">SUM(G28:V28)</f>
        <v>0</v>
      </c>
      <c r="Y28" s="523" t="n">
        <f aca="false">IF(C28=0,0,1-(X28/E28))</f>
        <v>0</v>
      </c>
      <c r="Z28" s="524" t="n">
        <f aca="false">'08-CIP EL. DECK'!K73+'08-CIP EL. DECK'!K74+'08-CIP EL. DECK'!K77</f>
        <v>0</v>
      </c>
      <c r="AA28" s="374" t="n">
        <f aca="false">X28-BB73</f>
        <v>0</v>
      </c>
      <c r="AB28" s="525"/>
      <c r="AF28" s="525"/>
      <c r="AJ28" s="525"/>
      <c r="AN28" s="525"/>
      <c r="AR28" s="525"/>
    </row>
    <row r="29" customFormat="false" ht="16.5" hidden="false" customHeight="true" outlineLevel="0" collapsed="false">
      <c r="A29" s="514"/>
      <c r="B29" s="515"/>
      <c r="C29" s="516"/>
      <c r="D29" s="548"/>
      <c r="E29" s="549"/>
      <c r="F29" s="550"/>
      <c r="G29" s="551" t="n">
        <f aca="false">IF($C$28=0,0,G28/$C$28)</f>
        <v>0</v>
      </c>
      <c r="H29" s="551" t="n">
        <f aca="false">IF($C$28=0,0,H28/$C$28)</f>
        <v>0</v>
      </c>
      <c r="I29" s="551" t="n">
        <f aca="false">IF($C$28=0,0,I28/$C$28)</f>
        <v>0</v>
      </c>
      <c r="J29" s="551" t="n">
        <f aca="false">IF($C$28=0,0,J28/$C$28)</f>
        <v>0</v>
      </c>
      <c r="K29" s="551" t="n">
        <f aca="false">IF($C$28=0,0,K28/$C$28)</f>
        <v>0</v>
      </c>
      <c r="L29" s="551" t="n">
        <f aca="false">IF($C$28=0,0,L28/$C$28)</f>
        <v>0</v>
      </c>
      <c r="M29" s="551" t="n">
        <f aca="false">IF($C$28=0,0,M28/$C$28)</f>
        <v>0</v>
      </c>
      <c r="N29" s="551" t="n">
        <f aca="false">IF($C$28=0,0,N28/$C$28)</f>
        <v>0</v>
      </c>
      <c r="O29" s="551" t="n">
        <f aca="false">IF($C$28=0,0,O28/$C$28)</f>
        <v>0</v>
      </c>
      <c r="P29" s="551" t="n">
        <f aca="false">IF($C$28=0,0,P28/$C$28)</f>
        <v>0</v>
      </c>
      <c r="Q29" s="551" t="n">
        <f aca="false">IF($C$28=0,0,Q28/$C$28)</f>
        <v>0</v>
      </c>
      <c r="R29" s="551" t="n">
        <f aca="false">IF($C$28=0,0,R28/$C$28)</f>
        <v>0</v>
      </c>
      <c r="S29" s="551"/>
      <c r="T29" s="551" t="n">
        <f aca="false">IF($C$28=0,0,T28/$C$28)</f>
        <v>0</v>
      </c>
      <c r="U29" s="551" t="n">
        <f aca="false">IF($C$28=0,0,U28/$C$28)</f>
        <v>0</v>
      </c>
      <c r="V29" s="551"/>
      <c r="W29" s="551"/>
      <c r="X29" s="538"/>
      <c r="Y29" s="523"/>
      <c r="Z29" s="524"/>
      <c r="AA29" s="10"/>
      <c r="AB29" s="525"/>
      <c r="AF29" s="525"/>
      <c r="AJ29" s="525"/>
      <c r="AN29" s="525"/>
      <c r="AR29" s="525"/>
    </row>
    <row r="30" customFormat="false" ht="16.5" hidden="false" customHeight="true" outlineLevel="0" collapsed="false">
      <c r="A30" s="514" t="s">
        <v>1012</v>
      </c>
      <c r="B30" s="515"/>
      <c r="C30" s="552" t="n">
        <f aca="false">'09-SLAB ON DECK'!D42</f>
        <v>0</v>
      </c>
      <c r="D30" s="517" t="s">
        <v>868</v>
      </c>
      <c r="E30" s="518" t="n">
        <f aca="false">'09-SLAB ON DECK'!E45:F45</f>
        <v>0</v>
      </c>
      <c r="F30" s="553" t="n">
        <f aca="false">IF(C30=0,0,E30/C30)</f>
        <v>0</v>
      </c>
      <c r="G30" s="520" t="n">
        <f aca="false">SUM('09-SLAB ON DECK'!Z65:Z97)-'09-SLAB ON DECK'!Z87-'09-SLAB ON DECK'!Z89-'09-SLAB ON DECK'!Z90-'09-SLAB ON DECK'!Z91+'09-SLAB ON DECK'!O74+'09-SLAB ON DECK'!Z101+'09-SLAB ON DECK'!Z102+'09-SLAB ON DECK'!Z103</f>
        <v>0</v>
      </c>
      <c r="H30" s="520" t="n">
        <f aca="false">SUM('09-SLAB ON DECK'!O73:P73)</f>
        <v>0</v>
      </c>
      <c r="I30" s="520" t="n">
        <f aca="false">SUM('09-SLAB ON DECK'!Z87:Z91)</f>
        <v>0</v>
      </c>
      <c r="J30" s="520" t="n">
        <f aca="false">SUM('09-SLAB ON DECK'!O72:P72)</f>
        <v>0</v>
      </c>
      <c r="K30" s="520" t="n">
        <f aca="false">SUM('09-SLAB ON DECK'!O70:P71)</f>
        <v>0</v>
      </c>
      <c r="L30" s="520" t="n">
        <f aca="false">SUM('09-SLAB ON DECK'!Z98:Z103)</f>
        <v>0</v>
      </c>
      <c r="M30" s="520" t="n">
        <f aca="false">SUM('09-SLAB ON DECK'!O65:P69)</f>
        <v>0</v>
      </c>
      <c r="N30" s="520" t="n">
        <f aca="false">'09-SLAB ON DECK'!O104+'09-SLAB ON DECK'!Z104+'09-SLAB ON DECK'!Z105+'09-SLAB ON DECK'!Z106</f>
        <v>0</v>
      </c>
      <c r="O30" s="520" t="n">
        <f aca="false">SUM('09-SLAB ON DECK'!O102:P108)-'09-SLAB ON DECK'!O103-'09-SLAB ON DECK'!O107:P107</f>
        <v>0</v>
      </c>
      <c r="P30" s="520" t="n">
        <f aca="false">SUM('09-SLAB ON DECK'!O79:P88)</f>
        <v>0</v>
      </c>
      <c r="Q30" s="520" t="n">
        <f aca="false">SUM('09-SLAB ON DECK'!L79:M86)</f>
        <v>0</v>
      </c>
      <c r="R30" s="520" t="n">
        <f aca="false">SUM('09-SLAB ON DECK'!O91:P93)</f>
        <v>0</v>
      </c>
      <c r="S30" s="520" t="n">
        <f aca="false">'09-SLAB ON DECK'!O94</f>
        <v>0</v>
      </c>
      <c r="T30" s="520" t="n">
        <f aca="false">SUM('09-SLAB ON DECK'!O96:P101)</f>
        <v>0</v>
      </c>
      <c r="U30" s="520" t="n">
        <f aca="false">SUM('09-SLAB ON DECK'!O107)</f>
        <v>0</v>
      </c>
      <c r="V30" s="520" t="n">
        <f aca="false">'09-SLAB ON DECK'!O110</f>
        <v>0</v>
      </c>
      <c r="W30" s="520"/>
      <c r="X30" s="522" t="n">
        <f aca="false">IF(C30=0,0,SUM(G30:V30))</f>
        <v>0</v>
      </c>
      <c r="Y30" s="523" t="n">
        <f aca="false">IF(C30=0,0,1-(X30/E30))</f>
        <v>0</v>
      </c>
      <c r="Z30" s="524" t="n">
        <f aca="false">'09-SLAB ON DECK'!L65+'09-SLAB ON DECK'!L66+'09-SLAB ON DECK'!L69</f>
        <v>0</v>
      </c>
      <c r="AA30" s="554" t="n">
        <f aca="false">X30-BF73</f>
        <v>0</v>
      </c>
      <c r="AB30" s="525"/>
      <c r="AF30" s="525"/>
      <c r="AJ30" s="525"/>
      <c r="AN30" s="525"/>
      <c r="AR30" s="525"/>
    </row>
    <row r="31" customFormat="false" ht="16.5" hidden="false" customHeight="true" outlineLevel="0" collapsed="false">
      <c r="A31" s="507"/>
      <c r="B31" s="528"/>
      <c r="C31" s="516"/>
      <c r="D31" s="10"/>
      <c r="E31" s="518"/>
      <c r="F31" s="550"/>
      <c r="G31" s="537" t="n">
        <f aca="false">IF($C$30=0,0,G30/$C$30)</f>
        <v>0</v>
      </c>
      <c r="H31" s="537" t="n">
        <f aca="false">IF($C$30=0,0,H30/$C$30)</f>
        <v>0</v>
      </c>
      <c r="I31" s="537" t="n">
        <f aca="false">IF($C$30=0,0,I30/$C$30)</f>
        <v>0</v>
      </c>
      <c r="J31" s="537" t="n">
        <f aca="false">IF($C$30=0,0,J12/$C$30)</f>
        <v>0</v>
      </c>
      <c r="K31" s="537" t="n">
        <f aca="false">IF($C$30=0,0,K12/$C$30)</f>
        <v>0</v>
      </c>
      <c r="L31" s="537" t="n">
        <f aca="false">IF($C$30=0,0,L12/$C$30)</f>
        <v>0</v>
      </c>
      <c r="M31" s="537" t="n">
        <f aca="false">IF($C$30=0,0,M12/$C$30)</f>
        <v>0</v>
      </c>
      <c r="N31" s="537" t="n">
        <f aca="false">IF($C$30=0,0,N12/$C$30)</f>
        <v>0</v>
      </c>
      <c r="O31" s="537" t="n">
        <f aca="false">IF($C$30=0,0,O12/$C$30)</f>
        <v>0</v>
      </c>
      <c r="P31" s="537" t="n">
        <f aca="false">IF($C$30=0,0,P12/$C$30)</f>
        <v>0</v>
      </c>
      <c r="Q31" s="537" t="n">
        <f aca="false">IF($C$30=0,0,Q12/$C$30)</f>
        <v>0</v>
      </c>
      <c r="R31" s="537" t="n">
        <f aca="false">IF($C$30=0,0,R12/$C$30)</f>
        <v>0</v>
      </c>
      <c r="S31" s="537"/>
      <c r="T31" s="537" t="n">
        <f aca="false">IF($C$30=0,0,T12/$C$30)</f>
        <v>0</v>
      </c>
      <c r="U31" s="537"/>
      <c r="V31" s="537"/>
      <c r="W31" s="537" t="n">
        <f aca="false">SUM(G31:I31)</f>
        <v>0</v>
      </c>
      <c r="X31" s="538"/>
      <c r="Y31" s="523"/>
      <c r="Z31" s="513"/>
      <c r="AA31" s="10"/>
      <c r="AB31" s="525"/>
      <c r="AF31" s="525"/>
      <c r="AJ31" s="525"/>
      <c r="AN31" s="525"/>
      <c r="AR31" s="525"/>
    </row>
    <row r="32" customFormat="false" ht="16.5" hidden="false" customHeight="true" outlineLevel="0" collapsed="false">
      <c r="A32" s="514" t="s">
        <v>1013</v>
      </c>
      <c r="B32" s="515"/>
      <c r="C32" s="516" t="n">
        <f aca="false">'12-PANELS'!H80</f>
        <v>0</v>
      </c>
      <c r="D32" s="517" t="s">
        <v>868</v>
      </c>
      <c r="E32" s="518" t="n">
        <f aca="false">'12-PANELS'!D56</f>
        <v>0</v>
      </c>
      <c r="F32" s="527" t="n">
        <f aca="false">IF(C32=0,0,E32/C32)</f>
        <v>0</v>
      </c>
      <c r="G32" s="555" t="n">
        <f aca="false">SUM('12-PANELS'!W66:W83)+SUM('12-PANELS'!W87:W91)+'12-PANELS'!N74+'12-PANELS'!N75+'12-PANELS'!N76</f>
        <v>0</v>
      </c>
      <c r="H32" s="555" t="n">
        <f aca="false">SUM('12-PANELS'!N70:O72)</f>
        <v>0</v>
      </c>
      <c r="I32" s="555" t="n">
        <f aca="false">SUM('12-PANELS'!W84:W86)</f>
        <v>0</v>
      </c>
      <c r="J32" s="555" t="n">
        <f aca="false">SUM('12-PANELS'!N73:O73)</f>
        <v>0</v>
      </c>
      <c r="K32" s="555" t="n">
        <f aca="false">SUM('12-PANELS'!N69:O69)</f>
        <v>0</v>
      </c>
      <c r="L32" s="555" t="n">
        <f aca="false">SUM('12-PANELS'!W92:W98)+'12-PANELS'!W104</f>
        <v>0</v>
      </c>
      <c r="M32" s="555" t="n">
        <f aca="false">SUM('12-PANELS'!N66:O68)</f>
        <v>0</v>
      </c>
      <c r="N32" s="555" t="n">
        <f aca="false">SUM('12-PANELS'!W99:W101)+'12-PANELS'!N101</f>
        <v>0</v>
      </c>
      <c r="O32" s="555" t="n">
        <f aca="false">SUM('12-PANELS'!N99:O104)-'12-PANELS'!N104-'12-PANELS'!N101</f>
        <v>0</v>
      </c>
      <c r="P32" s="555" t="n">
        <f aca="false">SUM('12-PANELS'!K79:L85)</f>
        <v>0</v>
      </c>
      <c r="Q32" s="555" t="n">
        <f aca="false">SUM('12-PANELS'!N79:O85)</f>
        <v>0</v>
      </c>
      <c r="R32" s="555" t="n">
        <f aca="false">SUM('12-PANELS'!N88:O90)</f>
        <v>0</v>
      </c>
      <c r="S32" s="555"/>
      <c r="T32" s="555" t="n">
        <f aca="false">SUM('12-PANELS'!N92:O97)</f>
        <v>0</v>
      </c>
      <c r="U32" s="555" t="n">
        <f aca="false">SUM('12-PANELS'!N104:O104)</f>
        <v>0</v>
      </c>
      <c r="V32" s="555"/>
      <c r="W32" s="556" t="str">
        <f aca="false">IF(X32=0,"",X32/C32)</f>
        <v/>
      </c>
      <c r="X32" s="557" t="n">
        <f aca="false">SUM(G32:U32)</f>
        <v>0</v>
      </c>
      <c r="Y32" s="523" t="n">
        <f aca="false">IF(C32=0,0,1-(X32/E32))</f>
        <v>0</v>
      </c>
      <c r="Z32" s="524" t="n">
        <f aca="false">'12-PANELS'!K66+'12-PANELS'!K67+'12-PANELS'!K68</f>
        <v>0</v>
      </c>
      <c r="AA32" s="374" t="n">
        <f aca="false">X32-Summary!BS73</f>
        <v>0</v>
      </c>
    </row>
    <row r="33" customFormat="false" ht="16.5" hidden="false" customHeight="true" outlineLevel="0" collapsed="false">
      <c r="A33" s="558"/>
      <c r="B33" s="559"/>
      <c r="C33" s="516"/>
      <c r="D33" s="10"/>
      <c r="E33" s="518"/>
      <c r="F33" s="560"/>
      <c r="G33" s="141" t="str">
        <f aca="false">IF($C32=0,"",G32/$C32)</f>
        <v/>
      </c>
      <c r="H33" s="141" t="str">
        <f aca="false">IF($C32=0,"",H32/$C32)</f>
        <v/>
      </c>
      <c r="I33" s="141" t="str">
        <f aca="false">IF($C32=0,"",I32/$C32)</f>
        <v/>
      </c>
      <c r="J33" s="141" t="str">
        <f aca="false">IF($C32=0,"",J32/$C32)</f>
        <v/>
      </c>
      <c r="K33" s="141" t="str">
        <f aca="false">IF($C32=0,"",K32/$C32)</f>
        <v/>
      </c>
      <c r="L33" s="141" t="str">
        <f aca="false">IF($C32=0,"",L32/$C32)</f>
        <v/>
      </c>
      <c r="M33" s="141" t="str">
        <f aca="false">IF($C32=0,"",M32/$C32)</f>
        <v/>
      </c>
      <c r="N33" s="141" t="str">
        <f aca="false">IF($C32=0,"",N32/$C32)</f>
        <v/>
      </c>
      <c r="O33" s="141" t="str">
        <f aca="false">IF($C32=0,"",O32/$C32)</f>
        <v/>
      </c>
      <c r="P33" s="141" t="str">
        <f aca="false">IF($C32=0,"",P32/$C32)</f>
        <v/>
      </c>
      <c r="Q33" s="141" t="str">
        <f aca="false">IF($C32=0,"",Q32/$C32)</f>
        <v/>
      </c>
      <c r="R33" s="141" t="str">
        <f aca="false">IF($C32=0,"",R32/$C32)</f>
        <v/>
      </c>
      <c r="S33" s="141"/>
      <c r="T33" s="141" t="str">
        <f aca="false">IF($C32=0,"",T32/$C32)</f>
        <v/>
      </c>
      <c r="U33" s="141" t="str">
        <f aca="false">IF($C32=0,"",U32/$C32)</f>
        <v/>
      </c>
      <c r="V33" s="141"/>
      <c r="W33" s="141" t="str">
        <f aca="false">IF($C32=0,"",W32/$C32)</f>
        <v/>
      </c>
      <c r="X33" s="561"/>
      <c r="Y33" s="523"/>
      <c r="Z33" s="513"/>
      <c r="AA33" s="10"/>
    </row>
    <row r="34" customFormat="false" ht="16.5" hidden="false" customHeight="true" outlineLevel="0" collapsed="false">
      <c r="A34" s="507"/>
      <c r="B34" s="528"/>
      <c r="C34" s="516"/>
      <c r="D34" s="562"/>
      <c r="E34" s="518"/>
      <c r="F34" s="527"/>
      <c r="G34" s="563"/>
      <c r="H34" s="564"/>
      <c r="I34" s="564"/>
      <c r="J34" s="564"/>
      <c r="K34" s="564"/>
      <c r="L34" s="564"/>
      <c r="M34" s="564"/>
      <c r="N34" s="565"/>
      <c r="O34" s="564"/>
      <c r="P34" s="564"/>
      <c r="Q34" s="564"/>
      <c r="R34" s="564"/>
      <c r="S34" s="564"/>
      <c r="T34" s="564"/>
      <c r="U34" s="564"/>
      <c r="V34" s="564"/>
      <c r="W34" s="564"/>
      <c r="X34" s="557"/>
      <c r="Y34" s="523"/>
      <c r="Z34" s="513"/>
      <c r="AA34" s="10"/>
      <c r="AB34" s="525"/>
      <c r="AF34" s="525"/>
      <c r="AJ34" s="525"/>
      <c r="AN34" s="525"/>
      <c r="AR34" s="525"/>
    </row>
    <row r="35" customFormat="false" ht="16.5" hidden="false" customHeight="true" outlineLevel="0" collapsed="false">
      <c r="A35" s="514"/>
      <c r="B35" s="515"/>
      <c r="C35" s="516"/>
      <c r="D35" s="566"/>
      <c r="E35" s="567"/>
      <c r="F35" s="568"/>
      <c r="G35" s="555"/>
      <c r="H35" s="555"/>
      <c r="I35" s="555"/>
      <c r="J35" s="555"/>
      <c r="K35" s="555"/>
      <c r="L35" s="555"/>
      <c r="M35" s="555"/>
      <c r="N35" s="555"/>
      <c r="O35" s="555"/>
      <c r="P35" s="555"/>
      <c r="Q35" s="555"/>
      <c r="R35" s="555"/>
      <c r="S35" s="555"/>
      <c r="T35" s="555"/>
      <c r="U35" s="555"/>
      <c r="V35" s="555"/>
      <c r="W35" s="569"/>
      <c r="X35" s="570"/>
      <c r="Y35" s="523"/>
      <c r="Z35" s="524"/>
      <c r="AA35" s="10"/>
      <c r="AB35" s="525"/>
      <c r="AF35" s="525"/>
      <c r="AJ35" s="525"/>
      <c r="AN35" s="525"/>
      <c r="AR35" s="525"/>
    </row>
    <row r="36" customFormat="false" ht="16.5" hidden="false" customHeight="true" outlineLevel="0" collapsed="false">
      <c r="A36" s="514"/>
      <c r="B36" s="515"/>
      <c r="C36" s="516"/>
      <c r="D36" s="566"/>
      <c r="E36" s="571"/>
      <c r="F36" s="567"/>
      <c r="G36" s="555"/>
      <c r="H36" s="555"/>
      <c r="I36" s="555"/>
      <c r="J36" s="555"/>
      <c r="K36" s="555"/>
      <c r="L36" s="555"/>
      <c r="M36" s="555"/>
      <c r="N36" s="555"/>
      <c r="O36" s="555"/>
      <c r="P36" s="555"/>
      <c r="Q36" s="555"/>
      <c r="R36" s="555"/>
      <c r="S36" s="555"/>
      <c r="T36" s="555"/>
      <c r="U36" s="555"/>
      <c r="V36" s="555"/>
      <c r="W36" s="569"/>
      <c r="X36" s="557"/>
      <c r="Y36" s="523"/>
      <c r="Z36" s="513"/>
      <c r="AA36" s="10"/>
    </row>
    <row r="37" customFormat="false" ht="18.75" hidden="false" customHeight="true" outlineLevel="0" collapsed="false">
      <c r="A37" s="507"/>
      <c r="B37" s="528"/>
      <c r="C37" s="516"/>
      <c r="E37" s="10"/>
      <c r="F37" s="572"/>
      <c r="G37" s="555"/>
      <c r="H37" s="555"/>
      <c r="I37" s="555"/>
      <c r="J37" s="555"/>
      <c r="K37" s="555"/>
      <c r="L37" s="555"/>
      <c r="M37" s="555"/>
      <c r="N37" s="555"/>
      <c r="O37" s="555"/>
      <c r="P37" s="555"/>
      <c r="Q37" s="555"/>
      <c r="R37" s="555"/>
      <c r="S37" s="555"/>
      <c r="T37" s="555"/>
      <c r="U37" s="555"/>
      <c r="V37" s="555"/>
      <c r="W37" s="569"/>
      <c r="X37" s="557"/>
      <c r="Y37" s="523"/>
      <c r="Z37" s="573"/>
      <c r="AA37" s="10"/>
    </row>
    <row r="38" customFormat="false" ht="16.5" hidden="false" customHeight="true" outlineLevel="0" collapsed="false">
      <c r="A38" s="574" t="s">
        <v>1014</v>
      </c>
      <c r="B38" s="575"/>
      <c r="C38" s="516"/>
      <c r="D38" s="10"/>
      <c r="E38" s="572"/>
      <c r="F38" s="576"/>
      <c r="G38" s="555"/>
      <c r="H38" s="555"/>
      <c r="I38" s="555"/>
      <c r="J38" s="555"/>
      <c r="K38" s="555"/>
      <c r="L38" s="555"/>
      <c r="M38" s="555"/>
      <c r="N38" s="555"/>
      <c r="O38" s="555"/>
      <c r="P38" s="555"/>
      <c r="Q38" s="555"/>
      <c r="R38" s="555"/>
      <c r="S38" s="555"/>
      <c r="T38" s="555"/>
      <c r="U38" s="555"/>
      <c r="V38" s="555"/>
      <c r="W38" s="569"/>
      <c r="X38" s="557"/>
      <c r="Y38" s="523"/>
      <c r="Z38" s="513"/>
      <c r="AA38" s="10"/>
    </row>
    <row r="39" customFormat="false" ht="16.5" hidden="false" customHeight="true" outlineLevel="0" collapsed="false">
      <c r="A39" s="514" t="s">
        <v>1015</v>
      </c>
      <c r="B39" s="515"/>
      <c r="C39" s="516" t="n">
        <f aca="false">'10-PAVING'!C35</f>
        <v>0</v>
      </c>
      <c r="D39" s="517" t="s">
        <v>868</v>
      </c>
      <c r="E39" s="518" t="n">
        <f aca="false">'10-PAVING'!D39</f>
        <v>0</v>
      </c>
      <c r="F39" s="532" t="n">
        <f aca="false">IF(E39=0,0,E39/C39)</f>
        <v>0</v>
      </c>
      <c r="G39" s="520" t="n">
        <f aca="false">SUM('10-PAVING'!V47:V77)+'10-PAVING'!V82+'10-PAVING'!V83+'10-PAVING'!V84</f>
        <v>0</v>
      </c>
      <c r="H39" s="520" t="n">
        <f aca="false">SUM('10-PAVING'!N57:O58)</f>
        <v>0</v>
      </c>
      <c r="I39" s="520"/>
      <c r="J39" s="520" t="n">
        <f aca="false">SUM('10-PAVING'!N56:O56)</f>
        <v>0</v>
      </c>
      <c r="K39" s="520" t="n">
        <f aca="false">SUM('10-PAVING'!N54:O55)</f>
        <v>0</v>
      </c>
      <c r="L39" s="520" t="n">
        <f aca="false">SUM('10-PAVING'!V78:V84)+'10-PAVING'!V90</f>
        <v>0</v>
      </c>
      <c r="M39" s="520" t="n">
        <f aca="false">SUM('10-PAVING'!N47:O53)</f>
        <v>0</v>
      </c>
      <c r="N39" s="520" t="n">
        <f aca="false">SUM('10-PAVING'!N82:O84)+'10-PAVING'!V86+'10-PAVING'!V85+'10-PAVING'!V87</f>
        <v>0</v>
      </c>
      <c r="O39" s="520" t="n">
        <f aca="false">SUM('10-PAVING'!N85:O90)-'10-PAVING'!N89</f>
        <v>0</v>
      </c>
      <c r="P39" s="520" t="n">
        <f aca="false">SUM('10-PAVING'!N61:O67)</f>
        <v>0</v>
      </c>
      <c r="Q39" s="520" t="n">
        <f aca="false">SUM('10-PAVING'!K61:L66)</f>
        <v>0</v>
      </c>
      <c r="R39" s="520" t="n">
        <f aca="false">SUM('10-PAVING'!N70:O72)</f>
        <v>0</v>
      </c>
      <c r="S39" s="520" t="n">
        <f aca="false">'10-PAVING'!N73</f>
        <v>0</v>
      </c>
      <c r="T39" s="520" t="n">
        <f aca="false">SUM('10-PAVING'!N75:O80)</f>
        <v>0</v>
      </c>
      <c r="U39" s="520" t="n">
        <f aca="false">SUM('10-PAVING'!N89:O89)</f>
        <v>0</v>
      </c>
      <c r="V39" s="520" t="n">
        <f aca="false">'10-PAVING'!N91</f>
        <v>0</v>
      </c>
      <c r="W39" s="521" t="str">
        <f aca="false">IF(C39=0,"",X39/C39)</f>
        <v/>
      </c>
      <c r="X39" s="522" t="n">
        <f aca="false">IF(C39=0,0,SUM(G39:V39))</f>
        <v>0</v>
      </c>
      <c r="Y39" s="523" t="n">
        <f aca="false">IF(C39=0,0,1-(X39/E39))</f>
        <v>0</v>
      </c>
      <c r="Z39" s="524" t="n">
        <f aca="false">SUM('10-PAVING'!K47:L53)</f>
        <v>0</v>
      </c>
      <c r="AA39" s="374" t="n">
        <f aca="false">X39-BK73</f>
        <v>0</v>
      </c>
    </row>
    <row r="40" customFormat="false" ht="16.5" hidden="false" customHeight="true" outlineLevel="0" collapsed="false">
      <c r="A40" s="507"/>
      <c r="B40" s="528"/>
      <c r="C40" s="516"/>
      <c r="D40" s="577"/>
      <c r="E40" s="518"/>
      <c r="F40" s="578"/>
      <c r="G40" s="537" t="n">
        <f aca="false">IF($C39=0,0,G39/$C39)</f>
        <v>0</v>
      </c>
      <c r="H40" s="537" t="n">
        <f aca="false">IF($C39=0,0,H39/$C39)</f>
        <v>0</v>
      </c>
      <c r="I40" s="537" t="n">
        <f aca="false">IF($C39=0,0,I39/$C39)</f>
        <v>0</v>
      </c>
      <c r="J40" s="537" t="n">
        <f aca="false">IF($C39=0,0,J39/$C39)</f>
        <v>0</v>
      </c>
      <c r="K40" s="537" t="n">
        <f aca="false">IF($C39=0,0,K39/$C39)</f>
        <v>0</v>
      </c>
      <c r="L40" s="537" t="n">
        <f aca="false">IF($C39=0,0,L39/$C39)</f>
        <v>0</v>
      </c>
      <c r="M40" s="537" t="n">
        <f aca="false">IF($C39=0,0,M39/$C39)</f>
        <v>0</v>
      </c>
      <c r="N40" s="537" t="n">
        <f aca="false">IF($C39=0,0,N39/$C39)</f>
        <v>0</v>
      </c>
      <c r="O40" s="537" t="n">
        <f aca="false">IF($C39=0,0,O39/$C39)</f>
        <v>0</v>
      </c>
      <c r="P40" s="537" t="n">
        <f aca="false">IF($C39=0,0,P39/$C39)</f>
        <v>0</v>
      </c>
      <c r="Q40" s="537" t="n">
        <f aca="false">IF($C39=0,0,Q39/$C39)</f>
        <v>0</v>
      </c>
      <c r="R40" s="537" t="n">
        <f aca="false">IF($C39=0,0,R39/$C39)</f>
        <v>0</v>
      </c>
      <c r="S40" s="537"/>
      <c r="T40" s="537" t="n">
        <f aca="false">IF($C39=0,0,T39/$C39)</f>
        <v>0</v>
      </c>
      <c r="U40" s="537"/>
      <c r="V40" s="537"/>
      <c r="W40" s="537" t="n">
        <f aca="false">SUM(G40:T40)</f>
        <v>0</v>
      </c>
      <c r="X40" s="538"/>
      <c r="Y40" s="523"/>
      <c r="Z40" s="513"/>
      <c r="AA40" s="10"/>
    </row>
    <row r="41" s="10" customFormat="true" ht="16.5" hidden="false" customHeight="true" outlineLevel="0" collapsed="false">
      <c r="A41" s="514" t="s">
        <v>1016</v>
      </c>
      <c r="B41" s="515"/>
      <c r="C41" s="542" t="n">
        <f aca="false">'11-Sidewalks'!C32</f>
        <v>0</v>
      </c>
      <c r="D41" s="517" t="s">
        <v>868</v>
      </c>
      <c r="E41" s="518" t="n">
        <f aca="false">'11-Sidewalks'!D36</f>
        <v>0</v>
      </c>
      <c r="F41" s="532" t="n">
        <f aca="false">IF(E41=0,0,E41/C41)</f>
        <v>0</v>
      </c>
      <c r="G41" s="520" t="n">
        <f aca="false">SUM('11-Sidewalks'!W44:W75)</f>
        <v>0</v>
      </c>
      <c r="H41" s="520" t="n">
        <f aca="false">SUM('11-Sidewalks'!N54:O55)</f>
        <v>0</v>
      </c>
      <c r="I41" s="520" t="n">
        <f aca="false">SUM('11-Sidewalks'!N79:O81)</f>
        <v>0</v>
      </c>
      <c r="J41" s="520" t="n">
        <f aca="false">SUM('11-Sidewalks'!N53)</f>
        <v>0</v>
      </c>
      <c r="K41" s="520" t="n">
        <f aca="false">SUM('11-Sidewalks'!N51:O52)</f>
        <v>0</v>
      </c>
      <c r="L41" s="520" t="n">
        <f aca="false">SUM('11-Sidewalks'!W76:W78)+'11-Sidewalks'!W87</f>
        <v>0</v>
      </c>
      <c r="M41" s="520" t="n">
        <f aca="false">SUM('11-Sidewalks'!N44:O50)</f>
        <v>0</v>
      </c>
      <c r="N41" s="520" t="n">
        <f aca="false">SUM('11-Sidewalks'!W82:W84)</f>
        <v>0</v>
      </c>
      <c r="O41" s="520" t="n">
        <f aca="false">SUM('11-Sidewalks'!N82:O87)-'11-Sidewalks'!N86</f>
        <v>0</v>
      </c>
      <c r="P41" s="520" t="n">
        <f aca="false">SUM('11-Sidewalks'!N59:O64)</f>
        <v>0</v>
      </c>
      <c r="Q41" s="520" t="n">
        <f aca="false">SUM('11-Sidewalks'!K59:L64)</f>
        <v>0</v>
      </c>
      <c r="R41" s="520" t="n">
        <f aca="false">SUM('11-Sidewalks'!N67:O69)</f>
        <v>0</v>
      </c>
      <c r="S41" s="520" t="n">
        <f aca="false">'11-Sidewalks'!N70</f>
        <v>0</v>
      </c>
      <c r="T41" s="520" t="n">
        <f aca="false">SUM('11-Sidewalks'!N72:O77)</f>
        <v>0</v>
      </c>
      <c r="U41" s="520" t="n">
        <f aca="false">SUM('11-Sidewalks'!N86)</f>
        <v>0</v>
      </c>
      <c r="V41" s="520" t="n">
        <f aca="false">SUM('11-Sidewalks'!N88)</f>
        <v>0</v>
      </c>
      <c r="W41" s="521" t="n">
        <f aca="false">IF(C41=0,0,SUM(G41:T41)/C41)</f>
        <v>0</v>
      </c>
      <c r="X41" s="522" t="n">
        <f aca="false">SUM(G41:V41)</f>
        <v>0</v>
      </c>
      <c r="Y41" s="523" t="n">
        <f aca="false">IF(C41=0,0,1-(X41/E41))</f>
        <v>0</v>
      </c>
      <c r="Z41" s="524" t="n">
        <f aca="false">SUM('11-Sidewalks'!K44:L50)</f>
        <v>0</v>
      </c>
      <c r="AA41" s="374" t="n">
        <f aca="false">X41-BO73</f>
        <v>0</v>
      </c>
    </row>
    <row r="42" customFormat="false" ht="16.5" hidden="false" customHeight="true" outlineLevel="0" collapsed="false">
      <c r="A42" s="514"/>
      <c r="B42" s="515"/>
      <c r="C42" s="516"/>
      <c r="D42" s="517"/>
      <c r="E42" s="518"/>
      <c r="F42" s="519"/>
      <c r="G42" s="579" t="n">
        <f aca="false">IF($C41=0,0,G41/$C41)</f>
        <v>0</v>
      </c>
      <c r="H42" s="579" t="n">
        <f aca="false">IF($C41=0,0,H41/$C41)</f>
        <v>0</v>
      </c>
      <c r="I42" s="579" t="n">
        <f aca="false">IF($C41=0,0,I41/$C41)</f>
        <v>0</v>
      </c>
      <c r="J42" s="579" t="n">
        <f aca="false">IF($C41=0,0,J41/$C41)</f>
        <v>0</v>
      </c>
      <c r="K42" s="579" t="n">
        <f aca="false">IF($C41=0,0,K41/$C41)</f>
        <v>0</v>
      </c>
      <c r="L42" s="579" t="n">
        <f aca="false">IF($C41=0,0,L41/$C41)</f>
        <v>0</v>
      </c>
      <c r="M42" s="579" t="n">
        <f aca="false">IF($C41=0,0,M41/$C41)</f>
        <v>0</v>
      </c>
      <c r="N42" s="579" t="n">
        <f aca="false">IF($C41=0,0,N41/$C41)</f>
        <v>0</v>
      </c>
      <c r="O42" s="579" t="n">
        <f aca="false">IF($C41=0,0,O41/$C41)</f>
        <v>0</v>
      </c>
      <c r="P42" s="579" t="n">
        <f aca="false">IF($C41=0,0,P41/$C41)</f>
        <v>0</v>
      </c>
      <c r="Q42" s="579" t="n">
        <f aca="false">IF($C41=0,0,Q41/$C41)</f>
        <v>0</v>
      </c>
      <c r="R42" s="579" t="n">
        <f aca="false">IF($C41=0,0,R41/$C41)</f>
        <v>0</v>
      </c>
      <c r="S42" s="579"/>
      <c r="T42" s="579" t="n">
        <f aca="false">IF($C41=0,0,T41/$C41)</f>
        <v>0</v>
      </c>
      <c r="U42" s="579" t="n">
        <f aca="false">IF($C41=0,0,U41/$C41)</f>
        <v>0</v>
      </c>
      <c r="V42" s="579"/>
      <c r="W42" s="579" t="n">
        <f aca="false">IF($C41=0,0,W41/$C41)</f>
        <v>0</v>
      </c>
      <c r="X42" s="580"/>
      <c r="Y42" s="523"/>
      <c r="Z42" s="524"/>
      <c r="AA42" s="374"/>
    </row>
    <row r="43" customFormat="false" ht="16.5" hidden="false" customHeight="true" outlineLevel="0" collapsed="false">
      <c r="A43" s="507"/>
      <c r="B43" s="528"/>
      <c r="C43" s="516"/>
      <c r="D43" s="317"/>
      <c r="E43" s="518"/>
      <c r="F43" s="578"/>
      <c r="G43" s="555"/>
      <c r="H43" s="555"/>
      <c r="I43" s="555"/>
      <c r="J43" s="555"/>
      <c r="K43" s="555"/>
      <c r="L43" s="555"/>
      <c r="M43" s="555"/>
      <c r="N43" s="555"/>
      <c r="O43" s="555"/>
      <c r="P43" s="555"/>
      <c r="Q43" s="555"/>
      <c r="R43" s="555"/>
      <c r="S43" s="555"/>
      <c r="T43" s="555"/>
      <c r="U43" s="555"/>
      <c r="V43" s="555"/>
      <c r="W43" s="569"/>
      <c r="X43" s="557"/>
      <c r="Y43" s="523"/>
      <c r="Z43" s="524"/>
      <c r="AA43" s="10"/>
    </row>
    <row r="44" customFormat="false" ht="16.5" hidden="false" customHeight="true" outlineLevel="0" collapsed="false">
      <c r="A44" s="514"/>
      <c r="B44" s="515"/>
      <c r="C44" s="516"/>
      <c r="D44" s="517"/>
      <c r="E44" s="539"/>
      <c r="F44" s="540" t="n">
        <v>0</v>
      </c>
      <c r="G44" s="555"/>
      <c r="H44" s="555"/>
      <c r="I44" s="555"/>
      <c r="J44" s="555"/>
      <c r="K44" s="555"/>
      <c r="L44" s="555"/>
      <c r="M44" s="555"/>
      <c r="N44" s="555"/>
      <c r="O44" s="555"/>
      <c r="P44" s="555"/>
      <c r="Q44" s="555"/>
      <c r="R44" s="555"/>
      <c r="S44" s="555"/>
      <c r="T44" s="555"/>
      <c r="U44" s="555"/>
      <c r="V44" s="555"/>
      <c r="W44" s="569"/>
      <c r="X44" s="557"/>
      <c r="Y44" s="523"/>
      <c r="Z44" s="524"/>
      <c r="AA44" s="374"/>
    </row>
    <row r="45" customFormat="false" ht="16.5" hidden="false" customHeight="true" outlineLevel="0" collapsed="false">
      <c r="A45" s="514"/>
      <c r="B45" s="541"/>
      <c r="C45" s="542"/>
      <c r="D45" s="517"/>
      <c r="E45" s="539"/>
      <c r="F45" s="540"/>
      <c r="G45" s="581"/>
      <c r="H45" s="581"/>
      <c r="I45" s="581"/>
      <c r="J45" s="581"/>
      <c r="K45" s="581"/>
      <c r="L45" s="581"/>
      <c r="M45" s="581"/>
      <c r="N45" s="581"/>
      <c r="O45" s="581"/>
      <c r="P45" s="581"/>
      <c r="Q45" s="581"/>
      <c r="R45" s="581"/>
      <c r="S45" s="581"/>
      <c r="T45" s="581"/>
      <c r="U45" s="581"/>
      <c r="V45" s="581"/>
      <c r="W45" s="582"/>
      <c r="X45" s="583"/>
      <c r="Y45" s="523"/>
      <c r="Z45" s="524"/>
      <c r="AA45" s="10"/>
    </row>
    <row r="46" customFormat="false" ht="16.5" hidden="false" customHeight="true" outlineLevel="0" collapsed="false">
      <c r="A46" s="514"/>
      <c r="B46" s="515"/>
      <c r="C46" s="516"/>
      <c r="D46" s="517"/>
      <c r="E46" s="518"/>
      <c r="F46" s="519"/>
      <c r="G46" s="555"/>
      <c r="H46" s="555"/>
      <c r="I46" s="555"/>
      <c r="J46" s="555"/>
      <c r="K46" s="555"/>
      <c r="L46" s="555"/>
      <c r="M46" s="555"/>
      <c r="N46" s="555"/>
      <c r="O46" s="555"/>
      <c r="P46" s="555"/>
      <c r="Q46" s="555"/>
      <c r="R46" s="555"/>
      <c r="S46" s="555"/>
      <c r="T46" s="555"/>
      <c r="U46" s="555"/>
      <c r="V46" s="555"/>
      <c r="W46" s="569"/>
      <c r="X46" s="557"/>
      <c r="Y46" s="523"/>
      <c r="Z46" s="524"/>
      <c r="AA46" s="10"/>
    </row>
    <row r="47" customFormat="false" ht="16.5" hidden="false" customHeight="true" outlineLevel="0" collapsed="false">
      <c r="A47" s="514" t="s">
        <v>1017</v>
      </c>
      <c r="B47" s="515"/>
      <c r="C47" s="516" t="n">
        <v>0</v>
      </c>
      <c r="D47" s="517" t="s">
        <v>1018</v>
      </c>
      <c r="E47" s="518" t="n">
        <f aca="false">SUM('13-Miscellaneous'!K41)</f>
        <v>0</v>
      </c>
      <c r="F47" s="519"/>
      <c r="G47" s="555" t="n">
        <f aca="false">'13-Miscellaneous'!Q41</f>
        <v>0</v>
      </c>
      <c r="H47" s="555"/>
      <c r="I47" s="555"/>
      <c r="J47" s="555"/>
      <c r="K47" s="555" t="n">
        <f aca="false">'13-Miscellaneous'!S41</f>
        <v>0</v>
      </c>
      <c r="L47" s="555"/>
      <c r="M47" s="555" t="n">
        <f aca="false">'13-Miscellaneous'!R41</f>
        <v>0</v>
      </c>
      <c r="N47" s="555"/>
      <c r="O47" s="555"/>
      <c r="P47" s="555"/>
      <c r="Q47" s="555" t="n">
        <f aca="false">'13-Miscellaneous'!T41</f>
        <v>0</v>
      </c>
      <c r="R47" s="555" t="n">
        <f aca="false">'13-Miscellaneous'!U41</f>
        <v>0</v>
      </c>
      <c r="S47" s="555"/>
      <c r="T47" s="555" t="n">
        <f aca="false">'13-Miscellaneous'!V41</f>
        <v>0</v>
      </c>
      <c r="U47" s="555"/>
      <c r="V47" s="555"/>
      <c r="W47" s="569"/>
      <c r="X47" s="557" t="n">
        <f aca="false">SUM(G47:T47)</f>
        <v>0</v>
      </c>
      <c r="Y47" s="523" t="n">
        <f aca="false">IF(C47=0,0,1-(X47/E47))</f>
        <v>0</v>
      </c>
      <c r="Z47" s="524" t="n">
        <f aca="false">'13-Miscellaneous'!O41</f>
        <v>0</v>
      </c>
      <c r="AA47" s="374" t="n">
        <f aca="false">X47-BW73+X34</f>
        <v>0</v>
      </c>
    </row>
    <row r="48" customFormat="false" ht="16.5" hidden="false" customHeight="true" outlineLevel="0" collapsed="false">
      <c r="A48" s="514"/>
      <c r="B48" s="515"/>
      <c r="C48" s="542"/>
      <c r="D48" s="517"/>
      <c r="E48" s="518"/>
      <c r="F48" s="527"/>
      <c r="G48" s="555"/>
      <c r="H48" s="555"/>
      <c r="I48" s="555"/>
      <c r="J48" s="555"/>
      <c r="K48" s="555"/>
      <c r="L48" s="555"/>
      <c r="M48" s="555"/>
      <c r="N48" s="555"/>
      <c r="O48" s="555"/>
      <c r="P48" s="555"/>
      <c r="Q48" s="555"/>
      <c r="R48" s="555"/>
      <c r="S48" s="555"/>
      <c r="T48" s="555"/>
      <c r="U48" s="555"/>
      <c r="V48" s="555"/>
      <c r="W48" s="569"/>
      <c r="X48" s="557"/>
      <c r="Y48" s="523"/>
      <c r="Z48" s="524"/>
      <c r="AA48" s="10"/>
    </row>
    <row r="49" customFormat="false" ht="16.5" hidden="false" customHeight="true" outlineLevel="0" collapsed="false">
      <c r="A49" s="514"/>
      <c r="B49" s="515"/>
      <c r="C49" s="516"/>
      <c r="D49" s="517"/>
      <c r="E49" s="584"/>
      <c r="F49" s="527"/>
      <c r="G49" s="555"/>
      <c r="H49" s="555"/>
      <c r="I49" s="555"/>
      <c r="J49" s="555"/>
      <c r="K49" s="555"/>
      <c r="L49" s="555"/>
      <c r="M49" s="555"/>
      <c r="N49" s="555"/>
      <c r="O49" s="555"/>
      <c r="P49" s="555"/>
      <c r="Q49" s="555"/>
      <c r="R49" s="555"/>
      <c r="S49" s="555"/>
      <c r="T49" s="555"/>
      <c r="U49" s="555"/>
      <c r="V49" s="555"/>
      <c r="W49" s="569"/>
      <c r="X49" s="522"/>
      <c r="Y49" s="585"/>
      <c r="Z49" s="524"/>
      <c r="AA49" s="10"/>
    </row>
    <row r="50" customFormat="false" ht="16.5" hidden="false" customHeight="true" outlineLevel="0" collapsed="false">
      <c r="A50" s="514"/>
      <c r="B50" s="515"/>
      <c r="C50" s="516"/>
      <c r="D50" s="517"/>
      <c r="E50" s="584"/>
      <c r="F50" s="527"/>
      <c r="G50" s="531"/>
      <c r="H50" s="531"/>
      <c r="I50" s="531"/>
      <c r="J50" s="531"/>
      <c r="K50" s="531"/>
      <c r="L50" s="531"/>
      <c r="M50" s="531"/>
      <c r="N50" s="531"/>
      <c r="O50" s="531"/>
      <c r="P50" s="531"/>
      <c r="Q50" s="531"/>
      <c r="R50" s="531"/>
      <c r="S50" s="531"/>
      <c r="T50" s="531"/>
      <c r="U50" s="531"/>
      <c r="V50" s="531"/>
      <c r="W50" s="586"/>
      <c r="X50" s="587"/>
      <c r="Y50" s="585"/>
      <c r="Z50" s="524"/>
      <c r="AA50" s="10"/>
    </row>
    <row r="51" customFormat="false" ht="16.5" hidden="false" customHeight="true" outlineLevel="0" collapsed="false">
      <c r="A51" s="507"/>
      <c r="B51" s="528"/>
      <c r="C51" s="516"/>
      <c r="D51" s="10"/>
      <c r="E51" s="518"/>
      <c r="F51" s="576"/>
      <c r="G51" s="588"/>
      <c r="H51" s="588"/>
      <c r="I51" s="588"/>
      <c r="J51" s="588"/>
      <c r="K51" s="589" t="s">
        <v>1019</v>
      </c>
      <c r="L51" s="589" t="s">
        <v>998</v>
      </c>
      <c r="M51" s="588"/>
      <c r="N51" s="588"/>
      <c r="O51" s="588"/>
      <c r="P51" s="588"/>
      <c r="Q51" s="589"/>
      <c r="R51" s="589" t="s">
        <v>1020</v>
      </c>
      <c r="S51" s="589"/>
      <c r="T51" s="588"/>
      <c r="U51" s="588"/>
      <c r="V51" s="588"/>
      <c r="W51" s="590"/>
      <c r="X51" s="591"/>
      <c r="Y51" s="585"/>
      <c r="Z51" s="524"/>
      <c r="AA51" s="10"/>
      <c r="AK51" s="592" t="s">
        <v>1021</v>
      </c>
      <c r="AL51" s="593"/>
      <c r="AM51" s="594"/>
    </row>
    <row r="52" customFormat="false" ht="16.5" hidden="false" customHeight="true" outlineLevel="0" collapsed="false">
      <c r="A52" s="595"/>
      <c r="B52" s="528"/>
      <c r="C52" s="516"/>
      <c r="D52" s="10"/>
      <c r="E52" s="518" t="n">
        <f aca="false">E55-E54</f>
        <v>0</v>
      </c>
      <c r="F52" s="576"/>
      <c r="G52" s="531"/>
      <c r="H52" s="531"/>
      <c r="I52" s="531"/>
      <c r="J52" s="596"/>
      <c r="K52" s="597" t="n">
        <f aca="false">('01-Piers'!L53+'02-Gd Beams'!L52+'03-Walls &amp; Footings'!K56+'04-PT Slab on Grade'!L70+'05-Slabs'!L68+'06-Walls &amp; Footings'!K56+'07-COLUMNS'!K72+'08-CIP EL. DECK'!K78+'09-SLAB ON DECK'!L70+'10-PAVING'!K54+'11-Sidewalks'!K51+'13-Miscellaneous'!P41)/2000</f>
        <v>85.7631615981328</v>
      </c>
      <c r="L52" s="596"/>
      <c r="M52" s="597" t="n">
        <f aca="false">SUM(Z53)</f>
        <v>3122.7558097284</v>
      </c>
      <c r="N52" s="596"/>
      <c r="O52" s="596"/>
      <c r="P52" s="596"/>
      <c r="Q52" s="597"/>
      <c r="R52" s="597" t="n">
        <f aca="false">R53/3150</f>
        <v>9.29577430555556</v>
      </c>
      <c r="S52" s="597"/>
      <c r="T52" s="531"/>
      <c r="U52" s="531"/>
      <c r="V52" s="531"/>
      <c r="W52" s="586"/>
      <c r="X52" s="598" t="n">
        <f aca="false">F73-X53</f>
        <v>0</v>
      </c>
      <c r="Y52" s="585"/>
      <c r="Z52" s="524" t="n">
        <v>0</v>
      </c>
      <c r="AA52" s="10"/>
      <c r="AK52" s="599" t="str">
        <f aca="false">A11</f>
        <v>01-PIERS</v>
      </c>
      <c r="AL52" s="600" t="n">
        <f aca="false">P11</f>
        <v>32040.707907951</v>
      </c>
      <c r="AM52" s="601" t="n">
        <f aca="false">Q11</f>
        <v>0</v>
      </c>
    </row>
    <row r="53" customFormat="false" ht="16.5" hidden="false" customHeight="true" outlineLevel="0" collapsed="false">
      <c r="A53" s="602"/>
      <c r="B53" s="603" t="s">
        <v>1022</v>
      </c>
      <c r="C53" s="604"/>
      <c r="D53" s="605"/>
      <c r="E53" s="606" t="n">
        <f aca="false">SUM(E10:E50)</f>
        <v>1388113.33810592</v>
      </c>
      <c r="F53" s="607"/>
      <c r="G53" s="608" t="n">
        <f aca="false">SUM(G10:G50)-G16-G20-G29-G31-G40-G42-G18</f>
        <v>62415.9574477615</v>
      </c>
      <c r="H53" s="608" t="n">
        <f aca="false">SUM(H10:H50)-H16-H20-H29-H31-H40-H42-H18</f>
        <v>18158.0320216049</v>
      </c>
      <c r="I53" s="608" t="n">
        <f aca="false">SUM(I10:I50)-I16-I20-I29-I31-I40-I42-I18</f>
        <v>17993.8059297052</v>
      </c>
      <c r="J53" s="608" t="n">
        <f aca="false">SUM(J10:J50)-J16-J20-J29-J31-J40-J42-J18</f>
        <v>57713.000375</v>
      </c>
      <c r="K53" s="608" t="n">
        <f aca="false">SUM(K10:K50)-K16-K20-K29-K31-K40-K42-K18</f>
        <v>121229.03886842</v>
      </c>
      <c r="L53" s="608" t="n">
        <f aca="false">SUM(L10:L50)-L16-L20-L29-L31-L40-L42-L18</f>
        <v>10315.6084115311</v>
      </c>
      <c r="M53" s="608" t="n">
        <f aca="false">SUM(M10:M50)-M16-M20-M29-M31-M40-M42-M18</f>
        <v>463089.015914277</v>
      </c>
      <c r="N53" s="608" t="n">
        <f aca="false">SUM(N10:N50)-N16-N20-N29-N31-N40-N42-N18</f>
        <v>3639.09375</v>
      </c>
      <c r="O53" s="608" t="n">
        <f aca="false">SUM(O10:O50)-O16-O20-O29-O31-O40-O42-O18</f>
        <v>114759.157210094</v>
      </c>
      <c r="P53" s="608" t="n">
        <f aca="false">SUM(P10:P50)-P16-P20-P29-P31-P40-P42-P18</f>
        <v>246843.016602217</v>
      </c>
      <c r="Q53" s="608" t="n">
        <f aca="false">SUM(Q10:Q50)-Q16-Q20-Q29-Q31-Q40-Q42*Q18</f>
        <v>0</v>
      </c>
      <c r="R53" s="608" t="n">
        <f aca="false">SUM(R10:R50)-R16-R20-R29-R31-R40-R42-R18</f>
        <v>29281.6890625</v>
      </c>
      <c r="S53" s="608" t="n">
        <f aca="false">SUM(S10:S50)-S16-S20-S29-S31-S40-S42-S18</f>
        <v>7488.2625</v>
      </c>
      <c r="T53" s="608" t="n">
        <f aca="false">SUM(T10:T50)-T16-T20-T29-T31-T40-T42-T18</f>
        <v>46418.0625</v>
      </c>
      <c r="U53" s="608" t="n">
        <f aca="false">SUM(U10:U50)-U16-U20-U29-U31-U40-U42-U18</f>
        <v>0</v>
      </c>
      <c r="V53" s="608" t="n">
        <f aca="false">SUM(V10:V52)</f>
        <v>0</v>
      </c>
      <c r="W53" s="609"/>
      <c r="X53" s="610" t="n">
        <f aca="false">SUM(X11:X51)</f>
        <v>1199343.74059311</v>
      </c>
      <c r="Y53" s="611" t="s">
        <v>1023</v>
      </c>
      <c r="Z53" s="612" t="n">
        <f aca="false">SUM(Z10:Z52)</f>
        <v>3122.7558097284</v>
      </c>
      <c r="AA53" s="613" t="n">
        <f aca="false">E53-X53</f>
        <v>188769.597512805</v>
      </c>
      <c r="AK53" s="599" t="str">
        <f aca="false">A12</f>
        <v>02-GRADE BEAMS</v>
      </c>
      <c r="AL53" s="600" t="n">
        <f aca="false">P12</f>
        <v>0</v>
      </c>
      <c r="AM53" s="601" t="n">
        <f aca="false">Q12</f>
        <v>0</v>
      </c>
    </row>
    <row r="54" customFormat="false" ht="16.5" hidden="false" customHeight="true" outlineLevel="0" collapsed="false">
      <c r="A54" s="614"/>
      <c r="B54" s="614"/>
      <c r="C54" s="615" t="s">
        <v>1024</v>
      </c>
      <c r="D54" s="616"/>
      <c r="E54" s="617" t="n">
        <f aca="false">X56*(1+P60+P59)</f>
        <v>0</v>
      </c>
      <c r="F54" s="618"/>
      <c r="G54" s="619" t="n">
        <f aca="false">IF($E$53=0,0,G53/$E53)</f>
        <v>0.0449645974390882</v>
      </c>
      <c r="H54" s="619" t="n">
        <f aca="false">IF($E$53=0,0,H53/$E53)</f>
        <v>0.0130810874898599</v>
      </c>
      <c r="I54" s="619" t="n">
        <f aca="false">IF($E$53=0,0,I53/$E53)</f>
        <v>0.0129627786404371</v>
      </c>
      <c r="J54" s="619" t="n">
        <f aca="false">IF($E$53=0,0,J53/$E53)</f>
        <v>0.0415765764874427</v>
      </c>
      <c r="K54" s="619" t="n">
        <f aca="false">IF($E$53=0,0,K53/$E53)</f>
        <v>0.0873336748091745</v>
      </c>
      <c r="L54" s="619" t="n">
        <f aca="false">IF($E$53=0,0,L53/$E53)</f>
        <v>0.0074313877176678</v>
      </c>
      <c r="M54" s="619" t="n">
        <f aca="false">IF($E$53=0,0,M53/$E53)</f>
        <v>0.333610378347177</v>
      </c>
      <c r="N54" s="619" t="n">
        <f aca="false">IF($E$53=0,0,N53/$E53)</f>
        <v>0.00262161139879655</v>
      </c>
      <c r="O54" s="619" t="n">
        <f aca="false">IF($E$53=0,0,O53/$E53)</f>
        <v>0.0826727573749007</v>
      </c>
      <c r="P54" s="619" t="n">
        <f aca="false">IF($E$53=0,0,P53/$E53)</f>
        <v>0.177826269531445</v>
      </c>
      <c r="Q54" s="619" t="n">
        <f aca="false">IF($E$53=0,0,Q53/$E53)</f>
        <v>0</v>
      </c>
      <c r="R54" s="619" t="n">
        <f aca="false">IF($E$53=0,0,R53/$E53)</f>
        <v>0.0210945952745148</v>
      </c>
      <c r="S54" s="619" t="n">
        <f aca="false">IF($E$53=0,0,S53/$E53)</f>
        <v>0.00539456130449532</v>
      </c>
      <c r="T54" s="619" t="n">
        <f aca="false">IF($E$53=0,0,T53/$E53)</f>
        <v>0.033439677601065</v>
      </c>
      <c r="U54" s="619" t="n">
        <f aca="false">IF($E$53=0,0,U53/$E53)</f>
        <v>0</v>
      </c>
      <c r="V54" s="619"/>
      <c r="W54" s="619"/>
      <c r="X54" s="620" t="n">
        <f aca="false">SUM(G54:W54)</f>
        <v>0.864009953416065</v>
      </c>
      <c r="Y54" s="621" t="s">
        <v>1025</v>
      </c>
      <c r="Z54" s="622" t="n">
        <f aca="false">IF(Z53=0,0,E53/Z53)</f>
        <v>444.515492944243</v>
      </c>
      <c r="AA54" s="286"/>
      <c r="AK54" s="599" t="str">
        <f aca="false">A14</f>
        <v>03-WALL\FOOTINGS</v>
      </c>
      <c r="AL54" s="600" t="n">
        <f aca="false">P14</f>
        <v>0</v>
      </c>
      <c r="AM54" s="601" t="n">
        <f aca="false">Q14</f>
        <v>0</v>
      </c>
    </row>
    <row r="55" customFormat="false" ht="16.5" hidden="false" customHeight="true" outlineLevel="0" collapsed="false">
      <c r="A55" s="623" t="s">
        <v>1026</v>
      </c>
      <c r="B55" s="624"/>
      <c r="C55" s="625"/>
      <c r="D55" s="626" t="n">
        <f aca="false">E53+E54</f>
        <v>1388113.33810592</v>
      </c>
      <c r="E55" s="626"/>
      <c r="F55" s="618"/>
      <c r="G55" s="619"/>
      <c r="H55" s="619"/>
      <c r="I55" s="619"/>
      <c r="J55" s="619"/>
      <c r="K55" s="619"/>
      <c r="L55" s="619"/>
      <c r="M55" s="619"/>
      <c r="N55" s="619"/>
      <c r="O55" s="619"/>
      <c r="P55" s="619"/>
      <c r="Q55" s="619"/>
      <c r="R55" s="619"/>
      <c r="S55" s="619"/>
      <c r="T55" s="619"/>
      <c r="U55" s="619"/>
      <c r="V55" s="619"/>
      <c r="W55" s="619"/>
      <c r="X55" s="627" t="n">
        <f aca="false">X53-X52</f>
        <v>1199343.74059311</v>
      </c>
      <c r="Y55" s="621"/>
      <c r="Z55" s="622"/>
      <c r="AA55" s="286"/>
      <c r="AK55" s="599" t="str">
        <f aca="false">A15</f>
        <v>04-PT SLABS</v>
      </c>
      <c r="AL55" s="600" t="n">
        <f aca="false">P15</f>
        <v>131779.342268877</v>
      </c>
      <c r="AM55" s="601" t="n">
        <f aca="false">Q15</f>
        <v>0</v>
      </c>
    </row>
    <row r="56" customFormat="false" ht="16.5" hidden="false" customHeight="true" outlineLevel="0" collapsed="false">
      <c r="A56" s="421" t="s">
        <v>1027</v>
      </c>
      <c r="B56" s="616"/>
      <c r="C56" s="628"/>
      <c r="D56" s="473"/>
      <c r="E56" s="629"/>
      <c r="F56" s="618"/>
      <c r="G56" s="619"/>
      <c r="H56" s="619"/>
      <c r="I56" s="619"/>
      <c r="J56" s="619"/>
      <c r="K56" s="619"/>
      <c r="L56" s="619"/>
      <c r="M56" s="619"/>
      <c r="N56" s="619"/>
      <c r="O56" s="619" t="s">
        <v>1028</v>
      </c>
      <c r="P56" s="630" t="s">
        <v>1029</v>
      </c>
      <c r="Q56" s="619"/>
      <c r="R56" s="619"/>
      <c r="S56" s="619"/>
      <c r="T56" s="631" t="s">
        <v>1030</v>
      </c>
      <c r="U56" s="631"/>
      <c r="V56" s="631"/>
      <c r="W56" s="616"/>
      <c r="X56" s="617" t="n">
        <f aca="false">IF(P56="y",IF(E53&lt;100000,E53*0.025,2500)+IF(E53&gt;100000,(-100000+E53)*0.015,0)+IF(E53&gt;500000,(-500000+E53)*0.01,0),0)</f>
        <v>0</v>
      </c>
      <c r="Y56" s="621"/>
      <c r="Z56" s="622"/>
      <c r="AA56" s="286"/>
      <c r="AK56" s="599" t="str">
        <f aca="false">A19</f>
        <v>05-SLABS</v>
      </c>
      <c r="AL56" s="600" t="n">
        <f aca="false">P19</f>
        <v>0</v>
      </c>
      <c r="AM56" s="601" t="n">
        <f aca="false">Q19</f>
        <v>0</v>
      </c>
    </row>
    <row r="57" customFormat="false" ht="16.5" hidden="false" customHeight="true" outlineLevel="0" collapsed="false">
      <c r="A57" s="631" t="s">
        <v>1031</v>
      </c>
      <c r="B57" s="632"/>
      <c r="C57" s="632"/>
      <c r="D57" s="633"/>
      <c r="E57" s="634" t="n">
        <f aca="false">B57-D55</f>
        <v>-1388113.33810592</v>
      </c>
      <c r="F57" s="618"/>
      <c r="G57" s="619"/>
      <c r="H57" s="635" t="s">
        <v>1032</v>
      </c>
      <c r="I57" s="636" t="s">
        <v>1033</v>
      </c>
      <c r="J57" s="637"/>
      <c r="K57" s="637"/>
      <c r="L57" s="638" t="n">
        <f aca="false">(P53+Q53+R53)*0.025</f>
        <v>6903.11764161792</v>
      </c>
      <c r="M57" s="639" t="n">
        <f aca="false">IF(L57=0,0,L57/D$55)</f>
        <v>0.004973021620149</v>
      </c>
      <c r="N57" s="619"/>
      <c r="O57" s="619"/>
      <c r="P57" s="619"/>
      <c r="Q57" s="619"/>
      <c r="R57" s="619"/>
      <c r="S57" s="619"/>
      <c r="T57" s="640" t="s">
        <v>980</v>
      </c>
      <c r="U57" s="640"/>
      <c r="V57" s="640"/>
      <c r="W57" s="619"/>
      <c r="X57" s="641" t="n">
        <f aca="false">X56+X53</f>
        <v>1199343.74059311</v>
      </c>
      <c r="Y57" s="621"/>
      <c r="Z57" s="622"/>
      <c r="AA57" s="286"/>
      <c r="AK57" s="599" t="str">
        <f aca="false">A22</f>
        <v>06-WALLS</v>
      </c>
      <c r="AL57" s="600" t="n">
        <f aca="false">P22</f>
        <v>83022.9664253893</v>
      </c>
      <c r="AM57" s="601" t="n">
        <f aca="false">Q22</f>
        <v>0</v>
      </c>
    </row>
    <row r="58" customFormat="false" ht="16.5" hidden="false" customHeight="true" outlineLevel="0" collapsed="false">
      <c r="A58" s="642"/>
      <c r="B58" s="643"/>
      <c r="C58" s="643"/>
      <c r="D58" s="473"/>
      <c r="E58" s="644"/>
      <c r="F58" s="645"/>
      <c r="G58" s="645"/>
      <c r="H58" s="646"/>
      <c r="I58" s="647" t="s">
        <v>1034</v>
      </c>
      <c r="J58" s="648"/>
      <c r="K58" s="648"/>
      <c r="L58" s="649" t="n">
        <f aca="false">SUM(G53:N53)</f>
        <v>754553.5527183</v>
      </c>
      <c r="M58" s="650" t="n">
        <f aca="false">IF(L58=0,0,L58/D$55)</f>
        <v>0.543582092329644</v>
      </c>
      <c r="N58" s="645"/>
      <c r="O58" s="645"/>
      <c r="P58" s="651" t="s">
        <v>981</v>
      </c>
      <c r="Q58" s="652" t="s">
        <v>995</v>
      </c>
      <c r="R58" s="652"/>
      <c r="S58" s="652"/>
      <c r="T58" s="645"/>
      <c r="U58" s="645"/>
      <c r="V58" s="645"/>
      <c r="W58" s="645"/>
      <c r="X58" s="525" t="n">
        <f aca="false">AA120</f>
        <v>0</v>
      </c>
      <c r="Y58" s="653"/>
      <c r="Z58" s="436"/>
      <c r="AA58" s="10"/>
      <c r="AK58" s="599" t="str">
        <f aca="false">A26</f>
        <v>07-COLUMNS</v>
      </c>
      <c r="AL58" s="600" t="n">
        <f aca="false">P26</f>
        <v>0</v>
      </c>
      <c r="AM58" s="601" t="n">
        <f aca="false">Q26</f>
        <v>0</v>
      </c>
    </row>
    <row r="59" customFormat="false" ht="16.5" hidden="false" customHeight="true" outlineLevel="0" collapsed="false">
      <c r="A59" s="654"/>
      <c r="B59" s="655"/>
      <c r="C59" s="655"/>
      <c r="D59" s="654"/>
      <c r="E59" s="656"/>
      <c r="F59" s="645"/>
      <c r="G59" s="645"/>
      <c r="H59" s="645"/>
      <c r="I59" s="657" t="s">
        <v>1035</v>
      </c>
      <c r="J59" s="526"/>
      <c r="K59" s="526"/>
      <c r="L59" s="658" t="n">
        <f aca="false">Q53</f>
        <v>0</v>
      </c>
      <c r="M59" s="659" t="n">
        <f aca="false">IF(L59=0,0,L59/D$55)</f>
        <v>0</v>
      </c>
      <c r="N59" s="645"/>
      <c r="O59" s="660" t="s">
        <v>1036</v>
      </c>
      <c r="P59" s="661" t="n">
        <v>0.18</v>
      </c>
      <c r="Q59" s="662" t="n">
        <f aca="false">L63/(P59)*P59+Q60</f>
        <v>188769.597512805</v>
      </c>
      <c r="R59" s="662"/>
      <c r="S59" s="536"/>
      <c r="T59" s="405"/>
      <c r="U59" s="663" t="s">
        <v>1037</v>
      </c>
      <c r="V59" s="663"/>
      <c r="W59" s="405"/>
      <c r="X59" s="653"/>
      <c r="Y59" s="427"/>
      <c r="Z59" s="128"/>
      <c r="AK59" s="599" t="str">
        <f aca="false">A28</f>
        <v>08-CIP ELEV.   SLAB</v>
      </c>
      <c r="AL59" s="600" t="n">
        <f aca="false">P28</f>
        <v>0</v>
      </c>
      <c r="AM59" s="601" t="n">
        <f aca="false">Q28</f>
        <v>0</v>
      </c>
    </row>
    <row r="60" customFormat="false" ht="16.5" hidden="false" customHeight="true" outlineLevel="0" collapsed="false">
      <c r="A60" s="654"/>
      <c r="B60" s="654"/>
      <c r="C60" s="664"/>
      <c r="E60" s="665"/>
      <c r="F60" s="645"/>
      <c r="G60" s="645"/>
      <c r="H60" s="645"/>
      <c r="I60" s="657" t="s">
        <v>1038</v>
      </c>
      <c r="J60" s="526"/>
      <c r="K60" s="526"/>
      <c r="L60" s="658" t="n">
        <f aca="false">P53+O53</f>
        <v>361602.173812311</v>
      </c>
      <c r="M60" s="659" t="n">
        <f aca="false">IF(L60=0,0,L60/D$55)</f>
        <v>0.260499026906346</v>
      </c>
      <c r="N60" s="645"/>
      <c r="O60" s="666" t="s">
        <v>1039</v>
      </c>
      <c r="P60" s="667" t="n">
        <v>0</v>
      </c>
      <c r="Q60" s="668" t="n">
        <f aca="false">'01-Piers'!G84+'02-Gd Beams'!G91+'03-Walls &amp; Footings'!F96+'04-PT Slab on Grade'!G110+'05-Slabs'!G110+'06-Walls &amp; Footings'!F96+'07-COLUMNS'!F110+'08-CIP EL. DECK'!F119+'09-SLAB ON DECK'!G110+'10-PAVING'!F91+'11-Sidewalks'!N88+'13-Miscellaneous'!Y43</f>
        <v>0</v>
      </c>
      <c r="R60" s="668"/>
      <c r="S60" s="536"/>
      <c r="T60" s="645"/>
      <c r="U60" s="669" t="s">
        <v>1040</v>
      </c>
      <c r="V60" s="670" t="s">
        <v>1041</v>
      </c>
      <c r="W60" s="645"/>
      <c r="X60" s="653"/>
      <c r="Y60" s="427"/>
      <c r="Z60" s="128"/>
      <c r="AK60" s="599" t="str">
        <f aca="false">A30</f>
        <v>09-SLAB ON DECK</v>
      </c>
      <c r="AL60" s="600" t="n">
        <f aca="false">P30</f>
        <v>0</v>
      </c>
      <c r="AM60" s="601" t="n">
        <f aca="false">Q30</f>
        <v>0</v>
      </c>
    </row>
    <row r="61" customFormat="false" ht="16.5" hidden="false" customHeight="true" outlineLevel="0" collapsed="false">
      <c r="A61" s="421"/>
      <c r="B61" s="616"/>
      <c r="C61" s="616"/>
      <c r="D61" s="654"/>
      <c r="E61" s="654"/>
      <c r="F61" s="645"/>
      <c r="G61" s="645"/>
      <c r="H61" s="645"/>
      <c r="I61" s="657" t="s">
        <v>1042</v>
      </c>
      <c r="J61" s="526"/>
      <c r="K61" s="526"/>
      <c r="L61" s="658" t="n">
        <f aca="false">U53+T53+R53+S53</f>
        <v>83188.0140625</v>
      </c>
      <c r="M61" s="659" t="n">
        <f aca="false">IF(L61=0,0,L61/D$55)</f>
        <v>0.0599288341800752</v>
      </c>
      <c r="N61" s="671"/>
      <c r="O61" s="672" t="s">
        <v>1043</v>
      </c>
      <c r="P61" s="673" t="n">
        <f aca="false">P59-P60</f>
        <v>0.18</v>
      </c>
      <c r="Q61" s="674" t="n">
        <f aca="false">Q59-Q60</f>
        <v>188769.597512805</v>
      </c>
      <c r="R61" s="674"/>
      <c r="S61" s="675"/>
      <c r="T61" s="645"/>
      <c r="U61" s="669" t="s">
        <v>1044</v>
      </c>
      <c r="V61" s="670" t="s">
        <v>1041</v>
      </c>
      <c r="W61" s="645"/>
      <c r="X61" s="653"/>
      <c r="Y61" s="427"/>
      <c r="Z61" s="128"/>
      <c r="AK61" s="599" t="str">
        <f aca="false">A32</f>
        <v>12-TILT PANELS</v>
      </c>
      <c r="AL61" s="600" t="n">
        <f aca="false">P32</f>
        <v>0</v>
      </c>
      <c r="AM61" s="601" t="n">
        <f aca="false">Q32</f>
        <v>0</v>
      </c>
    </row>
    <row r="62" customFormat="false" ht="16.5" hidden="false" customHeight="true" outlineLevel="0" collapsed="false">
      <c r="A62" s="421"/>
      <c r="B62" s="616"/>
      <c r="C62" s="616"/>
      <c r="D62" s="473"/>
      <c r="E62" s="645"/>
      <c r="F62" s="645"/>
      <c r="G62" s="645"/>
      <c r="H62" s="645"/>
      <c r="I62" s="676" t="s">
        <v>1045</v>
      </c>
      <c r="J62" s="677"/>
      <c r="K62" s="677"/>
      <c r="L62" s="678" t="n">
        <f aca="false">G131</f>
        <v>0</v>
      </c>
      <c r="M62" s="679" t="n">
        <f aca="false">IF(L62=0,0,L62/D$55)</f>
        <v>0</v>
      </c>
      <c r="N62" s="645"/>
      <c r="O62" s="680" t="s">
        <v>1046</v>
      </c>
      <c r="P62" s="681" t="s">
        <v>1047</v>
      </c>
      <c r="Q62" s="682" t="s">
        <v>1048</v>
      </c>
      <c r="R62" s="683" t="n">
        <v>0.0825</v>
      </c>
      <c r="S62" s="684"/>
      <c r="T62" s="645"/>
      <c r="U62" s="645"/>
      <c r="V62" s="645"/>
      <c r="W62" s="645"/>
      <c r="X62" s="653"/>
      <c r="Y62" s="427"/>
      <c r="Z62" s="128"/>
      <c r="AK62" s="599" t="str">
        <f aca="false">A38</f>
        <v>SITEWORK</v>
      </c>
      <c r="AL62" s="600" t="n">
        <f aca="false">P38</f>
        <v>0</v>
      </c>
      <c r="AM62" s="601" t="n">
        <f aca="false">Q38</f>
        <v>0</v>
      </c>
    </row>
    <row r="63" customFormat="false" ht="16.5" hidden="false" customHeight="true" outlineLevel="0" collapsed="false">
      <c r="A63" s="685"/>
      <c r="B63" s="686"/>
      <c r="C63" s="686"/>
      <c r="D63" s="687"/>
      <c r="E63" s="688"/>
      <c r="F63" s="688"/>
      <c r="G63" s="688"/>
      <c r="H63" s="688"/>
      <c r="I63" s="689" t="s">
        <v>1049</v>
      </c>
      <c r="J63" s="690"/>
      <c r="K63" s="690"/>
      <c r="L63" s="691" t="n">
        <f aca="false">D55-SUM(L58:L62)</f>
        <v>188769.597512805</v>
      </c>
      <c r="M63" s="692" t="n">
        <f aca="false">1-SUM(M57:M62)</f>
        <v>0.131017024963786</v>
      </c>
      <c r="N63" s="688"/>
      <c r="O63" s="688"/>
      <c r="P63" s="688"/>
      <c r="Q63" s="693" t="n">
        <f aca="false">SUM(Q59:R62)</f>
        <v>377539.277525609</v>
      </c>
      <c r="R63" s="693"/>
      <c r="S63" s="693"/>
      <c r="T63" s="688"/>
      <c r="U63" s="688"/>
      <c r="V63" s="688"/>
      <c r="W63" s="688"/>
      <c r="X63" s="694"/>
      <c r="Y63" s="686"/>
      <c r="Z63" s="144"/>
      <c r="AK63" s="599" t="str">
        <f aca="false">A39</f>
        <v>10-PAVING</v>
      </c>
      <c r="AL63" s="600" t="n">
        <f aca="false">P39</f>
        <v>0</v>
      </c>
      <c r="AM63" s="601" t="n">
        <f aca="false">Q39</f>
        <v>0</v>
      </c>
    </row>
    <row r="64" customFormat="false" ht="15" hidden="false" customHeight="false" outlineLevel="0" collapsed="false">
      <c r="A64" s="654"/>
      <c r="B64" s="427"/>
      <c r="C64" s="427"/>
      <c r="D64" s="458"/>
      <c r="E64" s="645"/>
      <c r="F64" s="645"/>
      <c r="G64" s="645"/>
      <c r="H64" s="645"/>
      <c r="I64" s="645"/>
      <c r="J64" s="645"/>
      <c r="K64" s="645"/>
      <c r="L64" s="627" t="n">
        <f aca="false">D55-SUM(L57:L62)</f>
        <v>181866.479871187</v>
      </c>
      <c r="M64" s="627" t="n">
        <f aca="false">L63-L64</f>
        <v>6903.11764161778</v>
      </c>
      <c r="N64" s="645"/>
      <c r="O64" s="645"/>
      <c r="P64" s="645"/>
      <c r="Q64" s="645"/>
      <c r="R64" s="645"/>
      <c r="S64" s="695"/>
      <c r="T64" s="695"/>
      <c r="U64" s="695"/>
      <c r="V64" s="653"/>
      <c r="W64" s="427"/>
      <c r="X64" s="10"/>
      <c r="AK64" s="599" t="str">
        <f aca="false">A41</f>
        <v>11-SIDEWALKS</v>
      </c>
      <c r="AL64" s="600" t="n">
        <f aca="false">P41</f>
        <v>0</v>
      </c>
      <c r="AM64" s="601" t="n">
        <f aca="false">Q41</f>
        <v>0</v>
      </c>
    </row>
    <row r="65" customFormat="false" ht="15" hidden="false" customHeight="false" outlineLevel="0" collapsed="false">
      <c r="A65" s="654"/>
      <c r="B65" s="427" t="s">
        <v>1050</v>
      </c>
      <c r="C65" s="427"/>
      <c r="D65" s="458"/>
      <c r="E65" s="627" t="n">
        <f aca="false">G83+G85+G80</f>
        <v>79345.9000547052</v>
      </c>
      <c r="F65" s="645"/>
      <c r="G65" s="645"/>
      <c r="H65" s="645"/>
      <c r="I65" s="645"/>
      <c r="J65" s="645"/>
      <c r="K65" s="645"/>
      <c r="L65" s="645"/>
      <c r="M65" s="645"/>
      <c r="N65" s="645"/>
      <c r="O65" s="645"/>
      <c r="P65" s="645"/>
      <c r="Q65" s="627" t="n">
        <f aca="false">L63/P59</f>
        <v>1048719.98618225</v>
      </c>
      <c r="R65" s="645"/>
      <c r="S65" s="645"/>
      <c r="T65" s="645"/>
      <c r="U65" s="645"/>
      <c r="V65" s="653"/>
      <c r="W65" s="427"/>
      <c r="X65" s="10"/>
      <c r="AK65" s="599" t="str">
        <f aca="false">A47</f>
        <v>13-MISCELLANEOUS</v>
      </c>
      <c r="AL65" s="600" t="n">
        <f aca="false">P47</f>
        <v>0</v>
      </c>
      <c r="AM65" s="601" t="n">
        <f aca="false">Q47</f>
        <v>0</v>
      </c>
    </row>
    <row r="66" customFormat="false" ht="15" hidden="false" customHeight="false" outlineLevel="0" collapsed="false">
      <c r="A66" s="654"/>
      <c r="B66" s="427"/>
      <c r="C66" s="427"/>
      <c r="D66" s="458"/>
      <c r="E66" s="645"/>
      <c r="F66" s="645"/>
      <c r="G66" s="645"/>
      <c r="H66" s="645"/>
      <c r="I66" s="645"/>
      <c r="J66" s="645"/>
      <c r="K66" s="645"/>
      <c r="L66" s="645"/>
      <c r="M66" s="645"/>
      <c r="N66" s="645"/>
      <c r="O66" s="645"/>
      <c r="P66" s="645"/>
      <c r="Q66" s="645"/>
      <c r="R66" s="645"/>
      <c r="S66" s="645"/>
      <c r="T66" s="645"/>
      <c r="U66" s="645"/>
      <c r="V66" s="653"/>
      <c r="W66" s="427"/>
      <c r="X66" s="10"/>
      <c r="AK66" s="602"/>
      <c r="AL66" s="696"/>
      <c r="AM66" s="697"/>
    </row>
    <row r="67" customFormat="false" ht="15" hidden="false" customHeight="false" outlineLevel="0" collapsed="false">
      <c r="A67" s="654"/>
      <c r="B67" s="427"/>
      <c r="C67" s="427"/>
      <c r="D67" s="458"/>
      <c r="E67" s="645"/>
      <c r="F67" s="645"/>
      <c r="G67" s="645"/>
      <c r="H67" s="645"/>
      <c r="I67" s="645"/>
      <c r="J67" s="645"/>
      <c r="K67" s="645"/>
      <c r="L67" s="645"/>
      <c r="M67" s="645"/>
      <c r="N67" s="698" t="n">
        <f aca="false">P59*P59</f>
        <v>0.0324</v>
      </c>
      <c r="O67" s="645"/>
      <c r="P67" s="645"/>
      <c r="Q67" s="645"/>
      <c r="R67" s="645"/>
      <c r="S67" s="645"/>
      <c r="T67" s="645"/>
      <c r="U67" s="645"/>
      <c r="V67" s="653"/>
      <c r="W67" s="427"/>
      <c r="X67" s="10"/>
    </row>
    <row r="68" customFormat="false" ht="15" hidden="false" customHeight="false" outlineLevel="0" collapsed="false">
      <c r="A68" s="654"/>
      <c r="B68" s="427"/>
      <c r="C68" s="427"/>
      <c r="D68" s="458"/>
      <c r="E68" s="645"/>
      <c r="F68" s="645"/>
      <c r="G68" s="645"/>
      <c r="H68" s="645"/>
      <c r="I68" s="645"/>
      <c r="J68" s="645"/>
      <c r="K68" s="645"/>
      <c r="L68" s="645"/>
      <c r="M68" s="645"/>
      <c r="N68" s="645"/>
      <c r="O68" s="645"/>
      <c r="P68" s="645"/>
      <c r="Q68" s="645"/>
      <c r="R68" s="645"/>
      <c r="S68" s="645"/>
      <c r="T68" s="645"/>
      <c r="U68" s="645"/>
      <c r="V68" s="653"/>
      <c r="W68" s="427"/>
      <c r="X68" s="10"/>
    </row>
    <row r="69" customFormat="false" ht="15" hidden="false" customHeight="false" outlineLevel="0" collapsed="false">
      <c r="A69" s="654"/>
      <c r="B69" s="427"/>
      <c r="C69" s="699" t="s">
        <v>2</v>
      </c>
      <c r="D69" s="700" t="n">
        <v>0</v>
      </c>
      <c r="E69" s="701"/>
      <c r="F69" s="702"/>
      <c r="G69" s="702"/>
      <c r="H69" s="703"/>
      <c r="I69" s="654"/>
      <c r="J69" s="645"/>
      <c r="K69" s="645"/>
      <c r="L69" s="645"/>
      <c r="M69" s="645"/>
      <c r="N69" s="645"/>
      <c r="O69" s="645"/>
      <c r="P69" s="645"/>
      <c r="Q69" s="645"/>
      <c r="R69" s="645"/>
      <c r="S69" s="645"/>
      <c r="T69" s="645"/>
      <c r="U69" s="645"/>
      <c r="V69" s="653"/>
      <c r="W69" s="427"/>
      <c r="X69" s="10"/>
    </row>
    <row r="70" customFormat="false" ht="15" hidden="false" customHeight="false" outlineLevel="0" collapsed="false">
      <c r="A70" s="654"/>
      <c r="B70" s="427"/>
      <c r="C70" s="699" t="s">
        <v>1051</v>
      </c>
      <c r="D70" s="700" t="n">
        <v>0</v>
      </c>
      <c r="E70" s="701"/>
      <c r="F70" s="702"/>
      <c r="G70" s="702"/>
      <c r="H70" s="703"/>
      <c r="I70" s="654"/>
      <c r="J70" s="645"/>
      <c r="K70" s="645"/>
      <c r="L70" s="645"/>
      <c r="M70" s="645"/>
      <c r="N70" s="645"/>
      <c r="O70" s="645"/>
      <c r="P70" s="645"/>
      <c r="Q70" s="645"/>
      <c r="R70" s="645"/>
      <c r="S70" s="645"/>
      <c r="T70" s="645"/>
      <c r="U70" s="645"/>
      <c r="V70" s="653"/>
      <c r="W70" s="427"/>
      <c r="X70" s="10"/>
    </row>
    <row r="71" customFormat="false" ht="15" hidden="false" customHeight="false" outlineLevel="0" collapsed="false">
      <c r="A71" s="654"/>
      <c r="B71" s="427"/>
      <c r="C71" s="704" t="s">
        <v>1052</v>
      </c>
      <c r="D71" s="705" t="n">
        <v>0</v>
      </c>
      <c r="E71" s="10"/>
      <c r="H71" s="706"/>
      <c r="I71" s="654"/>
      <c r="J71" s="645"/>
      <c r="K71" s="645"/>
      <c r="L71" s="645"/>
      <c r="M71" s="645"/>
      <c r="N71" s="645"/>
      <c r="O71" s="645"/>
      <c r="P71" s="645"/>
      <c r="Q71" s="645"/>
      <c r="R71" s="645"/>
      <c r="S71" s="645"/>
      <c r="T71" s="645"/>
      <c r="U71" s="645"/>
      <c r="V71" s="653"/>
      <c r="W71" s="427"/>
      <c r="X71" s="10"/>
    </row>
    <row r="72" customFormat="false" ht="19.5" hidden="false" customHeight="true" outlineLevel="0" collapsed="false">
      <c r="A72" s="654"/>
      <c r="B72" s="427"/>
      <c r="C72" s="707" t="s">
        <v>1053</v>
      </c>
      <c r="D72" s="708" t="s">
        <v>1054</v>
      </c>
      <c r="E72" s="175"/>
      <c r="F72" s="709" t="n">
        <f aca="false">X57-F73</f>
        <v>0</v>
      </c>
      <c r="G72" s="709"/>
      <c r="H72" s="710" t="s">
        <v>1055</v>
      </c>
      <c r="I72" s="711" t="s">
        <v>834</v>
      </c>
      <c r="J72" s="175"/>
      <c r="K72" s="712" t="n">
        <f aca="false">'01-Piers'!T42-K73</f>
        <v>0</v>
      </c>
      <c r="L72" s="713" t="s">
        <v>1055</v>
      </c>
      <c r="M72" s="714" t="s">
        <v>1056</v>
      </c>
      <c r="N72" s="412"/>
      <c r="O72" s="715" t="n">
        <f aca="false">O73-'02-Gd Beams'!E101</f>
        <v>0</v>
      </c>
      <c r="P72" s="713" t="s">
        <v>1055</v>
      </c>
      <c r="Q72" s="716" t="s">
        <v>1057</v>
      </c>
      <c r="R72" s="412"/>
      <c r="S72" s="715" t="n">
        <f aca="false">S73-'04-PT Slab on Grade Wrap'!V114-W73</f>
        <v>-703265.370319536</v>
      </c>
      <c r="T72" s="717" t="s">
        <v>1053</v>
      </c>
      <c r="U72" s="718" t="s">
        <v>1058</v>
      </c>
      <c r="V72" s="719"/>
      <c r="W72" s="720" t="n">
        <f aca="false">'04-PT Slab on Grade'!V114-W73</f>
        <v>0</v>
      </c>
      <c r="X72" s="713" t="s">
        <v>1053</v>
      </c>
      <c r="Y72" s="714" t="s">
        <v>1059</v>
      </c>
      <c r="Z72" s="412"/>
      <c r="AA72" s="715" t="n">
        <f aca="false">'05-Slabs'!V114-AA73</f>
        <v>0</v>
      </c>
      <c r="AB72" s="717" t="s">
        <v>1055</v>
      </c>
      <c r="AC72" s="721" t="s">
        <v>1060</v>
      </c>
      <c r="AD72" s="719"/>
      <c r="AE72" s="722" t="n">
        <f aca="false">AE73-'03-Walls &amp; Footings'!D104</f>
        <v>0</v>
      </c>
      <c r="AF72" s="717" t="s">
        <v>1055</v>
      </c>
      <c r="AG72" s="721" t="s">
        <v>1061</v>
      </c>
      <c r="AH72" s="719"/>
      <c r="AI72" s="722" t="n">
        <f aca="false">AI73-'06-Walls &amp; Footings'!D104</f>
        <v>0</v>
      </c>
      <c r="AJ72" s="717" t="s">
        <v>1055</v>
      </c>
      <c r="AK72" s="721" t="s">
        <v>1060</v>
      </c>
      <c r="AL72" s="719"/>
      <c r="AM72" s="722" t="n">
        <f aca="false">AM73-'06-Walls &amp; Footings'!D104</f>
        <v>-200477.156145624</v>
      </c>
      <c r="AN72" s="717" t="s">
        <v>1055</v>
      </c>
      <c r="AO72" s="721" t="s">
        <v>1062</v>
      </c>
      <c r="AP72" s="719"/>
      <c r="AQ72" s="722" t="n">
        <f aca="false">AQ73-'06-Walls &amp; Footings'!D104</f>
        <v>-200477.156145624</v>
      </c>
      <c r="AR72" s="717" t="s">
        <v>1055</v>
      </c>
      <c r="AS72" s="721" t="s">
        <v>1062</v>
      </c>
      <c r="AT72" s="719"/>
      <c r="AU72" s="722" t="n">
        <f aca="false">AU73-'06-Walls &amp; Footings'!H104</f>
        <v>0</v>
      </c>
      <c r="AV72" s="713" t="s">
        <v>1055</v>
      </c>
      <c r="AW72" s="716" t="s">
        <v>877</v>
      </c>
      <c r="AX72" s="412"/>
      <c r="AY72" s="723" t="n">
        <f aca="false">AY73-'07-COLUMNS'!D119</f>
        <v>0</v>
      </c>
      <c r="AZ72" s="713" t="s">
        <v>1055</v>
      </c>
      <c r="BA72" s="714" t="s">
        <v>883</v>
      </c>
      <c r="BB72" s="412"/>
      <c r="BC72" s="723" t="n">
        <f aca="false">BB73-'08-CIP EL. DECK'!D152</f>
        <v>0</v>
      </c>
      <c r="BD72" s="713" t="s">
        <v>1055</v>
      </c>
      <c r="BE72" s="714" t="s">
        <v>1063</v>
      </c>
      <c r="BF72" s="412"/>
      <c r="BG72" s="723" t="n">
        <f aca="false">BF73-'09-SLAB ON DECK'!D118</f>
        <v>0</v>
      </c>
      <c r="BH72" s="724" t="s">
        <v>1055</v>
      </c>
      <c r="BI72" s="711" t="s">
        <v>1064</v>
      </c>
      <c r="BJ72" s="175"/>
      <c r="BK72" s="712" t="n">
        <f aca="false">BK73-'10-PAVING'!D99</f>
        <v>0</v>
      </c>
      <c r="BL72" s="724" t="s">
        <v>1055</v>
      </c>
      <c r="BM72" s="711" t="s">
        <v>1065</v>
      </c>
      <c r="BN72" s="175"/>
      <c r="BO72" s="712" t="n">
        <f aca="false">BO73-'11-Sidewalks'!D96</f>
        <v>0</v>
      </c>
      <c r="BP72" s="713" t="s">
        <v>1055</v>
      </c>
      <c r="BQ72" s="714" t="s">
        <v>1066</v>
      </c>
      <c r="BR72" s="412"/>
      <c r="BS72" s="723" t="n">
        <f aca="false">BS73-'12-PANELS'!W114</f>
        <v>0</v>
      </c>
      <c r="BT72" s="713" t="s">
        <v>1055</v>
      </c>
      <c r="BU72" s="725" t="s">
        <v>1067</v>
      </c>
      <c r="BV72" s="412"/>
      <c r="BW72" s="715" t="n">
        <f aca="false">BW73-'13-Miscellaneous'!X41</f>
        <v>0</v>
      </c>
      <c r="BX72" s="713" t="s">
        <v>1055</v>
      </c>
      <c r="BY72" s="725" t="s">
        <v>1067</v>
      </c>
      <c r="BZ72" s="412"/>
      <c r="CA72" s="715" t="n">
        <f aca="false">CA73-'13-Miscellaneous'!AB41</f>
        <v>1000</v>
      </c>
    </row>
    <row r="73" customFormat="false" ht="19.5" hidden="false" customHeight="true" outlineLevel="0" collapsed="false">
      <c r="A73" s="726"/>
      <c r="B73" s="727"/>
      <c r="C73" s="728" t="n">
        <v>0</v>
      </c>
      <c r="D73" s="729"/>
      <c r="E73" s="61"/>
      <c r="F73" s="730" t="n">
        <f aca="false">SUM(G74:G131)-G107-G117</f>
        <v>1199343.74059311</v>
      </c>
      <c r="G73" s="730"/>
      <c r="H73" s="731" t="s">
        <v>1068</v>
      </c>
      <c r="I73" s="246"/>
      <c r="J73" s="246"/>
      <c r="K73" s="732" t="n">
        <f aca="false">SUM(K74:K131)-K107-K117</f>
        <v>295601.214127951</v>
      </c>
      <c r="L73" s="733" t="s">
        <v>1069</v>
      </c>
      <c r="M73" s="694"/>
      <c r="N73" s="686"/>
      <c r="O73" s="732" t="n">
        <f aca="false">SUM(O74:O131)-O107-O117</f>
        <v>0</v>
      </c>
      <c r="P73" s="733" t="s">
        <v>1070</v>
      </c>
      <c r="Q73" s="694"/>
      <c r="R73" s="686"/>
      <c r="S73" s="732" t="n">
        <f aca="false">SUM(S74:S131)-S107-S117</f>
        <v>0</v>
      </c>
      <c r="T73" s="734" t="s">
        <v>1071</v>
      </c>
      <c r="U73" s="735"/>
      <c r="V73" s="735"/>
      <c r="W73" s="732" t="n">
        <f aca="false">SUM(W74:W131)-W107-W117</f>
        <v>703265.370319536</v>
      </c>
      <c r="X73" s="733" t="s">
        <v>1072</v>
      </c>
      <c r="Y73" s="694"/>
      <c r="Z73" s="686"/>
      <c r="AA73" s="732" t="n">
        <f aca="false">SUM(AA74:AA131)-AA107-AA117</f>
        <v>0</v>
      </c>
      <c r="AB73" s="733" t="s">
        <v>1070</v>
      </c>
      <c r="AC73" s="735"/>
      <c r="AD73" s="735"/>
      <c r="AE73" s="732" t="n">
        <f aca="false">SUM(AE74:AE131)-AE107-AE117</f>
        <v>0</v>
      </c>
      <c r="AF73" s="733" t="s">
        <v>1073</v>
      </c>
      <c r="AG73" s="735"/>
      <c r="AH73" s="735"/>
      <c r="AI73" s="732" t="n">
        <f aca="false">SUM(AI74:AI131)-AI107-AI117</f>
        <v>200477.156145624</v>
      </c>
      <c r="AJ73" s="733" t="s">
        <v>1073</v>
      </c>
      <c r="AK73" s="735"/>
      <c r="AL73" s="735"/>
      <c r="AM73" s="732" t="n">
        <f aca="false">SUM(AM74:AM131)-AM107-AM117</f>
        <v>0</v>
      </c>
      <c r="AN73" s="733" t="s">
        <v>1073</v>
      </c>
      <c r="AO73" s="735"/>
      <c r="AP73" s="735"/>
      <c r="AQ73" s="732" t="n">
        <f aca="false">SUM(AQ74:AQ131)-AQ107-AQ117</f>
        <v>0</v>
      </c>
      <c r="AR73" s="733" t="s">
        <v>1073</v>
      </c>
      <c r="AS73" s="735"/>
      <c r="AT73" s="735"/>
      <c r="AU73" s="732" t="n">
        <f aca="false">SUM(AU74:AU131)-AU107-AU117</f>
        <v>0</v>
      </c>
      <c r="AV73" s="733" t="s">
        <v>1074</v>
      </c>
      <c r="AW73" s="694"/>
      <c r="AX73" s="686"/>
      <c r="AY73" s="732" t="n">
        <f aca="false">SUM(AY74:AY131)-AY107-AY117</f>
        <v>0</v>
      </c>
      <c r="AZ73" s="733" t="s">
        <v>1075</v>
      </c>
      <c r="BA73" s="694"/>
      <c r="BB73" s="736" t="n">
        <f aca="false">SUM(BC74:BC131)-BC107-BC117</f>
        <v>0</v>
      </c>
      <c r="BC73" s="736" t="n">
        <f aca="false">SUM(BC74:BC127)-BC107-BC117</f>
        <v>0</v>
      </c>
      <c r="BD73" s="733" t="s">
        <v>1076</v>
      </c>
      <c r="BE73" s="694"/>
      <c r="BF73" s="736" t="n">
        <f aca="false">SUM(BG74:BG131)-BG107-BG117</f>
        <v>0</v>
      </c>
      <c r="BG73" s="736" t="n">
        <f aca="false">SUM(BG74:BG127)-BG107-BG117</f>
        <v>0</v>
      </c>
      <c r="BH73" s="731" t="n">
        <v>10</v>
      </c>
      <c r="BI73" s="246"/>
      <c r="BJ73" s="246"/>
      <c r="BK73" s="732" t="n">
        <f aca="false">SUM(BK74:BK131)-BK107-BK117</f>
        <v>0</v>
      </c>
      <c r="BL73" s="731" t="n">
        <v>11</v>
      </c>
      <c r="BM73" s="246"/>
      <c r="BN73" s="246"/>
      <c r="BO73" s="732" t="n">
        <f aca="false">SUM(BO74:BO131)-BO107-BO117</f>
        <v>0</v>
      </c>
      <c r="BP73" s="733" t="s">
        <v>1077</v>
      </c>
      <c r="BQ73" s="694"/>
      <c r="BR73" s="686"/>
      <c r="BS73" s="732" t="n">
        <f aca="false">SUM(BS74:BS131)-BS107-BS117</f>
        <v>0</v>
      </c>
      <c r="BT73" s="733" t="s">
        <v>1078</v>
      </c>
      <c r="BU73" s="694"/>
      <c r="BV73" s="686"/>
      <c r="BW73" s="732" t="n">
        <f aca="false">SUM(BW74:BW131)-BW107-BW117</f>
        <v>0</v>
      </c>
      <c r="BX73" s="733" t="n">
        <v>14</v>
      </c>
      <c r="BY73" s="694"/>
      <c r="BZ73" s="686"/>
      <c r="CA73" s="732" t="n">
        <f aca="false">'14-Contingency'!E43</f>
        <v>1000</v>
      </c>
    </row>
    <row r="74" customFormat="false" ht="21" hidden="false" customHeight="true" outlineLevel="0" collapsed="false">
      <c r="A74" s="737" t="s">
        <v>1079</v>
      </c>
      <c r="B74" s="738" t="n">
        <v>1</v>
      </c>
      <c r="C74" s="739" t="s">
        <v>1080</v>
      </c>
      <c r="D74" s="740" t="s">
        <v>1081</v>
      </c>
      <c r="E74" s="741"/>
      <c r="F74" s="318"/>
      <c r="G74" s="742" t="n">
        <f aca="false">K74+BK74+AI74+W74+AA74+AY74+BS74+BC74+BG74+S74+O74+BW74+BO74+AE74+AM74+AQ74+AU74</f>
        <v>0</v>
      </c>
      <c r="H74" s="743" t="n">
        <f aca="false">C74+10000</f>
        <v>10001</v>
      </c>
      <c r="I74" s="741" t="str">
        <f aca="false">D74</f>
        <v>General Requirements</v>
      </c>
      <c r="J74" s="318"/>
      <c r="K74" s="742" t="n">
        <f aca="false">'01-Piers'!E94</f>
        <v>0</v>
      </c>
      <c r="L74" s="743" t="n">
        <f aca="false">C74+20000</f>
        <v>20001</v>
      </c>
      <c r="M74" s="741" t="str">
        <f aca="false">Q74</f>
        <v>General Requirements</v>
      </c>
      <c r="N74" s="318"/>
      <c r="O74" s="742" t="n">
        <f aca="false">'02-Gd Beams'!E102</f>
        <v>0</v>
      </c>
      <c r="P74" s="743" t="n">
        <f aca="false">C74+40000</f>
        <v>40001</v>
      </c>
      <c r="Q74" s="741" t="str">
        <f aca="false">D74</f>
        <v>General Requirements</v>
      </c>
      <c r="R74" s="318"/>
      <c r="S74" s="744" t="n">
        <f aca="false">'04-PT Slab on Grade Wrap'!E120</f>
        <v>0</v>
      </c>
      <c r="T74" s="743" t="n">
        <f aca="false">C74+40000</f>
        <v>40001</v>
      </c>
      <c r="U74" s="741" t="str">
        <f aca="false">D74</f>
        <v>General Requirements</v>
      </c>
      <c r="V74" s="318"/>
      <c r="W74" s="744" t="n">
        <f aca="false">'04-PT Slab on Grade'!E120</f>
        <v>0</v>
      </c>
      <c r="X74" s="743" t="n">
        <f aca="false">C74+50000</f>
        <v>50001</v>
      </c>
      <c r="Y74" s="741" t="str">
        <f aca="false">D74</f>
        <v>General Requirements</v>
      </c>
      <c r="Z74" s="318"/>
      <c r="AA74" s="744" t="n">
        <f aca="false">'05-Slabs'!E120</f>
        <v>0</v>
      </c>
      <c r="AB74" s="743" t="n">
        <f aca="false">C74+30000</f>
        <v>30001</v>
      </c>
      <c r="AC74" s="741" t="str">
        <f aca="false">BE74</f>
        <v>General Requirements</v>
      </c>
      <c r="AD74" s="318"/>
      <c r="AE74" s="744" t="n">
        <f aca="false">'03-Walls &amp; Footings'!D105</f>
        <v>0</v>
      </c>
      <c r="AF74" s="743" t="n">
        <f aca="false">C74+60000</f>
        <v>60001</v>
      </c>
      <c r="AG74" s="741" t="str">
        <f aca="false">BI74</f>
        <v>General Requirements</v>
      </c>
      <c r="AH74" s="318"/>
      <c r="AI74" s="744" t="n">
        <f aca="false">'06-Walls &amp; Footings'!D105</f>
        <v>0</v>
      </c>
      <c r="AJ74" s="743" t="n">
        <f aca="false">C74+60000</f>
        <v>60001</v>
      </c>
      <c r="AK74" s="741" t="str">
        <f aca="false">BI74</f>
        <v>General Requirements</v>
      </c>
      <c r="AL74" s="318"/>
      <c r="AM74" s="744" t="n">
        <f aca="false">'06-Footings'!D105</f>
        <v>0</v>
      </c>
      <c r="AN74" s="743" t="n">
        <f aca="false">C74+60000</f>
        <v>60001</v>
      </c>
      <c r="AO74" s="741" t="str">
        <f aca="false">BI74</f>
        <v>General Requirements</v>
      </c>
      <c r="AP74" s="318"/>
      <c r="AQ74" s="744" t="n">
        <f aca="false">'06-Garage Walls &amp; Footings'!D105</f>
        <v>0</v>
      </c>
      <c r="AR74" s="743" t="n">
        <f aca="false">G74+60000</f>
        <v>60000</v>
      </c>
      <c r="AS74" s="741" t="str">
        <f aca="false">BM74</f>
        <v>General Requirements</v>
      </c>
      <c r="AT74" s="318"/>
      <c r="AU74" s="744" t="n">
        <f aca="false">'06-Garage Footings'!D105</f>
        <v>0</v>
      </c>
      <c r="AV74" s="743" t="n">
        <f aca="false">C74+70000</f>
        <v>70001</v>
      </c>
      <c r="AW74" s="741" t="str">
        <f aca="false">D74</f>
        <v>General Requirements</v>
      </c>
      <c r="AX74" s="318"/>
      <c r="AY74" s="742" t="n">
        <f aca="false">'07-COLUMNS'!D120</f>
        <v>0</v>
      </c>
      <c r="AZ74" s="743" t="n">
        <f aca="false">C74+80000</f>
        <v>80001</v>
      </c>
      <c r="BA74" s="741" t="str">
        <f aca="false">D74</f>
        <v>General Requirements</v>
      </c>
      <c r="BB74" s="318"/>
      <c r="BC74" s="742" t="n">
        <f aca="false">'08-CIP EL. DECK'!D153</f>
        <v>0</v>
      </c>
      <c r="BD74" s="743" t="n">
        <f aca="false">C74+90000</f>
        <v>90001</v>
      </c>
      <c r="BE74" s="741" t="str">
        <f aca="false">D74</f>
        <v>General Requirements</v>
      </c>
      <c r="BF74" s="318"/>
      <c r="BG74" s="742" t="n">
        <f aca="false">'09-SLAB ON DECK'!E119</f>
        <v>0</v>
      </c>
      <c r="BH74" s="743" t="n">
        <f aca="false">C74+100000</f>
        <v>100001</v>
      </c>
      <c r="BI74" s="741" t="str">
        <f aca="false">D74</f>
        <v>General Requirements</v>
      </c>
      <c r="BJ74" s="318"/>
      <c r="BK74" s="742" t="n">
        <f aca="false">'10-PAVING'!D100</f>
        <v>0</v>
      </c>
      <c r="BL74" s="743" t="n">
        <f aca="false">C74+110000</f>
        <v>110001</v>
      </c>
      <c r="BM74" s="741" t="str">
        <f aca="false">D74</f>
        <v>General Requirements</v>
      </c>
      <c r="BN74" s="318"/>
      <c r="BO74" s="742" t="n">
        <f aca="false">'11-Sidewalks'!D97</f>
        <v>0</v>
      </c>
      <c r="BP74" s="743" t="n">
        <f aca="false">C74+120000</f>
        <v>120001</v>
      </c>
      <c r="BQ74" s="741" t="str">
        <f aca="false">D74</f>
        <v>General Requirements</v>
      </c>
      <c r="BR74" s="318"/>
      <c r="BS74" s="742" t="n">
        <f aca="false">'12-PANELS'!F115</f>
        <v>0</v>
      </c>
      <c r="BT74" s="743" t="n">
        <f aca="false">C74+130000</f>
        <v>130001</v>
      </c>
      <c r="BU74" s="741" t="str">
        <f aca="false">M74</f>
        <v>General Requirements</v>
      </c>
      <c r="BV74" s="318"/>
      <c r="BW74" s="742" t="n">
        <f aca="false">'13-Miscellaneous'!E48</f>
        <v>0</v>
      </c>
      <c r="BX74" s="743" t="n">
        <f aca="false">C74+140000</f>
        <v>140001</v>
      </c>
      <c r="BY74" s="741" t="str">
        <f aca="false">Q74</f>
        <v>General Requirements</v>
      </c>
      <c r="BZ74" s="318"/>
      <c r="CA74" s="742"/>
    </row>
    <row r="75" customFormat="false" ht="21" hidden="false" customHeight="true" outlineLevel="0" collapsed="false">
      <c r="A75" s="737"/>
      <c r="B75" s="427" t="n">
        <v>2</v>
      </c>
      <c r="C75" s="739" t="s">
        <v>1082</v>
      </c>
      <c r="D75" s="543" t="s">
        <v>1083</v>
      </c>
      <c r="E75" s="543"/>
      <c r="F75" s="318"/>
      <c r="G75" s="742" t="n">
        <f aca="false">K75+BK75+AI75+W75+AA75+AY75+BS75+BC75+BG75+S75+O75+BW75+BO75+AE75+AM75+AQ75+AU75</f>
        <v>57479.0658317175</v>
      </c>
      <c r="H75" s="745" t="n">
        <f aca="false">C75+10000</f>
        <v>10002</v>
      </c>
      <c r="I75" s="543" t="str">
        <f aca="false">D75</f>
        <v>Lumber</v>
      </c>
      <c r="J75" s="318"/>
      <c r="K75" s="742" t="n">
        <f aca="false">'01-Piers'!E95</f>
        <v>2866.2164375</v>
      </c>
      <c r="L75" s="743" t="n">
        <f aca="false">C75+20000</f>
        <v>20002</v>
      </c>
      <c r="M75" s="543" t="str">
        <f aca="false">Q75</f>
        <v>Lumber</v>
      </c>
      <c r="N75" s="318"/>
      <c r="O75" s="742" t="n">
        <f aca="false">'02-Gd Beams'!E103</f>
        <v>0</v>
      </c>
      <c r="P75" s="743" t="n">
        <f aca="false">C75+40000</f>
        <v>40002</v>
      </c>
      <c r="Q75" s="741" t="str">
        <f aca="false">D75</f>
        <v>Lumber</v>
      </c>
      <c r="R75" s="318"/>
      <c r="S75" s="744" t="n">
        <f aca="false">'04-PT Slab on Grade Wrap'!E121</f>
        <v>0</v>
      </c>
      <c r="T75" s="743" t="n">
        <f aca="false">C75+40000</f>
        <v>40002</v>
      </c>
      <c r="U75" s="543" t="str">
        <f aca="false">D75</f>
        <v>Lumber</v>
      </c>
      <c r="V75" s="318"/>
      <c r="W75" s="744" t="n">
        <f aca="false">'04-PT Slab on Grade'!E121</f>
        <v>27870.9906821484</v>
      </c>
      <c r="X75" s="743" t="n">
        <f aca="false">C75+50000</f>
        <v>50002</v>
      </c>
      <c r="Y75" s="741" t="str">
        <f aca="false">D75</f>
        <v>Lumber</v>
      </c>
      <c r="Z75" s="318"/>
      <c r="AA75" s="744" t="n">
        <f aca="false">'05-Slabs'!E121</f>
        <v>0</v>
      </c>
      <c r="AB75" s="743" t="n">
        <f aca="false">C75+30000</f>
        <v>30002</v>
      </c>
      <c r="AC75" s="741" t="str">
        <f aca="false">BE75</f>
        <v>Lumber</v>
      </c>
      <c r="AD75" s="318"/>
      <c r="AE75" s="744" t="n">
        <f aca="false">'03-Walls &amp; Footings'!D106</f>
        <v>0</v>
      </c>
      <c r="AF75" s="743" t="n">
        <f aca="false">C75+60000</f>
        <v>60002</v>
      </c>
      <c r="AG75" s="741" t="str">
        <f aca="false">BI75</f>
        <v>Lumber</v>
      </c>
      <c r="AH75" s="318"/>
      <c r="AI75" s="744" t="n">
        <f aca="false">'06-Walls &amp; Footings'!D106</f>
        <v>26741.8587120691</v>
      </c>
      <c r="AJ75" s="743" t="n">
        <f aca="false">C75+60000</f>
        <v>60002</v>
      </c>
      <c r="AK75" s="741" t="str">
        <f aca="false">BI75</f>
        <v>Lumber</v>
      </c>
      <c r="AL75" s="318"/>
      <c r="AM75" s="744" t="n">
        <f aca="false">'06-Footings'!D106</f>
        <v>0</v>
      </c>
      <c r="AN75" s="743" t="n">
        <f aca="false">C75+60000</f>
        <v>60002</v>
      </c>
      <c r="AO75" s="741" t="str">
        <f aca="false">BI75</f>
        <v>Lumber</v>
      </c>
      <c r="AP75" s="318"/>
      <c r="AQ75" s="744" t="n">
        <f aca="false">'06-Garage Walls &amp; Footings'!D106</f>
        <v>0</v>
      </c>
      <c r="AR75" s="743" t="n">
        <f aca="false">G75+60000</f>
        <v>117479.065831718</v>
      </c>
      <c r="AS75" s="741" t="str">
        <f aca="false">BM75</f>
        <v>Lumber</v>
      </c>
      <c r="AT75" s="318"/>
      <c r="AU75" s="744" t="n">
        <f aca="false">'06-Garage Footings'!D106</f>
        <v>0</v>
      </c>
      <c r="AV75" s="746" t="n">
        <f aca="false">C75+70000</f>
        <v>70002</v>
      </c>
      <c r="AW75" s="543" t="str">
        <f aca="false">D75</f>
        <v>Lumber</v>
      </c>
      <c r="AX75" s="318"/>
      <c r="AY75" s="742" t="n">
        <f aca="false">'07-COLUMNS'!D121</f>
        <v>0</v>
      </c>
      <c r="AZ75" s="743" t="n">
        <f aca="false">C75+80000</f>
        <v>80002</v>
      </c>
      <c r="BA75" s="741" t="str">
        <f aca="false">D75</f>
        <v>Lumber</v>
      </c>
      <c r="BB75" s="318"/>
      <c r="BC75" s="742" t="n">
        <f aca="false">'08-CIP EL. DECK'!D154</f>
        <v>0</v>
      </c>
      <c r="BD75" s="745" t="n">
        <f aca="false">C75+90000</f>
        <v>90002</v>
      </c>
      <c r="BE75" s="741" t="str">
        <f aca="false">D75</f>
        <v>Lumber</v>
      </c>
      <c r="BF75" s="318"/>
      <c r="BG75" s="742" t="n">
        <f aca="false">'09-SLAB ON DECK'!E120</f>
        <v>0</v>
      </c>
      <c r="BH75" s="745" t="n">
        <f aca="false">C75+100000</f>
        <v>100002</v>
      </c>
      <c r="BI75" s="543" t="str">
        <f aca="false">D75</f>
        <v>Lumber</v>
      </c>
      <c r="BJ75" s="318"/>
      <c r="BK75" s="742" t="n">
        <f aca="false">'10-PAVING'!D101</f>
        <v>0</v>
      </c>
      <c r="BL75" s="745" t="n">
        <f aca="false">C75+110000</f>
        <v>110002</v>
      </c>
      <c r="BM75" s="543" t="str">
        <f aca="false">D75</f>
        <v>Lumber</v>
      </c>
      <c r="BN75" s="318"/>
      <c r="BO75" s="742" t="n">
        <f aca="false">'11-Sidewalks'!D98</f>
        <v>0</v>
      </c>
      <c r="BP75" s="745" t="n">
        <f aca="false">C75+120000</f>
        <v>120002</v>
      </c>
      <c r="BQ75" s="543" t="str">
        <f aca="false">D75</f>
        <v>Lumber</v>
      </c>
      <c r="BR75" s="318"/>
      <c r="BS75" s="742" t="n">
        <f aca="false">'12-PANELS'!F116</f>
        <v>0</v>
      </c>
      <c r="BT75" s="745" t="n">
        <f aca="false">C75+130000</f>
        <v>130002</v>
      </c>
      <c r="BU75" s="741" t="str">
        <f aca="false">M75</f>
        <v>Lumber</v>
      </c>
      <c r="BV75" s="318"/>
      <c r="BW75" s="742" t="n">
        <f aca="false">'13-Miscellaneous'!E49</f>
        <v>0</v>
      </c>
      <c r="BX75" s="743" t="n">
        <f aca="false">C75+140000</f>
        <v>140002</v>
      </c>
      <c r="BY75" s="741" t="str">
        <f aca="false">Q75</f>
        <v>Lumber</v>
      </c>
      <c r="BZ75" s="318"/>
      <c r="CA75" s="742"/>
    </row>
    <row r="76" customFormat="false" ht="21" hidden="false" customHeight="true" outlineLevel="0" collapsed="false">
      <c r="A76" s="737"/>
      <c r="B76" s="427" t="n">
        <v>3</v>
      </c>
      <c r="C76" s="739" t="s">
        <v>1084</v>
      </c>
      <c r="D76" s="543" t="s">
        <v>1085</v>
      </c>
      <c r="E76" s="543"/>
      <c r="F76" s="318"/>
      <c r="G76" s="742" t="n">
        <f aca="false">K76+BK76+AI76+W76+AA76+AY76+BS76+BC76+BG76+S76+O76+BW76+BO76+AE76+AM76+AQ76+AU76</f>
        <v>18158.0320216049</v>
      </c>
      <c r="H76" s="747" t="n">
        <f aca="false">C76+10000</f>
        <v>10003</v>
      </c>
      <c r="I76" s="543" t="str">
        <f aca="false">D76</f>
        <v>Sand Material</v>
      </c>
      <c r="J76" s="318"/>
      <c r="K76" s="742" t="n">
        <f aca="false">'01-Piers'!E96</f>
        <v>0</v>
      </c>
      <c r="L76" s="743" t="n">
        <f aca="false">C76+20000</f>
        <v>20003</v>
      </c>
      <c r="M76" s="543" t="str">
        <f aca="false">Q76</f>
        <v>Sand Material</v>
      </c>
      <c r="N76" s="318"/>
      <c r="O76" s="742" t="n">
        <f aca="false">'02-Gd Beams'!E104</f>
        <v>0</v>
      </c>
      <c r="P76" s="743" t="n">
        <f aca="false">C76+40000</f>
        <v>40003</v>
      </c>
      <c r="Q76" s="741" t="str">
        <f aca="false">D76</f>
        <v>Sand Material</v>
      </c>
      <c r="R76" s="318"/>
      <c r="S76" s="744" t="n">
        <f aca="false">'04-PT Slab on Grade Wrap'!E122</f>
        <v>0</v>
      </c>
      <c r="T76" s="743" t="n">
        <f aca="false">C76+40000</f>
        <v>40003</v>
      </c>
      <c r="U76" s="543" t="str">
        <f aca="false">D76</f>
        <v>Sand Material</v>
      </c>
      <c r="V76" s="318"/>
      <c r="W76" s="744" t="n">
        <f aca="false">'04-PT Slab on Grade'!E122</f>
        <v>10478.0320216049</v>
      </c>
      <c r="X76" s="743" t="n">
        <f aca="false">C76+50000</f>
        <v>50003</v>
      </c>
      <c r="Y76" s="741" t="str">
        <f aca="false">D76</f>
        <v>Sand Material</v>
      </c>
      <c r="Z76" s="318"/>
      <c r="AA76" s="744" t="n">
        <f aca="false">'05-Slabs'!E122</f>
        <v>0</v>
      </c>
      <c r="AB76" s="743" t="n">
        <f aca="false">C76+30000</f>
        <v>30003</v>
      </c>
      <c r="AC76" s="741" t="str">
        <f aca="false">BE76</f>
        <v>Sand Material</v>
      </c>
      <c r="AD76" s="318"/>
      <c r="AE76" s="744" t="n">
        <f aca="false">'03-Walls &amp; Footings'!D107</f>
        <v>0</v>
      </c>
      <c r="AF76" s="743" t="n">
        <f aca="false">C76+60000</f>
        <v>60003</v>
      </c>
      <c r="AG76" s="741" t="str">
        <f aca="false">BI76</f>
        <v>Sand Material</v>
      </c>
      <c r="AH76" s="318"/>
      <c r="AI76" s="744" t="n">
        <f aca="false">'06-Walls &amp; Footings'!D107</f>
        <v>7680</v>
      </c>
      <c r="AJ76" s="743" t="n">
        <f aca="false">C76+60000</f>
        <v>60003</v>
      </c>
      <c r="AK76" s="741" t="str">
        <f aca="false">BI76</f>
        <v>Sand Material</v>
      </c>
      <c r="AL76" s="318"/>
      <c r="AM76" s="744" t="n">
        <f aca="false">'06-Footings'!D107</f>
        <v>0</v>
      </c>
      <c r="AN76" s="743" t="n">
        <f aca="false">C76+60000</f>
        <v>60003</v>
      </c>
      <c r="AO76" s="741" t="str">
        <f aca="false">BI76</f>
        <v>Sand Material</v>
      </c>
      <c r="AP76" s="318"/>
      <c r="AQ76" s="744" t="n">
        <f aca="false">'06-Garage Walls &amp; Footings'!D107</f>
        <v>0</v>
      </c>
      <c r="AR76" s="743" t="n">
        <f aca="false">G76+60000</f>
        <v>78158.0320216049</v>
      </c>
      <c r="AS76" s="741" t="str">
        <f aca="false">BM76</f>
        <v>Sand Material</v>
      </c>
      <c r="AT76" s="318"/>
      <c r="AU76" s="744" t="n">
        <f aca="false">'06-Garage Footings'!D107</f>
        <v>0</v>
      </c>
      <c r="AV76" s="746" t="n">
        <f aca="false">C76+70000</f>
        <v>70003</v>
      </c>
      <c r="AW76" s="543" t="str">
        <f aca="false">D76</f>
        <v>Sand Material</v>
      </c>
      <c r="AX76" s="318"/>
      <c r="AY76" s="742" t="n">
        <f aca="false">'07-COLUMNS'!D122</f>
        <v>0</v>
      </c>
      <c r="AZ76" s="743" t="n">
        <f aca="false">C76+80000</f>
        <v>80003</v>
      </c>
      <c r="BA76" s="741" t="str">
        <f aca="false">D76</f>
        <v>Sand Material</v>
      </c>
      <c r="BB76" s="318"/>
      <c r="BC76" s="742" t="n">
        <f aca="false">'08-CIP EL. DECK'!D155</f>
        <v>0</v>
      </c>
      <c r="BD76" s="747" t="n">
        <f aca="false">C76+90000</f>
        <v>90003</v>
      </c>
      <c r="BE76" s="741" t="str">
        <f aca="false">D76</f>
        <v>Sand Material</v>
      </c>
      <c r="BF76" s="318"/>
      <c r="BG76" s="742" t="n">
        <f aca="false">'09-SLAB ON DECK'!E121</f>
        <v>0</v>
      </c>
      <c r="BH76" s="747" t="n">
        <f aca="false">C76+100000</f>
        <v>100003</v>
      </c>
      <c r="BI76" s="543" t="str">
        <f aca="false">D76</f>
        <v>Sand Material</v>
      </c>
      <c r="BJ76" s="318"/>
      <c r="BK76" s="742" t="n">
        <f aca="false">'10-PAVING'!D102</f>
        <v>0</v>
      </c>
      <c r="BL76" s="747" t="n">
        <f aca="false">C76+110000</f>
        <v>110003</v>
      </c>
      <c r="BM76" s="543" t="str">
        <f aca="false">D76</f>
        <v>Sand Material</v>
      </c>
      <c r="BN76" s="318"/>
      <c r="BO76" s="742" t="n">
        <f aca="false">'11-Sidewalks'!D99</f>
        <v>0</v>
      </c>
      <c r="BP76" s="747" t="n">
        <f aca="false">C76+120000</f>
        <v>120003</v>
      </c>
      <c r="BQ76" s="543" t="str">
        <f aca="false">D76</f>
        <v>Sand Material</v>
      </c>
      <c r="BR76" s="318"/>
      <c r="BS76" s="742" t="n">
        <f aca="false">'12-PANELS'!F117</f>
        <v>0</v>
      </c>
      <c r="BT76" s="745" t="n">
        <f aca="false">C76+130000</f>
        <v>130003</v>
      </c>
      <c r="BU76" s="741" t="str">
        <f aca="false">M76</f>
        <v>Sand Material</v>
      </c>
      <c r="BV76" s="318"/>
      <c r="BW76" s="742" t="n">
        <f aca="false">'13-Miscellaneous'!E50</f>
        <v>0</v>
      </c>
      <c r="BX76" s="743" t="n">
        <f aca="false">C76+140000</f>
        <v>140003</v>
      </c>
      <c r="BY76" s="741" t="str">
        <f aca="false">Q76</f>
        <v>Sand Material</v>
      </c>
      <c r="BZ76" s="318"/>
      <c r="CA76" s="742"/>
    </row>
    <row r="77" customFormat="false" ht="21" hidden="false" customHeight="true" outlineLevel="0" collapsed="false">
      <c r="A77" s="737"/>
      <c r="B77" s="427" t="n">
        <v>4</v>
      </c>
      <c r="C77" s="739" t="s">
        <v>1086</v>
      </c>
      <c r="D77" s="543" t="s">
        <v>1087</v>
      </c>
      <c r="E77" s="543"/>
      <c r="F77" s="318"/>
      <c r="G77" s="742" t="n">
        <f aca="false">K77+BK77+AI77+W77+AA77+AY77+BS77+BC77+BG77+S77+O77+BW77+BO77+AE77+AM77+AQ77+AU77</f>
        <v>0</v>
      </c>
      <c r="H77" s="747" t="n">
        <f aca="false">C77+10000</f>
        <v>10004</v>
      </c>
      <c r="I77" s="543" t="str">
        <f aca="false">D77</f>
        <v>Rock Material</v>
      </c>
      <c r="J77" s="318"/>
      <c r="K77" s="742" t="n">
        <f aca="false">'01-Piers'!E97</f>
        <v>0</v>
      </c>
      <c r="L77" s="743" t="n">
        <f aca="false">C77+20000</f>
        <v>20004</v>
      </c>
      <c r="M77" s="543" t="str">
        <f aca="false">Q77</f>
        <v>Rock Material</v>
      </c>
      <c r="N77" s="318"/>
      <c r="O77" s="742" t="n">
        <f aca="false">'02-Gd Beams'!E105</f>
        <v>0</v>
      </c>
      <c r="P77" s="743" t="n">
        <f aca="false">C77+40000</f>
        <v>40004</v>
      </c>
      <c r="Q77" s="741" t="str">
        <f aca="false">D77</f>
        <v>Rock Material</v>
      </c>
      <c r="R77" s="318"/>
      <c r="S77" s="744" t="n">
        <f aca="false">'04-PT Slab on Grade Wrap'!E123</f>
        <v>0</v>
      </c>
      <c r="T77" s="743" t="n">
        <f aca="false">C77+40000</f>
        <v>40004</v>
      </c>
      <c r="U77" s="543" t="str">
        <f aca="false">D77</f>
        <v>Rock Material</v>
      </c>
      <c r="V77" s="318"/>
      <c r="W77" s="744" t="n">
        <f aca="false">'04-PT Slab on Grade'!E123</f>
        <v>0</v>
      </c>
      <c r="X77" s="743" t="n">
        <f aca="false">C77+50000</f>
        <v>50004</v>
      </c>
      <c r="Y77" s="741" t="str">
        <f aca="false">D77</f>
        <v>Rock Material</v>
      </c>
      <c r="Z77" s="318"/>
      <c r="AA77" s="744" t="n">
        <f aca="false">'05-Slabs'!E123</f>
        <v>0</v>
      </c>
      <c r="AB77" s="743" t="n">
        <f aca="false">C77+30000</f>
        <v>30004</v>
      </c>
      <c r="AC77" s="741" t="str">
        <f aca="false">BE77</f>
        <v>Rock Material</v>
      </c>
      <c r="AD77" s="318"/>
      <c r="AE77" s="744" t="n">
        <f aca="false">'03-Walls &amp; Footings'!D108</f>
        <v>0</v>
      </c>
      <c r="AF77" s="743" t="n">
        <f aca="false">C77+60000</f>
        <v>60004</v>
      </c>
      <c r="AG77" s="741" t="str">
        <f aca="false">BI77</f>
        <v>Rock Material</v>
      </c>
      <c r="AH77" s="318"/>
      <c r="AI77" s="744" t="n">
        <f aca="false">'06-Walls &amp; Footings'!D108</f>
        <v>0</v>
      </c>
      <c r="AJ77" s="743" t="n">
        <f aca="false">C77+60000</f>
        <v>60004</v>
      </c>
      <c r="AK77" s="741" t="str">
        <f aca="false">BI77</f>
        <v>Rock Material</v>
      </c>
      <c r="AL77" s="318"/>
      <c r="AM77" s="744" t="n">
        <f aca="false">'06-Footings'!D108</f>
        <v>0</v>
      </c>
      <c r="AN77" s="743" t="n">
        <f aca="false">C77+60000</f>
        <v>60004</v>
      </c>
      <c r="AO77" s="741" t="str">
        <f aca="false">BI77</f>
        <v>Rock Material</v>
      </c>
      <c r="AP77" s="318"/>
      <c r="AQ77" s="744" t="n">
        <f aca="false">'06-Garage Walls &amp; Footings'!D108</f>
        <v>0</v>
      </c>
      <c r="AR77" s="743" t="n">
        <f aca="false">G77+60000</f>
        <v>60000</v>
      </c>
      <c r="AS77" s="741" t="str">
        <f aca="false">BM77</f>
        <v>Rock Material</v>
      </c>
      <c r="AT77" s="318"/>
      <c r="AU77" s="744" t="n">
        <f aca="false">'06-Garage Footings'!D108</f>
        <v>0</v>
      </c>
      <c r="AV77" s="746" t="n">
        <f aca="false">C77+70000</f>
        <v>70004</v>
      </c>
      <c r="AW77" s="543" t="str">
        <f aca="false">D77</f>
        <v>Rock Material</v>
      </c>
      <c r="AX77" s="318"/>
      <c r="AY77" s="742" t="n">
        <f aca="false">'07-COLUMNS'!D123</f>
        <v>0</v>
      </c>
      <c r="AZ77" s="743" t="n">
        <f aca="false">C77+80000</f>
        <v>80004</v>
      </c>
      <c r="BA77" s="741" t="str">
        <f aca="false">D77</f>
        <v>Rock Material</v>
      </c>
      <c r="BB77" s="318"/>
      <c r="BC77" s="742" t="n">
        <f aca="false">'08-CIP EL. DECK'!D156</f>
        <v>0</v>
      </c>
      <c r="BD77" s="747" t="n">
        <f aca="false">C77+90000</f>
        <v>90004</v>
      </c>
      <c r="BE77" s="741" t="str">
        <f aca="false">D77</f>
        <v>Rock Material</v>
      </c>
      <c r="BF77" s="318"/>
      <c r="BG77" s="742" t="n">
        <f aca="false">'09-SLAB ON DECK'!E122</f>
        <v>0</v>
      </c>
      <c r="BH77" s="747" t="n">
        <f aca="false">C77+100000</f>
        <v>100004</v>
      </c>
      <c r="BI77" s="543" t="str">
        <f aca="false">D77</f>
        <v>Rock Material</v>
      </c>
      <c r="BJ77" s="318"/>
      <c r="BK77" s="742" t="n">
        <f aca="false">'10-PAVING'!D103</f>
        <v>0</v>
      </c>
      <c r="BL77" s="747" t="n">
        <f aca="false">C77+110000</f>
        <v>110004</v>
      </c>
      <c r="BM77" s="543" t="str">
        <f aca="false">D77</f>
        <v>Rock Material</v>
      </c>
      <c r="BN77" s="318"/>
      <c r="BO77" s="742" t="n">
        <f aca="false">'11-Sidewalks'!D100</f>
        <v>0</v>
      </c>
      <c r="BP77" s="747" t="n">
        <f aca="false">C77+120000</f>
        <v>120004</v>
      </c>
      <c r="BQ77" s="543" t="str">
        <f aca="false">D77</f>
        <v>Rock Material</v>
      </c>
      <c r="BR77" s="318"/>
      <c r="BS77" s="742" t="n">
        <f aca="false">'12-PANELS'!F118</f>
        <v>0</v>
      </c>
      <c r="BT77" s="745" t="n">
        <f aca="false">C77+130000</f>
        <v>130004</v>
      </c>
      <c r="BU77" s="741" t="str">
        <f aca="false">M77</f>
        <v>Rock Material</v>
      </c>
      <c r="BV77" s="318"/>
      <c r="BW77" s="742" t="n">
        <f aca="false">'13-Miscellaneous'!E51</f>
        <v>0</v>
      </c>
      <c r="BX77" s="743" t="n">
        <f aca="false">C77+140000</f>
        <v>140004</v>
      </c>
      <c r="BY77" s="741" t="str">
        <f aca="false">Q77</f>
        <v>Rock Material</v>
      </c>
      <c r="BZ77" s="318"/>
      <c r="CA77" s="742"/>
    </row>
    <row r="78" customFormat="false" ht="21" hidden="false" customHeight="true" outlineLevel="0" collapsed="false">
      <c r="A78" s="737"/>
      <c r="B78" s="427" t="n">
        <v>5</v>
      </c>
      <c r="C78" s="739" t="s">
        <v>1088</v>
      </c>
      <c r="D78" s="543" t="s">
        <v>1089</v>
      </c>
      <c r="E78" s="543"/>
      <c r="F78" s="318"/>
      <c r="G78" s="742" t="n">
        <f aca="false">K78+BK78+AI78+W78+AA78+AY78+BS78+BC78+BG78+S78+O78+BW78+BO78+AE78+AM78+AQ78+AU78</f>
        <v>121229.03886842</v>
      </c>
      <c r="H78" s="747" t="n">
        <f aca="false">C78+10000</f>
        <v>10005</v>
      </c>
      <c r="I78" s="543" t="str">
        <f aca="false">D78</f>
        <v>Reinforcement Material</v>
      </c>
      <c r="J78" s="318"/>
      <c r="K78" s="742" t="n">
        <f aca="false">'01-Piers'!E98</f>
        <v>58241.0543678564</v>
      </c>
      <c r="L78" s="743" t="n">
        <f aca="false">C78+20000</f>
        <v>20005</v>
      </c>
      <c r="M78" s="543" t="str">
        <f aca="false">Q78</f>
        <v>Reinforcement Material</v>
      </c>
      <c r="N78" s="318"/>
      <c r="O78" s="742" t="n">
        <f aca="false">'02-Gd Beams'!E106</f>
        <v>0</v>
      </c>
      <c r="P78" s="743" t="n">
        <f aca="false">C78+40000</f>
        <v>40005</v>
      </c>
      <c r="Q78" s="741" t="str">
        <f aca="false">D78</f>
        <v>Reinforcement Material</v>
      </c>
      <c r="R78" s="318"/>
      <c r="S78" s="744" t="n">
        <f aca="false">'04-PT Slab on Grade Wrap'!E124</f>
        <v>0</v>
      </c>
      <c r="T78" s="743" t="n">
        <f aca="false">C78+40000</f>
        <v>40005</v>
      </c>
      <c r="U78" s="543" t="str">
        <f aca="false">D78</f>
        <v>Reinforcement Material</v>
      </c>
      <c r="V78" s="318"/>
      <c r="W78" s="744" t="n">
        <f aca="false">'04-PT Slab on Grade'!E124</f>
        <v>42907.2763681767</v>
      </c>
      <c r="X78" s="743" t="n">
        <f aca="false">C78+50000</f>
        <v>50005</v>
      </c>
      <c r="Y78" s="741" t="str">
        <f aca="false">D78</f>
        <v>Reinforcement Material</v>
      </c>
      <c r="Z78" s="318"/>
      <c r="AA78" s="744" t="n">
        <f aca="false">'05-Slabs'!E124</f>
        <v>0</v>
      </c>
      <c r="AB78" s="743" t="n">
        <f aca="false">C78+30000</f>
        <v>30005</v>
      </c>
      <c r="AC78" s="741" t="str">
        <f aca="false">BE78</f>
        <v>Reinforcement Material</v>
      </c>
      <c r="AD78" s="318"/>
      <c r="AE78" s="744" t="n">
        <f aca="false">'03-Walls &amp; Footings'!D109</f>
        <v>0</v>
      </c>
      <c r="AF78" s="743" t="n">
        <f aca="false">C78+60000</f>
        <v>60005</v>
      </c>
      <c r="AG78" s="741" t="str">
        <f aca="false">BI78</f>
        <v>Reinforcement Material</v>
      </c>
      <c r="AH78" s="318"/>
      <c r="AI78" s="744" t="n">
        <f aca="false">'06-Walls &amp; Footings'!D109</f>
        <v>20080.7081323866</v>
      </c>
      <c r="AJ78" s="743" t="n">
        <f aca="false">C78+60000</f>
        <v>60005</v>
      </c>
      <c r="AK78" s="741" t="str">
        <f aca="false">BI78</f>
        <v>Reinforcement Material</v>
      </c>
      <c r="AL78" s="318"/>
      <c r="AM78" s="744" t="n">
        <f aca="false">'06-Footings'!D109</f>
        <v>0</v>
      </c>
      <c r="AN78" s="743" t="n">
        <f aca="false">C78+60000</f>
        <v>60005</v>
      </c>
      <c r="AO78" s="741" t="str">
        <f aca="false">BI78</f>
        <v>Reinforcement Material</v>
      </c>
      <c r="AP78" s="318"/>
      <c r="AQ78" s="744" t="n">
        <f aca="false">'06-Garage Walls &amp; Footings'!D109</f>
        <v>0</v>
      </c>
      <c r="AR78" s="743" t="n">
        <f aca="false">G78+60000</f>
        <v>181229.03886842</v>
      </c>
      <c r="AS78" s="741" t="str">
        <f aca="false">BM78</f>
        <v>Reinforcement Material</v>
      </c>
      <c r="AT78" s="318"/>
      <c r="AU78" s="744" t="n">
        <f aca="false">'06-Garage Footings'!D109</f>
        <v>0</v>
      </c>
      <c r="AV78" s="746" t="n">
        <f aca="false">C78+70000</f>
        <v>70005</v>
      </c>
      <c r="AW78" s="543" t="str">
        <f aca="false">D78</f>
        <v>Reinforcement Material</v>
      </c>
      <c r="AX78" s="318"/>
      <c r="AY78" s="742" t="n">
        <f aca="false">'07-COLUMNS'!D124</f>
        <v>0</v>
      </c>
      <c r="AZ78" s="743" t="n">
        <f aca="false">C78+80000</f>
        <v>80005</v>
      </c>
      <c r="BA78" s="741" t="str">
        <f aca="false">D78</f>
        <v>Reinforcement Material</v>
      </c>
      <c r="BB78" s="318"/>
      <c r="BC78" s="742" t="n">
        <f aca="false">'08-CIP EL. DECK'!D157</f>
        <v>0</v>
      </c>
      <c r="BD78" s="747" t="n">
        <f aca="false">C78+90000</f>
        <v>90005</v>
      </c>
      <c r="BE78" s="741" t="str">
        <f aca="false">D78</f>
        <v>Reinforcement Material</v>
      </c>
      <c r="BF78" s="318"/>
      <c r="BG78" s="742" t="n">
        <f aca="false">'09-SLAB ON DECK'!E123</f>
        <v>0</v>
      </c>
      <c r="BH78" s="747" t="n">
        <f aca="false">C78+100000</f>
        <v>100005</v>
      </c>
      <c r="BI78" s="543" t="str">
        <f aca="false">D78</f>
        <v>Reinforcement Material</v>
      </c>
      <c r="BJ78" s="318"/>
      <c r="BK78" s="742" t="n">
        <f aca="false">'10-PAVING'!D104</f>
        <v>0</v>
      </c>
      <c r="BL78" s="747" t="n">
        <f aca="false">C78+110000</f>
        <v>110005</v>
      </c>
      <c r="BM78" s="543" t="str">
        <f aca="false">D78</f>
        <v>Reinforcement Material</v>
      </c>
      <c r="BN78" s="318"/>
      <c r="BO78" s="742" t="n">
        <f aca="false">'11-Sidewalks'!D101</f>
        <v>0</v>
      </c>
      <c r="BP78" s="747" t="n">
        <f aca="false">C78+120000</f>
        <v>120005</v>
      </c>
      <c r="BQ78" s="543" t="str">
        <f aca="false">D78</f>
        <v>Reinforcement Material</v>
      </c>
      <c r="BR78" s="318"/>
      <c r="BS78" s="742" t="n">
        <f aca="false">'12-PANELS'!F119</f>
        <v>0</v>
      </c>
      <c r="BT78" s="745" t="n">
        <f aca="false">C78+130000</f>
        <v>130005</v>
      </c>
      <c r="BU78" s="741" t="str">
        <f aca="false">M78</f>
        <v>Reinforcement Material</v>
      </c>
      <c r="BV78" s="318"/>
      <c r="BW78" s="742" t="n">
        <f aca="false">'13-Miscellaneous'!E52</f>
        <v>0</v>
      </c>
      <c r="BX78" s="743" t="n">
        <f aca="false">C78+140000</f>
        <v>140005</v>
      </c>
      <c r="BY78" s="741" t="str">
        <f aca="false">Q78</f>
        <v>Reinforcement Material</v>
      </c>
      <c r="BZ78" s="318"/>
      <c r="CA78" s="742"/>
    </row>
    <row r="79" customFormat="false" ht="21" hidden="false" customHeight="true" outlineLevel="0" collapsed="false">
      <c r="A79" s="737"/>
      <c r="B79" s="427" t="n">
        <v>6</v>
      </c>
      <c r="C79" s="748" t="s">
        <v>1090</v>
      </c>
      <c r="D79" s="543" t="s">
        <v>1091</v>
      </c>
      <c r="E79" s="543"/>
      <c r="F79" s="749"/>
      <c r="G79" s="742" t="n">
        <f aca="false">K79+BK79+AI79+W79+AA79+AY79+BS79+BC79+BG79+S79+O79+BW79+BO79+AE79+AM79+AQ79+AU79</f>
        <v>10315.6084115311</v>
      </c>
      <c r="H79" s="745" t="n">
        <f aca="false">C79+10000</f>
        <v>10006</v>
      </c>
      <c r="I79" s="543" t="str">
        <f aca="false">D79</f>
        <v>Reinforcement Accessories</v>
      </c>
      <c r="J79" s="749"/>
      <c r="K79" s="742" t="n">
        <f aca="false">'01-Piers'!E99</f>
        <v>7219.01300378568</v>
      </c>
      <c r="L79" s="750" t="n">
        <f aca="false">C79+20000</f>
        <v>20006</v>
      </c>
      <c r="M79" s="543" t="str">
        <f aca="false">Q79</f>
        <v>Reinforcement Accessories</v>
      </c>
      <c r="N79" s="749"/>
      <c r="O79" s="751" t="n">
        <f aca="false">'02-Gd Beams'!E107</f>
        <v>0</v>
      </c>
      <c r="P79" s="743" t="n">
        <f aca="false">C79+40000</f>
        <v>40006</v>
      </c>
      <c r="Q79" s="543" t="str">
        <f aca="false">D79</f>
        <v>Reinforcement Accessories</v>
      </c>
      <c r="R79" s="749"/>
      <c r="S79" s="744" t="n">
        <f aca="false">'04-PT Slab on Grade Wrap'!E125</f>
        <v>0</v>
      </c>
      <c r="T79" s="743" t="n">
        <f aca="false">C79+40000</f>
        <v>40006</v>
      </c>
      <c r="U79" s="543" t="str">
        <f aca="false">D79</f>
        <v>Reinforcement Accessories</v>
      </c>
      <c r="V79" s="749"/>
      <c r="W79" s="752" t="n">
        <f aca="false">'04-PT Slab on Grade'!E125</f>
        <v>1747.48211730589</v>
      </c>
      <c r="X79" s="750" t="n">
        <f aca="false">C79+50000</f>
        <v>50006</v>
      </c>
      <c r="Y79" s="543" t="str">
        <f aca="false">D79</f>
        <v>Reinforcement Accessories</v>
      </c>
      <c r="Z79" s="749"/>
      <c r="AA79" s="744" t="n">
        <f aca="false">'05-Slabs'!E125</f>
        <v>0</v>
      </c>
      <c r="AB79" s="743" t="n">
        <f aca="false">C79+30000</f>
        <v>30006</v>
      </c>
      <c r="AC79" s="543" t="str">
        <f aca="false">BE79</f>
        <v>Reinforcement Accessories</v>
      </c>
      <c r="AD79" s="749"/>
      <c r="AE79" s="744" t="n">
        <f aca="false">'03-Walls &amp; Footings'!D110</f>
        <v>0</v>
      </c>
      <c r="AF79" s="750" t="n">
        <f aca="false">C79+60000</f>
        <v>60006</v>
      </c>
      <c r="AG79" s="543" t="str">
        <f aca="false">BI79</f>
        <v>Reinforcement Accessories</v>
      </c>
      <c r="AH79" s="749"/>
      <c r="AI79" s="752" t="n">
        <f aca="false">'06-Walls &amp; Footings'!D110</f>
        <v>1349.11329043958</v>
      </c>
      <c r="AJ79" s="750" t="n">
        <f aca="false">C79+60000</f>
        <v>60006</v>
      </c>
      <c r="AK79" s="543" t="str">
        <f aca="false">BI79</f>
        <v>Reinforcement Accessories</v>
      </c>
      <c r="AL79" s="749"/>
      <c r="AM79" s="752" t="n">
        <f aca="false">'06-Footings'!D110</f>
        <v>0</v>
      </c>
      <c r="AN79" s="750" t="n">
        <f aca="false">C79+60000</f>
        <v>60006</v>
      </c>
      <c r="AO79" s="543" t="str">
        <f aca="false">BI79</f>
        <v>Reinforcement Accessories</v>
      </c>
      <c r="AP79" s="749"/>
      <c r="AQ79" s="744" t="n">
        <f aca="false">'06-Garage Walls &amp; Footings'!D110</f>
        <v>0</v>
      </c>
      <c r="AR79" s="750" t="n">
        <f aca="false">G79+60000</f>
        <v>70315.6084115311</v>
      </c>
      <c r="AS79" s="543" t="str">
        <f aca="false">BM79</f>
        <v>Reinforcement Accessories</v>
      </c>
      <c r="AT79" s="749"/>
      <c r="AU79" s="744" t="n">
        <f aca="false">'06-Garage Footings'!D110</f>
        <v>0</v>
      </c>
      <c r="AV79" s="750" t="n">
        <f aca="false">C79+70000</f>
        <v>70006</v>
      </c>
      <c r="AW79" s="543" t="str">
        <f aca="false">D79</f>
        <v>Reinforcement Accessories</v>
      </c>
      <c r="AX79" s="749"/>
      <c r="AY79" s="751" t="n">
        <f aca="false">'07-COLUMNS'!D125</f>
        <v>0</v>
      </c>
      <c r="AZ79" s="750" t="n">
        <f aca="false">C79+80000</f>
        <v>80006</v>
      </c>
      <c r="BA79" s="543" t="str">
        <f aca="false">D79</f>
        <v>Reinforcement Accessories</v>
      </c>
      <c r="BB79" s="749"/>
      <c r="BC79" s="742" t="n">
        <f aca="false">'08-CIP EL. DECK'!D158</f>
        <v>0</v>
      </c>
      <c r="BD79" s="745" t="n">
        <f aca="false">C79+90000</f>
        <v>90006</v>
      </c>
      <c r="BE79" s="543" t="str">
        <f aca="false">D79</f>
        <v>Reinforcement Accessories</v>
      </c>
      <c r="BF79" s="749"/>
      <c r="BG79" s="751" t="n">
        <f aca="false">'09-SLAB ON DECK'!E124</f>
        <v>0</v>
      </c>
      <c r="BH79" s="745" t="n">
        <f aca="false">C79+100000</f>
        <v>100006</v>
      </c>
      <c r="BI79" s="543" t="str">
        <f aca="false">D79</f>
        <v>Reinforcement Accessories</v>
      </c>
      <c r="BJ79" s="749"/>
      <c r="BK79" s="751" t="n">
        <f aca="false">'10-PAVING'!D105</f>
        <v>0</v>
      </c>
      <c r="BL79" s="745" t="n">
        <f aca="false">C79+110000</f>
        <v>110006</v>
      </c>
      <c r="BM79" s="543" t="str">
        <f aca="false">D79</f>
        <v>Reinforcement Accessories</v>
      </c>
      <c r="BN79" s="749"/>
      <c r="BO79" s="751" t="n">
        <f aca="false">'11-Sidewalks'!D102</f>
        <v>0</v>
      </c>
      <c r="BP79" s="745" t="n">
        <f aca="false">C79+120000</f>
        <v>120006</v>
      </c>
      <c r="BQ79" s="543" t="str">
        <f aca="false">D79</f>
        <v>Reinforcement Accessories</v>
      </c>
      <c r="BR79" s="749"/>
      <c r="BS79" s="742" t="n">
        <f aca="false">'12-PANELS'!F120</f>
        <v>0</v>
      </c>
      <c r="BT79" s="745" t="n">
        <f aca="false">C79+130000</f>
        <v>130006</v>
      </c>
      <c r="BU79" s="543" t="str">
        <f aca="false">M79</f>
        <v>Reinforcement Accessories</v>
      </c>
      <c r="BV79" s="749"/>
      <c r="BW79" s="751" t="n">
        <f aca="false">'13-Miscellaneous'!E53</f>
        <v>0</v>
      </c>
      <c r="BX79" s="743" t="n">
        <f aca="false">C79+140000</f>
        <v>140006</v>
      </c>
      <c r="BY79" s="543" t="str">
        <f aca="false">Q79</f>
        <v>Reinforcement Accessories</v>
      </c>
      <c r="BZ79" s="749"/>
      <c r="CA79" s="751"/>
    </row>
    <row r="80" customFormat="false" ht="21" hidden="false" customHeight="true" outlineLevel="0" collapsed="false">
      <c r="A80" s="737"/>
      <c r="B80" s="427" t="n">
        <v>7</v>
      </c>
      <c r="C80" s="739" t="s">
        <v>1092</v>
      </c>
      <c r="D80" s="741" t="s">
        <v>1093</v>
      </c>
      <c r="E80" s="741"/>
      <c r="F80" s="318"/>
      <c r="G80" s="742" t="n">
        <f aca="false">K80+BK80+AI80+W80+AA80+AY80+BS80+BC80+BG80+S80+O80+BW80+BO80+AE80+AM80+AQ80+AU80</f>
        <v>57713.000375</v>
      </c>
      <c r="H80" s="747" t="n">
        <f aca="false">C80+10000</f>
        <v>10007</v>
      </c>
      <c r="I80" s="741" t="str">
        <f aca="false">D80</f>
        <v>PT Cables</v>
      </c>
      <c r="J80" s="318"/>
      <c r="K80" s="742" t="n">
        <f aca="false">'01-Piers'!E100</f>
        <v>0</v>
      </c>
      <c r="L80" s="747" t="n">
        <f aca="false">C80+20000</f>
        <v>20007</v>
      </c>
      <c r="M80" s="741" t="str">
        <f aca="false">Q80</f>
        <v>PT Cables</v>
      </c>
      <c r="N80" s="318"/>
      <c r="O80" s="742" t="n">
        <f aca="false">'02-Gd Beams'!E108</f>
        <v>0</v>
      </c>
      <c r="P80" s="743" t="n">
        <f aca="false">C80+40000</f>
        <v>40007</v>
      </c>
      <c r="Q80" s="741" t="str">
        <f aca="false">D80</f>
        <v>PT Cables</v>
      </c>
      <c r="R80" s="318"/>
      <c r="S80" s="744" t="n">
        <f aca="false">'04-PT Slab on Grade Wrap'!E126</f>
        <v>0</v>
      </c>
      <c r="T80" s="743" t="n">
        <f aca="false">C80+40000</f>
        <v>40007</v>
      </c>
      <c r="U80" s="741" t="str">
        <f aca="false">D80</f>
        <v>PT Cables</v>
      </c>
      <c r="V80" s="318"/>
      <c r="W80" s="744" t="n">
        <f aca="false">'04-PT Slab on Grade'!E126</f>
        <v>57713.000375</v>
      </c>
      <c r="X80" s="747" t="n">
        <f aca="false">C80+50000</f>
        <v>50007</v>
      </c>
      <c r="Y80" s="741" t="str">
        <f aca="false">D80</f>
        <v>PT Cables</v>
      </c>
      <c r="Z80" s="318"/>
      <c r="AA80" s="744" t="n">
        <f aca="false">'05-Slabs'!E126</f>
        <v>0</v>
      </c>
      <c r="AB80" s="743" t="n">
        <f aca="false">C80+30000</f>
        <v>30007</v>
      </c>
      <c r="AC80" s="741" t="str">
        <f aca="false">BE80</f>
        <v>PT Cables</v>
      </c>
      <c r="AD80" s="318"/>
      <c r="AE80" s="744" t="n">
        <f aca="false">'03-Walls &amp; Footings'!D111</f>
        <v>0</v>
      </c>
      <c r="AF80" s="747" t="n">
        <f aca="false">C80+60000</f>
        <v>60007</v>
      </c>
      <c r="AG80" s="741" t="str">
        <f aca="false">BI80</f>
        <v>PT Cables</v>
      </c>
      <c r="AH80" s="318"/>
      <c r="AI80" s="744" t="n">
        <f aca="false">'06-Walls &amp; Footings'!D111</f>
        <v>0</v>
      </c>
      <c r="AJ80" s="747" t="n">
        <f aca="false">C80+60000</f>
        <v>60007</v>
      </c>
      <c r="AK80" s="741" t="str">
        <f aca="false">BI80</f>
        <v>PT Cables</v>
      </c>
      <c r="AL80" s="318"/>
      <c r="AM80" s="744" t="n">
        <f aca="false">'06-Footings'!D111</f>
        <v>0</v>
      </c>
      <c r="AN80" s="747" t="n">
        <f aca="false">C80+60000</f>
        <v>60007</v>
      </c>
      <c r="AO80" s="741" t="str">
        <f aca="false">BI80</f>
        <v>PT Cables</v>
      </c>
      <c r="AP80" s="318"/>
      <c r="AQ80" s="744" t="n">
        <f aca="false">'06-Garage Walls &amp; Footings'!D111</f>
        <v>0</v>
      </c>
      <c r="AR80" s="747" t="n">
        <f aca="false">G80+60000</f>
        <v>117713.000375</v>
      </c>
      <c r="AS80" s="741" t="str">
        <f aca="false">BM80</f>
        <v>PT Cables</v>
      </c>
      <c r="AT80" s="318"/>
      <c r="AU80" s="744" t="n">
        <f aca="false">'06-Garage Footings'!D111</f>
        <v>0</v>
      </c>
      <c r="AV80" s="747" t="n">
        <f aca="false">C80+70000</f>
        <v>70007</v>
      </c>
      <c r="AW80" s="741" t="str">
        <f aca="false">D80</f>
        <v>PT Cables</v>
      </c>
      <c r="AX80" s="318"/>
      <c r="AY80" s="742" t="n">
        <f aca="false">'07-COLUMNS'!D126</f>
        <v>0</v>
      </c>
      <c r="AZ80" s="747" t="n">
        <f aca="false">C80+80000</f>
        <v>80007</v>
      </c>
      <c r="BA80" s="741" t="str">
        <f aca="false">D80</f>
        <v>PT Cables</v>
      </c>
      <c r="BB80" s="318"/>
      <c r="BC80" s="742" t="n">
        <f aca="false">'08-CIP EL. DECK'!D159</f>
        <v>0</v>
      </c>
      <c r="BD80" s="747" t="n">
        <f aca="false">C80+90000</f>
        <v>90007</v>
      </c>
      <c r="BE80" s="741" t="str">
        <f aca="false">D80</f>
        <v>PT Cables</v>
      </c>
      <c r="BF80" s="318"/>
      <c r="BG80" s="742" t="n">
        <f aca="false">'09-SLAB ON DECK'!E125</f>
        <v>0</v>
      </c>
      <c r="BH80" s="747" t="n">
        <f aca="false">C80+100000</f>
        <v>100007</v>
      </c>
      <c r="BI80" s="741" t="str">
        <f aca="false">D80</f>
        <v>PT Cables</v>
      </c>
      <c r="BJ80" s="318"/>
      <c r="BK80" s="742" t="n">
        <f aca="false">'10-PAVING'!D106</f>
        <v>0</v>
      </c>
      <c r="BL80" s="747" t="n">
        <f aca="false">C80+110000</f>
        <v>110007</v>
      </c>
      <c r="BM80" s="741" t="str">
        <f aca="false">D80</f>
        <v>PT Cables</v>
      </c>
      <c r="BN80" s="318"/>
      <c r="BO80" s="742" t="n">
        <f aca="false">'11-Sidewalks'!D103</f>
        <v>0</v>
      </c>
      <c r="BP80" s="747" t="n">
        <f aca="false">C80+120000</f>
        <v>120007</v>
      </c>
      <c r="BQ80" s="741" t="str">
        <f aca="false">D80</f>
        <v>PT Cables</v>
      </c>
      <c r="BR80" s="318"/>
      <c r="BS80" s="742" t="n">
        <f aca="false">'12-PANELS'!F121</f>
        <v>0</v>
      </c>
      <c r="BT80" s="747" t="n">
        <f aca="false">C80+130000</f>
        <v>130007</v>
      </c>
      <c r="BU80" s="741" t="str">
        <f aca="false">M80</f>
        <v>PT Cables</v>
      </c>
      <c r="BV80" s="318"/>
      <c r="BW80" s="742" t="n">
        <f aca="false">'13-Miscellaneous'!E54</f>
        <v>0</v>
      </c>
      <c r="BX80" s="743" t="n">
        <f aca="false">C80+140000</f>
        <v>140007</v>
      </c>
      <c r="BY80" s="741" t="str">
        <f aca="false">Q80</f>
        <v>PT Cables</v>
      </c>
      <c r="BZ80" s="318"/>
      <c r="CA80" s="742"/>
    </row>
    <row r="81" customFormat="false" ht="21" hidden="false" customHeight="true" outlineLevel="0" collapsed="false">
      <c r="A81" s="737"/>
      <c r="B81" s="427" t="n">
        <v>8</v>
      </c>
      <c r="C81" s="748" t="s">
        <v>1094</v>
      </c>
      <c r="D81" s="543" t="s">
        <v>1095</v>
      </c>
      <c r="E81" s="543"/>
      <c r="F81" s="749"/>
      <c r="G81" s="742" t="n">
        <f aca="false">K81+BK81+AI81+W81+AA81+AY81+BS81+BC81+BG81+S81+O81+BW81+BO81+AE81+AM81+AQ81+AU81</f>
        <v>463089.015914277</v>
      </c>
      <c r="H81" s="750" t="n">
        <f aca="false">C81+10000</f>
        <v>10008</v>
      </c>
      <c r="I81" s="543" t="str">
        <f aca="false">D81</f>
        <v>Concrete Material</v>
      </c>
      <c r="J81" s="749"/>
      <c r="K81" s="742" t="n">
        <f aca="false">'01-Piers'!E101</f>
        <v>99310.0702477648</v>
      </c>
      <c r="L81" s="750" t="n">
        <f aca="false">C81+20000</f>
        <v>20008</v>
      </c>
      <c r="M81" s="543" t="str">
        <f aca="false">Q81</f>
        <v>Concrete Material</v>
      </c>
      <c r="N81" s="749"/>
      <c r="O81" s="751" t="n">
        <f aca="false">'02-Gd Beams'!E109</f>
        <v>0</v>
      </c>
      <c r="P81" s="743" t="n">
        <f aca="false">C81+40000</f>
        <v>40008</v>
      </c>
      <c r="Q81" s="543" t="str">
        <f aca="false">D81</f>
        <v>Concrete Material</v>
      </c>
      <c r="R81" s="749"/>
      <c r="S81" s="744" t="n">
        <f aca="false">'04-PT Slab on Grade Wrap'!E127</f>
        <v>0</v>
      </c>
      <c r="T81" s="743" t="n">
        <f aca="false">C81+40000</f>
        <v>40008</v>
      </c>
      <c r="U81" s="543" t="str">
        <f aca="false">D81</f>
        <v>Concrete Material</v>
      </c>
      <c r="V81" s="749"/>
      <c r="W81" s="752" t="n">
        <f aca="false">'04-PT Slab on Grade'!E127</f>
        <v>319874.686081173</v>
      </c>
      <c r="X81" s="750" t="n">
        <f aca="false">C81+50000</f>
        <v>50008</v>
      </c>
      <c r="Y81" s="543" t="str">
        <f aca="false">D81</f>
        <v>Concrete Material</v>
      </c>
      <c r="Z81" s="749"/>
      <c r="AA81" s="744" t="n">
        <f aca="false">'05-Slabs'!E127</f>
        <v>0</v>
      </c>
      <c r="AB81" s="743" t="n">
        <f aca="false">C81+30000</f>
        <v>30008</v>
      </c>
      <c r="AC81" s="543" t="str">
        <f aca="false">BE81</f>
        <v>Concrete Material</v>
      </c>
      <c r="AD81" s="749"/>
      <c r="AE81" s="744" t="n">
        <f aca="false">'03-Walls &amp; Footings'!D112</f>
        <v>0</v>
      </c>
      <c r="AF81" s="750" t="n">
        <f aca="false">C81+60000</f>
        <v>60008</v>
      </c>
      <c r="AG81" s="543" t="str">
        <f aca="false">BI81</f>
        <v>Concrete Material</v>
      </c>
      <c r="AH81" s="749"/>
      <c r="AI81" s="752" t="n">
        <f aca="false">'06-Walls &amp; Footings'!D112</f>
        <v>43904.2595853395</v>
      </c>
      <c r="AJ81" s="750" t="n">
        <f aca="false">C81+60000</f>
        <v>60008</v>
      </c>
      <c r="AK81" s="543" t="str">
        <f aca="false">BI81</f>
        <v>Concrete Material</v>
      </c>
      <c r="AL81" s="749"/>
      <c r="AM81" s="752" t="n">
        <f aca="false">'06-Footings'!D112</f>
        <v>0</v>
      </c>
      <c r="AN81" s="750" t="n">
        <f aca="false">C81+60000</f>
        <v>60008</v>
      </c>
      <c r="AO81" s="543" t="str">
        <f aca="false">BI81</f>
        <v>Concrete Material</v>
      </c>
      <c r="AP81" s="749"/>
      <c r="AQ81" s="744" t="n">
        <f aca="false">'06-Garage Walls &amp; Footings'!D112</f>
        <v>0</v>
      </c>
      <c r="AR81" s="750" t="n">
        <f aca="false">G81+60000</f>
        <v>523089.015914277</v>
      </c>
      <c r="AS81" s="543" t="str">
        <f aca="false">BM81</f>
        <v>Concrete Material</v>
      </c>
      <c r="AT81" s="749"/>
      <c r="AU81" s="744" t="n">
        <f aca="false">'06-Garage Footings'!D112</f>
        <v>0</v>
      </c>
      <c r="AV81" s="750" t="n">
        <f aca="false">C81+70000</f>
        <v>70008</v>
      </c>
      <c r="AW81" s="543" t="str">
        <f aca="false">D81</f>
        <v>Concrete Material</v>
      </c>
      <c r="AX81" s="749"/>
      <c r="AY81" s="751" t="n">
        <f aca="false">'07-COLUMNS'!D127</f>
        <v>0</v>
      </c>
      <c r="AZ81" s="750" t="n">
        <f aca="false">C81+80000</f>
        <v>80008</v>
      </c>
      <c r="BA81" s="543" t="str">
        <f aca="false">D81</f>
        <v>Concrete Material</v>
      </c>
      <c r="BB81" s="749"/>
      <c r="BC81" s="742" t="n">
        <f aca="false">'08-CIP EL. DECK'!D160</f>
        <v>0</v>
      </c>
      <c r="BD81" s="750" t="n">
        <f aca="false">C81+90000</f>
        <v>90008</v>
      </c>
      <c r="BE81" s="543" t="str">
        <f aca="false">D81</f>
        <v>Concrete Material</v>
      </c>
      <c r="BF81" s="749"/>
      <c r="BG81" s="751" t="n">
        <f aca="false">'09-SLAB ON DECK'!E126</f>
        <v>0</v>
      </c>
      <c r="BH81" s="750" t="n">
        <f aca="false">C81+100000</f>
        <v>100008</v>
      </c>
      <c r="BI81" s="543" t="str">
        <f aca="false">D81</f>
        <v>Concrete Material</v>
      </c>
      <c r="BJ81" s="749"/>
      <c r="BK81" s="751" t="n">
        <f aca="false">'10-PAVING'!D107</f>
        <v>0</v>
      </c>
      <c r="BL81" s="750" t="n">
        <f aca="false">C81+110000</f>
        <v>110008</v>
      </c>
      <c r="BM81" s="543" t="str">
        <f aca="false">D81</f>
        <v>Concrete Material</v>
      </c>
      <c r="BN81" s="749"/>
      <c r="BO81" s="751" t="n">
        <f aca="false">'11-Sidewalks'!D104</f>
        <v>0</v>
      </c>
      <c r="BP81" s="750" t="n">
        <f aca="false">C81+120000</f>
        <v>120008</v>
      </c>
      <c r="BQ81" s="543" t="str">
        <f aca="false">D81</f>
        <v>Concrete Material</v>
      </c>
      <c r="BR81" s="749"/>
      <c r="BS81" s="742" t="n">
        <f aca="false">'12-PANELS'!F122</f>
        <v>0</v>
      </c>
      <c r="BT81" s="750" t="n">
        <f aca="false">C81+130000</f>
        <v>130008</v>
      </c>
      <c r="BU81" s="543" t="str">
        <f aca="false">M81</f>
        <v>Concrete Material</v>
      </c>
      <c r="BV81" s="749"/>
      <c r="BW81" s="751" t="n">
        <f aca="false">'13-Miscellaneous'!E55</f>
        <v>0</v>
      </c>
      <c r="BX81" s="743" t="n">
        <f aca="false">C81+140000</f>
        <v>140008</v>
      </c>
      <c r="BY81" s="543" t="str">
        <f aca="false">Q81</f>
        <v>Concrete Material</v>
      </c>
      <c r="BZ81" s="749"/>
      <c r="CA81" s="751"/>
    </row>
    <row r="82" customFormat="false" ht="21" hidden="false" customHeight="true" outlineLevel="0" collapsed="false">
      <c r="A82" s="737"/>
      <c r="B82" s="427" t="n">
        <v>9</v>
      </c>
      <c r="C82" s="739" t="s">
        <v>1096</v>
      </c>
      <c r="D82" s="741" t="s">
        <v>1097</v>
      </c>
      <c r="E82" s="741"/>
      <c r="F82" s="318"/>
      <c r="G82" s="742" t="n">
        <f aca="false">K82+BK82+AI82+W82+AA82+AY82+BS82+BC82+BG82+S82+O82+BW82+BO82+AE82+AM82+AQ82+AU82</f>
        <v>0</v>
      </c>
      <c r="H82" s="743" t="n">
        <f aca="false">C82+10000</f>
        <v>10009</v>
      </c>
      <c r="I82" s="741" t="str">
        <f aca="false">D82</f>
        <v>Carton Forms</v>
      </c>
      <c r="J82" s="318"/>
      <c r="K82" s="742" t="n">
        <f aca="false">'01-Piers'!E102</f>
        <v>0</v>
      </c>
      <c r="L82" s="743" t="n">
        <f aca="false">C82+20000</f>
        <v>20009</v>
      </c>
      <c r="M82" s="741" t="str">
        <f aca="false">Q82</f>
        <v>Carton Forms</v>
      </c>
      <c r="N82" s="318"/>
      <c r="O82" s="742" t="n">
        <f aca="false">'02-Gd Beams'!E110</f>
        <v>0</v>
      </c>
      <c r="P82" s="743" t="n">
        <f aca="false">C82+40000</f>
        <v>40009</v>
      </c>
      <c r="Q82" s="741" t="str">
        <f aca="false">D82</f>
        <v>Carton Forms</v>
      </c>
      <c r="R82" s="318"/>
      <c r="S82" s="744" t="n">
        <f aca="false">'04-PT Slab on Grade Wrap'!E128</f>
        <v>0</v>
      </c>
      <c r="T82" s="743" t="n">
        <f aca="false">C82+40000</f>
        <v>40009</v>
      </c>
      <c r="U82" s="741" t="str">
        <f aca="false">D82</f>
        <v>Carton Forms</v>
      </c>
      <c r="V82" s="318"/>
      <c r="W82" s="744" t="n">
        <f aca="false">'04-PT Slab on Grade'!E128</f>
        <v>0</v>
      </c>
      <c r="X82" s="743" t="n">
        <f aca="false">C82+50000</f>
        <v>50009</v>
      </c>
      <c r="Y82" s="741" t="str">
        <f aca="false">D82</f>
        <v>Carton Forms</v>
      </c>
      <c r="Z82" s="318"/>
      <c r="AA82" s="744" t="n">
        <f aca="false">'05-Slabs'!E128</f>
        <v>0</v>
      </c>
      <c r="AB82" s="743" t="n">
        <f aca="false">C82+30000</f>
        <v>30009</v>
      </c>
      <c r="AC82" s="741" t="str">
        <f aca="false">BE82</f>
        <v>Carton Forms</v>
      </c>
      <c r="AD82" s="318"/>
      <c r="AE82" s="744" t="n">
        <f aca="false">'03-Walls &amp; Footings'!D113</f>
        <v>0</v>
      </c>
      <c r="AF82" s="743" t="n">
        <f aca="false">C82+60000</f>
        <v>60009</v>
      </c>
      <c r="AG82" s="741" t="str">
        <f aca="false">BI82</f>
        <v>Carton Forms</v>
      </c>
      <c r="AH82" s="318"/>
      <c r="AI82" s="744" t="n">
        <f aca="false">'06-Walls &amp; Footings'!D113</f>
        <v>0</v>
      </c>
      <c r="AJ82" s="743" t="n">
        <f aca="false">C82+60000</f>
        <v>60009</v>
      </c>
      <c r="AK82" s="741" t="str">
        <f aca="false">BI82</f>
        <v>Carton Forms</v>
      </c>
      <c r="AL82" s="318"/>
      <c r="AM82" s="744" t="n">
        <f aca="false">'06-Footings'!D113</f>
        <v>0</v>
      </c>
      <c r="AN82" s="743" t="n">
        <f aca="false">C82+60000</f>
        <v>60009</v>
      </c>
      <c r="AO82" s="741" t="str">
        <f aca="false">BI82</f>
        <v>Carton Forms</v>
      </c>
      <c r="AP82" s="318"/>
      <c r="AQ82" s="744" t="n">
        <f aca="false">'06-Garage Walls &amp; Footings'!D113</f>
        <v>0</v>
      </c>
      <c r="AR82" s="743" t="n">
        <f aca="false">G82+60000</f>
        <v>60000</v>
      </c>
      <c r="AS82" s="741" t="str">
        <f aca="false">BM82</f>
        <v>Carton Forms</v>
      </c>
      <c r="AT82" s="318"/>
      <c r="AU82" s="744" t="n">
        <f aca="false">'06-Garage Footings'!D113</f>
        <v>0</v>
      </c>
      <c r="AV82" s="743" t="n">
        <f aca="false">C82+70000</f>
        <v>70009</v>
      </c>
      <c r="AW82" s="741" t="str">
        <f aca="false">D82</f>
        <v>Carton Forms</v>
      </c>
      <c r="AX82" s="318"/>
      <c r="AY82" s="742" t="n">
        <f aca="false">'07-COLUMNS'!D128</f>
        <v>0</v>
      </c>
      <c r="AZ82" s="743" t="n">
        <f aca="false">C82+80000</f>
        <v>80009</v>
      </c>
      <c r="BA82" s="741" t="str">
        <f aca="false">D82</f>
        <v>Carton Forms</v>
      </c>
      <c r="BB82" s="318"/>
      <c r="BC82" s="742" t="n">
        <f aca="false">'08-CIP EL. DECK'!D161</f>
        <v>0</v>
      </c>
      <c r="BD82" s="743" t="n">
        <f aca="false">C82+90000</f>
        <v>90009</v>
      </c>
      <c r="BE82" s="741" t="str">
        <f aca="false">D82</f>
        <v>Carton Forms</v>
      </c>
      <c r="BF82" s="318"/>
      <c r="BG82" s="742" t="n">
        <f aca="false">'09-SLAB ON DECK'!E127</f>
        <v>0</v>
      </c>
      <c r="BH82" s="743" t="n">
        <f aca="false">C82+100000</f>
        <v>100009</v>
      </c>
      <c r="BI82" s="741" t="str">
        <f aca="false">D82</f>
        <v>Carton Forms</v>
      </c>
      <c r="BJ82" s="318"/>
      <c r="BK82" s="742" t="n">
        <f aca="false">'10-PAVING'!D108</f>
        <v>0</v>
      </c>
      <c r="BL82" s="743" t="n">
        <f aca="false">C82+110000</f>
        <v>110009</v>
      </c>
      <c r="BM82" s="741" t="str">
        <f aca="false">D82</f>
        <v>Carton Forms</v>
      </c>
      <c r="BN82" s="318"/>
      <c r="BO82" s="742" t="n">
        <f aca="false">'11-Sidewalks'!D105</f>
        <v>0</v>
      </c>
      <c r="BP82" s="743" t="n">
        <f aca="false">C82+120000</f>
        <v>120009</v>
      </c>
      <c r="BQ82" s="741" t="str">
        <f aca="false">D82</f>
        <v>Carton Forms</v>
      </c>
      <c r="BR82" s="318"/>
      <c r="BS82" s="742" t="n">
        <f aca="false">'12-PANELS'!F123</f>
        <v>0</v>
      </c>
      <c r="BT82" s="743" t="n">
        <f aca="false">C82+130000</f>
        <v>130009</v>
      </c>
      <c r="BU82" s="741" t="str">
        <f aca="false">M82</f>
        <v>Carton Forms</v>
      </c>
      <c r="BV82" s="318"/>
      <c r="BW82" s="742" t="n">
        <f aca="false">'13-Miscellaneous'!E56</f>
        <v>0</v>
      </c>
      <c r="BX82" s="743" t="n">
        <f aca="false">C82+140000</f>
        <v>140009</v>
      </c>
      <c r="BY82" s="741" t="str">
        <f aca="false">Q82</f>
        <v>Carton Forms</v>
      </c>
      <c r="BZ82" s="318"/>
      <c r="CA82" s="742"/>
    </row>
    <row r="83" customFormat="false" ht="21" hidden="false" customHeight="true" outlineLevel="0" collapsed="false">
      <c r="A83" s="737"/>
      <c r="B83" s="427" t="n">
        <v>10</v>
      </c>
      <c r="C83" s="748" t="s">
        <v>1098</v>
      </c>
      <c r="D83" s="543" t="s">
        <v>1099</v>
      </c>
      <c r="E83" s="543"/>
      <c r="F83" s="749"/>
      <c r="G83" s="742" t="n">
        <f aca="false">K83+BK83+AI83+W83+AA83+AY83+BS83+BC83+BG83+S83+O83+BW83+BO83+AE83+AM83+AQ83+AU83</f>
        <v>3639.09375</v>
      </c>
      <c r="H83" s="746" t="n">
        <f aca="false">C83+10000</f>
        <v>10010</v>
      </c>
      <c r="I83" s="543" t="str">
        <f aca="false">D83</f>
        <v>Cure/Sealers</v>
      </c>
      <c r="J83" s="749"/>
      <c r="K83" s="742" t="n">
        <f aca="false">'01-Piers'!E103</f>
        <v>614.31875</v>
      </c>
      <c r="L83" s="746" t="n">
        <f aca="false">C83+20000</f>
        <v>20010</v>
      </c>
      <c r="M83" s="543" t="str">
        <f aca="false">Q83</f>
        <v>Cure/Sealers</v>
      </c>
      <c r="N83" s="749"/>
      <c r="O83" s="751" t="n">
        <f aca="false">'02-Gd Beams'!E111</f>
        <v>0</v>
      </c>
      <c r="P83" s="743" t="n">
        <f aca="false">C83+40000</f>
        <v>40010</v>
      </c>
      <c r="Q83" s="543" t="str">
        <f aca="false">D83</f>
        <v>Cure/Sealers</v>
      </c>
      <c r="R83" s="749"/>
      <c r="S83" s="744" t="n">
        <f aca="false">'04-PT Slab on Grade Wrap'!E129</f>
        <v>0</v>
      </c>
      <c r="T83" s="746" t="n">
        <f aca="false">C83+40000</f>
        <v>40010</v>
      </c>
      <c r="U83" s="543" t="str">
        <f aca="false">D83</f>
        <v>Cure/Sealers</v>
      </c>
      <c r="V83" s="749"/>
      <c r="W83" s="752" t="n">
        <f aca="false">'04-PT Slab on Grade'!E129</f>
        <v>2457.275</v>
      </c>
      <c r="X83" s="746" t="n">
        <f aca="false">C83+50000</f>
        <v>50010</v>
      </c>
      <c r="Y83" s="543" t="str">
        <f aca="false">D83</f>
        <v>Cure/Sealers</v>
      </c>
      <c r="Z83" s="749"/>
      <c r="AA83" s="744" t="n">
        <f aca="false">'05-Slabs'!E129</f>
        <v>0</v>
      </c>
      <c r="AB83" s="743" t="n">
        <f aca="false">C83+30000</f>
        <v>30010</v>
      </c>
      <c r="AC83" s="543" t="str">
        <f aca="false">BE83</f>
        <v>Cure/Sealers</v>
      </c>
      <c r="AD83" s="749"/>
      <c r="AE83" s="744" t="n">
        <f aca="false">'03-Walls &amp; Footings'!D114</f>
        <v>0</v>
      </c>
      <c r="AF83" s="746" t="n">
        <f aca="false">C83+60000</f>
        <v>60010</v>
      </c>
      <c r="AG83" s="543" t="str">
        <f aca="false">BI83</f>
        <v>Cure/Sealers</v>
      </c>
      <c r="AH83" s="749"/>
      <c r="AI83" s="752" t="n">
        <f aca="false">'06-Walls &amp; Footings'!D114</f>
        <v>567.5</v>
      </c>
      <c r="AJ83" s="746" t="n">
        <f aca="false">C83+60000</f>
        <v>60010</v>
      </c>
      <c r="AK83" s="543" t="str">
        <f aca="false">BI83</f>
        <v>Cure/Sealers</v>
      </c>
      <c r="AL83" s="749"/>
      <c r="AM83" s="752" t="n">
        <f aca="false">'06-Footings'!D114</f>
        <v>0</v>
      </c>
      <c r="AN83" s="746" t="n">
        <f aca="false">C83+60000</f>
        <v>60010</v>
      </c>
      <c r="AO83" s="543" t="str">
        <f aca="false">BI83</f>
        <v>Cure/Sealers</v>
      </c>
      <c r="AP83" s="749"/>
      <c r="AQ83" s="744" t="n">
        <f aca="false">'06-Garage Walls &amp; Footings'!D114</f>
        <v>0</v>
      </c>
      <c r="AR83" s="746" t="n">
        <f aca="false">G83+60000</f>
        <v>63639.09375</v>
      </c>
      <c r="AS83" s="543" t="str">
        <f aca="false">BM83</f>
        <v>Cure/Sealers</v>
      </c>
      <c r="AT83" s="749"/>
      <c r="AU83" s="744" t="n">
        <f aca="false">'06-Garage Footings'!D114</f>
        <v>0</v>
      </c>
      <c r="AV83" s="746" t="n">
        <f aca="false">C83+70000</f>
        <v>70010</v>
      </c>
      <c r="AW83" s="543" t="str">
        <f aca="false">D83</f>
        <v>Cure/Sealers</v>
      </c>
      <c r="AX83" s="749"/>
      <c r="AY83" s="751" t="n">
        <f aca="false">'07-COLUMNS'!D129</f>
        <v>0</v>
      </c>
      <c r="AZ83" s="746" t="n">
        <f aca="false">C83+80000</f>
        <v>80010</v>
      </c>
      <c r="BA83" s="543" t="str">
        <f aca="false">D83</f>
        <v>Cure/Sealers</v>
      </c>
      <c r="BB83" s="749"/>
      <c r="BC83" s="742" t="n">
        <f aca="false">'08-CIP EL. DECK'!D162</f>
        <v>0</v>
      </c>
      <c r="BD83" s="746" t="n">
        <f aca="false">C83+90000</f>
        <v>90010</v>
      </c>
      <c r="BE83" s="543" t="str">
        <f aca="false">D83</f>
        <v>Cure/Sealers</v>
      </c>
      <c r="BF83" s="749"/>
      <c r="BG83" s="751" t="n">
        <f aca="false">'09-SLAB ON DECK'!E128</f>
        <v>0</v>
      </c>
      <c r="BH83" s="746" t="n">
        <f aca="false">C83+100000</f>
        <v>100010</v>
      </c>
      <c r="BI83" s="543" t="str">
        <f aca="false">D83</f>
        <v>Cure/Sealers</v>
      </c>
      <c r="BJ83" s="749"/>
      <c r="BK83" s="751" t="n">
        <f aca="false">'10-PAVING'!D109</f>
        <v>0</v>
      </c>
      <c r="BL83" s="746" t="n">
        <f aca="false">C83+110000</f>
        <v>110010</v>
      </c>
      <c r="BM83" s="543" t="str">
        <f aca="false">D83</f>
        <v>Cure/Sealers</v>
      </c>
      <c r="BN83" s="749"/>
      <c r="BO83" s="751" t="n">
        <f aca="false">'11-Sidewalks'!D106</f>
        <v>0</v>
      </c>
      <c r="BP83" s="746" t="n">
        <f aca="false">C83+120000</f>
        <v>120010</v>
      </c>
      <c r="BQ83" s="543" t="str">
        <f aca="false">D83</f>
        <v>Cure/Sealers</v>
      </c>
      <c r="BR83" s="749"/>
      <c r="BS83" s="742" t="n">
        <f aca="false">'12-PANELS'!F124</f>
        <v>0</v>
      </c>
      <c r="BT83" s="746" t="n">
        <f aca="false">C83+130000</f>
        <v>130010</v>
      </c>
      <c r="BU83" s="543" t="str">
        <f aca="false">M83</f>
        <v>Cure/Sealers</v>
      </c>
      <c r="BV83" s="749"/>
      <c r="BW83" s="751" t="n">
        <f aca="false">'13-Miscellaneous'!E57</f>
        <v>0</v>
      </c>
      <c r="BX83" s="743" t="n">
        <f aca="false">C83+140000</f>
        <v>140010</v>
      </c>
      <c r="BY83" s="543" t="str">
        <f aca="false">Q83</f>
        <v>Cure/Sealers</v>
      </c>
      <c r="BZ83" s="749"/>
      <c r="CA83" s="751"/>
    </row>
    <row r="84" customFormat="false" ht="21" hidden="false" customHeight="true" outlineLevel="0" collapsed="false">
      <c r="A84" s="737"/>
      <c r="B84" s="427" t="n">
        <v>11</v>
      </c>
      <c r="C84" s="748" t="s">
        <v>1100</v>
      </c>
      <c r="D84" s="543" t="s">
        <v>1101</v>
      </c>
      <c r="E84" s="543"/>
      <c r="F84" s="749"/>
      <c r="G84" s="742" t="n">
        <f aca="false">K84+BK84+AI84+W84+AA84+AY84+BS84+BC84+BG84+S84+O84+BW84+BO84+AE84+AM84+AQ84+AU84</f>
        <v>4366.14408588435</v>
      </c>
      <c r="H84" s="746" t="n">
        <f aca="false">C84+10000</f>
        <v>10011</v>
      </c>
      <c r="I84" s="543" t="str">
        <f aca="false">D84</f>
        <v>Patch/Grout</v>
      </c>
      <c r="J84" s="749"/>
      <c r="K84" s="742" t="n">
        <f aca="false">'01-Piers'!E104</f>
        <v>0</v>
      </c>
      <c r="L84" s="746" t="n">
        <f aca="false">C84+20000</f>
        <v>20011</v>
      </c>
      <c r="M84" s="543" t="str">
        <f aca="false">Q84</f>
        <v>Patch/Grout</v>
      </c>
      <c r="N84" s="749"/>
      <c r="O84" s="751" t="n">
        <f aca="false">'02-Gd Beams'!E112</f>
        <v>0</v>
      </c>
      <c r="P84" s="743" t="n">
        <f aca="false">C84+40000</f>
        <v>40011</v>
      </c>
      <c r="Q84" s="543" t="str">
        <f aca="false">D84</f>
        <v>Patch/Grout</v>
      </c>
      <c r="R84" s="749"/>
      <c r="S84" s="744" t="n">
        <f aca="false">'04-PT Slab on Grade Wrap'!E130</f>
        <v>0</v>
      </c>
      <c r="T84" s="746" t="n">
        <f aca="false">C84+40000</f>
        <v>40011</v>
      </c>
      <c r="U84" s="543" t="str">
        <f aca="false">D84</f>
        <v>Patch/Grout</v>
      </c>
      <c r="V84" s="749"/>
      <c r="W84" s="752" t="n">
        <f aca="false">'04-PT Slab on Grade'!E130</f>
        <v>4366.14408588435</v>
      </c>
      <c r="X84" s="746" t="n">
        <f aca="false">C84+50000</f>
        <v>50011</v>
      </c>
      <c r="Y84" s="543" t="str">
        <f aca="false">D84</f>
        <v>Patch/Grout</v>
      </c>
      <c r="Z84" s="749"/>
      <c r="AA84" s="744" t="n">
        <f aca="false">'05-Slabs'!E130</f>
        <v>0</v>
      </c>
      <c r="AB84" s="743" t="n">
        <f aca="false">C84+30000</f>
        <v>30011</v>
      </c>
      <c r="AC84" s="543" t="str">
        <f aca="false">BE84</f>
        <v>Patch/Grout</v>
      </c>
      <c r="AD84" s="749"/>
      <c r="AE84" s="744" t="n">
        <f aca="false">'03-Walls &amp; Footings'!D115</f>
        <v>0</v>
      </c>
      <c r="AF84" s="746" t="n">
        <f aca="false">C84+60000</f>
        <v>60011</v>
      </c>
      <c r="AG84" s="543" t="str">
        <f aca="false">BI84</f>
        <v>Patch/Grout</v>
      </c>
      <c r="AH84" s="749"/>
      <c r="AI84" s="752" t="n">
        <f aca="false">'06-Walls &amp; Footings'!D115</f>
        <v>0</v>
      </c>
      <c r="AJ84" s="746" t="n">
        <f aca="false">C84+60000</f>
        <v>60011</v>
      </c>
      <c r="AK84" s="543" t="str">
        <f aca="false">BI84</f>
        <v>Patch/Grout</v>
      </c>
      <c r="AL84" s="749"/>
      <c r="AM84" s="752" t="n">
        <f aca="false">'06-Footings'!D115</f>
        <v>0</v>
      </c>
      <c r="AN84" s="746" t="n">
        <f aca="false">C84+60000</f>
        <v>60011</v>
      </c>
      <c r="AO84" s="543" t="str">
        <f aca="false">BI84</f>
        <v>Patch/Grout</v>
      </c>
      <c r="AP84" s="749"/>
      <c r="AQ84" s="744" t="n">
        <f aca="false">'06-Garage Walls &amp; Footings'!D115</f>
        <v>0</v>
      </c>
      <c r="AR84" s="746" t="n">
        <f aca="false">G84+60000</f>
        <v>64366.1440858844</v>
      </c>
      <c r="AS84" s="543" t="str">
        <f aca="false">BM84</f>
        <v>Patch/Grout</v>
      </c>
      <c r="AT84" s="749"/>
      <c r="AU84" s="744" t="n">
        <f aca="false">'06-Garage Footings'!D115</f>
        <v>0</v>
      </c>
      <c r="AV84" s="746" t="n">
        <f aca="false">C84+70000</f>
        <v>70011</v>
      </c>
      <c r="AW84" s="543" t="str">
        <f aca="false">D84</f>
        <v>Patch/Grout</v>
      </c>
      <c r="AX84" s="749"/>
      <c r="AY84" s="751" t="n">
        <f aca="false">'07-COLUMNS'!D130</f>
        <v>0</v>
      </c>
      <c r="AZ84" s="746" t="n">
        <f aca="false">C84+80000</f>
        <v>80011</v>
      </c>
      <c r="BA84" s="543" t="str">
        <f aca="false">D84</f>
        <v>Patch/Grout</v>
      </c>
      <c r="BB84" s="749"/>
      <c r="BC84" s="742" t="n">
        <f aca="false">'08-CIP EL. DECK'!D163</f>
        <v>0</v>
      </c>
      <c r="BD84" s="746" t="n">
        <f aca="false">C84+90000</f>
        <v>90011</v>
      </c>
      <c r="BE84" s="543" t="str">
        <f aca="false">D84</f>
        <v>Patch/Grout</v>
      </c>
      <c r="BF84" s="749"/>
      <c r="BG84" s="751" t="n">
        <f aca="false">'09-SLAB ON DECK'!E129</f>
        <v>0</v>
      </c>
      <c r="BH84" s="746" t="n">
        <f aca="false">C84+100000</f>
        <v>100011</v>
      </c>
      <c r="BI84" s="543" t="str">
        <f aca="false">D84</f>
        <v>Patch/Grout</v>
      </c>
      <c r="BJ84" s="749"/>
      <c r="BK84" s="751" t="n">
        <f aca="false">'10-PAVING'!D110</f>
        <v>0</v>
      </c>
      <c r="BL84" s="746" t="n">
        <f aca="false">C84+110000</f>
        <v>110011</v>
      </c>
      <c r="BM84" s="543" t="str">
        <f aca="false">D84</f>
        <v>Patch/Grout</v>
      </c>
      <c r="BN84" s="749"/>
      <c r="BO84" s="751" t="n">
        <f aca="false">'11-Sidewalks'!D107</f>
        <v>0</v>
      </c>
      <c r="BP84" s="746" t="n">
        <f aca="false">C84+120000</f>
        <v>120011</v>
      </c>
      <c r="BQ84" s="543" t="str">
        <f aca="false">D84</f>
        <v>Patch/Grout</v>
      </c>
      <c r="BR84" s="749"/>
      <c r="BS84" s="742" t="n">
        <f aca="false">'12-PANELS'!F125</f>
        <v>0</v>
      </c>
      <c r="BT84" s="746" t="n">
        <f aca="false">C84+130000</f>
        <v>130011</v>
      </c>
      <c r="BU84" s="543" t="str">
        <f aca="false">M84</f>
        <v>Patch/Grout</v>
      </c>
      <c r="BV84" s="749"/>
      <c r="BW84" s="751" t="n">
        <f aca="false">'13-Miscellaneous'!E58</f>
        <v>0</v>
      </c>
      <c r="BX84" s="743" t="n">
        <f aca="false">C84+140000</f>
        <v>140011</v>
      </c>
      <c r="BY84" s="543" t="str">
        <f aca="false">Q84</f>
        <v>Patch/Grout</v>
      </c>
      <c r="BZ84" s="749"/>
      <c r="CA84" s="751"/>
    </row>
    <row r="85" customFormat="false" ht="21" hidden="false" customHeight="true" outlineLevel="0" collapsed="false">
      <c r="A85" s="737"/>
      <c r="B85" s="427" t="n">
        <v>12</v>
      </c>
      <c r="C85" s="748" t="s">
        <v>1102</v>
      </c>
      <c r="D85" s="543" t="s">
        <v>1103</v>
      </c>
      <c r="E85" s="543"/>
      <c r="F85" s="749"/>
      <c r="G85" s="742" t="n">
        <f aca="false">K85+BK85+AI85+W85+AA85+AY85+BS85+BC85+BG85+S85+O85+BW85+BO85+AE85+AM85+AQ85+AU85</f>
        <v>17993.8059297052</v>
      </c>
      <c r="H85" s="746" t="n">
        <f aca="false">C85+10000</f>
        <v>10012</v>
      </c>
      <c r="I85" s="543" t="str">
        <f aca="false">D85</f>
        <v>Poly/Vapor Barrier</v>
      </c>
      <c r="J85" s="749"/>
      <c r="K85" s="742" t="n">
        <f aca="false">'01-Piers'!E105</f>
        <v>0</v>
      </c>
      <c r="L85" s="746" t="n">
        <f aca="false">C85+20000</f>
        <v>20012</v>
      </c>
      <c r="M85" s="543" t="str">
        <f aca="false">Q85</f>
        <v>Poly/Vapor Barrier</v>
      </c>
      <c r="N85" s="749"/>
      <c r="O85" s="751" t="n">
        <f aca="false">'02-Gd Beams'!E113</f>
        <v>0</v>
      </c>
      <c r="P85" s="743" t="n">
        <f aca="false">C85+40000</f>
        <v>40012</v>
      </c>
      <c r="Q85" s="543" t="str">
        <f aca="false">D85</f>
        <v>Poly/Vapor Barrier</v>
      </c>
      <c r="R85" s="749"/>
      <c r="S85" s="744" t="n">
        <f aca="false">'04-PT Slab on Grade Wrap'!E131</f>
        <v>0</v>
      </c>
      <c r="T85" s="746" t="n">
        <f aca="false">C85+40000</f>
        <v>40012</v>
      </c>
      <c r="U85" s="543" t="str">
        <f aca="false">D85</f>
        <v>Poly/Vapor Barrier</v>
      </c>
      <c r="V85" s="749"/>
      <c r="W85" s="752" t="n">
        <f aca="false">'04-PT Slab on Grade'!E131</f>
        <v>17993.8059297052</v>
      </c>
      <c r="X85" s="746" t="n">
        <f aca="false">C85+50000</f>
        <v>50012</v>
      </c>
      <c r="Y85" s="543" t="str">
        <f aca="false">D85</f>
        <v>Poly/Vapor Barrier</v>
      </c>
      <c r="Z85" s="749"/>
      <c r="AA85" s="744" t="n">
        <f aca="false">'05-Slabs'!E131</f>
        <v>0</v>
      </c>
      <c r="AB85" s="743" t="n">
        <f aca="false">C85+30000</f>
        <v>30012</v>
      </c>
      <c r="AC85" s="543" t="str">
        <f aca="false">BE85</f>
        <v>Poly/Vapor Barrier</v>
      </c>
      <c r="AD85" s="749"/>
      <c r="AE85" s="744" t="n">
        <f aca="false">'03-Walls &amp; Footings'!D116</f>
        <v>0</v>
      </c>
      <c r="AF85" s="746" t="n">
        <f aca="false">C85+60000</f>
        <v>60012</v>
      </c>
      <c r="AG85" s="543" t="str">
        <f aca="false">BI85</f>
        <v>Poly/Vapor Barrier</v>
      </c>
      <c r="AH85" s="749"/>
      <c r="AI85" s="752" t="n">
        <f aca="false">'06-Walls &amp; Footings'!D116</f>
        <v>0</v>
      </c>
      <c r="AJ85" s="746" t="n">
        <f aca="false">C85+60000</f>
        <v>60012</v>
      </c>
      <c r="AK85" s="543" t="str">
        <f aca="false">BI85</f>
        <v>Poly/Vapor Barrier</v>
      </c>
      <c r="AL85" s="749"/>
      <c r="AM85" s="752" t="n">
        <f aca="false">'06-Footings'!D116</f>
        <v>0</v>
      </c>
      <c r="AN85" s="746" t="n">
        <f aca="false">C85+60000</f>
        <v>60012</v>
      </c>
      <c r="AO85" s="543" t="str">
        <f aca="false">BI85</f>
        <v>Poly/Vapor Barrier</v>
      </c>
      <c r="AP85" s="749"/>
      <c r="AQ85" s="744" t="n">
        <f aca="false">'06-Garage Walls &amp; Footings'!D116</f>
        <v>0</v>
      </c>
      <c r="AR85" s="746" t="n">
        <f aca="false">G85+60000</f>
        <v>77993.8059297052</v>
      </c>
      <c r="AS85" s="543" t="str">
        <f aca="false">BM85</f>
        <v>Poly/Vapor Barrier</v>
      </c>
      <c r="AT85" s="749"/>
      <c r="AU85" s="744" t="n">
        <f aca="false">'06-Garage Footings'!D116</f>
        <v>0</v>
      </c>
      <c r="AV85" s="746" t="n">
        <f aca="false">C85+70000</f>
        <v>70012</v>
      </c>
      <c r="AW85" s="543" t="str">
        <f aca="false">D85</f>
        <v>Poly/Vapor Barrier</v>
      </c>
      <c r="AX85" s="749"/>
      <c r="AY85" s="751" t="n">
        <f aca="false">'07-COLUMNS'!D131</f>
        <v>0</v>
      </c>
      <c r="AZ85" s="746" t="n">
        <f aca="false">C85+80000</f>
        <v>80012</v>
      </c>
      <c r="BA85" s="543" t="str">
        <f aca="false">D85</f>
        <v>Poly/Vapor Barrier</v>
      </c>
      <c r="BB85" s="749"/>
      <c r="BC85" s="742" t="n">
        <f aca="false">'08-CIP EL. DECK'!D164</f>
        <v>0</v>
      </c>
      <c r="BD85" s="746" t="n">
        <f aca="false">C85+90000</f>
        <v>90012</v>
      </c>
      <c r="BE85" s="543" t="str">
        <f aca="false">D85</f>
        <v>Poly/Vapor Barrier</v>
      </c>
      <c r="BF85" s="749"/>
      <c r="BG85" s="751" t="n">
        <f aca="false">'09-SLAB ON DECK'!E130</f>
        <v>0</v>
      </c>
      <c r="BH85" s="746" t="n">
        <f aca="false">C85+100000</f>
        <v>100012</v>
      </c>
      <c r="BI85" s="543" t="str">
        <f aca="false">D85</f>
        <v>Poly/Vapor Barrier</v>
      </c>
      <c r="BJ85" s="749"/>
      <c r="BK85" s="751" t="n">
        <f aca="false">'10-PAVING'!D111</f>
        <v>0</v>
      </c>
      <c r="BL85" s="746" t="n">
        <f aca="false">C85+110000</f>
        <v>110012</v>
      </c>
      <c r="BM85" s="543" t="str">
        <f aca="false">D85</f>
        <v>Poly/Vapor Barrier</v>
      </c>
      <c r="BN85" s="749"/>
      <c r="BO85" s="751" t="n">
        <f aca="false">'11-Sidewalks'!D108</f>
        <v>0</v>
      </c>
      <c r="BP85" s="746" t="n">
        <f aca="false">C85+120000</f>
        <v>120012</v>
      </c>
      <c r="BQ85" s="543" t="str">
        <f aca="false">D85</f>
        <v>Poly/Vapor Barrier</v>
      </c>
      <c r="BR85" s="749"/>
      <c r="BS85" s="742" t="n">
        <f aca="false">'12-PANELS'!F126</f>
        <v>0</v>
      </c>
      <c r="BT85" s="746" t="n">
        <f aca="false">C85+130000</f>
        <v>130012</v>
      </c>
      <c r="BU85" s="543" t="str">
        <f aca="false">M85</f>
        <v>Poly/Vapor Barrier</v>
      </c>
      <c r="BV85" s="749"/>
      <c r="BW85" s="751" t="n">
        <f aca="false">'13-Miscellaneous'!E59</f>
        <v>0</v>
      </c>
      <c r="BX85" s="743" t="n">
        <f aca="false">C85+140000</f>
        <v>140012</v>
      </c>
      <c r="BY85" s="543" t="str">
        <f aca="false">Q85</f>
        <v>Poly/Vapor Barrier</v>
      </c>
      <c r="BZ85" s="749"/>
      <c r="CA85" s="751"/>
    </row>
    <row r="86" customFormat="false" ht="21" hidden="false" customHeight="true" outlineLevel="0" collapsed="false">
      <c r="A86" s="737"/>
      <c r="B86" s="427" t="n">
        <v>13</v>
      </c>
      <c r="C86" s="748" t="s">
        <v>1104</v>
      </c>
      <c r="D86" s="543" t="s">
        <v>1105</v>
      </c>
      <c r="E86" s="543"/>
      <c r="F86" s="749"/>
      <c r="G86" s="742" t="n">
        <f aca="false">K86+BK86+AI86+W86+AA86+AY86+BS86+BC86+BG86+S86+O86+BW86+BO86+AE86+AM86+AQ86+AU86</f>
        <v>0</v>
      </c>
      <c r="H86" s="746" t="n">
        <f aca="false">C86+10000</f>
        <v>10013</v>
      </c>
      <c r="I86" s="543" t="str">
        <f aca="false">D86</f>
        <v>Special Material</v>
      </c>
      <c r="J86" s="749"/>
      <c r="K86" s="742" t="n">
        <f aca="false">'01-Piers'!E106</f>
        <v>0</v>
      </c>
      <c r="L86" s="746" t="n">
        <f aca="false">C86+20000</f>
        <v>20013</v>
      </c>
      <c r="M86" s="543" t="str">
        <f aca="false">D86</f>
        <v>Special Material</v>
      </c>
      <c r="N86" s="749"/>
      <c r="O86" s="751" t="n">
        <f aca="false">'02-Gd Beams'!E114</f>
        <v>0</v>
      </c>
      <c r="P86" s="743" t="n">
        <f aca="false">C86+40000</f>
        <v>40013</v>
      </c>
      <c r="Q86" s="543" t="str">
        <f aca="false">D86</f>
        <v>Special Material</v>
      </c>
      <c r="R86" s="749"/>
      <c r="S86" s="744" t="n">
        <f aca="false">'04-PT Slab on Grade Wrap'!E132</f>
        <v>0</v>
      </c>
      <c r="T86" s="746" t="n">
        <f aca="false">C86+40000</f>
        <v>40013</v>
      </c>
      <c r="U86" s="543" t="str">
        <f aca="false">D86</f>
        <v>Special Material</v>
      </c>
      <c r="V86" s="749"/>
      <c r="W86" s="752" t="n">
        <f aca="false">'04-PT Slab on Grade'!E132</f>
        <v>0</v>
      </c>
      <c r="X86" s="746" t="n">
        <f aca="false">C86+50000</f>
        <v>50013</v>
      </c>
      <c r="Y86" s="543" t="str">
        <f aca="false">D86</f>
        <v>Special Material</v>
      </c>
      <c r="Z86" s="749"/>
      <c r="AA86" s="744" t="n">
        <f aca="false">'05-Slabs'!E132</f>
        <v>0</v>
      </c>
      <c r="AB86" s="743" t="n">
        <f aca="false">C86+30000</f>
        <v>30013</v>
      </c>
      <c r="AC86" s="543" t="str">
        <f aca="false">BE86</f>
        <v>Special Material</v>
      </c>
      <c r="AD86" s="749"/>
      <c r="AE86" s="744" t="n">
        <f aca="false">'03-Walls &amp; Footings'!D117</f>
        <v>0</v>
      </c>
      <c r="AF86" s="746" t="n">
        <f aca="false">C86+60000</f>
        <v>60013</v>
      </c>
      <c r="AG86" s="543" t="str">
        <f aca="false">BI86</f>
        <v>Special Material</v>
      </c>
      <c r="AH86" s="749"/>
      <c r="AI86" s="752" t="n">
        <f aca="false">'06-Walls &amp; Footings'!D117</f>
        <v>0</v>
      </c>
      <c r="AJ86" s="746" t="n">
        <f aca="false">C86+60000</f>
        <v>60013</v>
      </c>
      <c r="AK86" s="543" t="str">
        <f aca="false">BI86</f>
        <v>Special Material</v>
      </c>
      <c r="AL86" s="749"/>
      <c r="AM86" s="752" t="n">
        <f aca="false">'06-Footings'!D117</f>
        <v>0</v>
      </c>
      <c r="AN86" s="746" t="n">
        <f aca="false">C86+60000</f>
        <v>60013</v>
      </c>
      <c r="AO86" s="543" t="str">
        <f aca="false">BI86</f>
        <v>Special Material</v>
      </c>
      <c r="AP86" s="749"/>
      <c r="AQ86" s="744" t="n">
        <f aca="false">'06-Garage Walls &amp; Footings'!D117</f>
        <v>0</v>
      </c>
      <c r="AR86" s="746" t="n">
        <f aca="false">G86+60000</f>
        <v>60000</v>
      </c>
      <c r="AS86" s="543" t="str">
        <f aca="false">BM86</f>
        <v>Special Material</v>
      </c>
      <c r="AT86" s="749"/>
      <c r="AU86" s="744" t="n">
        <f aca="false">'06-Garage Footings'!D117</f>
        <v>0</v>
      </c>
      <c r="AV86" s="746" t="n">
        <f aca="false">C86+70000</f>
        <v>70013</v>
      </c>
      <c r="AW86" s="543" t="str">
        <f aca="false">D86</f>
        <v>Special Material</v>
      </c>
      <c r="AX86" s="749"/>
      <c r="AY86" s="751" t="n">
        <f aca="false">'07-COLUMNS'!D132</f>
        <v>0</v>
      </c>
      <c r="AZ86" s="746" t="n">
        <f aca="false">C86+80000</f>
        <v>80013</v>
      </c>
      <c r="BA86" s="543" t="str">
        <f aca="false">D86</f>
        <v>Special Material</v>
      </c>
      <c r="BB86" s="749"/>
      <c r="BC86" s="742" t="n">
        <f aca="false">'08-CIP EL. DECK'!D165</f>
        <v>0</v>
      </c>
      <c r="BD86" s="746" t="n">
        <f aca="false">C86+90000</f>
        <v>90013</v>
      </c>
      <c r="BE86" s="543" t="str">
        <f aca="false">D86</f>
        <v>Special Material</v>
      </c>
      <c r="BF86" s="749"/>
      <c r="BG86" s="751" t="n">
        <f aca="false">'09-SLAB ON DECK'!E131</f>
        <v>0</v>
      </c>
      <c r="BH86" s="746" t="n">
        <f aca="false">C86+100000</f>
        <v>100013</v>
      </c>
      <c r="BI86" s="543" t="str">
        <f aca="false">D86</f>
        <v>Special Material</v>
      </c>
      <c r="BJ86" s="749"/>
      <c r="BK86" s="751" t="n">
        <f aca="false">'10-PAVING'!D112</f>
        <v>0</v>
      </c>
      <c r="BL86" s="746" t="n">
        <f aca="false">C86+110000</f>
        <v>110013</v>
      </c>
      <c r="BM86" s="543" t="str">
        <f aca="false">D86</f>
        <v>Special Material</v>
      </c>
      <c r="BN86" s="749"/>
      <c r="BO86" s="751" t="n">
        <f aca="false">'11-Sidewalks'!D109</f>
        <v>0</v>
      </c>
      <c r="BP86" s="746" t="n">
        <f aca="false">C86+120000</f>
        <v>120013</v>
      </c>
      <c r="BQ86" s="543" t="str">
        <f aca="false">D86</f>
        <v>Special Material</v>
      </c>
      <c r="BR86" s="749"/>
      <c r="BS86" s="742" t="n">
        <f aca="false">'12-PANELS'!F127</f>
        <v>0</v>
      </c>
      <c r="BT86" s="746" t="n">
        <f aca="false">C86+130000</f>
        <v>130013</v>
      </c>
      <c r="BU86" s="543" t="str">
        <f aca="false">M86</f>
        <v>Special Material</v>
      </c>
      <c r="BV86" s="749"/>
      <c r="BW86" s="751" t="n">
        <f aca="false">'13-Miscellaneous'!E60</f>
        <v>0</v>
      </c>
      <c r="BX86" s="743" t="n">
        <f aca="false">C86+140000</f>
        <v>140013</v>
      </c>
      <c r="BY86" s="543" t="str">
        <f aca="false">Q86</f>
        <v>Special Material</v>
      </c>
    </row>
    <row r="87" customFormat="false" ht="21" hidden="false" customHeight="true" outlineLevel="0" collapsed="false">
      <c r="A87" s="737"/>
      <c r="B87" s="427" t="n">
        <v>14</v>
      </c>
      <c r="C87" s="748" t="s">
        <v>1106</v>
      </c>
      <c r="D87" s="543" t="s">
        <v>1105</v>
      </c>
      <c r="E87" s="543"/>
      <c r="F87" s="749"/>
      <c r="G87" s="742" t="n">
        <f aca="false">K87+BK87+AI87+W87+AA87+AY87+BS87+BC87+BG87+S87+O87+BW87+BO87+AE87+AM87+AQ87+AU87</f>
        <v>0</v>
      </c>
      <c r="H87" s="746" t="n">
        <f aca="false">C87+10000</f>
        <v>10014</v>
      </c>
      <c r="I87" s="543" t="str">
        <f aca="false">D87</f>
        <v>Special Material</v>
      </c>
      <c r="J87" s="749"/>
      <c r="K87" s="742" t="n">
        <f aca="false">'01-Piers'!E107</f>
        <v>0</v>
      </c>
      <c r="L87" s="746" t="n">
        <f aca="false">C87+20000</f>
        <v>20014</v>
      </c>
      <c r="M87" s="543" t="str">
        <f aca="false">Q87</f>
        <v>Special Material</v>
      </c>
      <c r="N87" s="749"/>
      <c r="O87" s="751" t="n">
        <f aca="false">'02-Gd Beams'!E115</f>
        <v>0</v>
      </c>
      <c r="P87" s="743" t="n">
        <f aca="false">C87+40000</f>
        <v>40014</v>
      </c>
      <c r="Q87" s="543" t="str">
        <f aca="false">D87</f>
        <v>Special Material</v>
      </c>
      <c r="R87" s="749"/>
      <c r="S87" s="744" t="n">
        <f aca="false">'04-PT Slab on Grade Wrap'!E133</f>
        <v>0</v>
      </c>
      <c r="T87" s="746" t="n">
        <f aca="false">C87+40000</f>
        <v>40014</v>
      </c>
      <c r="U87" s="543" t="str">
        <f aca="false">D87</f>
        <v>Special Material</v>
      </c>
      <c r="V87" s="749"/>
      <c r="W87" s="752" t="n">
        <f aca="false">'04-PT Slab on Grade'!E133</f>
        <v>0</v>
      </c>
      <c r="X87" s="746" t="n">
        <f aca="false">C87+50000</f>
        <v>50014</v>
      </c>
      <c r="Y87" s="543" t="str">
        <f aca="false">D87</f>
        <v>Special Material</v>
      </c>
      <c r="Z87" s="749"/>
      <c r="AA87" s="744" t="n">
        <f aca="false">'05-Slabs'!E133</f>
        <v>0</v>
      </c>
      <c r="AB87" s="743" t="n">
        <f aca="false">C87+30000</f>
        <v>30014</v>
      </c>
      <c r="AC87" s="543" t="str">
        <f aca="false">BE87</f>
        <v>Special Material</v>
      </c>
      <c r="AD87" s="749"/>
      <c r="AE87" s="744" t="n">
        <f aca="false">'03-Walls &amp; Footings'!D118</f>
        <v>0</v>
      </c>
      <c r="AF87" s="746" t="n">
        <f aca="false">C87+60000</f>
        <v>60014</v>
      </c>
      <c r="AG87" s="543" t="str">
        <f aca="false">BI87</f>
        <v>Special Material</v>
      </c>
      <c r="AH87" s="749"/>
      <c r="AI87" s="752" t="n">
        <f aca="false">'06-Walls &amp; Footings'!D118</f>
        <v>0</v>
      </c>
      <c r="AJ87" s="746" t="n">
        <f aca="false">C87+60000</f>
        <v>60014</v>
      </c>
      <c r="AK87" s="543" t="str">
        <f aca="false">BI87</f>
        <v>Special Material</v>
      </c>
      <c r="AL87" s="749"/>
      <c r="AM87" s="752" t="n">
        <f aca="false">'06-Footings'!D118</f>
        <v>0</v>
      </c>
      <c r="AN87" s="746" t="n">
        <f aca="false">C87+60000</f>
        <v>60014</v>
      </c>
      <c r="AO87" s="543" t="str">
        <f aca="false">BI87</f>
        <v>Special Material</v>
      </c>
      <c r="AP87" s="749"/>
      <c r="AQ87" s="744" t="n">
        <f aca="false">'06-Garage Walls &amp; Footings'!D118</f>
        <v>0</v>
      </c>
      <c r="AR87" s="746" t="n">
        <f aca="false">G87+60000</f>
        <v>60000</v>
      </c>
      <c r="AS87" s="543" t="str">
        <f aca="false">BM87</f>
        <v>Special Material</v>
      </c>
      <c r="AT87" s="749"/>
      <c r="AU87" s="744" t="n">
        <f aca="false">'06-Garage Footings'!D118</f>
        <v>0</v>
      </c>
      <c r="AV87" s="746" t="n">
        <f aca="false">C87+70000</f>
        <v>70014</v>
      </c>
      <c r="AW87" s="543" t="str">
        <f aca="false">D87</f>
        <v>Special Material</v>
      </c>
      <c r="AX87" s="749"/>
      <c r="AY87" s="751" t="n">
        <f aca="false">'07-COLUMNS'!D133</f>
        <v>0</v>
      </c>
      <c r="AZ87" s="746" t="n">
        <f aca="false">C87+80000</f>
        <v>80014</v>
      </c>
      <c r="BA87" s="543" t="str">
        <f aca="false">D87</f>
        <v>Special Material</v>
      </c>
      <c r="BB87" s="749"/>
      <c r="BC87" s="742" t="n">
        <f aca="false">'08-CIP EL. DECK'!D166</f>
        <v>0</v>
      </c>
      <c r="BD87" s="746" t="n">
        <f aca="false">C87+90000</f>
        <v>90014</v>
      </c>
      <c r="BE87" s="543" t="str">
        <f aca="false">D87</f>
        <v>Special Material</v>
      </c>
      <c r="BF87" s="749"/>
      <c r="BG87" s="751" t="n">
        <f aca="false">'09-SLAB ON DECK'!E132</f>
        <v>0</v>
      </c>
      <c r="BH87" s="746" t="n">
        <f aca="false">C87+100000</f>
        <v>100014</v>
      </c>
      <c r="BI87" s="543" t="str">
        <f aca="false">D87</f>
        <v>Special Material</v>
      </c>
      <c r="BJ87" s="749"/>
      <c r="BK87" s="751" t="n">
        <f aca="false">'10-PAVING'!D113</f>
        <v>0</v>
      </c>
      <c r="BL87" s="746" t="n">
        <f aca="false">C87+110000</f>
        <v>110014</v>
      </c>
      <c r="BM87" s="543" t="str">
        <f aca="false">D87</f>
        <v>Special Material</v>
      </c>
      <c r="BN87" s="749"/>
      <c r="BO87" s="751" t="n">
        <f aca="false">'11-Sidewalks'!D110</f>
        <v>0</v>
      </c>
      <c r="BP87" s="746" t="n">
        <f aca="false">C87+120000</f>
        <v>120014</v>
      </c>
      <c r="BQ87" s="543" t="str">
        <f aca="false">D87</f>
        <v>Special Material</v>
      </c>
      <c r="BR87" s="749"/>
      <c r="BS87" s="742" t="n">
        <f aca="false">'12-PANELS'!F128</f>
        <v>0</v>
      </c>
      <c r="BT87" s="746" t="n">
        <f aca="false">C87+130000</f>
        <v>130014</v>
      </c>
      <c r="BU87" s="543" t="str">
        <f aca="false">M87</f>
        <v>Special Material</v>
      </c>
      <c r="BV87" s="749"/>
      <c r="BW87" s="751" t="n">
        <f aca="false">'13-Miscellaneous'!E61</f>
        <v>0</v>
      </c>
      <c r="BX87" s="743" t="n">
        <f aca="false">C87+140000</f>
        <v>140014</v>
      </c>
      <c r="BY87" s="543" t="str">
        <f aca="false">Q87</f>
        <v>Special Material</v>
      </c>
    </row>
    <row r="88" customFormat="false" ht="21" hidden="false" customHeight="true" outlineLevel="0" collapsed="false">
      <c r="A88" s="737"/>
      <c r="B88" s="753" t="n">
        <v>15</v>
      </c>
      <c r="C88" s="748" t="s">
        <v>1107</v>
      </c>
      <c r="D88" s="543" t="s">
        <v>1108</v>
      </c>
      <c r="E88" s="543"/>
      <c r="F88" s="749"/>
      <c r="G88" s="742" t="n">
        <f aca="false">K88+BK88+AI88+W88+AA88+AY88+BS88+BC88+BG88+S88+O88+BW88+BO88+AE88+AM88+AQ88+AU88</f>
        <v>0</v>
      </c>
      <c r="H88" s="746" t="n">
        <f aca="false">C88+10000</f>
        <v>10015</v>
      </c>
      <c r="I88" s="543" t="str">
        <f aca="false">D88</f>
        <v>PPE/Safety</v>
      </c>
      <c r="J88" s="749"/>
      <c r="K88" s="742" t="n">
        <f aca="false">'01-Piers'!E108</f>
        <v>0</v>
      </c>
      <c r="L88" s="746" t="n">
        <f aca="false">C88+20000</f>
        <v>20015</v>
      </c>
      <c r="M88" s="543" t="str">
        <f aca="false">Q88</f>
        <v>PPE/Safety</v>
      </c>
      <c r="N88" s="749"/>
      <c r="O88" s="751" t="n">
        <f aca="false">'02-Gd Beams'!E116</f>
        <v>0</v>
      </c>
      <c r="P88" s="743" t="n">
        <f aca="false">C88+40000</f>
        <v>40015</v>
      </c>
      <c r="Q88" s="543" t="str">
        <f aca="false">D88</f>
        <v>PPE/Safety</v>
      </c>
      <c r="R88" s="749"/>
      <c r="S88" s="744" t="n">
        <f aca="false">'04-PT Slab on Grade Wrap'!E134</f>
        <v>0</v>
      </c>
      <c r="T88" s="754" t="n">
        <f aca="false">C88+40000</f>
        <v>40015</v>
      </c>
      <c r="U88" s="543" t="str">
        <f aca="false">D88</f>
        <v>PPE/Safety</v>
      </c>
      <c r="V88" s="749"/>
      <c r="W88" s="752" t="n">
        <f aca="false">'04-PT Slab on Grade'!E134</f>
        <v>0</v>
      </c>
      <c r="X88" s="746" t="n">
        <f aca="false">C88+50000</f>
        <v>50015</v>
      </c>
      <c r="Y88" s="543" t="str">
        <f aca="false">D88</f>
        <v>PPE/Safety</v>
      </c>
      <c r="Z88" s="749"/>
      <c r="AA88" s="755" t="n">
        <f aca="false">'05-Slabs'!E134</f>
        <v>0</v>
      </c>
      <c r="AB88" s="743" t="n">
        <f aca="false">C88+30000</f>
        <v>30015</v>
      </c>
      <c r="AC88" s="543" t="str">
        <f aca="false">BE88</f>
        <v>PPE/Safety</v>
      </c>
      <c r="AD88" s="749"/>
      <c r="AE88" s="744" t="n">
        <f aca="false">'03-Walls &amp; Footings'!D119</f>
        <v>0</v>
      </c>
      <c r="AF88" s="750" t="n">
        <f aca="false">C88+60000</f>
        <v>60015</v>
      </c>
      <c r="AG88" s="543" t="str">
        <f aca="false">BI88</f>
        <v>PPE/Safety</v>
      </c>
      <c r="AH88" s="749"/>
      <c r="AI88" s="752" t="n">
        <f aca="false">'06-Walls &amp; Footings'!D119</f>
        <v>0</v>
      </c>
      <c r="AJ88" s="750" t="n">
        <f aca="false">C88+60000</f>
        <v>60015</v>
      </c>
      <c r="AK88" s="543" t="str">
        <f aca="false">BI88</f>
        <v>PPE/Safety</v>
      </c>
      <c r="AL88" s="749"/>
      <c r="AM88" s="752" t="n">
        <f aca="false">'06-Footings'!D119</f>
        <v>0</v>
      </c>
      <c r="AN88" s="750" t="n">
        <f aca="false">C88+60000</f>
        <v>60015</v>
      </c>
      <c r="AO88" s="543" t="str">
        <f aca="false">BI88</f>
        <v>PPE/Safety</v>
      </c>
      <c r="AP88" s="749"/>
      <c r="AQ88" s="744" t="n">
        <f aca="false">'06-Garage Walls &amp; Footings'!D119</f>
        <v>0</v>
      </c>
      <c r="AR88" s="750" t="n">
        <f aca="false">G88+60000</f>
        <v>60000</v>
      </c>
      <c r="AS88" s="543" t="str">
        <f aca="false">BM88</f>
        <v>PPE/Safety</v>
      </c>
      <c r="AT88" s="749"/>
      <c r="AU88" s="744" t="n">
        <f aca="false">'06-Garage Footings'!D119</f>
        <v>0</v>
      </c>
      <c r="AV88" s="746" t="n">
        <f aca="false">C88+70000</f>
        <v>70015</v>
      </c>
      <c r="AW88" s="543" t="str">
        <f aca="false">D88</f>
        <v>PPE/Safety</v>
      </c>
      <c r="AX88" s="749"/>
      <c r="AY88" s="751" t="n">
        <f aca="false">'07-COLUMNS'!D134</f>
        <v>0</v>
      </c>
      <c r="AZ88" s="746" t="n">
        <f aca="false">C88+80000</f>
        <v>80015</v>
      </c>
      <c r="BA88" s="543" t="str">
        <f aca="false">D88</f>
        <v>PPE/Safety</v>
      </c>
      <c r="BB88" s="749"/>
      <c r="BC88" s="742" t="n">
        <f aca="false">'08-CIP EL. DECK'!D167</f>
        <v>0</v>
      </c>
      <c r="BD88" s="746" t="n">
        <f aca="false">C88+90000</f>
        <v>90015</v>
      </c>
      <c r="BE88" s="543" t="str">
        <f aca="false">D88</f>
        <v>PPE/Safety</v>
      </c>
      <c r="BF88" s="749"/>
      <c r="BG88" s="751" t="n">
        <f aca="false">'09-SLAB ON DECK'!E133</f>
        <v>0</v>
      </c>
      <c r="BH88" s="746" t="n">
        <f aca="false">C88+100000</f>
        <v>100015</v>
      </c>
      <c r="BI88" s="543" t="str">
        <f aca="false">D88</f>
        <v>PPE/Safety</v>
      </c>
      <c r="BJ88" s="749"/>
      <c r="BK88" s="751" t="n">
        <f aca="false">'10-PAVING'!D114</f>
        <v>0</v>
      </c>
      <c r="BL88" s="746" t="n">
        <f aca="false">C88+110000</f>
        <v>110015</v>
      </c>
      <c r="BM88" s="543" t="str">
        <f aca="false">D88</f>
        <v>PPE/Safety</v>
      </c>
      <c r="BN88" s="749"/>
      <c r="BO88" s="751" t="n">
        <f aca="false">'11-Sidewalks'!D111</f>
        <v>0</v>
      </c>
      <c r="BP88" s="746" t="n">
        <f aca="false">C88+120000</f>
        <v>120015</v>
      </c>
      <c r="BQ88" s="543" t="str">
        <f aca="false">D88</f>
        <v>PPE/Safety</v>
      </c>
      <c r="BR88" s="749"/>
      <c r="BS88" s="756" t="n">
        <f aca="false">'12-PANELS'!F129</f>
        <v>0</v>
      </c>
      <c r="BT88" s="746" t="n">
        <f aca="false">C88+130000</f>
        <v>130015</v>
      </c>
      <c r="BU88" s="543" t="str">
        <f aca="false">M88</f>
        <v>PPE/Safety</v>
      </c>
      <c r="BV88" s="749"/>
      <c r="BW88" s="751" t="n">
        <f aca="false">'13-Miscellaneous'!E62</f>
        <v>0</v>
      </c>
      <c r="BX88" s="743" t="n">
        <f aca="false">C88+140000</f>
        <v>140015</v>
      </c>
      <c r="BY88" s="543" t="str">
        <f aca="false">Q88</f>
        <v>PPE/Safety</v>
      </c>
    </row>
    <row r="89" customFormat="false" ht="21" hidden="false" customHeight="true" outlineLevel="0" collapsed="false">
      <c r="A89" s="757"/>
      <c r="B89" s="738" t="n">
        <v>20</v>
      </c>
      <c r="C89" s="758" t="s">
        <v>1109</v>
      </c>
      <c r="D89" s="759" t="s">
        <v>1110</v>
      </c>
      <c r="E89" s="759"/>
      <c r="F89" s="760"/>
      <c r="G89" s="742" t="n">
        <f aca="false">K89+BK89+AI89+W89+AA89+AY89+BS89+BC89+BG89+S89+O89+BW89+BO89+AE89+AM89+AQ89+AU89</f>
        <v>26037.5578125</v>
      </c>
      <c r="H89" s="761" t="n">
        <f aca="false">C89+10000</f>
        <v>10020</v>
      </c>
      <c r="I89" s="759" t="str">
        <f aca="false">D89</f>
        <v>Supervision</v>
      </c>
      <c r="J89" s="760"/>
      <c r="K89" s="762" t="n">
        <f aca="false">'01-Piers'!E109</f>
        <v>8875</v>
      </c>
      <c r="L89" s="761" t="n">
        <f aca="false">C89+20000</f>
        <v>20020</v>
      </c>
      <c r="M89" s="759" t="str">
        <f aca="false">Q89</f>
        <v>Supervision</v>
      </c>
      <c r="N89" s="760"/>
      <c r="O89" s="762" t="n">
        <f aca="false">'02-Gd Beams'!E117</f>
        <v>0</v>
      </c>
      <c r="P89" s="743" t="n">
        <f aca="false">C89+40000</f>
        <v>40020</v>
      </c>
      <c r="Q89" s="759" t="str">
        <f aca="false">D89</f>
        <v>Supervision</v>
      </c>
      <c r="R89" s="760"/>
      <c r="S89" s="744" t="n">
        <f aca="false">'04-PT Slab on Grade Wrap'!E135</f>
        <v>0</v>
      </c>
      <c r="T89" s="743" t="n">
        <f aca="false">C89+40000</f>
        <v>40020</v>
      </c>
      <c r="U89" s="759" t="str">
        <f aca="false">D89</f>
        <v>Supervision</v>
      </c>
      <c r="V89" s="760"/>
      <c r="W89" s="762" t="n">
        <f aca="false">'04-PT Slab on Grade'!E135</f>
        <v>11662.5578125</v>
      </c>
      <c r="X89" s="761" t="n">
        <f aca="false">C89+50000</f>
        <v>50020</v>
      </c>
      <c r="Y89" s="759" t="str">
        <f aca="false">D89</f>
        <v>Supervision</v>
      </c>
      <c r="Z89" s="760"/>
      <c r="AA89" s="744" t="n">
        <f aca="false">'05-Slabs'!E135</f>
        <v>0</v>
      </c>
      <c r="AB89" s="743" t="n">
        <f aca="false">C89+30000</f>
        <v>30020</v>
      </c>
      <c r="AC89" s="759" t="str">
        <f aca="false">BE89</f>
        <v>Supervision</v>
      </c>
      <c r="AD89" s="760"/>
      <c r="AE89" s="744" t="n">
        <f aca="false">'03-Walls &amp; Footings'!D120</f>
        <v>0</v>
      </c>
      <c r="AF89" s="761" t="n">
        <f aca="false">C89+60000</f>
        <v>60020</v>
      </c>
      <c r="AG89" s="759" t="str">
        <f aca="false">BI89</f>
        <v>Supervision</v>
      </c>
      <c r="AH89" s="760"/>
      <c r="AI89" s="762" t="n">
        <f aca="false">'06-Walls &amp; Footings'!D120</f>
        <v>5500</v>
      </c>
      <c r="AJ89" s="761" t="n">
        <f aca="false">C89+60000</f>
        <v>60020</v>
      </c>
      <c r="AK89" s="759" t="str">
        <f aca="false">BI89</f>
        <v>Supervision</v>
      </c>
      <c r="AL89" s="760"/>
      <c r="AM89" s="762" t="n">
        <f aca="false">'06-Footings'!D120</f>
        <v>0</v>
      </c>
      <c r="AN89" s="761" t="n">
        <f aca="false">C89+60000</f>
        <v>60020</v>
      </c>
      <c r="AO89" s="759" t="str">
        <f aca="false">BI89</f>
        <v>Supervision</v>
      </c>
      <c r="AP89" s="760"/>
      <c r="AQ89" s="744" t="n">
        <f aca="false">'06-Garage Walls &amp; Footings'!D120</f>
        <v>0</v>
      </c>
      <c r="AR89" s="761" t="n">
        <f aca="false">G89+60000</f>
        <v>86037.5578125</v>
      </c>
      <c r="AS89" s="759" t="str">
        <f aca="false">BM89</f>
        <v>Supervision</v>
      </c>
      <c r="AT89" s="760"/>
      <c r="AU89" s="744" t="n">
        <f aca="false">'06-Garage Footings'!D120</f>
        <v>0</v>
      </c>
      <c r="AV89" s="761" t="n">
        <f aca="false">C89+70000</f>
        <v>70020</v>
      </c>
      <c r="AW89" s="759" t="str">
        <f aca="false">D89</f>
        <v>Supervision</v>
      </c>
      <c r="AX89" s="760"/>
      <c r="AY89" s="762" t="n">
        <f aca="false">'07-COLUMNS'!D135</f>
        <v>0</v>
      </c>
      <c r="AZ89" s="761" t="n">
        <f aca="false">C89+80000</f>
        <v>80020</v>
      </c>
      <c r="BA89" s="759" t="str">
        <f aca="false">D89</f>
        <v>Supervision</v>
      </c>
      <c r="BB89" s="760"/>
      <c r="BC89" s="762" t="n">
        <f aca="false">'08-CIP EL. DECK'!D168</f>
        <v>0</v>
      </c>
      <c r="BD89" s="761" t="n">
        <f aca="false">C89+90000</f>
        <v>90020</v>
      </c>
      <c r="BE89" s="759" t="str">
        <f aca="false">D89</f>
        <v>Supervision</v>
      </c>
      <c r="BF89" s="760"/>
      <c r="BG89" s="762" t="n">
        <f aca="false">'09-SLAB ON DECK'!E134</f>
        <v>0</v>
      </c>
      <c r="BH89" s="761" t="n">
        <f aca="false">C89+100000</f>
        <v>100020</v>
      </c>
      <c r="BI89" s="759" t="str">
        <f aca="false">D89</f>
        <v>Supervision</v>
      </c>
      <c r="BJ89" s="760"/>
      <c r="BK89" s="762" t="n">
        <f aca="false">'10-PAVING'!D115</f>
        <v>0</v>
      </c>
      <c r="BL89" s="761" t="n">
        <f aca="false">C89+110000</f>
        <v>110020</v>
      </c>
      <c r="BM89" s="759" t="str">
        <f aca="false">D89</f>
        <v>Supervision</v>
      </c>
      <c r="BN89" s="760"/>
      <c r="BO89" s="762" t="n">
        <f aca="false">'11-Sidewalks'!D112</f>
        <v>0</v>
      </c>
      <c r="BP89" s="763" t="n">
        <f aca="false">C89+120000</f>
        <v>120020</v>
      </c>
      <c r="BQ89" s="759" t="str">
        <f aca="false">D89</f>
        <v>Supervision</v>
      </c>
      <c r="BR89" s="760"/>
      <c r="BS89" s="742" t="n">
        <f aca="false">'12-PANELS'!F130</f>
        <v>0</v>
      </c>
      <c r="BT89" s="764" t="n">
        <f aca="false">C89+130000</f>
        <v>130020</v>
      </c>
      <c r="BU89" s="765" t="str">
        <f aca="false">M89</f>
        <v>Supervision</v>
      </c>
      <c r="BV89" s="765"/>
      <c r="BW89" s="766" t="n">
        <f aca="false">'13-Miscellaneous'!E63</f>
        <v>0</v>
      </c>
      <c r="BX89" s="743" t="n">
        <f aca="false">C89+140000</f>
        <v>140020</v>
      </c>
      <c r="BY89" s="765" t="str">
        <f aca="false">Q89</f>
        <v>Supervision</v>
      </c>
    </row>
    <row r="90" customFormat="false" ht="21" hidden="false" customHeight="true" outlineLevel="0" collapsed="false">
      <c r="A90" s="767" t="s">
        <v>1110</v>
      </c>
      <c r="B90" s="768" t="n">
        <v>21</v>
      </c>
      <c r="C90" s="769" t="s">
        <v>1111</v>
      </c>
      <c r="D90" s="770" t="s">
        <v>1112</v>
      </c>
      <c r="E90" s="770"/>
      <c r="F90" s="265"/>
      <c r="G90" s="742" t="n">
        <f aca="false">K90+BK90+AI90+W90+AA90+AY90+BS90+BC90+BG90+S90+O90+BW90+BO90+AE90+AM90+AQ90+AU90</f>
        <v>3244.13125</v>
      </c>
      <c r="H90" s="771" t="n">
        <f aca="false">C90+10000</f>
        <v>10021</v>
      </c>
      <c r="I90" s="770" t="str">
        <f aca="false">D90</f>
        <v>Supervision Expense</v>
      </c>
      <c r="J90" s="265"/>
      <c r="K90" s="772" t="n">
        <f aca="false">'01-Piers'!E110</f>
        <v>0</v>
      </c>
      <c r="L90" s="773" t="n">
        <f aca="false">C90+20000</f>
        <v>20021</v>
      </c>
      <c r="M90" s="770" t="str">
        <f aca="false">Q90</f>
        <v>Supervision Expense</v>
      </c>
      <c r="N90" s="265"/>
      <c r="O90" s="772" t="n">
        <f aca="false">'02-Gd Beams'!E118</f>
        <v>0</v>
      </c>
      <c r="P90" s="743" t="n">
        <f aca="false">C90+40000</f>
        <v>40021</v>
      </c>
      <c r="Q90" s="770" t="str">
        <f aca="false">D90</f>
        <v>Supervision Expense</v>
      </c>
      <c r="R90" s="265"/>
      <c r="S90" s="744" t="n">
        <f aca="false">'04-PT Slab on Grade Wrap'!E136</f>
        <v>0</v>
      </c>
      <c r="T90" s="754" t="n">
        <f aca="false">C90+40000</f>
        <v>40021</v>
      </c>
      <c r="U90" s="770" t="str">
        <f aca="false">D90</f>
        <v>Supervision Expense</v>
      </c>
      <c r="V90" s="265"/>
      <c r="W90" s="774" t="n">
        <f aca="false">'04-PT Slab on Grade'!E136</f>
        <v>2744.13125</v>
      </c>
      <c r="X90" s="773" t="n">
        <f aca="false">C90+50000</f>
        <v>50021</v>
      </c>
      <c r="Y90" s="770" t="str">
        <f aca="false">D90</f>
        <v>Supervision Expense</v>
      </c>
      <c r="Z90" s="265"/>
      <c r="AA90" s="265" t="n">
        <f aca="false">'05-Slabs'!E136</f>
        <v>0</v>
      </c>
      <c r="AB90" s="743" t="n">
        <f aca="false">C90+30000</f>
        <v>30021</v>
      </c>
      <c r="AC90" s="770" t="str">
        <f aca="false">BE90</f>
        <v>Supervision Expense</v>
      </c>
      <c r="AD90" s="265"/>
      <c r="AE90" s="744" t="n">
        <f aca="false">'03-Walls &amp; Footings'!D121</f>
        <v>0</v>
      </c>
      <c r="AF90" s="773" t="n">
        <f aca="false">C90+60000</f>
        <v>60021</v>
      </c>
      <c r="AG90" s="770" t="str">
        <f aca="false">BI90</f>
        <v>Supervision Expense</v>
      </c>
      <c r="AH90" s="265"/>
      <c r="AI90" s="774" t="n">
        <f aca="false">'06-Walls &amp; Footings'!D121</f>
        <v>500</v>
      </c>
      <c r="AJ90" s="773" t="n">
        <f aca="false">C90+60000</f>
        <v>60021</v>
      </c>
      <c r="AK90" s="770" t="str">
        <f aca="false">BI90</f>
        <v>Supervision Expense</v>
      </c>
      <c r="AL90" s="265"/>
      <c r="AM90" s="774" t="n">
        <f aca="false">'06-Footings'!D121</f>
        <v>0</v>
      </c>
      <c r="AN90" s="773" t="n">
        <f aca="false">C90+60000</f>
        <v>60021</v>
      </c>
      <c r="AO90" s="770" t="str">
        <f aca="false">BI90</f>
        <v>Supervision Expense</v>
      </c>
      <c r="AP90" s="265"/>
      <c r="AQ90" s="744" t="n">
        <f aca="false">'06-Garage Walls &amp; Footings'!D121</f>
        <v>0</v>
      </c>
      <c r="AR90" s="773" t="n">
        <f aca="false">G90+60000</f>
        <v>63244.13125</v>
      </c>
      <c r="AS90" s="770" t="str">
        <f aca="false">BM90</f>
        <v>Supervision Expense</v>
      </c>
      <c r="AT90" s="265"/>
      <c r="AU90" s="744" t="n">
        <f aca="false">'06-Garage Footings'!D121</f>
        <v>0</v>
      </c>
      <c r="AV90" s="773" t="n">
        <f aca="false">C90+70000</f>
        <v>70021</v>
      </c>
      <c r="AW90" s="770" t="str">
        <f aca="false">D90</f>
        <v>Supervision Expense</v>
      </c>
      <c r="AX90" s="265"/>
      <c r="AY90" s="772" t="n">
        <f aca="false">'07-COLUMNS'!D136</f>
        <v>0</v>
      </c>
      <c r="AZ90" s="773" t="n">
        <f aca="false">C90+80000</f>
        <v>80021</v>
      </c>
      <c r="BA90" s="770" t="str">
        <f aca="false">D90</f>
        <v>Supervision Expense</v>
      </c>
      <c r="BB90" s="265"/>
      <c r="BC90" s="772" t="n">
        <f aca="false">'08-CIP EL. DECK'!D169</f>
        <v>0</v>
      </c>
      <c r="BD90" s="773" t="n">
        <f aca="false">C90+90000</f>
        <v>90021</v>
      </c>
      <c r="BE90" s="770" t="str">
        <f aca="false">D90</f>
        <v>Supervision Expense</v>
      </c>
      <c r="BF90" s="265"/>
      <c r="BG90" s="772" t="n">
        <f aca="false">'09-SLAB ON DECK'!E135</f>
        <v>0</v>
      </c>
      <c r="BH90" s="773" t="n">
        <f aca="false">C90+100000</f>
        <v>100021</v>
      </c>
      <c r="BI90" s="770" t="str">
        <f aca="false">D90</f>
        <v>Supervision Expense</v>
      </c>
      <c r="BJ90" s="265"/>
      <c r="BK90" s="772" t="n">
        <f aca="false">'10-PAVING'!D116</f>
        <v>0</v>
      </c>
      <c r="BL90" s="773" t="n">
        <f aca="false">C90+110000</f>
        <v>110021</v>
      </c>
      <c r="BM90" s="770" t="str">
        <f aca="false">D90</f>
        <v>Supervision Expense</v>
      </c>
      <c r="BN90" s="265"/>
      <c r="BO90" s="772" t="n">
        <f aca="false">'11-Sidewalks'!D113</f>
        <v>0</v>
      </c>
      <c r="BP90" s="773" t="n">
        <f aca="false">C90+120000</f>
        <v>120021</v>
      </c>
      <c r="BQ90" s="770" t="str">
        <f aca="false">D90</f>
        <v>Supervision Expense</v>
      </c>
      <c r="BR90" s="265"/>
      <c r="BS90" s="756" t="n">
        <f aca="false">'12-PANELS'!F131</f>
        <v>0</v>
      </c>
      <c r="BT90" s="773" t="n">
        <f aca="false">C90+130000</f>
        <v>130021</v>
      </c>
      <c r="BU90" s="770" t="str">
        <f aca="false">M90</f>
        <v>Supervision Expense</v>
      </c>
      <c r="BV90" s="265"/>
      <c r="BW90" s="772" t="n">
        <f aca="false">'13-Miscellaneous'!E64</f>
        <v>0</v>
      </c>
      <c r="BX90" s="743" t="n">
        <f aca="false">C90+140000</f>
        <v>140021</v>
      </c>
      <c r="BY90" s="770" t="str">
        <f aca="false">Q90</f>
        <v>Supervision Expense</v>
      </c>
    </row>
    <row r="91" customFormat="false" ht="21" hidden="false" customHeight="true" outlineLevel="0" collapsed="false">
      <c r="A91" s="775" t="s">
        <v>1113</v>
      </c>
      <c r="B91" s="776" t="n">
        <v>22</v>
      </c>
      <c r="C91" s="739" t="s">
        <v>1114</v>
      </c>
      <c r="D91" s="741" t="s">
        <v>1115</v>
      </c>
      <c r="E91" s="10"/>
      <c r="F91" s="749"/>
      <c r="G91" s="742" t="n">
        <f aca="false">K91+BK91+AI91+W91+AA91+AY91+BS91+BC91+BG91+S91+O91+BW91+BO91+AE91+AM91+AQ91+AU91</f>
        <v>7488.2625</v>
      </c>
      <c r="H91" s="743" t="n">
        <f aca="false">C91+10000</f>
        <v>10022</v>
      </c>
      <c r="I91" s="543" t="str">
        <f aca="false">D91</f>
        <v>Project Management</v>
      </c>
      <c r="J91" s="749"/>
      <c r="K91" s="742" t="n">
        <f aca="false">'01-Piers'!E111</f>
        <v>2000</v>
      </c>
      <c r="L91" s="743" t="n">
        <f aca="false">C91+20000</f>
        <v>20022</v>
      </c>
      <c r="M91" s="543" t="str">
        <f aca="false">Q91</f>
        <v>Project Management</v>
      </c>
      <c r="N91" s="749"/>
      <c r="O91" s="742" t="n">
        <f aca="false">'02-Gd Beams'!E119</f>
        <v>0</v>
      </c>
      <c r="P91" s="743" t="n">
        <f aca="false">C91+40000</f>
        <v>40022</v>
      </c>
      <c r="Q91" s="741" t="str">
        <f aca="false">D91</f>
        <v>Project Management</v>
      </c>
      <c r="R91" s="318"/>
      <c r="S91" s="744" t="n">
        <f aca="false">'04-PT Slab on Grade Wrap'!E137</f>
        <v>0</v>
      </c>
      <c r="T91" s="743" t="n">
        <f aca="false">C91+40000</f>
        <v>40022</v>
      </c>
      <c r="U91" s="741" t="str">
        <f aca="false">D91</f>
        <v>Project Management</v>
      </c>
      <c r="V91" s="318"/>
      <c r="W91" s="744" t="n">
        <f aca="false">'04-PT Slab on Grade'!E137</f>
        <v>5488.2625</v>
      </c>
      <c r="X91" s="743" t="n">
        <f aca="false">C91+50000</f>
        <v>50022</v>
      </c>
      <c r="Y91" s="741" t="str">
        <f aca="false">D91</f>
        <v>Project Management</v>
      </c>
      <c r="Z91" s="318"/>
      <c r="AA91" s="744" t="n">
        <f aca="false">'05-Slabs'!E137</f>
        <v>0</v>
      </c>
      <c r="AB91" s="743" t="n">
        <f aca="false">C91+30000</f>
        <v>30022</v>
      </c>
      <c r="AC91" s="741" t="str">
        <f aca="false">BE91</f>
        <v>Project Management</v>
      </c>
      <c r="AD91" s="318"/>
      <c r="AE91" s="744" t="n">
        <f aca="false">'03-Walls &amp; Footings'!D122</f>
        <v>0</v>
      </c>
      <c r="AF91" s="743" t="n">
        <f aca="false">C91+60000</f>
        <v>60022</v>
      </c>
      <c r="AG91" s="741" t="str">
        <f aca="false">BI91</f>
        <v>Project Management</v>
      </c>
      <c r="AH91" s="318"/>
      <c r="AI91" s="744" t="n">
        <f aca="false">'06-Walls &amp; Footings'!D122</f>
        <v>0</v>
      </c>
      <c r="AJ91" s="743" t="n">
        <f aca="false">C91+60000</f>
        <v>60022</v>
      </c>
      <c r="AK91" s="741" t="str">
        <f aca="false">BI91</f>
        <v>Project Management</v>
      </c>
      <c r="AL91" s="318"/>
      <c r="AM91" s="744" t="n">
        <f aca="false">'06-Footings'!D122</f>
        <v>0</v>
      </c>
      <c r="AN91" s="743" t="n">
        <f aca="false">C91+60000</f>
        <v>60022</v>
      </c>
      <c r="AO91" s="741" t="str">
        <f aca="false">BI91</f>
        <v>Project Management</v>
      </c>
      <c r="AP91" s="318"/>
      <c r="AQ91" s="744" t="n">
        <f aca="false">'06-Garage Walls &amp; Footings'!D122</f>
        <v>0</v>
      </c>
      <c r="AR91" s="743" t="n">
        <f aca="false">G91+60000</f>
        <v>67488.2625</v>
      </c>
      <c r="AS91" s="741" t="str">
        <f aca="false">BM91</f>
        <v>Project Management</v>
      </c>
      <c r="AT91" s="318"/>
      <c r="AU91" s="744" t="n">
        <f aca="false">'06-Garage Footings'!D122</f>
        <v>0</v>
      </c>
      <c r="AV91" s="743" t="n">
        <f aca="false">C91+70000</f>
        <v>70022</v>
      </c>
      <c r="AW91" s="741" t="str">
        <f aca="false">D91</f>
        <v>Project Management</v>
      </c>
      <c r="AX91" s="318"/>
      <c r="AY91" s="742" t="n">
        <f aca="false">'07-COLUMNS'!D137</f>
        <v>0</v>
      </c>
      <c r="AZ91" s="743" t="n">
        <f aca="false">C91+80000</f>
        <v>80022</v>
      </c>
      <c r="BA91" s="741" t="str">
        <f aca="false">D91</f>
        <v>Project Management</v>
      </c>
      <c r="BB91" s="318"/>
      <c r="BC91" s="742" t="n">
        <f aca="false">'08-CIP EL. DECK'!D170</f>
        <v>0</v>
      </c>
      <c r="BD91" s="743" t="n">
        <f aca="false">C91+90000</f>
        <v>90022</v>
      </c>
      <c r="BE91" s="741" t="str">
        <f aca="false">D91</f>
        <v>Project Management</v>
      </c>
      <c r="BF91" s="318"/>
      <c r="BG91" s="742" t="n">
        <f aca="false">'09-SLAB ON DECK'!E136</f>
        <v>0</v>
      </c>
      <c r="BH91" s="777" t="n">
        <f aca="false">C91+100000</f>
        <v>100022</v>
      </c>
      <c r="BI91" s="741" t="str">
        <f aca="false">D91</f>
        <v>Project Management</v>
      </c>
      <c r="BJ91" s="318"/>
      <c r="BK91" s="742" t="n">
        <f aca="false">'10-PAVING'!D117</f>
        <v>0</v>
      </c>
      <c r="BL91" s="777" t="n">
        <f aca="false">C91+110000</f>
        <v>110022</v>
      </c>
      <c r="BM91" s="741" t="str">
        <f aca="false">D91</f>
        <v>Project Management</v>
      </c>
      <c r="BN91" s="318"/>
      <c r="BO91" s="742" t="n">
        <f aca="false">'11-Sidewalks'!D114</f>
        <v>0</v>
      </c>
      <c r="BP91" s="743" t="n">
        <f aca="false">C91+120000</f>
        <v>120022</v>
      </c>
      <c r="BQ91" s="741" t="str">
        <f aca="false">D91</f>
        <v>Project Management</v>
      </c>
      <c r="BR91" s="318"/>
      <c r="BS91" s="742" t="n">
        <f aca="false">'12-PANELS'!F132</f>
        <v>0</v>
      </c>
      <c r="BT91" s="743" t="n">
        <f aca="false">C91+130000</f>
        <v>130022</v>
      </c>
      <c r="BU91" s="741" t="str">
        <f aca="false">M91</f>
        <v>Project Management</v>
      </c>
      <c r="BV91" s="318"/>
      <c r="BW91" s="742" t="n">
        <f aca="false">'13-Miscellaneous'!E65</f>
        <v>0</v>
      </c>
      <c r="BX91" s="743" t="n">
        <f aca="false">C91+140000</f>
        <v>140022</v>
      </c>
      <c r="BY91" s="741" t="str">
        <f aca="false">Q91</f>
        <v>Project Management</v>
      </c>
    </row>
    <row r="92" customFormat="false" ht="21" hidden="false" customHeight="true" outlineLevel="0" collapsed="false">
      <c r="A92" s="775"/>
      <c r="B92" s="778" t="n">
        <v>23</v>
      </c>
      <c r="C92" s="739" t="s">
        <v>1116</v>
      </c>
      <c r="D92" s="543" t="s">
        <v>1117</v>
      </c>
      <c r="E92" s="543"/>
      <c r="F92" s="749"/>
      <c r="G92" s="742" t="n">
        <f aca="false">K92+BK92+AI92+W92+AA92+AY92+BS92+BC92+BG92+S92+O92+BW92+BO92+AE92+AM92+AQ92+AU92</f>
        <v>0</v>
      </c>
      <c r="H92" s="743" t="n">
        <f aca="false">C92+10000</f>
        <v>10023</v>
      </c>
      <c r="I92" s="10" t="str">
        <f aca="false">D92</f>
        <v>Labor Grade, Poly, Reinf.</v>
      </c>
      <c r="J92" s="749"/>
      <c r="K92" s="742" t="n">
        <f aca="false">'01-Piers'!E112</f>
        <v>0</v>
      </c>
      <c r="L92" s="743" t="n">
        <f aca="false">C92+20000</f>
        <v>20023</v>
      </c>
      <c r="M92" s="10" t="str">
        <f aca="false">Q92</f>
        <v>Labor Grade, Poly, Reinf.</v>
      </c>
      <c r="N92" s="749"/>
      <c r="O92" s="742" t="n">
        <f aca="false">'02-Gd Beams'!E120</f>
        <v>0</v>
      </c>
      <c r="P92" s="743" t="n">
        <f aca="false">C92+40000</f>
        <v>40023</v>
      </c>
      <c r="Q92" s="543" t="str">
        <f aca="false">D92</f>
        <v>Labor Grade, Poly, Reinf.</v>
      </c>
      <c r="S92" s="744" t="n">
        <f aca="false">'04-PT Slab on Grade Wrap'!E138</f>
        <v>0</v>
      </c>
      <c r="T92" s="743" t="n">
        <f aca="false">C92+40000</f>
        <v>40023</v>
      </c>
      <c r="U92" s="10" t="str">
        <f aca="false">D92</f>
        <v>Labor Grade, Poly, Reinf.</v>
      </c>
      <c r="V92" s="749"/>
      <c r="W92" s="744" t="n">
        <f aca="false">'04-PT Slab on Grade'!E138</f>
        <v>0</v>
      </c>
      <c r="X92" s="743" t="n">
        <f aca="false">C92+50000</f>
        <v>50023</v>
      </c>
      <c r="Y92" s="543" t="str">
        <f aca="false">D92</f>
        <v>Labor Grade, Poly, Reinf.</v>
      </c>
      <c r="AA92" s="744" t="n">
        <f aca="false">'05-Slabs'!E138</f>
        <v>0</v>
      </c>
      <c r="AB92" s="743" t="n">
        <f aca="false">C92+30000</f>
        <v>30023</v>
      </c>
      <c r="AC92" s="543" t="str">
        <f aca="false">BE92</f>
        <v>Labor Grade, Poly, Reinf.</v>
      </c>
      <c r="AD92" s="749"/>
      <c r="AE92" s="744" t="n">
        <f aca="false">'03-Walls &amp; Footings'!D123</f>
        <v>0</v>
      </c>
      <c r="AF92" s="743" t="n">
        <f aca="false">C92+60000</f>
        <v>60023</v>
      </c>
      <c r="AG92" s="543" t="str">
        <f aca="false">BI92</f>
        <v>Labor Grade, Poly, Reinf.</v>
      </c>
      <c r="AH92" s="749"/>
      <c r="AI92" s="744" t="n">
        <f aca="false">'06-Walls &amp; Footings'!D123</f>
        <v>0</v>
      </c>
      <c r="AJ92" s="743" t="n">
        <f aca="false">C92+60000</f>
        <v>60023</v>
      </c>
      <c r="AK92" s="543" t="str">
        <f aca="false">BI92</f>
        <v>Labor Grade, Poly, Reinf.</v>
      </c>
      <c r="AL92" s="749"/>
      <c r="AM92" s="744" t="n">
        <f aca="false">'06-Footings'!D123</f>
        <v>0</v>
      </c>
      <c r="AN92" s="743" t="n">
        <f aca="false">C92+60000</f>
        <v>60023</v>
      </c>
      <c r="AO92" s="543" t="str">
        <f aca="false">BI92</f>
        <v>Labor Grade, Poly, Reinf.</v>
      </c>
      <c r="AP92" s="749"/>
      <c r="AQ92" s="744" t="n">
        <f aca="false">'06-Garage Walls &amp; Footings'!D123</f>
        <v>0</v>
      </c>
      <c r="AR92" s="743" t="n">
        <f aca="false">G92+60000</f>
        <v>60000</v>
      </c>
      <c r="AS92" s="543" t="str">
        <f aca="false">BM92</f>
        <v>Labor Grade, Poly, Reinf.</v>
      </c>
      <c r="AT92" s="749"/>
      <c r="AU92" s="744" t="n">
        <f aca="false">'06-Garage Footings'!D123</f>
        <v>0</v>
      </c>
      <c r="AV92" s="746" t="n">
        <f aca="false">C92+70000</f>
        <v>70023</v>
      </c>
      <c r="AW92" s="10" t="str">
        <f aca="false">D92</f>
        <v>Labor Grade, Poly, Reinf.</v>
      </c>
      <c r="AX92" s="749"/>
      <c r="AY92" s="742" t="n">
        <f aca="false">'07-COLUMNS'!D138</f>
        <v>0</v>
      </c>
      <c r="AZ92" s="743" t="n">
        <f aca="false">C92+80000</f>
        <v>80023</v>
      </c>
      <c r="BA92" s="543" t="str">
        <f aca="false">D92</f>
        <v>Labor Grade, Poly, Reinf.</v>
      </c>
      <c r="BB92" s="749"/>
      <c r="BC92" s="742" t="n">
        <f aca="false">'08-CIP EL. DECK'!D171</f>
        <v>0</v>
      </c>
      <c r="BD92" s="743" t="n">
        <f aca="false">C92+90000</f>
        <v>90023</v>
      </c>
      <c r="BE92" s="741" t="str">
        <f aca="false">D92</f>
        <v>Labor Grade, Poly, Reinf.</v>
      </c>
      <c r="BF92" s="749"/>
      <c r="BG92" s="742" t="n">
        <f aca="false">'09-SLAB ON DECK'!E137</f>
        <v>0</v>
      </c>
      <c r="BH92" s="777" t="n">
        <f aca="false">C92+100000</f>
        <v>100023</v>
      </c>
      <c r="BI92" s="10" t="str">
        <f aca="false">D92</f>
        <v>Labor Grade, Poly, Reinf.</v>
      </c>
      <c r="BJ92" s="749"/>
      <c r="BK92" s="742" t="n">
        <f aca="false">'10-PAVING'!D118</f>
        <v>0</v>
      </c>
      <c r="BL92" s="777" t="n">
        <f aca="false">C92+110000</f>
        <v>110023</v>
      </c>
      <c r="BM92" s="10" t="str">
        <f aca="false">D92</f>
        <v>Labor Grade, Poly, Reinf.</v>
      </c>
      <c r="BN92" s="749"/>
      <c r="BO92" s="742" t="n">
        <f aca="false">'11-Sidewalks'!D115</f>
        <v>0</v>
      </c>
      <c r="BP92" s="743" t="n">
        <f aca="false">C92+120000</f>
        <v>120023</v>
      </c>
      <c r="BQ92" s="10" t="str">
        <f aca="false">D92</f>
        <v>Labor Grade, Poly, Reinf.</v>
      </c>
      <c r="BR92" s="749"/>
      <c r="BS92" s="742" t="n">
        <f aca="false">'12-PANELS'!F133</f>
        <v>0</v>
      </c>
      <c r="BT92" s="746" t="n">
        <f aca="false">C92+130000</f>
        <v>130023</v>
      </c>
      <c r="BU92" s="543" t="str">
        <f aca="false">M92</f>
        <v>Labor Grade, Poly, Reinf.</v>
      </c>
      <c r="BV92" s="749"/>
      <c r="BW92" s="742" t="n">
        <f aca="false">'13-Miscellaneous'!E66</f>
        <v>0</v>
      </c>
      <c r="BX92" s="743" t="n">
        <f aca="false">C92+140000</f>
        <v>140023</v>
      </c>
      <c r="BY92" s="543" t="str">
        <f aca="false">Q92</f>
        <v>Labor Grade, Poly, Reinf.</v>
      </c>
    </row>
    <row r="93" customFormat="false" ht="21" hidden="false" customHeight="true" outlineLevel="0" collapsed="false">
      <c r="A93" s="775"/>
      <c r="B93" s="738" t="n">
        <v>24</v>
      </c>
      <c r="C93" s="739" t="s">
        <v>1118</v>
      </c>
      <c r="D93" s="543" t="s">
        <v>1119</v>
      </c>
      <c r="E93" s="543"/>
      <c r="F93" s="749"/>
      <c r="G93" s="742" t="n">
        <f aca="false">K93+BK93+AI93+W93+AA93+AY93+BS93+BC93+BG93+S93+O93+BW93+BO93+AE93+AM93+AQ93+AU93</f>
        <v>0</v>
      </c>
      <c r="H93" s="746" t="n">
        <f aca="false">C93+10000</f>
        <v>10024</v>
      </c>
      <c r="I93" s="543" t="str">
        <f aca="false">D93</f>
        <v>Labor Place &amp; Finish</v>
      </c>
      <c r="J93" s="749"/>
      <c r="K93" s="742" t="n">
        <f aca="false">'01-Piers'!E113</f>
        <v>0</v>
      </c>
      <c r="L93" s="746" t="n">
        <f aca="false">C93+20000</f>
        <v>20024</v>
      </c>
      <c r="M93" s="543" t="str">
        <f aca="false">Q93</f>
        <v>Labor Place &amp; Finish</v>
      </c>
      <c r="N93" s="749"/>
      <c r="O93" s="742" t="n">
        <f aca="false">'02-Gd Beams'!E121</f>
        <v>0</v>
      </c>
      <c r="P93" s="743" t="n">
        <f aca="false">C93+40000</f>
        <v>40024</v>
      </c>
      <c r="Q93" s="543" t="str">
        <f aca="false">D93</f>
        <v>Labor Place &amp; Finish</v>
      </c>
      <c r="R93" s="749"/>
      <c r="S93" s="744" t="n">
        <f aca="false">'04-PT Slab on Grade Wrap'!E139</f>
        <v>0</v>
      </c>
      <c r="T93" s="743" t="n">
        <f aca="false">C93+40000</f>
        <v>40024</v>
      </c>
      <c r="U93" s="543" t="str">
        <f aca="false">D93</f>
        <v>Labor Place &amp; Finish</v>
      </c>
      <c r="V93" s="749"/>
      <c r="W93" s="744" t="n">
        <f aca="false">'04-PT Slab on Grade'!E139</f>
        <v>0</v>
      </c>
      <c r="X93" s="746" t="n">
        <f aca="false">C93+50000</f>
        <v>50024</v>
      </c>
      <c r="Y93" s="543" t="str">
        <f aca="false">D93</f>
        <v>Labor Place &amp; Finish</v>
      </c>
      <c r="Z93" s="749"/>
      <c r="AA93" s="744" t="n">
        <f aca="false">'05-Slabs'!E139</f>
        <v>0</v>
      </c>
      <c r="AB93" s="743" t="n">
        <f aca="false">C93+30000</f>
        <v>30024</v>
      </c>
      <c r="AC93" s="543" t="str">
        <f aca="false">BE93</f>
        <v>Labor Place &amp; Finish</v>
      </c>
      <c r="AD93" s="749"/>
      <c r="AE93" s="744" t="n">
        <f aca="false">'03-Walls &amp; Footings'!D124</f>
        <v>0</v>
      </c>
      <c r="AF93" s="743" t="n">
        <f aca="false">C93+60000</f>
        <v>60024</v>
      </c>
      <c r="AG93" s="543" t="str">
        <f aca="false">BI93</f>
        <v>Labor Place &amp; Finish</v>
      </c>
      <c r="AH93" s="749"/>
      <c r="AI93" s="744" t="n">
        <f aca="false">'06-Walls &amp; Footings'!D124</f>
        <v>0</v>
      </c>
      <c r="AJ93" s="743" t="n">
        <f aca="false">C93+60000</f>
        <v>60024</v>
      </c>
      <c r="AK93" s="543" t="str">
        <f aca="false">BI93</f>
        <v>Labor Place &amp; Finish</v>
      </c>
      <c r="AL93" s="749"/>
      <c r="AM93" s="744" t="n">
        <f aca="false">'06-Footings'!D124</f>
        <v>0</v>
      </c>
      <c r="AN93" s="743" t="n">
        <f aca="false">C93+60000</f>
        <v>60024</v>
      </c>
      <c r="AO93" s="543" t="str">
        <f aca="false">BI93</f>
        <v>Labor Place &amp; Finish</v>
      </c>
      <c r="AP93" s="749"/>
      <c r="AQ93" s="744" t="n">
        <f aca="false">'06-Garage Walls &amp; Footings'!D124</f>
        <v>0</v>
      </c>
      <c r="AR93" s="743" t="n">
        <f aca="false">G93+60000</f>
        <v>60000</v>
      </c>
      <c r="AS93" s="543" t="str">
        <f aca="false">BM93</f>
        <v>Labor Place &amp; Finish</v>
      </c>
      <c r="AT93" s="749"/>
      <c r="AU93" s="744" t="n">
        <f aca="false">'06-Garage Footings'!D124</f>
        <v>0</v>
      </c>
      <c r="AV93" s="746" t="n">
        <f aca="false">C93+70000</f>
        <v>70024</v>
      </c>
      <c r="AW93" s="543" t="str">
        <f aca="false">D93</f>
        <v>Labor Place &amp; Finish</v>
      </c>
      <c r="AX93" s="749"/>
      <c r="AY93" s="742" t="n">
        <f aca="false">'07-COLUMNS'!D139</f>
        <v>0</v>
      </c>
      <c r="AZ93" s="746" t="n">
        <f aca="false">C93+80000</f>
        <v>80024</v>
      </c>
      <c r="BA93" s="543" t="str">
        <f aca="false">D93</f>
        <v>Labor Place &amp; Finish</v>
      </c>
      <c r="BB93" s="749"/>
      <c r="BC93" s="742" t="n">
        <f aca="false">'08-CIP EL. DECK'!D172</f>
        <v>0</v>
      </c>
      <c r="BD93" s="745" t="n">
        <f aca="false">C93+90000</f>
        <v>90024</v>
      </c>
      <c r="BE93" s="543" t="str">
        <f aca="false">D93</f>
        <v>Labor Place &amp; Finish</v>
      </c>
      <c r="BF93" s="749"/>
      <c r="BG93" s="742" t="n">
        <f aca="false">'09-SLAB ON DECK'!E138</f>
        <v>0</v>
      </c>
      <c r="BH93" s="745" t="n">
        <f aca="false">C93+100000</f>
        <v>100024</v>
      </c>
      <c r="BI93" s="543" t="str">
        <f aca="false">D93</f>
        <v>Labor Place &amp; Finish</v>
      </c>
      <c r="BJ93" s="749"/>
      <c r="BK93" s="742" t="n">
        <f aca="false">'10-PAVING'!D119</f>
        <v>0</v>
      </c>
      <c r="BL93" s="745" t="n">
        <f aca="false">C93+110000</f>
        <v>110024</v>
      </c>
      <c r="BM93" s="543" t="str">
        <f aca="false">D93</f>
        <v>Labor Place &amp; Finish</v>
      </c>
      <c r="BN93" s="749"/>
      <c r="BO93" s="742" t="n">
        <f aca="false">'11-Sidewalks'!D116</f>
        <v>0</v>
      </c>
      <c r="BP93" s="746" t="n">
        <f aca="false">C93+120000</f>
        <v>120024</v>
      </c>
      <c r="BQ93" s="543" t="str">
        <f aca="false">D93</f>
        <v>Labor Place &amp; Finish</v>
      </c>
      <c r="BR93" s="749"/>
      <c r="BS93" s="742" t="n">
        <f aca="false">'12-PANELS'!F134</f>
        <v>0</v>
      </c>
      <c r="BT93" s="746" t="n">
        <f aca="false">C93+130000</f>
        <v>130024</v>
      </c>
      <c r="BU93" s="543" t="str">
        <f aca="false">M93</f>
        <v>Labor Place &amp; Finish</v>
      </c>
      <c r="BV93" s="749"/>
      <c r="BW93" s="742" t="n">
        <f aca="false">'13-Miscellaneous'!E67</f>
        <v>0</v>
      </c>
      <c r="BX93" s="743" t="n">
        <f aca="false">C93+140000</f>
        <v>140024</v>
      </c>
      <c r="BY93" s="543" t="str">
        <f aca="false">Q93</f>
        <v>Labor Place &amp; Finish</v>
      </c>
    </row>
    <row r="94" customFormat="false" ht="21" hidden="false" customHeight="true" outlineLevel="0" collapsed="false">
      <c r="A94" s="775"/>
      <c r="B94" s="738" t="n">
        <v>25</v>
      </c>
      <c r="C94" s="739" t="s">
        <v>1120</v>
      </c>
      <c r="D94" s="543" t="s">
        <v>1121</v>
      </c>
      <c r="E94" s="543"/>
      <c r="F94" s="749"/>
      <c r="G94" s="742" t="n">
        <f aca="false">K94+BK94+AI94+W94+AA94+AY94+BS94+BC94+BG94+S94+O94+BW94+BO94+AE94+AM94+AQ94+AU94</f>
        <v>0</v>
      </c>
      <c r="H94" s="743" t="n">
        <f aca="false">C94+10000</f>
        <v>10025</v>
      </c>
      <c r="I94" s="741" t="str">
        <f aca="false">D94</f>
        <v>Labor Drops</v>
      </c>
      <c r="J94" s="318"/>
      <c r="K94" s="742" t="n">
        <f aca="false">'01-Piers'!E114</f>
        <v>0</v>
      </c>
      <c r="L94" s="743" t="n">
        <f aca="false">C94+20000</f>
        <v>20025</v>
      </c>
      <c r="M94" s="741" t="str">
        <f aca="false">Q94</f>
        <v>Labor Drops</v>
      </c>
      <c r="N94" s="318"/>
      <c r="O94" s="742" t="n">
        <f aca="false">'02-Gd Beams'!E122</f>
        <v>0</v>
      </c>
      <c r="P94" s="743" t="n">
        <f aca="false">C94+40000</f>
        <v>40025</v>
      </c>
      <c r="Q94" s="741" t="str">
        <f aca="false">D94</f>
        <v>Labor Drops</v>
      </c>
      <c r="R94" s="318"/>
      <c r="S94" s="744" t="n">
        <f aca="false">'04-PT Slab on Grade Wrap'!E140</f>
        <v>0</v>
      </c>
      <c r="T94" s="743" t="n">
        <f aca="false">C94+40000</f>
        <v>40025</v>
      </c>
      <c r="U94" s="741" t="str">
        <f aca="false">D94</f>
        <v>Labor Drops</v>
      </c>
      <c r="V94" s="318"/>
      <c r="W94" s="744" t="n">
        <f aca="false">'04-PT Slab on Grade'!E140</f>
        <v>0</v>
      </c>
      <c r="X94" s="743" t="n">
        <f aca="false">C94+50000</f>
        <v>50025</v>
      </c>
      <c r="Y94" s="741" t="str">
        <f aca="false">D94</f>
        <v>Labor Drops</v>
      </c>
      <c r="Z94" s="318"/>
      <c r="AA94" s="744" t="n">
        <f aca="false">'05-Slabs'!E140</f>
        <v>0</v>
      </c>
      <c r="AB94" s="743" t="n">
        <f aca="false">C94+30000</f>
        <v>30025</v>
      </c>
      <c r="AC94" s="741" t="str">
        <f aca="false">BE94</f>
        <v>Labor Drops</v>
      </c>
      <c r="AD94" s="318"/>
      <c r="AE94" s="744" t="n">
        <f aca="false">'03-Walls &amp; Footings'!D125</f>
        <v>0</v>
      </c>
      <c r="AF94" s="743" t="n">
        <f aca="false">C94+60000</f>
        <v>60025</v>
      </c>
      <c r="AG94" s="741" t="str">
        <f aca="false">BI94</f>
        <v>Labor Drops</v>
      </c>
      <c r="AH94" s="318"/>
      <c r="AI94" s="744" t="n">
        <f aca="false">'06-Walls &amp; Footings'!D125</f>
        <v>0</v>
      </c>
      <c r="AJ94" s="743" t="n">
        <f aca="false">C94+60000</f>
        <v>60025</v>
      </c>
      <c r="AK94" s="741" t="str">
        <f aca="false">BI94</f>
        <v>Labor Drops</v>
      </c>
      <c r="AL94" s="318"/>
      <c r="AM94" s="744" t="n">
        <f aca="false">'06-Footings'!D125</f>
        <v>0</v>
      </c>
      <c r="AN94" s="743" t="n">
        <f aca="false">C94+60000</f>
        <v>60025</v>
      </c>
      <c r="AO94" s="741" t="str">
        <f aca="false">BI94</f>
        <v>Labor Drops</v>
      </c>
      <c r="AP94" s="318"/>
      <c r="AQ94" s="744" t="n">
        <f aca="false">'06-Garage Walls &amp; Footings'!D125</f>
        <v>0</v>
      </c>
      <c r="AR94" s="743" t="n">
        <f aca="false">G94+60000</f>
        <v>60000</v>
      </c>
      <c r="AS94" s="741" t="str">
        <f aca="false">BM94</f>
        <v>Labor Drops</v>
      </c>
      <c r="AT94" s="318"/>
      <c r="AU94" s="744" t="n">
        <f aca="false">'06-Garage Footings'!D125</f>
        <v>0</v>
      </c>
      <c r="AV94" s="743" t="n">
        <f aca="false">C94+70000</f>
        <v>70025</v>
      </c>
      <c r="AW94" s="741" t="str">
        <f aca="false">D94</f>
        <v>Labor Drops</v>
      </c>
      <c r="AX94" s="318"/>
      <c r="AY94" s="742" t="n">
        <f aca="false">'07-COLUMNS'!D140</f>
        <v>0</v>
      </c>
      <c r="AZ94" s="743" t="n">
        <f aca="false">C94+80000</f>
        <v>80025</v>
      </c>
      <c r="BA94" s="741" t="str">
        <f aca="false">D94</f>
        <v>Labor Drops</v>
      </c>
      <c r="BB94" s="318"/>
      <c r="BC94" s="742" t="n">
        <f aca="false">'08-CIP EL. DECK'!D173</f>
        <v>0</v>
      </c>
      <c r="BD94" s="743" t="n">
        <f aca="false">C94+90000</f>
        <v>90025</v>
      </c>
      <c r="BE94" s="741" t="str">
        <f aca="false">D94</f>
        <v>Labor Drops</v>
      </c>
      <c r="BF94" s="318"/>
      <c r="BG94" s="742" t="n">
        <f aca="false">'09-SLAB ON DECK'!E139</f>
        <v>0</v>
      </c>
      <c r="BH94" s="743" t="n">
        <f aca="false">C94+100000</f>
        <v>100025</v>
      </c>
      <c r="BI94" s="741" t="str">
        <f aca="false">D94</f>
        <v>Labor Drops</v>
      </c>
      <c r="BJ94" s="318"/>
      <c r="BK94" s="742" t="n">
        <f aca="false">'10-PAVING'!D120</f>
        <v>0</v>
      </c>
      <c r="BL94" s="743" t="n">
        <f aca="false">C94+110000</f>
        <v>110025</v>
      </c>
      <c r="BM94" s="741" t="str">
        <f aca="false">D94</f>
        <v>Labor Drops</v>
      </c>
      <c r="BN94" s="318"/>
      <c r="BO94" s="742" t="n">
        <f aca="false">'11-Sidewalks'!D117</f>
        <v>0</v>
      </c>
      <c r="BP94" s="743" t="n">
        <f aca="false">C94+120000</f>
        <v>120025</v>
      </c>
      <c r="BQ94" s="741" t="str">
        <f aca="false">D94</f>
        <v>Labor Drops</v>
      </c>
      <c r="BR94" s="318"/>
      <c r="BS94" s="742" t="n">
        <f aca="false">'12-PANELS'!F135</f>
        <v>0</v>
      </c>
      <c r="BT94" s="743" t="n">
        <f aca="false">C94+130000</f>
        <v>130025</v>
      </c>
      <c r="BU94" s="741" t="str">
        <f aca="false">M94</f>
        <v>Labor Drops</v>
      </c>
      <c r="BV94" s="318"/>
      <c r="BW94" s="742" t="n">
        <f aca="false">'13-Miscellaneous'!E68</f>
        <v>0</v>
      </c>
      <c r="BX94" s="743" t="n">
        <f aca="false">C94+140000</f>
        <v>140025</v>
      </c>
      <c r="BY94" s="741" t="str">
        <f aca="false">Q94</f>
        <v>Labor Drops</v>
      </c>
    </row>
    <row r="95" customFormat="false" ht="21" hidden="false" customHeight="true" outlineLevel="0" collapsed="false">
      <c r="A95" s="775"/>
      <c r="B95" s="738" t="n">
        <v>26</v>
      </c>
      <c r="C95" s="739" t="s">
        <v>1122</v>
      </c>
      <c r="D95" s="543" t="s">
        <v>1123</v>
      </c>
      <c r="E95" s="543"/>
      <c r="F95" s="749"/>
      <c r="G95" s="742" t="n">
        <f aca="false">K95+BK95+AI95+W95+AA95+AY95+BS95+BC95+BG95+S95+O95+BW95+BO95+AE95+AM95+AQ95+AU95</f>
        <v>0</v>
      </c>
      <c r="H95" s="743" t="n">
        <f aca="false">C95+10000</f>
        <v>10026</v>
      </c>
      <c r="I95" s="779" t="str">
        <f aca="false">D95</f>
        <v>Labor Strip Forms</v>
      </c>
      <c r="J95" s="780"/>
      <c r="K95" s="742" t="n">
        <f aca="false">'01-Piers'!E115</f>
        <v>0</v>
      </c>
      <c r="L95" s="743" t="n">
        <f aca="false">C95+20000</f>
        <v>20026</v>
      </c>
      <c r="M95" s="779" t="str">
        <f aca="false">Q95</f>
        <v>Labor Strip Forms</v>
      </c>
      <c r="N95" s="780"/>
      <c r="O95" s="742" t="n">
        <f aca="false">'02-Gd Beams'!E123</f>
        <v>0</v>
      </c>
      <c r="P95" s="743" t="n">
        <f aca="false">C95+40000</f>
        <v>40026</v>
      </c>
      <c r="Q95" s="781" t="str">
        <f aca="false">D95</f>
        <v>Labor Strip Forms</v>
      </c>
      <c r="R95" s="782"/>
      <c r="S95" s="744" t="n">
        <f aca="false">'04-PT Slab on Grade Wrap'!E141</f>
        <v>0</v>
      </c>
      <c r="T95" s="743" t="n">
        <f aca="false">C95+40000</f>
        <v>40026</v>
      </c>
      <c r="U95" s="783" t="str">
        <f aca="false">D95</f>
        <v>Labor Strip Forms</v>
      </c>
      <c r="V95" s="784"/>
      <c r="W95" s="744" t="n">
        <f aca="false">'04-PT Slab on Grade'!E141</f>
        <v>0</v>
      </c>
      <c r="X95" s="743" t="n">
        <f aca="false">C95+50000</f>
        <v>50026</v>
      </c>
      <c r="Y95" s="781" t="str">
        <f aca="false">D95</f>
        <v>Labor Strip Forms</v>
      </c>
      <c r="Z95" s="782"/>
      <c r="AA95" s="744" t="n">
        <f aca="false">'05-Slabs'!E141</f>
        <v>0</v>
      </c>
      <c r="AB95" s="743" t="n">
        <f aca="false">C95+30000</f>
        <v>30026</v>
      </c>
      <c r="AC95" s="785" t="str">
        <f aca="false">BE95</f>
        <v>Labor Strip Forms</v>
      </c>
      <c r="AD95" s="784"/>
      <c r="AE95" s="744" t="n">
        <f aca="false">'03-Walls &amp; Footings'!D126</f>
        <v>0</v>
      </c>
      <c r="AF95" s="743" t="n">
        <f aca="false">C95+60000</f>
        <v>60026</v>
      </c>
      <c r="AG95" s="785" t="str">
        <f aca="false">BI95</f>
        <v>Labor Strip Forms</v>
      </c>
      <c r="AH95" s="784"/>
      <c r="AI95" s="744" t="n">
        <f aca="false">'06-Walls &amp; Footings'!D126</f>
        <v>0</v>
      </c>
      <c r="AJ95" s="743" t="n">
        <f aca="false">C95+60000</f>
        <v>60026</v>
      </c>
      <c r="AK95" s="785" t="str">
        <f aca="false">BI95</f>
        <v>Labor Strip Forms</v>
      </c>
      <c r="AL95" s="784"/>
      <c r="AM95" s="744" t="n">
        <f aca="false">'06-Footings'!D126</f>
        <v>0</v>
      </c>
      <c r="AN95" s="743" t="n">
        <f aca="false">C95+60000</f>
        <v>60026</v>
      </c>
      <c r="AO95" s="785" t="str">
        <f aca="false">BI95</f>
        <v>Labor Strip Forms</v>
      </c>
      <c r="AP95" s="784"/>
      <c r="AQ95" s="744" t="n">
        <f aca="false">'06-Garage Walls &amp; Footings'!D126</f>
        <v>0</v>
      </c>
      <c r="AR95" s="743" t="n">
        <f aca="false">G95+60000</f>
        <v>60000</v>
      </c>
      <c r="AS95" s="785" t="str">
        <f aca="false">BM95</f>
        <v>Labor Strip Forms</v>
      </c>
      <c r="AT95" s="784"/>
      <c r="AU95" s="744" t="n">
        <f aca="false">'06-Garage Footings'!D126</f>
        <v>0</v>
      </c>
      <c r="AV95" s="746" t="n">
        <f aca="false">C95+70000</f>
        <v>70026</v>
      </c>
      <c r="AW95" s="786" t="str">
        <f aca="false">D95</f>
        <v>Labor Strip Forms</v>
      </c>
      <c r="AX95" s="782"/>
      <c r="AY95" s="742" t="n">
        <f aca="false">'07-COLUMNS'!D141</f>
        <v>0</v>
      </c>
      <c r="AZ95" s="743" t="n">
        <f aca="false">C95+80000</f>
        <v>80026</v>
      </c>
      <c r="BA95" s="781" t="str">
        <f aca="false">D95</f>
        <v>Labor Strip Forms</v>
      </c>
      <c r="BB95" s="782"/>
      <c r="BC95" s="742" t="n">
        <f aca="false">'08-CIP EL. DECK'!D174</f>
        <v>0</v>
      </c>
      <c r="BD95" s="743" t="n">
        <f aca="false">C95+90000</f>
        <v>90026</v>
      </c>
      <c r="BE95" s="741" t="str">
        <f aca="false">D95</f>
        <v>Labor Strip Forms</v>
      </c>
      <c r="BF95" s="782"/>
      <c r="BG95" s="742" t="n">
        <f aca="false">'09-SLAB ON DECK'!E140</f>
        <v>0</v>
      </c>
      <c r="BH95" s="743" t="n">
        <f aca="false">C95+100000</f>
        <v>100026</v>
      </c>
      <c r="BI95" s="779" t="str">
        <f aca="false">D95</f>
        <v>Labor Strip Forms</v>
      </c>
      <c r="BJ95" s="780"/>
      <c r="BK95" s="742" t="n">
        <f aca="false">'10-PAVING'!D121</f>
        <v>0</v>
      </c>
      <c r="BL95" s="743" t="n">
        <f aca="false">C95+110000</f>
        <v>110026</v>
      </c>
      <c r="BM95" s="779" t="str">
        <f aca="false">D95</f>
        <v>Labor Strip Forms</v>
      </c>
      <c r="BN95" s="780"/>
      <c r="BO95" s="742" t="n">
        <f aca="false">'11-Sidewalks'!D118</f>
        <v>0</v>
      </c>
      <c r="BP95" s="743" t="n">
        <f aca="false">C95+120000</f>
        <v>120026</v>
      </c>
      <c r="BQ95" s="786" t="str">
        <f aca="false">D95</f>
        <v>Labor Strip Forms</v>
      </c>
      <c r="BR95" s="782"/>
      <c r="BS95" s="742" t="n">
        <f aca="false">'12-PANELS'!F136</f>
        <v>0</v>
      </c>
      <c r="BT95" s="746" t="n">
        <f aca="false">C95+130000</f>
        <v>130026</v>
      </c>
      <c r="BU95" s="781" t="str">
        <f aca="false">M95</f>
        <v>Labor Strip Forms</v>
      </c>
      <c r="BV95" s="782"/>
      <c r="BW95" s="742" t="n">
        <f aca="false">'13-Miscellaneous'!E69</f>
        <v>0</v>
      </c>
      <c r="BX95" s="743" t="n">
        <f aca="false">C95+140000</f>
        <v>140026</v>
      </c>
      <c r="BY95" s="781" t="str">
        <f aca="false">Q95</f>
        <v>Labor Strip Forms</v>
      </c>
    </row>
    <row r="96" customFormat="false" ht="21" hidden="false" customHeight="true" outlineLevel="0" collapsed="false">
      <c r="A96" s="775"/>
      <c r="B96" s="738" t="n">
        <v>27</v>
      </c>
      <c r="C96" s="739" t="s">
        <v>1124</v>
      </c>
      <c r="D96" s="543" t="s">
        <v>1125</v>
      </c>
      <c r="E96" s="543"/>
      <c r="F96" s="749"/>
      <c r="G96" s="742" t="n">
        <f aca="false">K96+BK96+AI96+W96+AA96+AY96+BS96+BC96+BG96+S96+O96+BW96+BO96+AE96+AM96+AQ96+AU96</f>
        <v>0</v>
      </c>
      <c r="H96" s="745" t="n">
        <f aca="false">C96+10000</f>
        <v>10027</v>
      </c>
      <c r="I96" s="543" t="str">
        <f aca="false">D96</f>
        <v>Labor Burden</v>
      </c>
      <c r="J96" s="749"/>
      <c r="K96" s="742" t="n">
        <f aca="false">'01-Piers'!E116</f>
        <v>0</v>
      </c>
      <c r="L96" s="746" t="n">
        <f aca="false">C96+20000</f>
        <v>20027</v>
      </c>
      <c r="M96" s="543" t="str">
        <f aca="false">Q96</f>
        <v>Labor Burden</v>
      </c>
      <c r="N96" s="749"/>
      <c r="O96" s="751" t="n">
        <f aca="false">'02-Gd Beams'!E124</f>
        <v>0</v>
      </c>
      <c r="P96" s="743" t="n">
        <f aca="false">C96+40000</f>
        <v>40027</v>
      </c>
      <c r="Q96" s="543" t="str">
        <f aca="false">D96</f>
        <v>Labor Burden</v>
      </c>
      <c r="R96" s="749"/>
      <c r="S96" s="744" t="n">
        <f aca="false">'04-PT Slab on Grade Wrap'!E142</f>
        <v>0</v>
      </c>
      <c r="T96" s="746" t="n">
        <f aca="false">C96+40000</f>
        <v>40027</v>
      </c>
      <c r="U96" s="543" t="str">
        <f aca="false">D96</f>
        <v>Labor Burden</v>
      </c>
      <c r="V96" s="749"/>
      <c r="W96" s="752" t="n">
        <f aca="false">'04-PT Slab on Grade'!E142</f>
        <v>0</v>
      </c>
      <c r="X96" s="746" t="n">
        <f aca="false">C96+50000</f>
        <v>50027</v>
      </c>
      <c r="Y96" s="543" t="str">
        <f aca="false">D96</f>
        <v>Labor Burden</v>
      </c>
      <c r="Z96" s="749"/>
      <c r="AA96" s="744" t="n">
        <f aca="false">'05-Slabs'!E142</f>
        <v>0</v>
      </c>
      <c r="AB96" s="743" t="n">
        <f aca="false">C96+30000</f>
        <v>30027</v>
      </c>
      <c r="AC96" s="543" t="str">
        <f aca="false">BE96</f>
        <v>Labor Burden</v>
      </c>
      <c r="AD96" s="749"/>
      <c r="AE96" s="744" t="n">
        <f aca="false">'03-Walls &amp; Footings'!D127</f>
        <v>0</v>
      </c>
      <c r="AF96" s="746" t="n">
        <f aca="false">C96+60000</f>
        <v>60027</v>
      </c>
      <c r="AG96" s="543" t="str">
        <f aca="false">BI96</f>
        <v>Labor Burden</v>
      </c>
      <c r="AH96" s="749"/>
      <c r="AI96" s="752" t="n">
        <f aca="false">'06-Walls &amp; Footings'!D127</f>
        <v>0</v>
      </c>
      <c r="AJ96" s="746" t="n">
        <f aca="false">C96+60000</f>
        <v>60027</v>
      </c>
      <c r="AK96" s="543" t="str">
        <f aca="false">BI96</f>
        <v>Labor Burden</v>
      </c>
      <c r="AL96" s="749"/>
      <c r="AM96" s="752" t="n">
        <f aca="false">'06-Footings'!D127</f>
        <v>0</v>
      </c>
      <c r="AN96" s="746" t="n">
        <f aca="false">C96+60000</f>
        <v>60027</v>
      </c>
      <c r="AO96" s="543" t="str">
        <f aca="false">BI96</f>
        <v>Labor Burden</v>
      </c>
      <c r="AP96" s="749"/>
      <c r="AQ96" s="744" t="n">
        <f aca="false">'06-Garage Walls &amp; Footings'!D127</f>
        <v>0</v>
      </c>
      <c r="AR96" s="746" t="n">
        <f aca="false">G96+60000</f>
        <v>60000</v>
      </c>
      <c r="AS96" s="543" t="str">
        <f aca="false">BM96</f>
        <v>Labor Burden</v>
      </c>
      <c r="AT96" s="749"/>
      <c r="AU96" s="744" t="n">
        <f aca="false">'06-Garage Footings'!D127</f>
        <v>0</v>
      </c>
      <c r="AV96" s="746" t="n">
        <f aca="false">C96+70000</f>
        <v>70027</v>
      </c>
      <c r="AW96" s="543" t="str">
        <f aca="false">D96</f>
        <v>Labor Burden</v>
      </c>
      <c r="AX96" s="749"/>
      <c r="AY96" s="751" t="n">
        <f aca="false">'07-COLUMNS'!D142</f>
        <v>0</v>
      </c>
      <c r="AZ96" s="746" t="n">
        <f aca="false">C96+80000</f>
        <v>80027</v>
      </c>
      <c r="BA96" s="543" t="str">
        <f aca="false">D96</f>
        <v>Labor Burden</v>
      </c>
      <c r="BB96" s="749"/>
      <c r="BC96" s="751" t="n">
        <f aca="false">'08-CIP EL. DECK'!D175</f>
        <v>0</v>
      </c>
      <c r="BD96" s="746" t="n">
        <f aca="false">C96+90000</f>
        <v>90027</v>
      </c>
      <c r="BE96" s="543" t="str">
        <f aca="false">D96</f>
        <v>Labor Burden</v>
      </c>
      <c r="BF96" s="749"/>
      <c r="BG96" s="751" t="n">
        <f aca="false">'09-SLAB ON DECK'!E141</f>
        <v>0</v>
      </c>
      <c r="BH96" s="746" t="n">
        <f aca="false">C96+100000</f>
        <v>100027</v>
      </c>
      <c r="BI96" s="543" t="str">
        <f aca="false">D96</f>
        <v>Labor Burden</v>
      </c>
      <c r="BJ96" s="749"/>
      <c r="BK96" s="751" t="n">
        <f aca="false">'10-PAVING'!D122</f>
        <v>0</v>
      </c>
      <c r="BL96" s="746" t="n">
        <f aca="false">C96+110000</f>
        <v>110027</v>
      </c>
      <c r="BM96" s="543" t="str">
        <f aca="false">D96</f>
        <v>Labor Burden</v>
      </c>
      <c r="BN96" s="749"/>
      <c r="BO96" s="751" t="n">
        <f aca="false">'11-Sidewalks'!D119</f>
        <v>0</v>
      </c>
      <c r="BP96" s="746" t="n">
        <f aca="false">C96+120000</f>
        <v>120027</v>
      </c>
      <c r="BQ96" s="543" t="str">
        <f aca="false">D96</f>
        <v>Labor Burden</v>
      </c>
      <c r="BR96" s="749"/>
      <c r="BS96" s="751" t="n">
        <f aca="false">'12-PANELS'!F137</f>
        <v>0</v>
      </c>
      <c r="BT96" s="746" t="n">
        <f aca="false">C96+130000</f>
        <v>130027</v>
      </c>
      <c r="BU96" s="543" t="str">
        <f aca="false">M96</f>
        <v>Labor Burden</v>
      </c>
      <c r="BV96" s="749"/>
      <c r="BW96" s="751" t="n">
        <f aca="false">'13-Miscellaneous'!E70</f>
        <v>0</v>
      </c>
      <c r="BX96" s="746" t="n">
        <f aca="false">C96+140000</f>
        <v>140027</v>
      </c>
      <c r="BY96" s="543" t="str">
        <f aca="false">Q96</f>
        <v>Labor Burden</v>
      </c>
    </row>
    <row r="97" customFormat="false" ht="21" hidden="false" customHeight="true" outlineLevel="0" collapsed="false">
      <c r="A97" s="775"/>
      <c r="B97" s="738"/>
      <c r="C97" s="787" t="s">
        <v>1126</v>
      </c>
      <c r="D97" s="788" t="s">
        <v>1127</v>
      </c>
      <c r="E97" s="10"/>
      <c r="G97" s="742" t="n">
        <f aca="false">K97+BK97+AI97+W97+AA97+AY97+BS97+BC97+BG97+S97+O97+BW97+BO97+AE97+AM97+AQ97+AU97</f>
        <v>2650</v>
      </c>
      <c r="H97" s="789" t="n">
        <f aca="false">C97+10000</f>
        <v>10028</v>
      </c>
      <c r="I97" s="790" t="str">
        <f aca="false">D97</f>
        <v>Surveying</v>
      </c>
      <c r="K97" s="742" t="n">
        <f aca="false">'01-Piers'!E117</f>
        <v>2650</v>
      </c>
      <c r="L97" s="791" t="n">
        <f aca="false">C97+20000</f>
        <v>20028</v>
      </c>
      <c r="M97" s="790" t="str">
        <f aca="false">Q97</f>
        <v>Surveying</v>
      </c>
      <c r="O97" s="792"/>
      <c r="P97" s="743" t="n">
        <f aca="false">C97+40000</f>
        <v>40028</v>
      </c>
      <c r="Q97" s="790" t="str">
        <f aca="false">D97</f>
        <v>Surveying</v>
      </c>
      <c r="S97" s="744" t="n">
        <f aca="false">'04-PT Slab on Grade Wrap'!E143</f>
        <v>0</v>
      </c>
      <c r="T97" s="791" t="n">
        <f aca="false">C97+40000</f>
        <v>40028</v>
      </c>
      <c r="U97" s="790" t="str">
        <f aca="false">D97</f>
        <v>Surveying</v>
      </c>
      <c r="W97" s="752" t="n">
        <f aca="false">'04-PT Slab on Grade'!E143</f>
        <v>0</v>
      </c>
      <c r="X97" s="791" t="n">
        <f aca="false">C97+50000</f>
        <v>50028</v>
      </c>
      <c r="Y97" s="790" t="str">
        <f aca="false">D97</f>
        <v>Surveying</v>
      </c>
      <c r="AA97" s="793" t="n">
        <f aca="false">'05-Slabs'!E143</f>
        <v>0</v>
      </c>
      <c r="AB97" s="743" t="n">
        <f aca="false">C97+30000</f>
        <v>30028</v>
      </c>
      <c r="AC97" s="790" t="str">
        <f aca="false">BE97</f>
        <v>Surveying</v>
      </c>
      <c r="AE97" s="794"/>
      <c r="AF97" s="791" t="n">
        <f aca="false">C97+60000</f>
        <v>60028</v>
      </c>
      <c r="AG97" s="790" t="str">
        <f aca="false">BI97</f>
        <v>Surveying</v>
      </c>
      <c r="AI97" s="794"/>
      <c r="AJ97" s="791" t="n">
        <f aca="false">C97+60000</f>
        <v>60028</v>
      </c>
      <c r="AK97" s="790" t="str">
        <f aca="false">BI97</f>
        <v>Surveying</v>
      </c>
      <c r="AM97" s="794"/>
      <c r="AN97" s="791" t="n">
        <f aca="false">C97+60000</f>
        <v>60028</v>
      </c>
      <c r="AO97" s="790" t="str">
        <f aca="false">BI97</f>
        <v>Surveying</v>
      </c>
      <c r="AQ97" s="794"/>
      <c r="AR97" s="791" t="n">
        <f aca="false">G97+60000</f>
        <v>62650</v>
      </c>
      <c r="AS97" s="790" t="str">
        <f aca="false">BM97</f>
        <v>Surveying</v>
      </c>
      <c r="AU97" s="794"/>
      <c r="AV97" s="791" t="n">
        <f aca="false">C97+70000</f>
        <v>70028</v>
      </c>
      <c r="AW97" s="790" t="str">
        <f aca="false">D97</f>
        <v>Surveying</v>
      </c>
      <c r="AY97" s="792"/>
      <c r="AZ97" s="791" t="n">
        <f aca="false">C97+80000</f>
        <v>80028</v>
      </c>
      <c r="BA97" s="790" t="str">
        <f aca="false">D97</f>
        <v>Surveying</v>
      </c>
      <c r="BC97" s="792"/>
      <c r="BD97" s="791" t="n">
        <f aca="false">C97+90000</f>
        <v>90028</v>
      </c>
      <c r="BE97" s="790" t="str">
        <f aca="false">D97</f>
        <v>Surveying</v>
      </c>
      <c r="BG97" s="792"/>
      <c r="BH97" s="791" t="n">
        <f aca="false">C97+100000</f>
        <v>100028</v>
      </c>
      <c r="BI97" s="790" t="str">
        <f aca="false">D97</f>
        <v>Surveying</v>
      </c>
      <c r="BK97" s="792"/>
      <c r="BL97" s="791" t="n">
        <f aca="false">C97+110000</f>
        <v>110028</v>
      </c>
      <c r="BM97" s="790" t="str">
        <f aca="false">D97</f>
        <v>Surveying</v>
      </c>
      <c r="BO97" s="792"/>
      <c r="BP97" s="791" t="n">
        <f aca="false">C97+120000</f>
        <v>120028</v>
      </c>
      <c r="BQ97" s="790" t="str">
        <f aca="false">D97</f>
        <v>Surveying</v>
      </c>
      <c r="BS97" s="792"/>
      <c r="BT97" s="791" t="n">
        <f aca="false">C97+130000</f>
        <v>130028</v>
      </c>
      <c r="BU97" s="790" t="str">
        <f aca="false">M97</f>
        <v>Surveying</v>
      </c>
      <c r="BW97" s="742"/>
      <c r="BX97" s="743" t="n">
        <f aca="false">C97+140000</f>
        <v>140028</v>
      </c>
      <c r="BY97" s="790" t="str">
        <f aca="false">Q97</f>
        <v>Surveying</v>
      </c>
    </row>
    <row r="98" customFormat="false" ht="21" hidden="false" customHeight="true" outlineLevel="0" collapsed="false">
      <c r="A98" s="775" t="s">
        <v>1128</v>
      </c>
      <c r="B98" s="795" t="n">
        <v>30</v>
      </c>
      <c r="C98" s="758" t="s">
        <v>1129</v>
      </c>
      <c r="D98" s="759" t="s">
        <v>1130</v>
      </c>
      <c r="E98" s="759"/>
      <c r="F98" s="760"/>
      <c r="G98" s="742" t="n">
        <f aca="false">K98+BK98+AI98+W98+AA98+AY98+BS98+BC98+BG98+S98+O98+BW98+BO98+AE98+AM98+AQ98+AU98</f>
        <v>50787.1206390124</v>
      </c>
      <c r="H98" s="761" t="n">
        <f aca="false">C98+10000</f>
        <v>10030</v>
      </c>
      <c r="I98" s="759" t="str">
        <f aca="false">D98</f>
        <v>Pumping</v>
      </c>
      <c r="J98" s="760"/>
      <c r="K98" s="762" t="n">
        <f aca="false">'01-Piers'!E118</f>
        <v>12653.9868118519</v>
      </c>
      <c r="L98" s="761" t="n">
        <f aca="false">C98+20000</f>
        <v>20030</v>
      </c>
      <c r="M98" s="759" t="str">
        <f aca="false">Q98</f>
        <v>Pumping</v>
      </c>
      <c r="N98" s="760"/>
      <c r="O98" s="762" t="n">
        <f aca="false">'02-Gd Beams'!E125</f>
        <v>0</v>
      </c>
      <c r="P98" s="743" t="n">
        <f aca="false">C98+40000</f>
        <v>40030</v>
      </c>
      <c r="Q98" s="759" t="str">
        <f aca="false">D98</f>
        <v>Pumping</v>
      </c>
      <c r="R98" s="760"/>
      <c r="S98" s="744" t="n">
        <f aca="false">'04-PT Slab on Grade Wrap'!E144</f>
        <v>0</v>
      </c>
      <c r="T98" s="761" t="n">
        <f aca="false">C98+40000</f>
        <v>40030</v>
      </c>
      <c r="U98" s="759" t="str">
        <f aca="false">D98</f>
        <v>Pumping</v>
      </c>
      <c r="V98" s="760"/>
      <c r="W98" s="796" t="n">
        <f aca="false">'04-PT Slab on Grade'!E144</f>
        <v>35283.1338271605</v>
      </c>
      <c r="X98" s="761" t="n">
        <f aca="false">C98+50000</f>
        <v>50030</v>
      </c>
      <c r="Y98" s="759" t="str">
        <f aca="false">D98</f>
        <v>Pumping</v>
      </c>
      <c r="Z98" s="760"/>
      <c r="AA98" s="744" t="n">
        <f aca="false">'05-Slabs'!E144</f>
        <v>0</v>
      </c>
      <c r="AB98" s="743" t="n">
        <f aca="false">C98+30000</f>
        <v>30030</v>
      </c>
      <c r="AC98" s="759" t="str">
        <f aca="false">BE98</f>
        <v>Pumping</v>
      </c>
      <c r="AD98" s="760"/>
      <c r="AE98" s="796" t="n">
        <f aca="false">'03-Walls &amp; Footings'!D128</f>
        <v>0</v>
      </c>
      <c r="AF98" s="761" t="n">
        <f aca="false">C98+60000</f>
        <v>60030</v>
      </c>
      <c r="AG98" s="759" t="str">
        <f aca="false">BI98</f>
        <v>Pumping</v>
      </c>
      <c r="AH98" s="760"/>
      <c r="AI98" s="796" t="n">
        <f aca="false">'06-Walls &amp; Footings'!D128</f>
        <v>2850</v>
      </c>
      <c r="AJ98" s="761" t="n">
        <f aca="false">C98+60000</f>
        <v>60030</v>
      </c>
      <c r="AK98" s="759" t="str">
        <f aca="false">BI98</f>
        <v>Pumping</v>
      </c>
      <c r="AL98" s="760"/>
      <c r="AM98" s="796" t="n">
        <f aca="false">'06-Footings'!D128</f>
        <v>0</v>
      </c>
      <c r="AN98" s="761" t="n">
        <f aca="false">C98+60000</f>
        <v>60030</v>
      </c>
      <c r="AO98" s="759" t="str">
        <f aca="false">BI98</f>
        <v>Pumping</v>
      </c>
      <c r="AP98" s="760"/>
      <c r="AQ98" s="796" t="n">
        <f aca="false">'06-Garage Walls &amp; Footings'!D128</f>
        <v>0</v>
      </c>
      <c r="AR98" s="761" t="n">
        <f aca="false">G98+60000</f>
        <v>110787.120639012</v>
      </c>
      <c r="AS98" s="759" t="str">
        <f aca="false">BM98</f>
        <v>Pumping</v>
      </c>
      <c r="AT98" s="760"/>
      <c r="AU98" s="796" t="n">
        <f aca="false">'06-Garage Footings'!D128</f>
        <v>0</v>
      </c>
      <c r="AV98" s="761" t="n">
        <f aca="false">C98+70000</f>
        <v>70030</v>
      </c>
      <c r="AW98" s="759" t="str">
        <f aca="false">D98</f>
        <v>Pumping</v>
      </c>
      <c r="AX98" s="760"/>
      <c r="AY98" s="762" t="n">
        <f aca="false">'07-COLUMNS'!D143</f>
        <v>0</v>
      </c>
      <c r="AZ98" s="761" t="n">
        <f aca="false">C98+80000</f>
        <v>80030</v>
      </c>
      <c r="BA98" s="759" t="str">
        <f aca="false">D98</f>
        <v>Pumping</v>
      </c>
      <c r="BB98" s="760"/>
      <c r="BC98" s="762" t="n">
        <f aca="false">'08-CIP EL. DECK'!D176</f>
        <v>0</v>
      </c>
      <c r="BD98" s="761" t="n">
        <f aca="false">C98+90000</f>
        <v>90030</v>
      </c>
      <c r="BE98" s="759" t="str">
        <f aca="false">D98</f>
        <v>Pumping</v>
      </c>
      <c r="BF98" s="760"/>
      <c r="BG98" s="762" t="n">
        <f aca="false">'09-SLAB ON DECK'!E142</f>
        <v>0</v>
      </c>
      <c r="BH98" s="761" t="n">
        <f aca="false">C98+100000</f>
        <v>100030</v>
      </c>
      <c r="BI98" s="759" t="str">
        <f aca="false">D98</f>
        <v>Pumping</v>
      </c>
      <c r="BJ98" s="760"/>
      <c r="BK98" s="762" t="n">
        <f aca="false">'10-PAVING'!D123</f>
        <v>0</v>
      </c>
      <c r="BL98" s="761" t="n">
        <f aca="false">C98+110000</f>
        <v>110030</v>
      </c>
      <c r="BM98" s="759" t="str">
        <f aca="false">D98</f>
        <v>Pumping</v>
      </c>
      <c r="BN98" s="760"/>
      <c r="BO98" s="762" t="n">
        <f aca="false">'11-Sidewalks'!D120</f>
        <v>0</v>
      </c>
      <c r="BP98" s="761" t="n">
        <f aca="false">C98+120000</f>
        <v>120030</v>
      </c>
      <c r="BQ98" s="759" t="str">
        <f aca="false">D98</f>
        <v>Pumping</v>
      </c>
      <c r="BR98" s="760"/>
      <c r="BS98" s="742" t="n">
        <f aca="false">'12-PANELS'!F138</f>
        <v>0</v>
      </c>
      <c r="BT98" s="761" t="n">
        <f aca="false">C98+130000</f>
        <v>130030</v>
      </c>
      <c r="BU98" s="759" t="str">
        <f aca="false">M98</f>
        <v>Pumping</v>
      </c>
      <c r="BV98" s="760"/>
      <c r="BW98" s="762" t="n">
        <f aca="false">'13-Miscellaneous'!E71</f>
        <v>0</v>
      </c>
      <c r="BX98" s="743" t="n">
        <f aca="false">C98+140000</f>
        <v>140030</v>
      </c>
      <c r="BY98" s="759" t="str">
        <f aca="false">Q98</f>
        <v>Pumping</v>
      </c>
    </row>
    <row r="99" customFormat="false" ht="21" hidden="false" customHeight="true" outlineLevel="0" collapsed="false">
      <c r="A99" s="775"/>
      <c r="B99" s="738" t="n">
        <v>31</v>
      </c>
      <c r="C99" s="797" t="s">
        <v>1131</v>
      </c>
      <c r="D99" s="741" t="s">
        <v>1132</v>
      </c>
      <c r="E99" s="741"/>
      <c r="F99" s="318"/>
      <c r="G99" s="742" t="n">
        <f aca="false">K99+BK99+AI99+W99+AA99+AY99+BS99+BC99+BG99+S99+O99+BW99+BO99+AE99+AM99+AQ99+AU99</f>
        <v>0</v>
      </c>
      <c r="H99" s="747" t="n">
        <f aca="false">C99+10000</f>
        <v>10031</v>
      </c>
      <c r="I99" s="741" t="str">
        <f aca="false">D99</f>
        <v>Earth Work/Excavation</v>
      </c>
      <c r="J99" s="318"/>
      <c r="K99" s="742" t="n">
        <f aca="false">'01-Piers'!E119</f>
        <v>0</v>
      </c>
      <c r="L99" s="743" t="n">
        <f aca="false">C99+20000</f>
        <v>20031</v>
      </c>
      <c r="M99" s="741" t="str">
        <f aca="false">Q99</f>
        <v>Earth Work/Excavation</v>
      </c>
      <c r="N99" s="318"/>
      <c r="O99" s="742" t="n">
        <f aca="false">'02-Gd Beams'!E126</f>
        <v>0</v>
      </c>
      <c r="P99" s="743" t="n">
        <f aca="false">C99+40000</f>
        <v>40031</v>
      </c>
      <c r="Q99" s="741" t="str">
        <f aca="false">D99</f>
        <v>Earth Work/Excavation</v>
      </c>
      <c r="R99" s="318"/>
      <c r="S99" s="744" t="n">
        <f aca="false">'04-PT Slab on Grade Wrap'!E145</f>
        <v>0</v>
      </c>
      <c r="T99" s="743" t="n">
        <f aca="false">C99+40000</f>
        <v>40031</v>
      </c>
      <c r="U99" s="741" t="str">
        <f aca="false">D99</f>
        <v>Earth Work/Excavation</v>
      </c>
      <c r="V99" s="318"/>
      <c r="W99" s="744" t="n">
        <f aca="false">'04-PT Slab on Grade'!E145</f>
        <v>0</v>
      </c>
      <c r="X99" s="743" t="n">
        <f aca="false">C99+50000</f>
        <v>50031</v>
      </c>
      <c r="Y99" s="741" t="str">
        <f aca="false">D99</f>
        <v>Earth Work/Excavation</v>
      </c>
      <c r="Z99" s="318"/>
      <c r="AA99" s="744" t="n">
        <f aca="false">'05-Slabs'!E145</f>
        <v>0</v>
      </c>
      <c r="AB99" s="743" t="n">
        <f aca="false">C99+30000</f>
        <v>30031</v>
      </c>
      <c r="AC99" s="741" t="str">
        <f aca="false">BE99</f>
        <v>Earth Work/Excavation</v>
      </c>
      <c r="AD99" s="318"/>
      <c r="AE99" s="796" t="n">
        <f aca="false">'03-Walls &amp; Footings'!D129</f>
        <v>0</v>
      </c>
      <c r="AF99" s="743" t="n">
        <f aca="false">C99+60000</f>
        <v>60031</v>
      </c>
      <c r="AG99" s="741" t="str">
        <f aca="false">BI99</f>
        <v>Earth Work/Excavation</v>
      </c>
      <c r="AH99" s="318"/>
      <c r="AI99" s="744" t="n">
        <f aca="false">'06-Walls &amp; Footings'!D129</f>
        <v>0</v>
      </c>
      <c r="AJ99" s="743" t="n">
        <f aca="false">C99+60000</f>
        <v>60031</v>
      </c>
      <c r="AK99" s="741" t="str">
        <f aca="false">BI99</f>
        <v>Earth Work/Excavation</v>
      </c>
      <c r="AL99" s="318"/>
      <c r="AM99" s="744" t="n">
        <f aca="false">'06-Footings'!D129</f>
        <v>0</v>
      </c>
      <c r="AN99" s="743" t="n">
        <f aca="false">C99+60000</f>
        <v>60031</v>
      </c>
      <c r="AO99" s="741" t="str">
        <f aca="false">BI99</f>
        <v>Earth Work/Excavation</v>
      </c>
      <c r="AP99" s="318"/>
      <c r="AQ99" s="752" t="n">
        <f aca="false">'06-Garage Walls &amp; Footings'!D129</f>
        <v>0</v>
      </c>
      <c r="AR99" s="743" t="n">
        <f aca="false">G99+60000</f>
        <v>60000</v>
      </c>
      <c r="AS99" s="741" t="str">
        <f aca="false">BM99</f>
        <v>Earth Work/Excavation</v>
      </c>
      <c r="AT99" s="318"/>
      <c r="AU99" s="752" t="n">
        <f aca="false">'06-Garage Footings'!D129</f>
        <v>0</v>
      </c>
      <c r="AV99" s="743" t="n">
        <f aca="false">C99+70000</f>
        <v>70031</v>
      </c>
      <c r="AW99" s="741" t="str">
        <f aca="false">D99</f>
        <v>Earth Work/Excavation</v>
      </c>
      <c r="AX99" s="318"/>
      <c r="AY99" s="742" t="n">
        <f aca="false">'07-COLUMNS'!D144</f>
        <v>0</v>
      </c>
      <c r="AZ99" s="743" t="n">
        <f aca="false">C99+80000</f>
        <v>80031</v>
      </c>
      <c r="BA99" s="741" t="str">
        <f aca="false">D99</f>
        <v>Earth Work/Excavation</v>
      </c>
      <c r="BB99" s="318"/>
      <c r="BC99" s="742" t="n">
        <f aca="false">'08-CIP EL. DECK'!D177</f>
        <v>0</v>
      </c>
      <c r="BD99" s="743" t="n">
        <f aca="false">C99+90000</f>
        <v>90031</v>
      </c>
      <c r="BE99" s="741" t="str">
        <f aca="false">D99</f>
        <v>Earth Work/Excavation</v>
      </c>
      <c r="BF99" s="318"/>
      <c r="BG99" s="742" t="n">
        <f aca="false">'09-SLAB ON DECK'!E143</f>
        <v>0</v>
      </c>
      <c r="BH99" s="743" t="n">
        <f aca="false">C99+100000</f>
        <v>100031</v>
      </c>
      <c r="BI99" s="741" t="str">
        <f aca="false">D99</f>
        <v>Earth Work/Excavation</v>
      </c>
      <c r="BJ99" s="318"/>
      <c r="BK99" s="742" t="n">
        <f aca="false">'10-PAVING'!D124</f>
        <v>0</v>
      </c>
      <c r="BL99" s="743" t="n">
        <f aca="false">C99+110000</f>
        <v>110031</v>
      </c>
      <c r="BM99" s="741" t="str">
        <f aca="false">D99</f>
        <v>Earth Work/Excavation</v>
      </c>
      <c r="BN99" s="318"/>
      <c r="BO99" s="742" t="n">
        <f aca="false">'11-Sidewalks'!D121</f>
        <v>0</v>
      </c>
      <c r="BP99" s="743" t="n">
        <f aca="false">C99+120000</f>
        <v>120031</v>
      </c>
      <c r="BQ99" s="741" t="str">
        <f aca="false">D99</f>
        <v>Earth Work/Excavation</v>
      </c>
      <c r="BR99" s="318"/>
      <c r="BS99" s="742" t="n">
        <f aca="false">'12-PANELS'!F139</f>
        <v>0</v>
      </c>
      <c r="BT99" s="743" t="n">
        <f aca="false">C99+130000</f>
        <v>130031</v>
      </c>
      <c r="BU99" s="741" t="str">
        <f aca="false">M99</f>
        <v>Earth Work/Excavation</v>
      </c>
      <c r="BV99" s="318"/>
      <c r="BW99" s="742" t="n">
        <f aca="false">'13-Miscellaneous'!E72</f>
        <v>0</v>
      </c>
      <c r="BX99" s="743" t="n">
        <f aca="false">C99+140000</f>
        <v>140031</v>
      </c>
      <c r="BY99" s="741" t="str">
        <f aca="false">Q99</f>
        <v>Earth Work/Excavation</v>
      </c>
    </row>
    <row r="100" customFormat="false" ht="21.75" hidden="false" customHeight="true" outlineLevel="0" collapsed="false">
      <c r="A100" s="775"/>
      <c r="B100" s="738" t="n">
        <v>32</v>
      </c>
      <c r="C100" s="798" t="s">
        <v>1133</v>
      </c>
      <c r="D100" s="543" t="s">
        <v>756</v>
      </c>
      <c r="E100" s="543"/>
      <c r="F100" s="749"/>
      <c r="G100" s="742" t="n">
        <f aca="false">K100+BK100+AI100+W100+AA100+AY100+BS100+BC100+BG100+S100+O100+BW100+BO100+AE100+AM100+AQ100+AU100</f>
        <v>58032</v>
      </c>
      <c r="H100" s="746" t="n">
        <f aca="false">C100+10000</f>
        <v>10032</v>
      </c>
      <c r="I100" s="543" t="str">
        <f aca="false">D100</f>
        <v>Drilling</v>
      </c>
      <c r="J100" s="749"/>
      <c r="K100" s="742" t="n">
        <f aca="false">'01-Piers'!E120</f>
        <v>58032</v>
      </c>
      <c r="L100" s="746" t="n">
        <f aca="false">C100+20000</f>
        <v>20032</v>
      </c>
      <c r="M100" s="543" t="str">
        <f aca="false">Q100</f>
        <v>Drilling</v>
      </c>
      <c r="N100" s="749"/>
      <c r="O100" s="751" t="n">
        <f aca="false">'02-Gd Beams'!E127</f>
        <v>0</v>
      </c>
      <c r="P100" s="743" t="n">
        <f aca="false">C100+40000</f>
        <v>40032</v>
      </c>
      <c r="Q100" s="543" t="str">
        <f aca="false">D100</f>
        <v>Drilling</v>
      </c>
      <c r="R100" s="749"/>
      <c r="S100" s="744" t="n">
        <f aca="false">'04-PT Slab on Grade Wrap'!E146</f>
        <v>0</v>
      </c>
      <c r="T100" s="746" t="n">
        <f aca="false">C100+40000</f>
        <v>40032</v>
      </c>
      <c r="U100" s="543" t="str">
        <f aca="false">D100</f>
        <v>Drilling</v>
      </c>
      <c r="V100" s="749"/>
      <c r="W100" s="744" t="n">
        <f aca="false">'04-PT Slab on Grade'!E146</f>
        <v>0</v>
      </c>
      <c r="X100" s="746" t="n">
        <f aca="false">C100+50000</f>
        <v>50032</v>
      </c>
      <c r="Y100" s="543" t="str">
        <f aca="false">D100</f>
        <v>Drilling</v>
      </c>
      <c r="Z100" s="749"/>
      <c r="AA100" s="744" t="n">
        <f aca="false">'05-Slabs'!E146</f>
        <v>0</v>
      </c>
      <c r="AB100" s="743" t="n">
        <f aca="false">C100+30000</f>
        <v>30032</v>
      </c>
      <c r="AC100" s="543" t="str">
        <f aca="false">BE100</f>
        <v>Drilling</v>
      </c>
      <c r="AD100" s="749"/>
      <c r="AE100" s="796" t="n">
        <f aca="false">'03-Walls &amp; Footings'!D130</f>
        <v>0</v>
      </c>
      <c r="AF100" s="746" t="n">
        <f aca="false">C100+60000</f>
        <v>60032</v>
      </c>
      <c r="AG100" s="543" t="str">
        <f aca="false">BI100</f>
        <v>Drilling</v>
      </c>
      <c r="AH100" s="749"/>
      <c r="AI100" s="752" t="n">
        <f aca="false">'06-Walls &amp; Footings'!D130</f>
        <v>0</v>
      </c>
      <c r="AJ100" s="746" t="n">
        <f aca="false">C100+60000</f>
        <v>60032</v>
      </c>
      <c r="AK100" s="543" t="str">
        <f aca="false">BI100</f>
        <v>Drilling</v>
      </c>
      <c r="AL100" s="749"/>
      <c r="AM100" s="752" t="n">
        <f aca="false">'06-Footings'!D130</f>
        <v>0</v>
      </c>
      <c r="AN100" s="746" t="n">
        <f aca="false">C100+60000</f>
        <v>60032</v>
      </c>
      <c r="AO100" s="543" t="str">
        <f aca="false">BI100</f>
        <v>Drilling</v>
      </c>
      <c r="AP100" s="749"/>
      <c r="AQ100" s="752" t="n">
        <f aca="false">'06-Garage Walls &amp; Footings'!D130</f>
        <v>0</v>
      </c>
      <c r="AR100" s="746" t="n">
        <f aca="false">G100+60000</f>
        <v>118032</v>
      </c>
      <c r="AS100" s="543" t="str">
        <f aca="false">BM100</f>
        <v>Drilling</v>
      </c>
      <c r="AT100" s="749"/>
      <c r="AU100" s="752" t="n">
        <f aca="false">'06-Garage Footings'!D130</f>
        <v>0</v>
      </c>
      <c r="AV100" s="746" t="n">
        <f aca="false">C100+70000</f>
        <v>70032</v>
      </c>
      <c r="AW100" s="543" t="str">
        <f aca="false">D100</f>
        <v>Drilling</v>
      </c>
      <c r="AX100" s="749"/>
      <c r="AY100" s="751" t="n">
        <f aca="false">'07-COLUMNS'!D145</f>
        <v>0</v>
      </c>
      <c r="AZ100" s="746" t="n">
        <f aca="false">C100+80000</f>
        <v>80032</v>
      </c>
      <c r="BA100" s="543" t="str">
        <f aca="false">D100</f>
        <v>Drilling</v>
      </c>
      <c r="BB100" s="749"/>
      <c r="BC100" s="751" t="n">
        <f aca="false">'08-CIP EL. DECK'!D178</f>
        <v>0</v>
      </c>
      <c r="BD100" s="746" t="n">
        <f aca="false">C100+90000</f>
        <v>90032</v>
      </c>
      <c r="BE100" s="543" t="str">
        <f aca="false">D100</f>
        <v>Drilling</v>
      </c>
      <c r="BF100" s="749"/>
      <c r="BG100" s="751" t="n">
        <f aca="false">'09-SLAB ON DECK'!E144</f>
        <v>0</v>
      </c>
      <c r="BH100" s="746" t="n">
        <f aca="false">C100+100000</f>
        <v>100032</v>
      </c>
      <c r="BI100" s="543" t="str">
        <f aca="false">D100</f>
        <v>Drilling</v>
      </c>
      <c r="BJ100" s="749"/>
      <c r="BK100" s="751" t="n">
        <f aca="false">'10-PAVING'!D125</f>
        <v>0</v>
      </c>
      <c r="BL100" s="746" t="n">
        <f aca="false">C100+110000</f>
        <v>110032</v>
      </c>
      <c r="BM100" s="543" t="str">
        <f aca="false">D100</f>
        <v>Drilling</v>
      </c>
      <c r="BN100" s="749"/>
      <c r="BO100" s="751" t="n">
        <f aca="false">'11-Sidewalks'!D122</f>
        <v>0</v>
      </c>
      <c r="BP100" s="746" t="n">
        <f aca="false">C100+120000</f>
        <v>120032</v>
      </c>
      <c r="BQ100" s="543" t="str">
        <f aca="false">D100</f>
        <v>Drilling</v>
      </c>
      <c r="BR100" s="749"/>
      <c r="BS100" s="742" t="n">
        <f aca="false">'12-PANELS'!F140</f>
        <v>0</v>
      </c>
      <c r="BT100" s="746" t="n">
        <f aca="false">C100+130000</f>
        <v>130032</v>
      </c>
      <c r="BU100" s="543" t="str">
        <f aca="false">M100</f>
        <v>Drilling</v>
      </c>
      <c r="BV100" s="749"/>
      <c r="BW100" s="742" t="n">
        <f aca="false">'13-Miscellaneous'!E73</f>
        <v>0</v>
      </c>
      <c r="BX100" s="743" t="n">
        <f aca="false">C100+140000</f>
        <v>140032</v>
      </c>
      <c r="BY100" s="543" t="str">
        <f aca="false">Q100</f>
        <v>Drilling</v>
      </c>
    </row>
    <row r="101" customFormat="false" ht="21" hidden="false" customHeight="true" outlineLevel="0" collapsed="false">
      <c r="A101" s="775"/>
      <c r="B101" s="427" t="n">
        <v>33</v>
      </c>
      <c r="C101" s="739" t="s">
        <v>1134</v>
      </c>
      <c r="D101" s="741" t="s">
        <v>1135</v>
      </c>
      <c r="E101" s="741"/>
      <c r="F101" s="318"/>
      <c r="G101" s="742" t="n">
        <f aca="false">K101+BK101+AI101+W101+AA101+AY101+BS101+BC101+BG101+S101+O101+BW101+BO101+AE101+AM101+AQ101+AU101</f>
        <v>3860.78410124105</v>
      </c>
      <c r="H101" s="743" t="n">
        <f aca="false">C101+10000</f>
        <v>10033</v>
      </c>
      <c r="I101" s="741" t="str">
        <f aca="false">D101</f>
        <v>Haul off</v>
      </c>
      <c r="J101" s="318"/>
      <c r="K101" s="742" t="n">
        <f aca="false">'01-Piers'!E121</f>
        <v>3860.78410124105</v>
      </c>
      <c r="L101" s="743" t="n">
        <f aca="false">C101+20000</f>
        <v>20033</v>
      </c>
      <c r="M101" s="741" t="str">
        <f aca="false">Q101</f>
        <v>Haul off</v>
      </c>
      <c r="N101" s="318"/>
      <c r="O101" s="742" t="n">
        <f aca="false">'02-Gd Beams'!E128</f>
        <v>0</v>
      </c>
      <c r="P101" s="743" t="n">
        <f aca="false">C101+40000</f>
        <v>40033</v>
      </c>
      <c r="Q101" s="741" t="str">
        <f aca="false">D101</f>
        <v>Haul off</v>
      </c>
      <c r="R101" s="318"/>
      <c r="S101" s="744" t="n">
        <f aca="false">'04-PT Slab on Grade Wrap'!E147</f>
        <v>0</v>
      </c>
      <c r="T101" s="743" t="n">
        <f aca="false">C101+40000</f>
        <v>40033</v>
      </c>
      <c r="U101" s="741" t="str">
        <f aca="false">D101</f>
        <v>Haul off</v>
      </c>
      <c r="V101" s="318"/>
      <c r="W101" s="744" t="n">
        <f aca="false">'04-PT Slab on Grade'!E147</f>
        <v>0</v>
      </c>
      <c r="X101" s="743" t="n">
        <f aca="false">C101+50000</f>
        <v>50033</v>
      </c>
      <c r="Y101" s="741" t="str">
        <f aca="false">D101</f>
        <v>Haul off</v>
      </c>
      <c r="Z101" s="318"/>
      <c r="AA101" s="744" t="n">
        <f aca="false">'05-Slabs'!E147</f>
        <v>0</v>
      </c>
      <c r="AB101" s="743" t="n">
        <f aca="false">C101+30000</f>
        <v>30033</v>
      </c>
      <c r="AC101" s="741" t="str">
        <f aca="false">BE101</f>
        <v>Haul off</v>
      </c>
      <c r="AD101" s="318"/>
      <c r="AE101" s="796" t="n">
        <f aca="false">'03-Walls &amp; Footings'!D131</f>
        <v>0</v>
      </c>
      <c r="AF101" s="743" t="n">
        <f aca="false">C101+60000</f>
        <v>60033</v>
      </c>
      <c r="AG101" s="741" t="str">
        <f aca="false">BI101</f>
        <v>Haul off</v>
      </c>
      <c r="AH101" s="318"/>
      <c r="AI101" s="744" t="n">
        <f aca="false">'06-Walls &amp; Footings'!D131</f>
        <v>0</v>
      </c>
      <c r="AJ101" s="743" t="n">
        <f aca="false">C101+60000</f>
        <v>60033</v>
      </c>
      <c r="AK101" s="741" t="str">
        <f aca="false">BI101</f>
        <v>Haul off</v>
      </c>
      <c r="AL101" s="318"/>
      <c r="AM101" s="744" t="n">
        <f aca="false">'06-Footings'!D131</f>
        <v>0</v>
      </c>
      <c r="AN101" s="743" t="n">
        <f aca="false">C101+60000</f>
        <v>60033</v>
      </c>
      <c r="AO101" s="741" t="str">
        <f aca="false">BI101</f>
        <v>Haul off</v>
      </c>
      <c r="AP101" s="318"/>
      <c r="AQ101" s="752" t="n">
        <f aca="false">'06-Garage Walls &amp; Footings'!D131</f>
        <v>0</v>
      </c>
      <c r="AR101" s="743" t="n">
        <f aca="false">G101+60000</f>
        <v>63860.7841012411</v>
      </c>
      <c r="AS101" s="741" t="str">
        <f aca="false">BM101</f>
        <v>Haul off</v>
      </c>
      <c r="AT101" s="318"/>
      <c r="AU101" s="752" t="n">
        <f aca="false">'06-Garage Footings'!D131</f>
        <v>0</v>
      </c>
      <c r="AV101" s="743" t="n">
        <f aca="false">C101+70000</f>
        <v>70033</v>
      </c>
      <c r="AW101" s="741" t="str">
        <f aca="false">D101</f>
        <v>Haul off</v>
      </c>
      <c r="AX101" s="318"/>
      <c r="AY101" s="742" t="n">
        <f aca="false">'07-COLUMNS'!D146</f>
        <v>0</v>
      </c>
      <c r="AZ101" s="743" t="n">
        <f aca="false">C101+80000</f>
        <v>80033</v>
      </c>
      <c r="BA101" s="741" t="str">
        <f aca="false">D101</f>
        <v>Haul off</v>
      </c>
      <c r="BB101" s="318"/>
      <c r="BC101" s="742" t="n">
        <f aca="false">'08-CIP EL. DECK'!D179</f>
        <v>0</v>
      </c>
      <c r="BD101" s="747" t="n">
        <f aca="false">C101+90000</f>
        <v>90033</v>
      </c>
      <c r="BE101" s="741" t="str">
        <f aca="false">D101</f>
        <v>Haul off</v>
      </c>
      <c r="BF101" s="318"/>
      <c r="BG101" s="742" t="n">
        <f aca="false">'09-SLAB ON DECK'!E145</f>
        <v>0</v>
      </c>
      <c r="BH101" s="743" t="n">
        <f aca="false">C101+100000</f>
        <v>100033</v>
      </c>
      <c r="BI101" s="741" t="str">
        <f aca="false">D101</f>
        <v>Haul off</v>
      </c>
      <c r="BJ101" s="318"/>
      <c r="BK101" s="742" t="n">
        <f aca="false">'10-PAVING'!D126</f>
        <v>0</v>
      </c>
      <c r="BL101" s="743" t="n">
        <f aca="false">C101+110000</f>
        <v>110033</v>
      </c>
      <c r="BM101" s="741" t="str">
        <f aca="false">D101</f>
        <v>Haul off</v>
      </c>
      <c r="BN101" s="318"/>
      <c r="BO101" s="742" t="n">
        <f aca="false">'11-Sidewalks'!D123</f>
        <v>0</v>
      </c>
      <c r="BP101" s="743" t="n">
        <f aca="false">C101+120000</f>
        <v>120033</v>
      </c>
      <c r="BQ101" s="741" t="str">
        <f aca="false">D101</f>
        <v>Haul off</v>
      </c>
      <c r="BR101" s="318"/>
      <c r="BS101" s="742" t="n">
        <f aca="false">'12-PANELS'!F141</f>
        <v>0</v>
      </c>
      <c r="BT101" s="743" t="n">
        <f aca="false">C101+130000</f>
        <v>130033</v>
      </c>
      <c r="BU101" s="741" t="str">
        <f aca="false">M101</f>
        <v>Haul off</v>
      </c>
      <c r="BV101" s="318"/>
      <c r="BW101" s="742" t="n">
        <f aca="false">'13-Miscellaneous'!E74</f>
        <v>0</v>
      </c>
      <c r="BX101" s="743" t="n">
        <f aca="false">C101+140000</f>
        <v>140033</v>
      </c>
      <c r="BY101" s="741" t="str">
        <f aca="false">Q101</f>
        <v>Haul off</v>
      </c>
    </row>
    <row r="102" customFormat="false" ht="21" hidden="false" customHeight="true" outlineLevel="0" collapsed="false">
      <c r="A102" s="775"/>
      <c r="B102" s="427" t="n">
        <v>34</v>
      </c>
      <c r="C102" s="739" t="s">
        <v>1136</v>
      </c>
      <c r="D102" s="543" t="s">
        <v>1137</v>
      </c>
      <c r="E102" s="741"/>
      <c r="F102" s="318"/>
      <c r="G102" s="742" t="n">
        <f aca="false">K102+BK102+AI102+W102+AA102+AY102+BS102+BC102+BG102+S102+O102+BW102+BO102+AE102+AM102+AQ102+AU102</f>
        <v>0</v>
      </c>
      <c r="H102" s="743" t="n">
        <f aca="false">C102+10000</f>
        <v>10034</v>
      </c>
      <c r="I102" s="741" t="str">
        <f aca="false">D102</f>
        <v>Saw Cutting/Sealing</v>
      </c>
      <c r="J102" s="318"/>
      <c r="K102" s="742" t="n">
        <f aca="false">'01-Piers'!E122</f>
        <v>0</v>
      </c>
      <c r="L102" s="743" t="n">
        <f aca="false">C102+20000</f>
        <v>20034</v>
      </c>
      <c r="M102" s="741" t="str">
        <f aca="false">Q102</f>
        <v>Saw Cutting/Sealing</v>
      </c>
      <c r="N102" s="318"/>
      <c r="O102" s="742" t="n">
        <f aca="false">'02-Gd Beams'!E129</f>
        <v>0</v>
      </c>
      <c r="P102" s="743" t="n">
        <f aca="false">C102+40000</f>
        <v>40034</v>
      </c>
      <c r="Q102" s="741" t="str">
        <f aca="false">D102</f>
        <v>Saw Cutting/Sealing</v>
      </c>
      <c r="R102" s="318"/>
      <c r="S102" s="744" t="n">
        <f aca="false">'04-PT Slab on Grade Wrap'!E148</f>
        <v>0</v>
      </c>
      <c r="T102" s="743" t="n">
        <f aca="false">C102+40000</f>
        <v>40034</v>
      </c>
      <c r="U102" s="741" t="str">
        <f aca="false">D102</f>
        <v>Saw Cutting/Sealing</v>
      </c>
      <c r="V102" s="318"/>
      <c r="W102" s="744" t="n">
        <f aca="false">'04-PT Slab on Grade'!E148</f>
        <v>0</v>
      </c>
      <c r="X102" s="743" t="n">
        <f aca="false">C102+50000</f>
        <v>50034</v>
      </c>
      <c r="Y102" s="741" t="str">
        <f aca="false">D102</f>
        <v>Saw Cutting/Sealing</v>
      </c>
      <c r="Z102" s="318"/>
      <c r="AA102" s="744" t="n">
        <f aca="false">'05-Slabs'!E148</f>
        <v>0</v>
      </c>
      <c r="AB102" s="743" t="n">
        <f aca="false">C102+30000</f>
        <v>30034</v>
      </c>
      <c r="AC102" s="741" t="str">
        <f aca="false">BE102</f>
        <v>Saw Cutting/Sealing</v>
      </c>
      <c r="AD102" s="318"/>
      <c r="AE102" s="796" t="n">
        <f aca="false">'03-Walls &amp; Footings'!D132</f>
        <v>0</v>
      </c>
      <c r="AF102" s="743" t="n">
        <f aca="false">C102+60000</f>
        <v>60034</v>
      </c>
      <c r="AG102" s="741" t="str">
        <f aca="false">BI102</f>
        <v>Saw Cutting/Sealing</v>
      </c>
      <c r="AH102" s="318"/>
      <c r="AI102" s="744" t="n">
        <f aca="false">'06-Walls &amp; Footings'!D132</f>
        <v>0</v>
      </c>
      <c r="AJ102" s="743" t="n">
        <f aca="false">C102+60000</f>
        <v>60034</v>
      </c>
      <c r="AK102" s="741" t="str">
        <f aca="false">BI102</f>
        <v>Saw Cutting/Sealing</v>
      </c>
      <c r="AL102" s="318"/>
      <c r="AM102" s="744" t="n">
        <f aca="false">'06-Footings'!D132</f>
        <v>0</v>
      </c>
      <c r="AN102" s="743" t="n">
        <f aca="false">C102+60000</f>
        <v>60034</v>
      </c>
      <c r="AO102" s="741" t="str">
        <f aca="false">BI102</f>
        <v>Saw Cutting/Sealing</v>
      </c>
      <c r="AP102" s="318"/>
      <c r="AQ102" s="752" t="n">
        <f aca="false">'06-Garage Walls &amp; Footings'!D132</f>
        <v>0</v>
      </c>
      <c r="AR102" s="743" t="n">
        <f aca="false">G102+60000</f>
        <v>60000</v>
      </c>
      <c r="AS102" s="741" t="str">
        <f aca="false">BM102</f>
        <v>Saw Cutting/Sealing</v>
      </c>
      <c r="AT102" s="318"/>
      <c r="AU102" s="752" t="n">
        <f aca="false">'06-Garage Footings'!D132</f>
        <v>0</v>
      </c>
      <c r="AV102" s="743" t="n">
        <f aca="false">C102+70000</f>
        <v>70034</v>
      </c>
      <c r="AW102" s="741" t="str">
        <f aca="false">D102</f>
        <v>Saw Cutting/Sealing</v>
      </c>
      <c r="AX102" s="318"/>
      <c r="AY102" s="742" t="n">
        <f aca="false">'07-COLUMNS'!D147</f>
        <v>0</v>
      </c>
      <c r="AZ102" s="743" t="n">
        <f aca="false">C102+80000</f>
        <v>80034</v>
      </c>
      <c r="BA102" s="741" t="str">
        <f aca="false">D102</f>
        <v>Saw Cutting/Sealing</v>
      </c>
      <c r="BB102" s="318"/>
      <c r="BC102" s="742" t="n">
        <f aca="false">'08-CIP EL. DECK'!D180</f>
        <v>0</v>
      </c>
      <c r="BD102" s="743" t="n">
        <f aca="false">C102+90000</f>
        <v>90034</v>
      </c>
      <c r="BE102" s="741" t="str">
        <f aca="false">D102</f>
        <v>Saw Cutting/Sealing</v>
      </c>
      <c r="BF102" s="318"/>
      <c r="BG102" s="742" t="n">
        <f aca="false">'09-SLAB ON DECK'!E146</f>
        <v>0</v>
      </c>
      <c r="BH102" s="743" t="n">
        <f aca="false">C102+100000</f>
        <v>100034</v>
      </c>
      <c r="BI102" s="741" t="str">
        <f aca="false">D102</f>
        <v>Saw Cutting/Sealing</v>
      </c>
      <c r="BJ102" s="318"/>
      <c r="BK102" s="742" t="n">
        <f aca="false">'10-PAVING'!D127</f>
        <v>0</v>
      </c>
      <c r="BL102" s="743" t="n">
        <f aca="false">C102+110000</f>
        <v>110034</v>
      </c>
      <c r="BM102" s="741" t="str">
        <f aca="false">D102</f>
        <v>Saw Cutting/Sealing</v>
      </c>
      <c r="BN102" s="318"/>
      <c r="BO102" s="742" t="n">
        <f aca="false">'11-Sidewalks'!D124</f>
        <v>0</v>
      </c>
      <c r="BP102" s="743" t="n">
        <f aca="false">C102+120000</f>
        <v>120034</v>
      </c>
      <c r="BQ102" s="741" t="str">
        <f aca="false">D102</f>
        <v>Saw Cutting/Sealing</v>
      </c>
      <c r="BR102" s="318"/>
      <c r="BS102" s="742" t="n">
        <f aca="false">'12-PANELS'!F142</f>
        <v>0</v>
      </c>
      <c r="BT102" s="743" t="n">
        <f aca="false">C102+130000</f>
        <v>130034</v>
      </c>
      <c r="BU102" s="741" t="str">
        <f aca="false">M102</f>
        <v>Saw Cutting/Sealing</v>
      </c>
      <c r="BV102" s="318"/>
      <c r="BW102" s="742" t="n">
        <f aca="false">'13-Miscellaneous'!E75</f>
        <v>0</v>
      </c>
      <c r="BX102" s="743" t="n">
        <f aca="false">C102+140000</f>
        <v>140034</v>
      </c>
      <c r="BY102" s="741" t="str">
        <f aca="false">Q102</f>
        <v>Saw Cutting/Sealing</v>
      </c>
    </row>
    <row r="103" customFormat="false" ht="21" hidden="false" customHeight="true" outlineLevel="0" collapsed="false">
      <c r="A103" s="775"/>
      <c r="B103" s="427" t="n">
        <v>35</v>
      </c>
      <c r="C103" s="739" t="s">
        <v>1138</v>
      </c>
      <c r="D103" s="543" t="s">
        <v>1139</v>
      </c>
      <c r="E103" s="543"/>
      <c r="F103" s="318"/>
      <c r="G103" s="742" t="n">
        <f aca="false">K103+BK103+AI103+W103+AA103+AY103+BS103+BC103+BG103+S103+O103+BW103+BO103+AE103+AM103+AQ103+AU103</f>
        <v>0</v>
      </c>
      <c r="H103" s="743" t="n">
        <f aca="false">C103+10000</f>
        <v>10035</v>
      </c>
      <c r="I103" s="543" t="str">
        <f aca="false">D103</f>
        <v>Demolition</v>
      </c>
      <c r="J103" s="318"/>
      <c r="K103" s="742" t="n">
        <f aca="false">'01-Piers'!E123</f>
        <v>0</v>
      </c>
      <c r="L103" s="743" t="n">
        <f aca="false">C103+20000</f>
        <v>20035</v>
      </c>
      <c r="M103" s="543" t="str">
        <f aca="false">Q103</f>
        <v>Demolition</v>
      </c>
      <c r="N103" s="318"/>
      <c r="O103" s="742" t="n">
        <f aca="false">'02-Gd Beams'!E130</f>
        <v>0</v>
      </c>
      <c r="P103" s="743" t="n">
        <f aca="false">C103+40000</f>
        <v>40035</v>
      </c>
      <c r="Q103" s="741" t="str">
        <f aca="false">D103</f>
        <v>Demolition</v>
      </c>
      <c r="R103" s="318"/>
      <c r="S103" s="744" t="n">
        <f aca="false">'04-PT Slab on Grade Wrap'!E149</f>
        <v>0</v>
      </c>
      <c r="T103" s="743" t="n">
        <f aca="false">C103+40000</f>
        <v>40035</v>
      </c>
      <c r="U103" s="543" t="str">
        <f aca="false">D103</f>
        <v>Demolition</v>
      </c>
      <c r="V103" s="318"/>
      <c r="W103" s="744" t="n">
        <f aca="false">'04-PT Slab on Grade'!E149</f>
        <v>0</v>
      </c>
      <c r="X103" s="743" t="n">
        <f aca="false">C103+50000</f>
        <v>50035</v>
      </c>
      <c r="Y103" s="741" t="str">
        <f aca="false">D103</f>
        <v>Demolition</v>
      </c>
      <c r="Z103" s="318"/>
      <c r="AA103" s="744" t="n">
        <f aca="false">'05-Slabs'!E149</f>
        <v>0</v>
      </c>
      <c r="AB103" s="743" t="n">
        <f aca="false">C103+30000</f>
        <v>30035</v>
      </c>
      <c r="AC103" s="741" t="str">
        <f aca="false">BE103</f>
        <v>Demolition</v>
      </c>
      <c r="AD103" s="318"/>
      <c r="AE103" s="796" t="n">
        <f aca="false">'03-Walls &amp; Footings'!D133</f>
        <v>0</v>
      </c>
      <c r="AF103" s="743" t="n">
        <f aca="false">C103+60000</f>
        <v>60035</v>
      </c>
      <c r="AG103" s="741" t="str">
        <f aca="false">BI103</f>
        <v>Demolition</v>
      </c>
      <c r="AH103" s="318"/>
      <c r="AI103" s="744" t="n">
        <f aca="false">'06-Walls &amp; Footings'!D133</f>
        <v>0</v>
      </c>
      <c r="AJ103" s="743" t="n">
        <f aca="false">C103+60000</f>
        <v>60035</v>
      </c>
      <c r="AK103" s="741" t="str">
        <f aca="false">BI103</f>
        <v>Demolition</v>
      </c>
      <c r="AL103" s="318"/>
      <c r="AM103" s="744" t="n">
        <f aca="false">'06-Footings'!D133</f>
        <v>0</v>
      </c>
      <c r="AN103" s="743" t="n">
        <f aca="false">C103+60000</f>
        <v>60035</v>
      </c>
      <c r="AO103" s="741" t="str">
        <f aca="false">BI103</f>
        <v>Demolition</v>
      </c>
      <c r="AP103" s="318"/>
      <c r="AQ103" s="752" t="n">
        <f aca="false">'06-Garage Walls &amp; Footings'!D133</f>
        <v>0</v>
      </c>
      <c r="AR103" s="743" t="n">
        <f aca="false">G103+60000</f>
        <v>60000</v>
      </c>
      <c r="AS103" s="741" t="str">
        <f aca="false">BM103</f>
        <v>Demolition</v>
      </c>
      <c r="AT103" s="318"/>
      <c r="AU103" s="752" t="n">
        <f aca="false">'06-Garage Footings'!D133</f>
        <v>0</v>
      </c>
      <c r="AV103" s="746" t="n">
        <f aca="false">C103+70000</f>
        <v>70035</v>
      </c>
      <c r="AW103" s="543" t="str">
        <f aca="false">D103</f>
        <v>Demolition</v>
      </c>
      <c r="AX103" s="318"/>
      <c r="AY103" s="742" t="n">
        <f aca="false">'07-COLUMNS'!D148</f>
        <v>0</v>
      </c>
      <c r="AZ103" s="743" t="n">
        <f aca="false">C103+80000</f>
        <v>80035</v>
      </c>
      <c r="BA103" s="741" t="str">
        <f aca="false">D103</f>
        <v>Demolition</v>
      </c>
      <c r="BB103" s="318"/>
      <c r="BC103" s="742" t="n">
        <f aca="false">'08-CIP EL. DECK'!D181</f>
        <v>0</v>
      </c>
      <c r="BD103" s="743" t="n">
        <f aca="false">C103+90000</f>
        <v>90035</v>
      </c>
      <c r="BE103" s="741" t="str">
        <f aca="false">D103</f>
        <v>Demolition</v>
      </c>
      <c r="BF103" s="318"/>
      <c r="BG103" s="742" t="n">
        <f aca="false">'09-SLAB ON DECK'!E147</f>
        <v>0</v>
      </c>
      <c r="BH103" s="743" t="n">
        <f aca="false">C103+100000</f>
        <v>100035</v>
      </c>
      <c r="BI103" s="543" t="str">
        <f aca="false">D103</f>
        <v>Demolition</v>
      </c>
      <c r="BJ103" s="318"/>
      <c r="BK103" s="742" t="n">
        <f aca="false">'10-PAVING'!D128</f>
        <v>0</v>
      </c>
      <c r="BL103" s="743" t="n">
        <f aca="false">C103+110000</f>
        <v>110035</v>
      </c>
      <c r="BM103" s="543" t="str">
        <f aca="false">D103</f>
        <v>Demolition</v>
      </c>
      <c r="BN103" s="318"/>
      <c r="BO103" s="742" t="n">
        <f aca="false">'11-Sidewalks'!D125</f>
        <v>0</v>
      </c>
      <c r="BP103" s="743" t="n">
        <f aca="false">C103+120000</f>
        <v>120035</v>
      </c>
      <c r="BQ103" s="543" t="str">
        <f aca="false">D103</f>
        <v>Demolition</v>
      </c>
      <c r="BR103" s="318"/>
      <c r="BS103" s="742" t="n">
        <f aca="false">'12-PANELS'!F143</f>
        <v>0</v>
      </c>
      <c r="BT103" s="746" t="n">
        <f aca="false">C103+130000</f>
        <v>130035</v>
      </c>
      <c r="BU103" s="741" t="str">
        <f aca="false">M103</f>
        <v>Demolition</v>
      </c>
      <c r="BV103" s="318"/>
      <c r="BW103" s="742" t="n">
        <f aca="false">'13-Miscellaneous'!E76</f>
        <v>0</v>
      </c>
      <c r="BX103" s="743" t="n">
        <f aca="false">C103+140000</f>
        <v>140035</v>
      </c>
      <c r="BY103" s="741" t="str">
        <f aca="false">Q103</f>
        <v>Demolition</v>
      </c>
    </row>
    <row r="104" customFormat="false" ht="21" hidden="false" customHeight="true" outlineLevel="0" collapsed="false">
      <c r="A104" s="775"/>
      <c r="B104" s="427" t="n">
        <v>37</v>
      </c>
      <c r="C104" s="739" t="s">
        <v>1140</v>
      </c>
      <c r="D104" s="543" t="s">
        <v>1141</v>
      </c>
      <c r="E104" s="543"/>
      <c r="F104" s="318"/>
      <c r="G104" s="742" t="n">
        <f aca="false">K104+BK104+AI104+W104+AA104+AY104+BS104+BC104+BG104+S104+O104+BW104+BO104+AE104+AM104+AQ104+AU104</f>
        <v>0</v>
      </c>
      <c r="H104" s="743" t="n">
        <f aca="false">C104+10000</f>
        <v>10037</v>
      </c>
      <c r="I104" s="543" t="str">
        <f aca="false">D104</f>
        <v>Waterproofing</v>
      </c>
      <c r="J104" s="318"/>
      <c r="K104" s="742" t="n">
        <f aca="false">'01-Piers'!E124</f>
        <v>0</v>
      </c>
      <c r="L104" s="743" t="n">
        <f aca="false">C104+20000</f>
        <v>20037</v>
      </c>
      <c r="M104" s="543" t="str">
        <f aca="false">Q104</f>
        <v>Waterproofing</v>
      </c>
      <c r="N104" s="318"/>
      <c r="O104" s="742" t="n">
        <f aca="false">'02-Gd Beams'!E131</f>
        <v>0</v>
      </c>
      <c r="P104" s="743" t="n">
        <f aca="false">C104+40000</f>
        <v>40037</v>
      </c>
      <c r="Q104" s="741" t="str">
        <f aca="false">D104</f>
        <v>Waterproofing</v>
      </c>
      <c r="R104" s="318"/>
      <c r="S104" s="744" t="n">
        <f aca="false">'04-PT Slab on Grade Wrap'!E150</f>
        <v>0</v>
      </c>
      <c r="T104" s="743" t="n">
        <f aca="false">C104+40000</f>
        <v>40037</v>
      </c>
      <c r="U104" s="543" t="str">
        <f aca="false">D104</f>
        <v>Waterproofing</v>
      </c>
      <c r="V104" s="318"/>
      <c r="W104" s="744" t="n">
        <f aca="false">'04-PT Slab on Grade'!E150</f>
        <v>0</v>
      </c>
      <c r="X104" s="743" t="n">
        <f aca="false">C104+50000</f>
        <v>50037</v>
      </c>
      <c r="Y104" s="741" t="str">
        <f aca="false">D104</f>
        <v>Waterproofing</v>
      </c>
      <c r="Z104" s="318"/>
      <c r="AA104" s="744" t="n">
        <f aca="false">'05-Slabs'!E150</f>
        <v>0</v>
      </c>
      <c r="AB104" s="743" t="n">
        <f aca="false">C104+30000</f>
        <v>30037</v>
      </c>
      <c r="AC104" s="741" t="str">
        <f aca="false">BE104</f>
        <v>Waterproofing</v>
      </c>
      <c r="AD104" s="318"/>
      <c r="AE104" s="796" t="n">
        <f aca="false">'03-Walls &amp; Footings'!D134</f>
        <v>0</v>
      </c>
      <c r="AF104" s="743" t="n">
        <f aca="false">C104+60000</f>
        <v>60037</v>
      </c>
      <c r="AG104" s="741" t="str">
        <f aca="false">BI104</f>
        <v>Waterproofing</v>
      </c>
      <c r="AH104" s="318"/>
      <c r="AI104" s="744" t="n">
        <f aca="false">'06-Walls &amp; Footings'!D134</f>
        <v>0</v>
      </c>
      <c r="AJ104" s="743" t="n">
        <f aca="false">C104+60000</f>
        <v>60037</v>
      </c>
      <c r="AK104" s="741" t="str">
        <f aca="false">BI104</f>
        <v>Waterproofing</v>
      </c>
      <c r="AL104" s="318"/>
      <c r="AM104" s="744" t="n">
        <f aca="false">'06-Footings'!D134</f>
        <v>0</v>
      </c>
      <c r="AN104" s="743" t="n">
        <f aca="false">C104+60000</f>
        <v>60037</v>
      </c>
      <c r="AO104" s="741" t="str">
        <f aca="false">BI104</f>
        <v>Waterproofing</v>
      </c>
      <c r="AP104" s="318"/>
      <c r="AQ104" s="752" t="n">
        <f aca="false">'06-Garage Walls &amp; Footings'!D134</f>
        <v>0</v>
      </c>
      <c r="AR104" s="743" t="n">
        <f aca="false">G104+60000</f>
        <v>60000</v>
      </c>
      <c r="AS104" s="741" t="str">
        <f aca="false">BM104</f>
        <v>Waterproofing</v>
      </c>
      <c r="AT104" s="318"/>
      <c r="AU104" s="752" t="n">
        <f aca="false">'06-Garage Footings'!D134</f>
        <v>0</v>
      </c>
      <c r="AV104" s="746" t="n">
        <f aca="false">C104+70000</f>
        <v>70037</v>
      </c>
      <c r="AW104" s="543" t="str">
        <f aca="false">D104</f>
        <v>Waterproofing</v>
      </c>
      <c r="AX104" s="318"/>
      <c r="AY104" s="742" t="n">
        <f aca="false">'07-COLUMNS'!D149</f>
        <v>0</v>
      </c>
      <c r="AZ104" s="743" t="n">
        <f aca="false">C104+80000</f>
        <v>80037</v>
      </c>
      <c r="BA104" s="741" t="str">
        <f aca="false">D104</f>
        <v>Waterproofing</v>
      </c>
      <c r="BB104" s="318"/>
      <c r="BC104" s="742" t="n">
        <f aca="false">'08-CIP EL. DECK'!D182</f>
        <v>0</v>
      </c>
      <c r="BD104" s="743" t="n">
        <f aca="false">C104+90000</f>
        <v>90037</v>
      </c>
      <c r="BE104" s="741" t="str">
        <f aca="false">D104</f>
        <v>Waterproofing</v>
      </c>
      <c r="BF104" s="318"/>
      <c r="BG104" s="742" t="n">
        <f aca="false">'09-SLAB ON DECK'!E148</f>
        <v>0</v>
      </c>
      <c r="BH104" s="743" t="n">
        <f aca="false">C104+100000</f>
        <v>100037</v>
      </c>
      <c r="BI104" s="543" t="str">
        <f aca="false">D104</f>
        <v>Waterproofing</v>
      </c>
      <c r="BJ104" s="318"/>
      <c r="BK104" s="742" t="n">
        <f aca="false">'10-PAVING'!D129</f>
        <v>0</v>
      </c>
      <c r="BL104" s="743" t="n">
        <f aca="false">C104+110000</f>
        <v>110037</v>
      </c>
      <c r="BM104" s="543" t="str">
        <f aca="false">D104</f>
        <v>Waterproofing</v>
      </c>
      <c r="BN104" s="318"/>
      <c r="BO104" s="742" t="n">
        <f aca="false">'11-Sidewalks'!D126</f>
        <v>0</v>
      </c>
      <c r="BP104" s="743" t="n">
        <f aca="false">C104+120000</f>
        <v>120037</v>
      </c>
      <c r="BQ104" s="543" t="str">
        <f aca="false">D104</f>
        <v>Waterproofing</v>
      </c>
      <c r="BR104" s="318"/>
      <c r="BS104" s="742" t="n">
        <f aca="false">'12-PANELS'!F144</f>
        <v>0</v>
      </c>
      <c r="BT104" s="746" t="n">
        <f aca="false">C104+130000</f>
        <v>130037</v>
      </c>
      <c r="BU104" s="741" t="str">
        <f aca="false">M104</f>
        <v>Waterproofing</v>
      </c>
      <c r="BV104" s="318"/>
      <c r="BW104" s="742" t="n">
        <f aca="false">'13-Miscellaneous'!E77</f>
        <v>0</v>
      </c>
      <c r="BX104" s="743" t="n">
        <f aca="false">C104+140000</f>
        <v>140037</v>
      </c>
      <c r="BY104" s="741" t="str">
        <f aca="false">Q104</f>
        <v>Waterproofing</v>
      </c>
    </row>
    <row r="105" customFormat="false" ht="21" hidden="false" customHeight="true" outlineLevel="0" collapsed="false">
      <c r="A105" s="775"/>
      <c r="B105" s="427" t="n">
        <v>38</v>
      </c>
      <c r="C105" s="739" t="s">
        <v>1142</v>
      </c>
      <c r="D105" s="543" t="s">
        <v>1143</v>
      </c>
      <c r="E105" s="543"/>
      <c r="F105" s="318"/>
      <c r="G105" s="742" t="n">
        <f aca="false">K105+BK105+AI105+W105+AA105+AY105+BS105+BC105+BG105+S105+O105+BW105+BO105+AE105+AM105+AQ105+AU105</f>
        <v>0</v>
      </c>
      <c r="H105" s="743" t="n">
        <f aca="false">C105+10000</f>
        <v>10038</v>
      </c>
      <c r="I105" s="543" t="str">
        <f aca="false">D105</f>
        <v>Crain/Hoisting</v>
      </c>
      <c r="J105" s="318"/>
      <c r="K105" s="742" t="n">
        <f aca="false">'01-Piers'!E125</f>
        <v>0</v>
      </c>
      <c r="L105" s="743" t="n">
        <f aca="false">C105+20000</f>
        <v>20038</v>
      </c>
      <c r="M105" s="543" t="str">
        <f aca="false">Q105</f>
        <v>Crain/Hoisting</v>
      </c>
      <c r="N105" s="318"/>
      <c r="O105" s="742" t="n">
        <f aca="false">'02-Gd Beams'!E132</f>
        <v>0</v>
      </c>
      <c r="P105" s="743" t="n">
        <f aca="false">C105+40000</f>
        <v>40038</v>
      </c>
      <c r="Q105" s="741" t="str">
        <f aca="false">D105</f>
        <v>Crain/Hoisting</v>
      </c>
      <c r="R105" s="318"/>
      <c r="S105" s="744" t="n">
        <f aca="false">'04-PT Slab on Grade Wrap'!E151</f>
        <v>0</v>
      </c>
      <c r="T105" s="743" t="n">
        <f aca="false">C105+40000</f>
        <v>40038</v>
      </c>
      <c r="U105" s="543" t="str">
        <f aca="false">D105</f>
        <v>Crain/Hoisting</v>
      </c>
      <c r="V105" s="318"/>
      <c r="W105" s="744" t="n">
        <f aca="false">'04-PT Slab on Grade'!E151</f>
        <v>0</v>
      </c>
      <c r="X105" s="743" t="n">
        <f aca="false">C105+50000</f>
        <v>50038</v>
      </c>
      <c r="Y105" s="741" t="str">
        <f aca="false">D105</f>
        <v>Crain/Hoisting</v>
      </c>
      <c r="Z105" s="318"/>
      <c r="AA105" s="744" t="n">
        <f aca="false">'05-Slabs'!E151</f>
        <v>0</v>
      </c>
      <c r="AB105" s="743" t="n">
        <f aca="false">C105+30000</f>
        <v>30038</v>
      </c>
      <c r="AC105" s="741" t="str">
        <f aca="false">BE105</f>
        <v>Crain/Hoisting</v>
      </c>
      <c r="AD105" s="318"/>
      <c r="AE105" s="796" t="n">
        <f aca="false">'03-Walls &amp; Footings'!D135</f>
        <v>0</v>
      </c>
      <c r="AF105" s="743" t="n">
        <f aca="false">C105+60000</f>
        <v>60038</v>
      </c>
      <c r="AG105" s="741" t="str">
        <f aca="false">BI105</f>
        <v>Crain/Hoisting</v>
      </c>
      <c r="AH105" s="318"/>
      <c r="AI105" s="744" t="n">
        <f aca="false">'06-Walls &amp; Footings'!D135</f>
        <v>0</v>
      </c>
      <c r="AJ105" s="743" t="n">
        <f aca="false">C105+60000</f>
        <v>60038</v>
      </c>
      <c r="AK105" s="741" t="str">
        <f aca="false">BI105</f>
        <v>Crain/Hoisting</v>
      </c>
      <c r="AL105" s="318"/>
      <c r="AM105" s="744" t="n">
        <f aca="false">'06-Footings'!D135</f>
        <v>0</v>
      </c>
      <c r="AN105" s="743" t="n">
        <f aca="false">C105+60000</f>
        <v>60038</v>
      </c>
      <c r="AO105" s="741" t="str">
        <f aca="false">BI105</f>
        <v>Crain/Hoisting</v>
      </c>
      <c r="AP105" s="318"/>
      <c r="AQ105" s="752" t="n">
        <f aca="false">'06-Garage Walls &amp; Footings'!D135</f>
        <v>0</v>
      </c>
      <c r="AR105" s="743" t="n">
        <f aca="false">G105+60000</f>
        <v>60000</v>
      </c>
      <c r="AS105" s="741" t="str">
        <f aca="false">BM105</f>
        <v>Crain/Hoisting</v>
      </c>
      <c r="AT105" s="318"/>
      <c r="AU105" s="752" t="n">
        <f aca="false">'06-Garage Footings'!D135</f>
        <v>0</v>
      </c>
      <c r="AV105" s="746" t="n">
        <f aca="false">C105+70000</f>
        <v>70038</v>
      </c>
      <c r="AW105" s="543" t="str">
        <f aca="false">D105</f>
        <v>Crain/Hoisting</v>
      </c>
      <c r="AX105" s="318"/>
      <c r="AY105" s="742" t="n">
        <f aca="false">'07-COLUMNS'!D150</f>
        <v>0</v>
      </c>
      <c r="AZ105" s="743" t="n">
        <f aca="false">C105+80000</f>
        <v>80038</v>
      </c>
      <c r="BA105" s="741" t="str">
        <f aca="false">D105</f>
        <v>Crain/Hoisting</v>
      </c>
      <c r="BB105" s="318"/>
      <c r="BC105" s="742" t="n">
        <f aca="false">'08-CIP EL. DECK'!D183</f>
        <v>0</v>
      </c>
      <c r="BD105" s="743" t="n">
        <f aca="false">C105+90000</f>
        <v>90038</v>
      </c>
      <c r="BE105" s="741" t="str">
        <f aca="false">D105</f>
        <v>Crain/Hoisting</v>
      </c>
      <c r="BF105" s="318"/>
      <c r="BG105" s="742" t="n">
        <f aca="false">'09-SLAB ON DECK'!E149</f>
        <v>0</v>
      </c>
      <c r="BH105" s="743" t="n">
        <f aca="false">C105+100000</f>
        <v>100038</v>
      </c>
      <c r="BI105" s="543" t="str">
        <f aca="false">D105</f>
        <v>Crain/Hoisting</v>
      </c>
      <c r="BJ105" s="318"/>
      <c r="BK105" s="742" t="n">
        <f aca="false">'10-PAVING'!D130</f>
        <v>0</v>
      </c>
      <c r="BL105" s="743" t="n">
        <f aca="false">C105+110000</f>
        <v>110038</v>
      </c>
      <c r="BM105" s="543" t="str">
        <f aca="false">D105</f>
        <v>Crain/Hoisting</v>
      </c>
      <c r="BN105" s="318"/>
      <c r="BO105" s="742" t="n">
        <f aca="false">'11-Sidewalks'!D127</f>
        <v>0</v>
      </c>
      <c r="BP105" s="743" t="n">
        <f aca="false">C105+120000</f>
        <v>120038</v>
      </c>
      <c r="BQ105" s="543" t="str">
        <f aca="false">D105</f>
        <v>Crain/Hoisting</v>
      </c>
      <c r="BR105" s="318"/>
      <c r="BS105" s="742" t="n">
        <f aca="false">'12-PANELS'!F145</f>
        <v>0</v>
      </c>
      <c r="BT105" s="746" t="n">
        <f aca="false">C105+130000</f>
        <v>130038</v>
      </c>
      <c r="BU105" s="741" t="str">
        <f aca="false">M105</f>
        <v>Crain/Hoisting</v>
      </c>
      <c r="BV105" s="318"/>
      <c r="BW105" s="742" t="n">
        <f aca="false">'13-Miscellaneous'!E78</f>
        <v>0</v>
      </c>
      <c r="BX105" s="743" t="n">
        <f aca="false">C105+140000</f>
        <v>140038</v>
      </c>
      <c r="BY105" s="741" t="str">
        <f aca="false">Q105</f>
        <v>Crain/Hoisting</v>
      </c>
    </row>
    <row r="106" customFormat="false" ht="21" hidden="false" customHeight="true" outlineLevel="0" collapsed="false">
      <c r="A106" s="775"/>
      <c r="B106" s="768" t="n">
        <v>39</v>
      </c>
      <c r="C106" s="799" t="s">
        <v>1144</v>
      </c>
      <c r="D106" s="788" t="s">
        <v>1145</v>
      </c>
      <c r="E106" s="788"/>
      <c r="F106" s="800"/>
      <c r="G106" s="742" t="n">
        <f aca="false">K106+BK106+AI106+W106+AA106+AY106+BS106+BC106+BG106+S106+O106+BW106+BO106+AE106+AM106+AQ106+AU106</f>
        <v>0</v>
      </c>
      <c r="H106" s="801" t="n">
        <f aca="false">C106+10000</f>
        <v>10039</v>
      </c>
      <c r="I106" s="788" t="str">
        <f aca="false">D106</f>
        <v>Forming Systems</v>
      </c>
      <c r="J106" s="800"/>
      <c r="K106" s="756" t="n">
        <f aca="false">'01-Piers'!E126</f>
        <v>0</v>
      </c>
      <c r="L106" s="801" t="n">
        <f aca="false">C106+20000</f>
        <v>20039</v>
      </c>
      <c r="M106" s="788" t="str">
        <f aca="false">Q106</f>
        <v>Forming Systems</v>
      </c>
      <c r="N106" s="800"/>
      <c r="O106" s="756" t="n">
        <f aca="false">'02-Gd Beams'!E133</f>
        <v>0</v>
      </c>
      <c r="P106" s="743" t="n">
        <f aca="false">C106+40000</f>
        <v>40039</v>
      </c>
      <c r="Q106" s="788" t="str">
        <f aca="false">D106</f>
        <v>Forming Systems</v>
      </c>
      <c r="R106" s="800"/>
      <c r="S106" s="744" t="n">
        <f aca="false">'04-PT Slab on Grade Wrap'!E152</f>
        <v>0</v>
      </c>
      <c r="T106" s="801" t="n">
        <f aca="false">C106+40000</f>
        <v>40039</v>
      </c>
      <c r="U106" s="788" t="str">
        <f aca="false">D106</f>
        <v>Forming Systems</v>
      </c>
      <c r="V106" s="800"/>
      <c r="W106" s="793" t="n">
        <f aca="false">'04-PT Slab on Grade'!E152</f>
        <v>0</v>
      </c>
      <c r="X106" s="801" t="n">
        <f aca="false">C106+50000</f>
        <v>50039</v>
      </c>
      <c r="Y106" s="788" t="str">
        <f aca="false">D106</f>
        <v>Forming Systems</v>
      </c>
      <c r="Z106" s="800"/>
      <c r="AA106" s="800" t="n">
        <f aca="false">'05-Slabs'!E152</f>
        <v>0</v>
      </c>
      <c r="AB106" s="743" t="n">
        <f aca="false">C106+30000</f>
        <v>30039</v>
      </c>
      <c r="AC106" s="788" t="str">
        <f aca="false">BE106</f>
        <v>Forming Systems</v>
      </c>
      <c r="AD106" s="800"/>
      <c r="AE106" s="796" t="n">
        <f aca="false">'03-Walls &amp; Footings'!D136</f>
        <v>0</v>
      </c>
      <c r="AF106" s="801" t="n">
        <f aca="false">C106+60000</f>
        <v>60039</v>
      </c>
      <c r="AG106" s="788" t="str">
        <f aca="false">BI106</f>
        <v>Forming Systems</v>
      </c>
      <c r="AH106" s="800"/>
      <c r="AI106" s="793" t="n">
        <f aca="false">'06-Walls &amp; Footings'!D136</f>
        <v>0</v>
      </c>
      <c r="AJ106" s="801" t="n">
        <f aca="false">C106+60000</f>
        <v>60039</v>
      </c>
      <c r="AK106" s="788" t="str">
        <f aca="false">BI106</f>
        <v>Forming Systems</v>
      </c>
      <c r="AL106" s="800"/>
      <c r="AM106" s="793" t="n">
        <f aca="false">'06-Footings'!D136</f>
        <v>0</v>
      </c>
      <c r="AN106" s="801" t="n">
        <f aca="false">C106+60000</f>
        <v>60039</v>
      </c>
      <c r="AO106" s="788" t="str">
        <f aca="false">BI106</f>
        <v>Forming Systems</v>
      </c>
      <c r="AP106" s="800"/>
      <c r="AQ106" s="752" t="n">
        <f aca="false">'06-Garage Walls &amp; Footings'!D136</f>
        <v>0</v>
      </c>
      <c r="AR106" s="801" t="n">
        <f aca="false">G106+60000</f>
        <v>60000</v>
      </c>
      <c r="AS106" s="788" t="str">
        <f aca="false">BM106</f>
        <v>Forming Systems</v>
      </c>
      <c r="AT106" s="800"/>
      <c r="AU106" s="752" t="n">
        <f aca="false">'06-Garage Footings'!D136</f>
        <v>0</v>
      </c>
      <c r="AV106" s="801" t="n">
        <f aca="false">C106+70000</f>
        <v>70039</v>
      </c>
      <c r="AW106" s="788" t="str">
        <f aca="false">D106</f>
        <v>Forming Systems</v>
      </c>
      <c r="AX106" s="800"/>
      <c r="AY106" s="756" t="n">
        <f aca="false">'07-COLUMNS'!D151</f>
        <v>0</v>
      </c>
      <c r="AZ106" s="801" t="n">
        <f aca="false">C106+80000</f>
        <v>80039</v>
      </c>
      <c r="BA106" s="788" t="str">
        <f aca="false">D106</f>
        <v>Forming Systems</v>
      </c>
      <c r="BB106" s="800"/>
      <c r="BC106" s="756" t="n">
        <f aca="false">'08-CIP EL. DECK'!D184</f>
        <v>0</v>
      </c>
      <c r="BD106" s="801" t="n">
        <f aca="false">C106+90000</f>
        <v>90039</v>
      </c>
      <c r="BE106" s="788" t="str">
        <f aca="false">D106</f>
        <v>Forming Systems</v>
      </c>
      <c r="BF106" s="800"/>
      <c r="BG106" s="756" t="n">
        <f aca="false">'09-SLAB ON DECK'!E150</f>
        <v>0</v>
      </c>
      <c r="BH106" s="801" t="n">
        <f aca="false">C106+100000</f>
        <v>100039</v>
      </c>
      <c r="BI106" s="788" t="str">
        <f aca="false">D106</f>
        <v>Forming Systems</v>
      </c>
      <c r="BJ106" s="800"/>
      <c r="BK106" s="756" t="n">
        <f aca="false">'10-PAVING'!D131</f>
        <v>0</v>
      </c>
      <c r="BL106" s="801" t="n">
        <f aca="false">C106+110000</f>
        <v>110039</v>
      </c>
      <c r="BM106" s="788" t="str">
        <f aca="false">D106</f>
        <v>Forming Systems</v>
      </c>
      <c r="BN106" s="800"/>
      <c r="BO106" s="756" t="n">
        <f aca="false">'11-Sidewalks'!D128</f>
        <v>0</v>
      </c>
      <c r="BP106" s="801" t="n">
        <f aca="false">C106+120000</f>
        <v>120039</v>
      </c>
      <c r="BQ106" s="788" t="str">
        <f aca="false">D106</f>
        <v>Forming Systems</v>
      </c>
      <c r="BR106" s="800"/>
      <c r="BS106" s="756" t="n">
        <f aca="false">'12-PANELS'!F146</f>
        <v>0</v>
      </c>
      <c r="BT106" s="801" t="n">
        <f aca="false">C106+130000</f>
        <v>130039</v>
      </c>
      <c r="BU106" s="788" t="str">
        <f aca="false">M106</f>
        <v>Forming Systems</v>
      </c>
      <c r="BV106" s="800"/>
      <c r="BW106" s="742" t="n">
        <f aca="false">'13-Miscellaneous'!E79</f>
        <v>0</v>
      </c>
      <c r="BX106" s="743" t="n">
        <f aca="false">C106+140000</f>
        <v>140039</v>
      </c>
      <c r="BY106" s="788" t="str">
        <f aca="false">Q106</f>
        <v>Forming Systems</v>
      </c>
    </row>
    <row r="107" s="809" customFormat="true" ht="21" hidden="false" customHeight="true" outlineLevel="0" collapsed="false">
      <c r="A107" s="775" t="s">
        <v>1146</v>
      </c>
      <c r="B107" s="802" t="n">
        <v>40</v>
      </c>
      <c r="C107" s="803" t="s">
        <v>1147</v>
      </c>
      <c r="D107" s="804" t="s">
        <v>1148</v>
      </c>
      <c r="E107" s="805"/>
      <c r="F107" s="804"/>
      <c r="G107" s="742" t="n">
        <f aca="false">K107+BK107+AI107+W107+AA107+AY107+BS107+BC107+BG107+S107+O107+BW107+BO107+AE107+AM107+AQ107+AU107</f>
        <v>246843.016602217</v>
      </c>
      <c r="H107" s="806" t="n">
        <f aca="false">C107+10000</f>
        <v>10040</v>
      </c>
      <c r="I107" s="805" t="str">
        <f aca="false">D107</f>
        <v>Total Sub Labor</v>
      </c>
      <c r="J107" s="804"/>
      <c r="K107" s="807" t="n">
        <f aca="false">'01-Piers'!E127</f>
        <v>32040.707907951</v>
      </c>
      <c r="L107" s="806" t="n">
        <f aca="false">C107+20000</f>
        <v>20040</v>
      </c>
      <c r="M107" s="805" t="str">
        <f aca="false">Q107</f>
        <v>Total Sub Labor</v>
      </c>
      <c r="N107" s="804"/>
      <c r="O107" s="807" t="n">
        <f aca="false">'02-Gd Beams'!E134</f>
        <v>0</v>
      </c>
      <c r="P107" s="743" t="n">
        <f aca="false">C107+40000</f>
        <v>40040</v>
      </c>
      <c r="Q107" s="805" t="str">
        <f aca="false">D107</f>
        <v>Total Sub Labor</v>
      </c>
      <c r="R107" s="804"/>
      <c r="S107" s="744" t="n">
        <f aca="false">'04-PT Slab on Grade Wrap'!E153</f>
        <v>0</v>
      </c>
      <c r="T107" s="806" t="n">
        <f aca="false">C107+40000</f>
        <v>40040</v>
      </c>
      <c r="U107" s="805" t="str">
        <f aca="false">D107</f>
        <v>Total Sub Labor</v>
      </c>
      <c r="V107" s="804"/>
      <c r="W107" s="808" t="n">
        <f aca="false">'04-PT Slab on Grade'!E153</f>
        <v>131779.342268877</v>
      </c>
      <c r="X107" s="806" t="n">
        <f aca="false">C107+50000</f>
        <v>50040</v>
      </c>
      <c r="Y107" s="805" t="str">
        <f aca="false">D107</f>
        <v>Total Sub Labor</v>
      </c>
      <c r="Z107" s="804"/>
      <c r="AA107" s="744" t="n">
        <f aca="false">'05-Slabs'!E153</f>
        <v>0</v>
      </c>
      <c r="AB107" s="743" t="n">
        <f aca="false">C107+30000</f>
        <v>30040</v>
      </c>
      <c r="AC107" s="805" t="str">
        <f aca="false">BE107</f>
        <v>Total Sub Labor</v>
      </c>
      <c r="AD107" s="804"/>
      <c r="AE107" s="796" t="n">
        <f aca="false">'03-Walls &amp; Footings'!D137</f>
        <v>0</v>
      </c>
      <c r="AF107" s="806" t="n">
        <f aca="false">C107+60000</f>
        <v>60040</v>
      </c>
      <c r="AG107" s="805" t="str">
        <f aca="false">BI107</f>
        <v>Total Sub Labor</v>
      </c>
      <c r="AH107" s="804"/>
      <c r="AI107" s="808" t="n">
        <f aca="false">'06-Walls &amp; Footings'!D137</f>
        <v>83022.9664253893</v>
      </c>
      <c r="AJ107" s="806" t="n">
        <f aca="false">C107+60000</f>
        <v>60040</v>
      </c>
      <c r="AK107" s="805" t="str">
        <f aca="false">BI107</f>
        <v>Total Sub Labor</v>
      </c>
      <c r="AL107" s="804"/>
      <c r="AM107" s="808" t="n">
        <f aca="false">'06-Footings'!D137</f>
        <v>0</v>
      </c>
      <c r="AN107" s="806" t="n">
        <f aca="false">C107+60000</f>
        <v>60040</v>
      </c>
      <c r="AO107" s="805" t="str">
        <f aca="false">BI107</f>
        <v>Total Sub Labor</v>
      </c>
      <c r="AP107" s="804"/>
      <c r="AQ107" s="796" t="n">
        <f aca="false">'06-Garage Walls &amp; Footings'!D137</f>
        <v>0</v>
      </c>
      <c r="AR107" s="806" t="n">
        <f aca="false">G107+60000</f>
        <v>306843.016602217</v>
      </c>
      <c r="AS107" s="805" t="str">
        <f aca="false">BM107</f>
        <v>Total Sub Labor</v>
      </c>
      <c r="AT107" s="804"/>
      <c r="AU107" s="796" t="n">
        <f aca="false">'06-Garage Footings'!D137</f>
        <v>0</v>
      </c>
      <c r="AV107" s="806" t="n">
        <f aca="false">C107+70000</f>
        <v>70040</v>
      </c>
      <c r="AW107" s="805" t="str">
        <f aca="false">D107</f>
        <v>Total Sub Labor</v>
      </c>
      <c r="AX107" s="804"/>
      <c r="AY107" s="807" t="n">
        <f aca="false">'07-COLUMNS'!D152</f>
        <v>0</v>
      </c>
      <c r="AZ107" s="806" t="n">
        <f aca="false">C107+80000</f>
        <v>80040</v>
      </c>
      <c r="BA107" s="805" t="str">
        <f aca="false">D107</f>
        <v>Total Sub Labor</v>
      </c>
      <c r="BB107" s="804"/>
      <c r="BC107" s="807" t="n">
        <f aca="false">'08-CIP EL. DECK'!D185</f>
        <v>0</v>
      </c>
      <c r="BD107" s="806" t="n">
        <f aca="false">C107+90000</f>
        <v>90040</v>
      </c>
      <c r="BE107" s="805" t="str">
        <f aca="false">D107</f>
        <v>Total Sub Labor</v>
      </c>
      <c r="BF107" s="804"/>
      <c r="BG107" s="807" t="n">
        <f aca="false">'09-SLAB ON DECK'!E151</f>
        <v>0</v>
      </c>
      <c r="BH107" s="806" t="n">
        <f aca="false">C107+100000</f>
        <v>100040</v>
      </c>
      <c r="BI107" s="805" t="str">
        <f aca="false">D107</f>
        <v>Total Sub Labor</v>
      </c>
      <c r="BJ107" s="804"/>
      <c r="BK107" s="807" t="n">
        <f aca="false">'10-PAVING'!D132</f>
        <v>0</v>
      </c>
      <c r="BL107" s="806" t="n">
        <f aca="false">C107+110000</f>
        <v>110040</v>
      </c>
      <c r="BM107" s="805" t="str">
        <f aca="false">D107</f>
        <v>Total Sub Labor</v>
      </c>
      <c r="BN107" s="804"/>
      <c r="BO107" s="807" t="n">
        <f aca="false">'11-Sidewalks'!D129</f>
        <v>0</v>
      </c>
      <c r="BP107" s="806" t="n">
        <f aca="false">C107+120000</f>
        <v>120040</v>
      </c>
      <c r="BQ107" s="805" t="str">
        <f aca="false">D107</f>
        <v>Total Sub Labor</v>
      </c>
      <c r="BR107" s="804"/>
      <c r="BS107" s="742" t="n">
        <f aca="false">'12-PANELS'!F147</f>
        <v>0</v>
      </c>
      <c r="BT107" s="806" t="n">
        <f aca="false">C107+130000</f>
        <v>130040</v>
      </c>
      <c r="BU107" s="805" t="str">
        <f aca="false">M107</f>
        <v>Total Sub Labor</v>
      </c>
      <c r="BV107" s="804"/>
      <c r="BW107" s="807" t="n">
        <f aca="false">'13-Miscellaneous'!E80</f>
        <v>0</v>
      </c>
      <c r="BX107" s="743" t="n">
        <f aca="false">C107+140000</f>
        <v>140040</v>
      </c>
      <c r="BY107" s="805" t="str">
        <f aca="false">Q107</f>
        <v>Total Sub Labor</v>
      </c>
    </row>
    <row r="108" customFormat="false" ht="21" hidden="false" customHeight="true" outlineLevel="0" collapsed="false">
      <c r="A108" s="775"/>
      <c r="B108" s="427" t="n">
        <v>41</v>
      </c>
      <c r="C108" s="739" t="s">
        <v>1149</v>
      </c>
      <c r="D108" s="317" t="s">
        <v>1150</v>
      </c>
      <c r="E108" s="741"/>
      <c r="F108" s="318"/>
      <c r="G108" s="742" t="n">
        <f aca="false">K108+BK108+AI108+W108+AA108+AY108+BS108+BC108+BG108+S108+O108+BW108+BO108+AE108+AM108+AQ108+AU108</f>
        <v>45609.275</v>
      </c>
      <c r="H108" s="743" t="n">
        <f aca="false">C108+10000</f>
        <v>10041</v>
      </c>
      <c r="I108" s="741" t="str">
        <f aca="false">D108</f>
        <v>Labor Forming</v>
      </c>
      <c r="J108" s="318"/>
      <c r="K108" s="742" t="n">
        <f aca="false">'01-Piers'!E128</f>
        <v>5300</v>
      </c>
      <c r="L108" s="743" t="n">
        <f aca="false">C108+20000</f>
        <v>20041</v>
      </c>
      <c r="M108" s="741" t="str">
        <f aca="false">Q108</f>
        <v>Labor Forming</v>
      </c>
      <c r="N108" s="318"/>
      <c r="O108" s="742" t="n">
        <f aca="false">'02-Gd Beams'!E135</f>
        <v>0</v>
      </c>
      <c r="P108" s="743" t="n">
        <f aca="false">C108+40000</f>
        <v>40041</v>
      </c>
      <c r="Q108" s="741" t="str">
        <f aca="false">D108</f>
        <v>Labor Forming</v>
      </c>
      <c r="R108" s="318"/>
      <c r="S108" s="744" t="n">
        <f aca="false">'04-PT Slab on Grade Wrap'!E154</f>
        <v>0</v>
      </c>
      <c r="T108" s="743" t="n">
        <f aca="false">C108+40000</f>
        <v>40041</v>
      </c>
      <c r="U108" s="741" t="str">
        <f aca="false">D108</f>
        <v>Labor Forming</v>
      </c>
      <c r="V108" s="318"/>
      <c r="W108" s="744" t="n">
        <f aca="false">'04-PT Slab on Grade'!E154</f>
        <v>28225.35</v>
      </c>
      <c r="X108" s="743" t="n">
        <f aca="false">C108+50000</f>
        <v>50041</v>
      </c>
      <c r="Y108" s="741" t="str">
        <f aca="false">D108</f>
        <v>Labor Forming</v>
      </c>
      <c r="Z108" s="318"/>
      <c r="AA108" s="744" t="n">
        <f aca="false">'05-Slabs'!E154</f>
        <v>0</v>
      </c>
      <c r="AB108" s="743" t="n">
        <f aca="false">C108+30000</f>
        <v>30041</v>
      </c>
      <c r="AC108" s="741" t="str">
        <f aca="false">BE108</f>
        <v>Labor Forming</v>
      </c>
      <c r="AD108" s="318"/>
      <c r="AE108" s="796" t="n">
        <f aca="false">'03-Walls &amp; Footings'!D138</f>
        <v>0</v>
      </c>
      <c r="AF108" s="743" t="n">
        <f aca="false">C108+60000</f>
        <v>60041</v>
      </c>
      <c r="AG108" s="741" t="str">
        <f aca="false">BI108</f>
        <v>Labor Forming</v>
      </c>
      <c r="AH108" s="318"/>
      <c r="AI108" s="744" t="n">
        <f aca="false">'06-Walls &amp; Footings'!D138</f>
        <v>12083.925</v>
      </c>
      <c r="AJ108" s="743" t="n">
        <f aca="false">C108+60000</f>
        <v>60041</v>
      </c>
      <c r="AK108" s="741" t="str">
        <f aca="false">BI108</f>
        <v>Labor Forming</v>
      </c>
      <c r="AL108" s="318"/>
      <c r="AM108" s="744" t="n">
        <f aca="false">'06-Footings'!D138</f>
        <v>0</v>
      </c>
      <c r="AN108" s="743" t="n">
        <f aca="false">C108+60000</f>
        <v>60041</v>
      </c>
      <c r="AO108" s="741" t="str">
        <f aca="false">BI108</f>
        <v>Labor Forming</v>
      </c>
      <c r="AP108" s="318"/>
      <c r="AQ108" s="752" t="n">
        <f aca="false">'06-Garage Walls &amp; Footings'!D138</f>
        <v>0</v>
      </c>
      <c r="AR108" s="743" t="n">
        <f aca="false">G108+60000</f>
        <v>105609.275</v>
      </c>
      <c r="AS108" s="741" t="str">
        <f aca="false">BM108</f>
        <v>Labor Forming</v>
      </c>
      <c r="AT108" s="318"/>
      <c r="AU108" s="752" t="n">
        <f aca="false">'06-Garage Footings'!D138</f>
        <v>0</v>
      </c>
      <c r="AV108" s="743" t="n">
        <f aca="false">C108+70000</f>
        <v>70041</v>
      </c>
      <c r="AW108" s="741" t="str">
        <f aca="false">D108</f>
        <v>Labor Forming</v>
      </c>
      <c r="AX108" s="318"/>
      <c r="AY108" s="742" t="n">
        <f aca="false">'07-COLUMNS'!D153</f>
        <v>0</v>
      </c>
      <c r="AZ108" s="743" t="n">
        <f aca="false">C108+80000</f>
        <v>80041</v>
      </c>
      <c r="BA108" s="741" t="str">
        <f aca="false">D108</f>
        <v>Labor Forming</v>
      </c>
      <c r="BB108" s="318"/>
      <c r="BC108" s="742" t="n">
        <f aca="false">'08-CIP EL. DECK'!D186</f>
        <v>0</v>
      </c>
      <c r="BD108" s="743" t="n">
        <f aca="false">C108+90000</f>
        <v>90041</v>
      </c>
      <c r="BE108" s="741" t="str">
        <f aca="false">D108</f>
        <v>Labor Forming</v>
      </c>
      <c r="BF108" s="318"/>
      <c r="BG108" s="742" t="n">
        <f aca="false">'09-SLAB ON DECK'!E152</f>
        <v>0</v>
      </c>
      <c r="BH108" s="743" t="n">
        <f aca="false">C108+100000</f>
        <v>100041</v>
      </c>
      <c r="BI108" s="741" t="str">
        <f aca="false">D108</f>
        <v>Labor Forming</v>
      </c>
      <c r="BJ108" s="318"/>
      <c r="BK108" s="742" t="n">
        <f aca="false">'10-PAVING'!D133</f>
        <v>0</v>
      </c>
      <c r="BL108" s="743" t="n">
        <f aca="false">C108+110000</f>
        <v>110041</v>
      </c>
      <c r="BM108" s="741" t="str">
        <f aca="false">D108</f>
        <v>Labor Forming</v>
      </c>
      <c r="BN108" s="318"/>
      <c r="BO108" s="742" t="n">
        <f aca="false">'11-Sidewalks'!D130</f>
        <v>0</v>
      </c>
      <c r="BP108" s="743" t="n">
        <f aca="false">C108+120000</f>
        <v>120041</v>
      </c>
      <c r="BQ108" s="741" t="str">
        <f aca="false">D108</f>
        <v>Labor Forming</v>
      </c>
      <c r="BR108" s="318"/>
      <c r="BS108" s="742" t="n">
        <f aca="false">'12-PANELS'!F148</f>
        <v>0</v>
      </c>
      <c r="BT108" s="743" t="n">
        <f aca="false">C108+130000</f>
        <v>130041</v>
      </c>
      <c r="BU108" s="741" t="str">
        <f aca="false">M108</f>
        <v>Labor Forming</v>
      </c>
      <c r="BV108" s="318"/>
      <c r="BW108" s="742" t="n">
        <f aca="false">'13-Miscellaneous'!E81</f>
        <v>0</v>
      </c>
      <c r="BX108" s="743" t="n">
        <f aca="false">C108+140000</f>
        <v>140041</v>
      </c>
      <c r="BY108" s="741" t="str">
        <f aca="false">Q108</f>
        <v>Labor Forming</v>
      </c>
    </row>
    <row r="109" customFormat="false" ht="21" hidden="false" customHeight="true" outlineLevel="0" collapsed="false">
      <c r="A109" s="775"/>
      <c r="B109" s="427" t="n">
        <v>42</v>
      </c>
      <c r="C109" s="748" t="s">
        <v>1151</v>
      </c>
      <c r="D109" s="317" t="s">
        <v>1117</v>
      </c>
      <c r="E109" s="543"/>
      <c r="F109" s="749"/>
      <c r="G109" s="742" t="n">
        <f aca="false">K109+BK109+AI109+W109+AA109+AY109+BS109+BC109+BG109+S109+O109+BW109+BO109+AE109+AM109+AQ109+AU109</f>
        <v>86500.6166666667</v>
      </c>
      <c r="H109" s="745" t="n">
        <f aca="false">C109+10000</f>
        <v>10042</v>
      </c>
      <c r="I109" s="543" t="str">
        <f aca="false">D109</f>
        <v>Labor Grade, Poly, Reinf.</v>
      </c>
      <c r="J109" s="749"/>
      <c r="K109" s="742" t="n">
        <f aca="false">'01-Piers'!E129</f>
        <v>5300</v>
      </c>
      <c r="L109" s="743" t="n">
        <f aca="false">C109+20000</f>
        <v>20042</v>
      </c>
      <c r="M109" s="543" t="str">
        <f aca="false">Q109</f>
        <v>Labor Grade, Poly, Reinf.</v>
      </c>
      <c r="N109" s="749"/>
      <c r="O109" s="742" t="n">
        <f aca="false">'02-Gd Beams'!E136</f>
        <v>0</v>
      </c>
      <c r="P109" s="743" t="n">
        <f aca="false">C109+40000</f>
        <v>40042</v>
      </c>
      <c r="Q109" s="741" t="str">
        <f aca="false">D109</f>
        <v>Labor Grade, Poly, Reinf.</v>
      </c>
      <c r="R109" s="318"/>
      <c r="S109" s="744" t="n">
        <f aca="false">'04-PT Slab on Grade Wrap'!E155</f>
        <v>0</v>
      </c>
      <c r="T109" s="743" t="n">
        <f aca="false">C109+40000</f>
        <v>40042</v>
      </c>
      <c r="U109" s="543" t="str">
        <f aca="false">D109</f>
        <v>Labor Grade, Poly, Reinf.</v>
      </c>
      <c r="V109" s="318"/>
      <c r="W109" s="744" t="n">
        <f aca="false">'04-PT Slab on Grade'!E155</f>
        <v>40769.95</v>
      </c>
      <c r="X109" s="743" t="n">
        <f aca="false">C109+50000</f>
        <v>50042</v>
      </c>
      <c r="Y109" s="741" t="str">
        <f aca="false">D109</f>
        <v>Labor Grade, Poly, Reinf.</v>
      </c>
      <c r="Z109" s="318"/>
      <c r="AA109" s="744" t="n">
        <f aca="false">'05-Slabs'!E155</f>
        <v>0</v>
      </c>
      <c r="AB109" s="743" t="n">
        <f aca="false">C109+30000</f>
        <v>30042</v>
      </c>
      <c r="AC109" s="741" t="str">
        <f aca="false">BE109</f>
        <v>Labor Grade, Poly, Reinf.</v>
      </c>
      <c r="AD109" s="318"/>
      <c r="AE109" s="796" t="n">
        <f aca="false">'03-Walls &amp; Footings'!D139</f>
        <v>0</v>
      </c>
      <c r="AF109" s="743" t="n">
        <f aca="false">C109+60000</f>
        <v>60042</v>
      </c>
      <c r="AG109" s="741" t="str">
        <f aca="false">BI109</f>
        <v>Labor Grade, Poly, Reinf.</v>
      </c>
      <c r="AH109" s="318"/>
      <c r="AI109" s="744" t="n">
        <f aca="false">'06-Walls &amp; Footings'!D139</f>
        <v>40430.6666666667</v>
      </c>
      <c r="AJ109" s="743" t="n">
        <f aca="false">C109+60000</f>
        <v>60042</v>
      </c>
      <c r="AK109" s="741" t="str">
        <f aca="false">BI109</f>
        <v>Labor Grade, Poly, Reinf.</v>
      </c>
      <c r="AL109" s="318"/>
      <c r="AM109" s="744" t="n">
        <f aca="false">'06-Footings'!D139</f>
        <v>0</v>
      </c>
      <c r="AN109" s="743" t="n">
        <f aca="false">C109+60000</f>
        <v>60042</v>
      </c>
      <c r="AO109" s="741" t="str">
        <f aca="false">BI109</f>
        <v>Labor Grade, Poly, Reinf.</v>
      </c>
      <c r="AP109" s="318"/>
      <c r="AQ109" s="752" t="n">
        <f aca="false">'06-Garage Walls &amp; Footings'!D139</f>
        <v>0</v>
      </c>
      <c r="AR109" s="743" t="n">
        <f aca="false">G109+60000</f>
        <v>146500.616666667</v>
      </c>
      <c r="AS109" s="741" t="str">
        <f aca="false">BM109</f>
        <v>Labor Grade, Poly, Reinf.</v>
      </c>
      <c r="AT109" s="318"/>
      <c r="AU109" s="752" t="n">
        <f aca="false">'06-Garage Footings'!D139</f>
        <v>0</v>
      </c>
      <c r="AV109" s="746" t="n">
        <f aca="false">C109+70000</f>
        <v>70042</v>
      </c>
      <c r="AW109" s="543" t="str">
        <f aca="false">D109</f>
        <v>Labor Grade, Poly, Reinf.</v>
      </c>
      <c r="AX109" s="318"/>
      <c r="AY109" s="742" t="n">
        <f aca="false">'07-COLUMNS'!D154</f>
        <v>0</v>
      </c>
      <c r="AZ109" s="743" t="n">
        <f aca="false">C109+80000</f>
        <v>80042</v>
      </c>
      <c r="BA109" s="741" t="str">
        <f aca="false">D109</f>
        <v>Labor Grade, Poly, Reinf.</v>
      </c>
      <c r="BB109" s="318"/>
      <c r="BC109" s="742" t="n">
        <f aca="false">'08-CIP EL. DECK'!D187</f>
        <v>0</v>
      </c>
      <c r="BD109" s="743" t="n">
        <f aca="false">C109+90000</f>
        <v>90042</v>
      </c>
      <c r="BE109" s="741" t="str">
        <f aca="false">D109</f>
        <v>Labor Grade, Poly, Reinf.</v>
      </c>
      <c r="BF109" s="318"/>
      <c r="BG109" s="742" t="n">
        <f aca="false">'09-SLAB ON DECK'!E153</f>
        <v>0</v>
      </c>
      <c r="BH109" s="743" t="n">
        <f aca="false">C109+100000</f>
        <v>100042</v>
      </c>
      <c r="BI109" s="543" t="str">
        <f aca="false">D109</f>
        <v>Labor Grade, Poly, Reinf.</v>
      </c>
      <c r="BJ109" s="318"/>
      <c r="BK109" s="742" t="n">
        <f aca="false">'10-PAVING'!D134</f>
        <v>0</v>
      </c>
      <c r="BL109" s="743" t="n">
        <f aca="false">C109+110000</f>
        <v>110042</v>
      </c>
      <c r="BM109" s="543" t="str">
        <f aca="false">D109</f>
        <v>Labor Grade, Poly, Reinf.</v>
      </c>
      <c r="BN109" s="318"/>
      <c r="BO109" s="742" t="n">
        <f aca="false">'11-Sidewalks'!D131</f>
        <v>0</v>
      </c>
      <c r="BP109" s="743" t="n">
        <f aca="false">C109+120000</f>
        <v>120042</v>
      </c>
      <c r="BQ109" s="543" t="str">
        <f aca="false">D109</f>
        <v>Labor Grade, Poly, Reinf.</v>
      </c>
      <c r="BR109" s="318"/>
      <c r="BS109" s="742" t="n">
        <f aca="false">'12-PANELS'!F149</f>
        <v>0</v>
      </c>
      <c r="BT109" s="746" t="n">
        <f aca="false">C109+130000</f>
        <v>130042</v>
      </c>
      <c r="BU109" s="741" t="str">
        <f aca="false">M109</f>
        <v>Labor Grade, Poly, Reinf.</v>
      </c>
      <c r="BV109" s="318"/>
      <c r="BW109" s="742" t="n">
        <f aca="false">'13-Miscellaneous'!E82</f>
        <v>0</v>
      </c>
      <c r="BX109" s="743" t="n">
        <f aca="false">C109+140000</f>
        <v>140042</v>
      </c>
      <c r="BY109" s="741" t="str">
        <f aca="false">Q109</f>
        <v>Labor Grade, Poly, Reinf.</v>
      </c>
    </row>
    <row r="110" customFormat="false" ht="21" hidden="false" customHeight="true" outlineLevel="0" collapsed="false">
      <c r="A110" s="775"/>
      <c r="B110" s="427" t="n">
        <v>43</v>
      </c>
      <c r="C110" s="810" t="s">
        <v>1152</v>
      </c>
      <c r="D110" s="701" t="s">
        <v>1119</v>
      </c>
      <c r="E110" s="543"/>
      <c r="F110" s="749"/>
      <c r="G110" s="742" t="n">
        <f aca="false">K110+BK110+AI110+W110+AA110+AY110+BS110+BC110+BG110+S110+O110+BW110+BO110+AE110+AM110+AQ110+AU110</f>
        <v>58153.875</v>
      </c>
      <c r="H110" s="745" t="n">
        <f aca="false">C110+10000</f>
        <v>10043</v>
      </c>
      <c r="I110" s="543" t="str">
        <f aca="false">D110</f>
        <v>Labor Place &amp; Finish</v>
      </c>
      <c r="J110" s="749"/>
      <c r="K110" s="742" t="n">
        <f aca="false">'01-Piers'!E130</f>
        <v>5300</v>
      </c>
      <c r="L110" s="743" t="n">
        <f aca="false">C110+20000</f>
        <v>20043</v>
      </c>
      <c r="M110" s="543" t="str">
        <f aca="false">Q110</f>
        <v>Labor Place &amp; Finish</v>
      </c>
      <c r="N110" s="749"/>
      <c r="O110" s="742" t="n">
        <f aca="false">'02-Gd Beams'!E137</f>
        <v>0</v>
      </c>
      <c r="P110" s="743" t="n">
        <f aca="false">C110+40000</f>
        <v>40043</v>
      </c>
      <c r="Q110" s="741" t="str">
        <f aca="false">D110</f>
        <v>Labor Place &amp; Finish</v>
      </c>
      <c r="R110" s="318"/>
      <c r="S110" s="744" t="n">
        <f aca="false">'04-PT Slab on Grade Wrap'!E156</f>
        <v>0</v>
      </c>
      <c r="T110" s="743" t="n">
        <f aca="false">C110+40000</f>
        <v>40043</v>
      </c>
      <c r="U110" s="543" t="str">
        <f aca="false">D110</f>
        <v>Labor Place &amp; Finish</v>
      </c>
      <c r="V110" s="318"/>
      <c r="W110" s="744" t="n">
        <f aca="false">'04-PT Slab on Grade'!E156</f>
        <v>40769.95</v>
      </c>
      <c r="X110" s="743" t="n">
        <f aca="false">C110+50000</f>
        <v>50043</v>
      </c>
      <c r="Y110" s="741" t="str">
        <f aca="false">D110</f>
        <v>Labor Place &amp; Finish</v>
      </c>
      <c r="Z110" s="318"/>
      <c r="AA110" s="744" t="n">
        <f aca="false">'05-Slabs'!E156</f>
        <v>0</v>
      </c>
      <c r="AB110" s="743" t="n">
        <f aca="false">C110+30000</f>
        <v>30043</v>
      </c>
      <c r="AC110" s="741" t="str">
        <f aca="false">BE110</f>
        <v>Labor Place &amp; Finish</v>
      </c>
      <c r="AD110" s="318"/>
      <c r="AE110" s="796" t="n">
        <f aca="false">'03-Walls &amp; Footings'!D140</f>
        <v>0</v>
      </c>
      <c r="AF110" s="743" t="n">
        <f aca="false">C110+60000</f>
        <v>60043</v>
      </c>
      <c r="AG110" s="741" t="str">
        <f aca="false">BI110</f>
        <v>Labor Place &amp; Finish</v>
      </c>
      <c r="AH110" s="318"/>
      <c r="AI110" s="744" t="n">
        <f aca="false">'06-Walls &amp; Footings'!D140</f>
        <v>12083.925</v>
      </c>
      <c r="AJ110" s="743" t="n">
        <f aca="false">C110+60000</f>
        <v>60043</v>
      </c>
      <c r="AK110" s="741" t="str">
        <f aca="false">BI110</f>
        <v>Labor Place &amp; Finish</v>
      </c>
      <c r="AL110" s="318"/>
      <c r="AM110" s="744" t="n">
        <f aca="false">'06-Footings'!D140</f>
        <v>0</v>
      </c>
      <c r="AN110" s="743" t="n">
        <f aca="false">C110+60000</f>
        <v>60043</v>
      </c>
      <c r="AO110" s="741" t="str">
        <f aca="false">BI110</f>
        <v>Labor Place &amp; Finish</v>
      </c>
      <c r="AP110" s="318"/>
      <c r="AQ110" s="752" t="n">
        <f aca="false">'06-Garage Walls &amp; Footings'!D140</f>
        <v>0</v>
      </c>
      <c r="AR110" s="743" t="n">
        <f aca="false">G110+60000</f>
        <v>118153.875</v>
      </c>
      <c r="AS110" s="741" t="str">
        <f aca="false">BM110</f>
        <v>Labor Place &amp; Finish</v>
      </c>
      <c r="AT110" s="318"/>
      <c r="AU110" s="752" t="n">
        <f aca="false">'06-Garage Footings'!D140</f>
        <v>0</v>
      </c>
      <c r="AV110" s="746" t="n">
        <f aca="false">C110+70000</f>
        <v>70043</v>
      </c>
      <c r="AW110" s="543" t="str">
        <f aca="false">D110</f>
        <v>Labor Place &amp; Finish</v>
      </c>
      <c r="AX110" s="318"/>
      <c r="AY110" s="742" t="n">
        <f aca="false">'07-COLUMNS'!D155</f>
        <v>0</v>
      </c>
      <c r="AZ110" s="743" t="n">
        <f aca="false">C110+80000</f>
        <v>80043</v>
      </c>
      <c r="BA110" s="741" t="str">
        <f aca="false">D110</f>
        <v>Labor Place &amp; Finish</v>
      </c>
      <c r="BB110" s="318"/>
      <c r="BC110" s="742" t="n">
        <f aca="false">'08-CIP EL. DECK'!D188</f>
        <v>0</v>
      </c>
      <c r="BD110" s="743" t="n">
        <f aca="false">C110+90000</f>
        <v>90043</v>
      </c>
      <c r="BE110" s="741" t="str">
        <f aca="false">D110</f>
        <v>Labor Place &amp; Finish</v>
      </c>
      <c r="BF110" s="318"/>
      <c r="BG110" s="742" t="n">
        <f aca="false">'09-SLAB ON DECK'!E154</f>
        <v>0</v>
      </c>
      <c r="BH110" s="743" t="n">
        <f aca="false">C110+100000</f>
        <v>100043</v>
      </c>
      <c r="BI110" s="543" t="str">
        <f aca="false">D110</f>
        <v>Labor Place &amp; Finish</v>
      </c>
      <c r="BJ110" s="318"/>
      <c r="BK110" s="742" t="n">
        <f aca="false">'10-PAVING'!D135</f>
        <v>0</v>
      </c>
      <c r="BL110" s="743" t="n">
        <f aca="false">C110+110000</f>
        <v>110043</v>
      </c>
      <c r="BM110" s="543" t="str">
        <f aca="false">D110</f>
        <v>Labor Place &amp; Finish</v>
      </c>
      <c r="BN110" s="318"/>
      <c r="BO110" s="742" t="n">
        <f aca="false">'11-Sidewalks'!D132</f>
        <v>0</v>
      </c>
      <c r="BP110" s="743" t="n">
        <f aca="false">C110+120000</f>
        <v>120043</v>
      </c>
      <c r="BQ110" s="543" t="str">
        <f aca="false">D110</f>
        <v>Labor Place &amp; Finish</v>
      </c>
      <c r="BR110" s="318"/>
      <c r="BS110" s="742" t="n">
        <f aca="false">'12-PANELS'!F150</f>
        <v>0</v>
      </c>
      <c r="BT110" s="746" t="n">
        <f aca="false">C110+130000</f>
        <v>130043</v>
      </c>
      <c r="BU110" s="741" t="str">
        <f aca="false">M110</f>
        <v>Labor Place &amp; Finish</v>
      </c>
      <c r="BV110" s="318"/>
      <c r="BW110" s="742" t="n">
        <f aca="false">'13-Miscellaneous'!E83</f>
        <v>0</v>
      </c>
      <c r="BX110" s="743" t="n">
        <f aca="false">C110+140000</f>
        <v>140043</v>
      </c>
      <c r="BY110" s="741" t="str">
        <f aca="false">Q110</f>
        <v>Labor Place &amp; Finish</v>
      </c>
    </row>
    <row r="111" customFormat="false" ht="21" hidden="false" customHeight="true" outlineLevel="0" collapsed="false">
      <c r="A111" s="775"/>
      <c r="B111" s="427" t="n">
        <v>44</v>
      </c>
      <c r="C111" s="810" t="s">
        <v>1153</v>
      </c>
      <c r="D111" s="701" t="s">
        <v>1121</v>
      </c>
      <c r="E111" s="543"/>
      <c r="F111" s="749"/>
      <c r="G111" s="742" t="n">
        <f aca="false">K111+BK111+AI111+W111+AA111+AY111+BS111+BC111+BG111+S111+O111+BW111+BO111+AE111+AM111+AQ111+AU111</f>
        <v>6920</v>
      </c>
      <c r="H111" s="745" t="n">
        <f aca="false">C111+10000</f>
        <v>10044</v>
      </c>
      <c r="I111" s="543" t="str">
        <f aca="false">D111</f>
        <v>Labor Drops</v>
      </c>
      <c r="J111" s="749"/>
      <c r="K111" s="742" t="n">
        <f aca="false">'01-Piers'!E131</f>
        <v>0</v>
      </c>
      <c r="L111" s="743" t="n">
        <f aca="false">C111+20000</f>
        <v>20044</v>
      </c>
      <c r="M111" s="543" t="str">
        <f aca="false">Q111</f>
        <v>Labor Drops</v>
      </c>
      <c r="N111" s="749"/>
      <c r="O111" s="742" t="n">
        <f aca="false">'02-Gd Beams'!E138</f>
        <v>0</v>
      </c>
      <c r="P111" s="743" t="n">
        <f aca="false">C111+40000</f>
        <v>40044</v>
      </c>
      <c r="Q111" s="741" t="str">
        <f aca="false">D111</f>
        <v>Labor Drops</v>
      </c>
      <c r="R111" s="318"/>
      <c r="S111" s="744" t="n">
        <f aca="false">'04-PT Slab on Grade Wrap'!E157</f>
        <v>0</v>
      </c>
      <c r="T111" s="743" t="n">
        <f aca="false">C111+40000</f>
        <v>40044</v>
      </c>
      <c r="U111" s="543" t="str">
        <f aca="false">D111</f>
        <v>Labor Drops</v>
      </c>
      <c r="V111" s="318"/>
      <c r="W111" s="744" t="n">
        <f aca="false">'04-PT Slab on Grade'!E157</f>
        <v>6920</v>
      </c>
      <c r="X111" s="743" t="n">
        <f aca="false">C111+50000</f>
        <v>50044</v>
      </c>
      <c r="Y111" s="741" t="str">
        <f aca="false">D111</f>
        <v>Labor Drops</v>
      </c>
      <c r="Z111" s="318"/>
      <c r="AA111" s="744" t="n">
        <f aca="false">'05-Slabs'!E157</f>
        <v>0</v>
      </c>
      <c r="AB111" s="743" t="n">
        <f aca="false">C111+30000</f>
        <v>30044</v>
      </c>
      <c r="AC111" s="741" t="str">
        <f aca="false">BE111</f>
        <v>Labor Drops</v>
      </c>
      <c r="AD111" s="318"/>
      <c r="AE111" s="796" t="n">
        <f aca="false">'03-Walls &amp; Footings'!D141</f>
        <v>0</v>
      </c>
      <c r="AF111" s="743" t="n">
        <f aca="false">C111+60000</f>
        <v>60044</v>
      </c>
      <c r="AG111" s="741" t="str">
        <f aca="false">BI111</f>
        <v>Labor Drops</v>
      </c>
      <c r="AH111" s="318"/>
      <c r="AI111" s="744" t="n">
        <f aca="false">'06-Walls &amp; Footings'!D141</f>
        <v>0</v>
      </c>
      <c r="AJ111" s="743" t="n">
        <f aca="false">C111+60000</f>
        <v>60044</v>
      </c>
      <c r="AK111" s="741" t="str">
        <f aca="false">BI111</f>
        <v>Labor Drops</v>
      </c>
      <c r="AL111" s="318"/>
      <c r="AM111" s="744" t="n">
        <f aca="false">'06-Footings'!D141</f>
        <v>0</v>
      </c>
      <c r="AN111" s="743" t="n">
        <f aca="false">C111+60000</f>
        <v>60044</v>
      </c>
      <c r="AO111" s="741" t="str">
        <f aca="false">BI111</f>
        <v>Labor Drops</v>
      </c>
      <c r="AP111" s="318"/>
      <c r="AQ111" s="752" t="n">
        <f aca="false">'06-Garage Walls &amp; Footings'!D141</f>
        <v>0</v>
      </c>
      <c r="AR111" s="743" t="n">
        <f aca="false">G111+60000</f>
        <v>66920</v>
      </c>
      <c r="AS111" s="741" t="str">
        <f aca="false">BM111</f>
        <v>Labor Drops</v>
      </c>
      <c r="AT111" s="318"/>
      <c r="AU111" s="752" t="n">
        <f aca="false">'06-Garage Footings'!D141</f>
        <v>0</v>
      </c>
      <c r="AV111" s="746" t="n">
        <f aca="false">C111+70000</f>
        <v>70044</v>
      </c>
      <c r="AW111" s="543" t="str">
        <f aca="false">D111</f>
        <v>Labor Drops</v>
      </c>
      <c r="AX111" s="318"/>
      <c r="AY111" s="742" t="n">
        <f aca="false">'07-COLUMNS'!D156</f>
        <v>0</v>
      </c>
      <c r="AZ111" s="743" t="n">
        <f aca="false">C111+80000</f>
        <v>80044</v>
      </c>
      <c r="BA111" s="741" t="str">
        <f aca="false">D111</f>
        <v>Labor Drops</v>
      </c>
      <c r="BB111" s="318"/>
      <c r="BC111" s="742" t="n">
        <f aca="false">'08-CIP EL. DECK'!D189</f>
        <v>0</v>
      </c>
      <c r="BD111" s="743" t="n">
        <f aca="false">C111+90000</f>
        <v>90044</v>
      </c>
      <c r="BE111" s="741" t="str">
        <f aca="false">D111</f>
        <v>Labor Drops</v>
      </c>
      <c r="BF111" s="318"/>
      <c r="BG111" s="742" t="n">
        <f aca="false">'09-SLAB ON DECK'!E155</f>
        <v>0</v>
      </c>
      <c r="BH111" s="743" t="n">
        <f aca="false">C111+100000</f>
        <v>100044</v>
      </c>
      <c r="BI111" s="543" t="str">
        <f aca="false">D111</f>
        <v>Labor Drops</v>
      </c>
      <c r="BJ111" s="318"/>
      <c r="BK111" s="742" t="n">
        <f aca="false">'10-PAVING'!D136</f>
        <v>0</v>
      </c>
      <c r="BL111" s="743" t="n">
        <f aca="false">C111+110000</f>
        <v>110044</v>
      </c>
      <c r="BM111" s="543" t="str">
        <f aca="false">D111</f>
        <v>Labor Drops</v>
      </c>
      <c r="BN111" s="318"/>
      <c r="BO111" s="742" t="n">
        <f aca="false">'11-Sidewalks'!D133</f>
        <v>0</v>
      </c>
      <c r="BP111" s="743" t="n">
        <f aca="false">C111+120000</f>
        <v>120044</v>
      </c>
      <c r="BQ111" s="543" t="str">
        <f aca="false">D111</f>
        <v>Labor Drops</v>
      </c>
      <c r="BR111" s="318"/>
      <c r="BS111" s="742" t="n">
        <f aca="false">'12-PANELS'!F151</f>
        <v>0</v>
      </c>
      <c r="BT111" s="746" t="n">
        <f aca="false">C111+130000</f>
        <v>130044</v>
      </c>
      <c r="BU111" s="741" t="str">
        <f aca="false">M111</f>
        <v>Labor Drops</v>
      </c>
      <c r="BV111" s="318"/>
      <c r="BW111" s="742" t="n">
        <f aca="false">'13-Miscellaneous'!E84</f>
        <v>0</v>
      </c>
      <c r="BX111" s="743" t="n">
        <f aca="false">C111+140000</f>
        <v>140044</v>
      </c>
      <c r="BY111" s="741" t="str">
        <f aca="false">Q111</f>
        <v>Labor Drops</v>
      </c>
    </row>
    <row r="112" customFormat="false" ht="21" hidden="false" customHeight="true" outlineLevel="0" collapsed="false">
      <c r="A112" s="775"/>
      <c r="B112" s="427" t="n">
        <v>45</v>
      </c>
      <c r="C112" s="810" t="s">
        <v>1154</v>
      </c>
      <c r="D112" s="701" t="s">
        <v>1123</v>
      </c>
      <c r="E112" s="543"/>
      <c r="F112" s="749"/>
      <c r="G112" s="742" t="n">
        <f aca="false">K112+BK112+AI112+W112+AA112+AY112+BS112+BC112+BG112+S112+O112+BW112+BO112+AE112+AM112+AQ112+AU112</f>
        <v>9724.85</v>
      </c>
      <c r="H112" s="745" t="n">
        <f aca="false">C112+10000</f>
        <v>10045</v>
      </c>
      <c r="I112" s="543" t="str">
        <f aca="false">D112</f>
        <v>Labor Strip Forms</v>
      </c>
      <c r="J112" s="749"/>
      <c r="K112" s="742" t="n">
        <f aca="false">'01-Piers'!E132</f>
        <v>0</v>
      </c>
      <c r="L112" s="743" t="n">
        <f aca="false">C112+20000</f>
        <v>20045</v>
      </c>
      <c r="M112" s="543" t="str">
        <f aca="false">Q112</f>
        <v>Labor Strip Forms</v>
      </c>
      <c r="N112" s="749"/>
      <c r="O112" s="742" t="n">
        <f aca="false">'02-Gd Beams'!E139</f>
        <v>0</v>
      </c>
      <c r="P112" s="743" t="n">
        <f aca="false">C112+40000</f>
        <v>40045</v>
      </c>
      <c r="Q112" s="741" t="str">
        <f aca="false">D112</f>
        <v>Labor Strip Forms</v>
      </c>
      <c r="R112" s="318"/>
      <c r="S112" s="744" t="n">
        <f aca="false">'04-PT Slab on Grade Wrap'!E158</f>
        <v>0</v>
      </c>
      <c r="T112" s="743" t="n">
        <f aca="false">C112+40000</f>
        <v>40045</v>
      </c>
      <c r="U112" s="543" t="str">
        <f aca="false">D112</f>
        <v>Labor Strip Forms</v>
      </c>
      <c r="V112" s="318"/>
      <c r="W112" s="744" t="n">
        <f aca="false">'04-PT Slab on Grade'!E158</f>
        <v>6272.3</v>
      </c>
      <c r="X112" s="743" t="n">
        <f aca="false">C112+50000</f>
        <v>50045</v>
      </c>
      <c r="Y112" s="741" t="str">
        <f aca="false">D112</f>
        <v>Labor Strip Forms</v>
      </c>
      <c r="Z112" s="318"/>
      <c r="AA112" s="744" t="n">
        <f aca="false">'05-Slabs'!E158</f>
        <v>0</v>
      </c>
      <c r="AB112" s="743" t="n">
        <f aca="false">C112+30000</f>
        <v>30045</v>
      </c>
      <c r="AC112" s="741" t="str">
        <f aca="false">BE112</f>
        <v>Labor Strip Forms</v>
      </c>
      <c r="AD112" s="318"/>
      <c r="AE112" s="796" t="n">
        <f aca="false">'03-Walls &amp; Footings'!D142</f>
        <v>0</v>
      </c>
      <c r="AF112" s="743" t="n">
        <f aca="false">C112+60000</f>
        <v>60045</v>
      </c>
      <c r="AG112" s="741" t="str">
        <f aca="false">BI112</f>
        <v>Labor Strip Forms</v>
      </c>
      <c r="AH112" s="318"/>
      <c r="AI112" s="744" t="n">
        <f aca="false">'06-Walls &amp; Footings'!D142</f>
        <v>3452.55</v>
      </c>
      <c r="AJ112" s="743" t="n">
        <f aca="false">C112+60000</f>
        <v>60045</v>
      </c>
      <c r="AK112" s="741" t="str">
        <f aca="false">BI112</f>
        <v>Labor Strip Forms</v>
      </c>
      <c r="AL112" s="318"/>
      <c r="AM112" s="744" t="n">
        <f aca="false">'06-Footings'!D142</f>
        <v>0</v>
      </c>
      <c r="AN112" s="743" t="n">
        <f aca="false">C112+60000</f>
        <v>60045</v>
      </c>
      <c r="AO112" s="741" t="str">
        <f aca="false">BI112</f>
        <v>Labor Strip Forms</v>
      </c>
      <c r="AP112" s="318"/>
      <c r="AQ112" s="752" t="n">
        <f aca="false">'06-Garage Walls &amp; Footings'!D142</f>
        <v>0</v>
      </c>
      <c r="AR112" s="743" t="n">
        <f aca="false">G112+60000</f>
        <v>69724.85</v>
      </c>
      <c r="AS112" s="741" t="str">
        <f aca="false">BM112</f>
        <v>Labor Strip Forms</v>
      </c>
      <c r="AT112" s="318"/>
      <c r="AU112" s="752" t="n">
        <f aca="false">'06-Garage Footings'!D142</f>
        <v>0</v>
      </c>
      <c r="AV112" s="746" t="n">
        <f aca="false">C112+70000</f>
        <v>70045</v>
      </c>
      <c r="AW112" s="543" t="str">
        <f aca="false">D112</f>
        <v>Labor Strip Forms</v>
      </c>
      <c r="AX112" s="318"/>
      <c r="AY112" s="742" t="n">
        <f aca="false">'07-COLUMNS'!D157</f>
        <v>0</v>
      </c>
      <c r="AZ112" s="743" t="n">
        <f aca="false">C112+80000</f>
        <v>80045</v>
      </c>
      <c r="BA112" s="741" t="str">
        <f aca="false">D112</f>
        <v>Labor Strip Forms</v>
      </c>
      <c r="BB112" s="318"/>
      <c r="BC112" s="742" t="n">
        <f aca="false">'08-CIP EL. DECK'!D190</f>
        <v>0</v>
      </c>
      <c r="BD112" s="743" t="n">
        <f aca="false">C112+90000</f>
        <v>90045</v>
      </c>
      <c r="BE112" s="741" t="str">
        <f aca="false">D112</f>
        <v>Labor Strip Forms</v>
      </c>
      <c r="BF112" s="318"/>
      <c r="BG112" s="742" t="n">
        <f aca="false">'09-SLAB ON DECK'!E156</f>
        <v>0</v>
      </c>
      <c r="BH112" s="743" t="n">
        <f aca="false">C112+100000</f>
        <v>100045</v>
      </c>
      <c r="BI112" s="543" t="str">
        <f aca="false">D112</f>
        <v>Labor Strip Forms</v>
      </c>
      <c r="BJ112" s="318"/>
      <c r="BK112" s="742" t="n">
        <f aca="false">'10-PAVING'!D137</f>
        <v>0</v>
      </c>
      <c r="BL112" s="743" t="n">
        <f aca="false">C112+110000</f>
        <v>110045</v>
      </c>
      <c r="BM112" s="543" t="str">
        <f aca="false">D112</f>
        <v>Labor Strip Forms</v>
      </c>
      <c r="BN112" s="318"/>
      <c r="BO112" s="742" t="n">
        <f aca="false">'11-Sidewalks'!D134</f>
        <v>0</v>
      </c>
      <c r="BP112" s="743" t="n">
        <f aca="false">C112+120000</f>
        <v>120045</v>
      </c>
      <c r="BQ112" s="543" t="str">
        <f aca="false">D112</f>
        <v>Labor Strip Forms</v>
      </c>
      <c r="BR112" s="318"/>
      <c r="BS112" s="742" t="n">
        <f aca="false">'12-PANELS'!F152</f>
        <v>0</v>
      </c>
      <c r="BT112" s="746" t="n">
        <f aca="false">C112+130000</f>
        <v>130045</v>
      </c>
      <c r="BU112" s="741" t="str">
        <f aca="false">M112</f>
        <v>Labor Strip Forms</v>
      </c>
      <c r="BV112" s="318"/>
      <c r="BW112" s="742" t="n">
        <f aca="false">'13-Miscellaneous'!E85</f>
        <v>0</v>
      </c>
      <c r="BX112" s="743" t="n">
        <f aca="false">C112+140000</f>
        <v>140045</v>
      </c>
      <c r="BY112" s="741" t="str">
        <f aca="false">Q112</f>
        <v>Labor Strip Forms</v>
      </c>
    </row>
    <row r="113" customFormat="false" ht="21" hidden="false" customHeight="true" outlineLevel="0" collapsed="false">
      <c r="A113" s="775"/>
      <c r="B113" s="427" t="n">
        <v>46</v>
      </c>
      <c r="C113" s="810" t="s">
        <v>1155</v>
      </c>
      <c r="D113" s="701" t="s">
        <v>1125</v>
      </c>
      <c r="E113" s="543"/>
      <c r="F113" s="749"/>
      <c r="G113" s="742" t="n">
        <f aca="false">K113+BK113+AI113+W113+AA113+AY113+BS113+BC113+BG113+S113+O113+BW113+BO113+AE113+AM113+AQ113+AU113</f>
        <v>23523.845407951</v>
      </c>
      <c r="H113" s="745" t="n">
        <f aca="false">C113+10000</f>
        <v>10046</v>
      </c>
      <c r="I113" s="543" t="str">
        <f aca="false">D113</f>
        <v>Labor Burden</v>
      </c>
      <c r="J113" s="749"/>
      <c r="K113" s="742" t="n">
        <f aca="false">'01-Piers'!E133</f>
        <v>16140.707907951</v>
      </c>
      <c r="L113" s="743" t="n">
        <f aca="false">C113+20000</f>
        <v>20046</v>
      </c>
      <c r="M113" s="543" t="str">
        <f aca="false">Q113</f>
        <v>Labor Burden</v>
      </c>
      <c r="N113" s="749"/>
      <c r="O113" s="742" t="n">
        <f aca="false">'02-Gd Beams'!E140</f>
        <v>0</v>
      </c>
      <c r="P113" s="743" t="n">
        <f aca="false">C113+40000</f>
        <v>40046</v>
      </c>
      <c r="Q113" s="741" t="str">
        <f aca="false">D113</f>
        <v>Labor Burden</v>
      </c>
      <c r="R113" s="318"/>
      <c r="S113" s="744" t="n">
        <f aca="false">'04-PT Slab on Grade Wrap'!E159</f>
        <v>0</v>
      </c>
      <c r="T113" s="743" t="n">
        <f aca="false">C113+40000</f>
        <v>40046</v>
      </c>
      <c r="U113" s="543" t="str">
        <f aca="false">D113</f>
        <v>Labor Burden</v>
      </c>
      <c r="V113" s="318"/>
      <c r="W113" s="744" t="n">
        <f aca="false">'04-PT Slab on Grade'!E159</f>
        <v>0</v>
      </c>
      <c r="X113" s="743" t="n">
        <f aca="false">C113+50000</f>
        <v>50046</v>
      </c>
      <c r="Y113" s="741" t="str">
        <f aca="false">D113</f>
        <v>Labor Burden</v>
      </c>
      <c r="Z113" s="318"/>
      <c r="AA113" s="744" t="n">
        <f aca="false">'05-Slabs'!E159</f>
        <v>0</v>
      </c>
      <c r="AB113" s="743" t="n">
        <f aca="false">C113+30000</f>
        <v>30046</v>
      </c>
      <c r="AC113" s="741" t="str">
        <f aca="false">BE113</f>
        <v>Labor Burden</v>
      </c>
      <c r="AD113" s="318"/>
      <c r="AE113" s="796" t="n">
        <f aca="false">'03-Walls &amp; Footings'!D143</f>
        <v>0</v>
      </c>
      <c r="AF113" s="743" t="n">
        <f aca="false">C113+60000</f>
        <v>60046</v>
      </c>
      <c r="AG113" s="741" t="str">
        <f aca="false">BI113</f>
        <v>Labor Burden</v>
      </c>
      <c r="AH113" s="318"/>
      <c r="AI113" s="744" t="n">
        <f aca="false">'06-Walls &amp; Footings'!D143</f>
        <v>7383.1375</v>
      </c>
      <c r="AJ113" s="743" t="n">
        <f aca="false">C113+60000</f>
        <v>60046</v>
      </c>
      <c r="AK113" s="741" t="str">
        <f aca="false">BI113</f>
        <v>Labor Burden</v>
      </c>
      <c r="AL113" s="318"/>
      <c r="AM113" s="744" t="n">
        <f aca="false">'06-Footings'!D143</f>
        <v>0</v>
      </c>
      <c r="AN113" s="743" t="n">
        <f aca="false">C113+60000</f>
        <v>60046</v>
      </c>
      <c r="AO113" s="741" t="str">
        <f aca="false">BI113</f>
        <v>Labor Burden</v>
      </c>
      <c r="AP113" s="318"/>
      <c r="AQ113" s="752" t="n">
        <f aca="false">'06-Garage Walls &amp; Footings'!D143</f>
        <v>0</v>
      </c>
      <c r="AR113" s="743" t="n">
        <f aca="false">G113+60000</f>
        <v>83523.845407951</v>
      </c>
      <c r="AS113" s="741" t="str">
        <f aca="false">BM113</f>
        <v>Labor Burden</v>
      </c>
      <c r="AT113" s="318"/>
      <c r="AU113" s="752" t="n">
        <f aca="false">'06-Garage Footings'!D143</f>
        <v>0</v>
      </c>
      <c r="AV113" s="746" t="n">
        <f aca="false">C113+70000</f>
        <v>70046</v>
      </c>
      <c r="AW113" s="543" t="str">
        <f aca="false">D113</f>
        <v>Labor Burden</v>
      </c>
      <c r="AX113" s="318"/>
      <c r="AY113" s="742" t="n">
        <f aca="false">'07-COLUMNS'!D158</f>
        <v>0</v>
      </c>
      <c r="AZ113" s="743" t="n">
        <f aca="false">C113+80000</f>
        <v>80046</v>
      </c>
      <c r="BA113" s="741" t="str">
        <f aca="false">D113</f>
        <v>Labor Burden</v>
      </c>
      <c r="BB113" s="318"/>
      <c r="BC113" s="742" t="n">
        <f aca="false">'08-CIP EL. DECK'!D191</f>
        <v>0</v>
      </c>
      <c r="BD113" s="743" t="n">
        <f aca="false">C113+90000</f>
        <v>90046</v>
      </c>
      <c r="BE113" s="741" t="str">
        <f aca="false">D113</f>
        <v>Labor Burden</v>
      </c>
      <c r="BF113" s="318"/>
      <c r="BG113" s="742" t="n">
        <f aca="false">'09-SLAB ON DECK'!E157</f>
        <v>0</v>
      </c>
      <c r="BH113" s="743" t="n">
        <f aca="false">C113+100000</f>
        <v>100046</v>
      </c>
      <c r="BI113" s="543" t="str">
        <f aca="false">D113</f>
        <v>Labor Burden</v>
      </c>
      <c r="BJ113" s="318"/>
      <c r="BK113" s="742" t="n">
        <f aca="false">'10-PAVING'!D138</f>
        <v>0</v>
      </c>
      <c r="BL113" s="743" t="n">
        <f aca="false">C113+110000</f>
        <v>110046</v>
      </c>
      <c r="BM113" s="543" t="str">
        <f aca="false">D113</f>
        <v>Labor Burden</v>
      </c>
      <c r="BN113" s="318"/>
      <c r="BO113" s="742" t="n">
        <f aca="false">'11-Sidewalks'!D135</f>
        <v>0</v>
      </c>
      <c r="BP113" s="743" t="n">
        <f aca="false">C113+120000</f>
        <v>120046</v>
      </c>
      <c r="BQ113" s="543" t="str">
        <f aca="false">D113</f>
        <v>Labor Burden</v>
      </c>
      <c r="BR113" s="318"/>
      <c r="BS113" s="742" t="n">
        <f aca="false">'12-PANELS'!F153</f>
        <v>0</v>
      </c>
      <c r="BT113" s="746" t="n">
        <f aca="false">C113+130000</f>
        <v>130046</v>
      </c>
      <c r="BU113" s="741" t="str">
        <f aca="false">M113</f>
        <v>Labor Burden</v>
      </c>
      <c r="BV113" s="318"/>
      <c r="BW113" s="742" t="n">
        <f aca="false">'13-Miscellaneous'!E86</f>
        <v>0</v>
      </c>
      <c r="BX113" s="743" t="n">
        <f aca="false">C113+140000</f>
        <v>140046</v>
      </c>
      <c r="BY113" s="741" t="str">
        <f aca="false">Q113</f>
        <v>Labor Burden</v>
      </c>
    </row>
    <row r="114" customFormat="false" ht="21" hidden="false" customHeight="true" outlineLevel="0" collapsed="false">
      <c r="A114" s="775"/>
      <c r="B114" s="427" t="n">
        <v>47</v>
      </c>
      <c r="C114" s="810" t="s">
        <v>1156</v>
      </c>
      <c r="D114" s="317" t="s">
        <v>721</v>
      </c>
      <c r="E114" s="543"/>
      <c r="F114" s="749"/>
      <c r="G114" s="742" t="n">
        <f aca="false">K114+BK114+AI114+W114+AA114+AY114+BS114+BC114+BG114+S114+O114+BW114+BO114+AE114+AM114+AQ114+AU114</f>
        <v>16410.5545275992</v>
      </c>
      <c r="H114" s="745" t="n">
        <f aca="false">C114+10000</f>
        <v>10047</v>
      </c>
      <c r="I114" s="543" t="str">
        <f aca="false">D114</f>
        <v>Rebar</v>
      </c>
      <c r="J114" s="749"/>
      <c r="K114" s="742" t="n">
        <f aca="false">'01-Piers'!E134</f>
        <v>0</v>
      </c>
      <c r="L114" s="743" t="n">
        <f aca="false">C114+20000</f>
        <v>20047</v>
      </c>
      <c r="M114" s="543" t="str">
        <f aca="false">Q114</f>
        <v>Rebar</v>
      </c>
      <c r="N114" s="749"/>
      <c r="O114" s="742" t="n">
        <f aca="false">'02-Gd Beams'!E141</f>
        <v>0</v>
      </c>
      <c r="P114" s="743" t="n">
        <f aca="false">C114+40000</f>
        <v>40047</v>
      </c>
      <c r="Q114" s="741" t="str">
        <f aca="false">D114</f>
        <v>Rebar</v>
      </c>
      <c r="R114" s="318"/>
      <c r="S114" s="744" t="n">
        <f aca="false">'04-PT Slab on Grade Wrap'!E160</f>
        <v>0</v>
      </c>
      <c r="T114" s="743" t="n">
        <f aca="false">C114+40000</f>
        <v>40047</v>
      </c>
      <c r="U114" s="543" t="str">
        <f aca="false">D114</f>
        <v>Rebar</v>
      </c>
      <c r="V114" s="318"/>
      <c r="W114" s="744" t="n">
        <f aca="false">'04-PT Slab on Grade'!E160</f>
        <v>8821.7922688766</v>
      </c>
      <c r="X114" s="743" t="n">
        <f aca="false">C114+50000</f>
        <v>50047</v>
      </c>
      <c r="Y114" s="741" t="str">
        <f aca="false">D114</f>
        <v>Rebar</v>
      </c>
      <c r="Z114" s="318"/>
      <c r="AA114" s="744" t="n">
        <f aca="false">'05-Slabs'!E160</f>
        <v>0</v>
      </c>
      <c r="AB114" s="743" t="n">
        <f aca="false">C114+30000</f>
        <v>30047</v>
      </c>
      <c r="AC114" s="741" t="str">
        <f aca="false">BE114</f>
        <v>Rebar</v>
      </c>
      <c r="AD114" s="318"/>
      <c r="AE114" s="796" t="n">
        <f aca="false">'03-Walls &amp; Footings'!D144</f>
        <v>0</v>
      </c>
      <c r="AF114" s="743" t="n">
        <f aca="false">C114+60000</f>
        <v>60047</v>
      </c>
      <c r="AG114" s="741" t="str">
        <f aca="false">BI114</f>
        <v>Rebar</v>
      </c>
      <c r="AH114" s="318"/>
      <c r="AI114" s="744" t="n">
        <f aca="false">'06-Walls &amp; Footings'!D144</f>
        <v>7588.76225872263</v>
      </c>
      <c r="AJ114" s="743" t="n">
        <f aca="false">C114+60000</f>
        <v>60047</v>
      </c>
      <c r="AK114" s="741" t="str">
        <f aca="false">BI114</f>
        <v>Rebar</v>
      </c>
      <c r="AL114" s="318"/>
      <c r="AM114" s="744" t="n">
        <f aca="false">'06-Footings'!D144</f>
        <v>0</v>
      </c>
      <c r="AN114" s="743" t="n">
        <f aca="false">C114+60000</f>
        <v>60047</v>
      </c>
      <c r="AO114" s="741" t="str">
        <f aca="false">BI114</f>
        <v>Rebar</v>
      </c>
      <c r="AP114" s="318"/>
      <c r="AQ114" s="752" t="n">
        <f aca="false">'06-Garage Walls &amp; Footings'!D144</f>
        <v>0</v>
      </c>
      <c r="AR114" s="743" t="n">
        <f aca="false">G114+60000</f>
        <v>76410.5545275992</v>
      </c>
      <c r="AS114" s="741" t="str">
        <f aca="false">BM114</f>
        <v>Rebar</v>
      </c>
      <c r="AT114" s="318"/>
      <c r="AU114" s="752" t="n">
        <f aca="false">'06-Garage Footings'!D144</f>
        <v>0</v>
      </c>
      <c r="AV114" s="746" t="n">
        <f aca="false">C114+70000</f>
        <v>70047</v>
      </c>
      <c r="AW114" s="543" t="str">
        <f aca="false">D114</f>
        <v>Rebar</v>
      </c>
      <c r="AX114" s="318"/>
      <c r="AY114" s="742" t="n">
        <f aca="false">'07-COLUMNS'!D159</f>
        <v>0</v>
      </c>
      <c r="AZ114" s="743" t="n">
        <f aca="false">C114+80000</f>
        <v>80047</v>
      </c>
      <c r="BA114" s="741" t="str">
        <f aca="false">D114</f>
        <v>Rebar</v>
      </c>
      <c r="BB114" s="318"/>
      <c r="BC114" s="742" t="n">
        <f aca="false">'08-CIP EL. DECK'!D192</f>
        <v>0</v>
      </c>
      <c r="BD114" s="743" t="n">
        <f aca="false">C114+90000</f>
        <v>90047</v>
      </c>
      <c r="BE114" s="741" t="str">
        <f aca="false">D114</f>
        <v>Rebar</v>
      </c>
      <c r="BF114" s="318"/>
      <c r="BG114" s="742" t="n">
        <f aca="false">'09-SLAB ON DECK'!E158</f>
        <v>0</v>
      </c>
      <c r="BH114" s="743" t="n">
        <f aca="false">C114+100000</f>
        <v>100047</v>
      </c>
      <c r="BI114" s="543" t="str">
        <f aca="false">D114</f>
        <v>Rebar</v>
      </c>
      <c r="BJ114" s="318"/>
      <c r="BK114" s="742" t="n">
        <f aca="false">'10-PAVING'!D139</f>
        <v>0</v>
      </c>
      <c r="BL114" s="743" t="n">
        <f aca="false">C114+110000</f>
        <v>110047</v>
      </c>
      <c r="BM114" s="543" t="str">
        <f aca="false">D114</f>
        <v>Rebar</v>
      </c>
      <c r="BN114" s="318"/>
      <c r="BO114" s="742" t="n">
        <f aca="false">'11-Sidewalks'!D136</f>
        <v>0</v>
      </c>
      <c r="BP114" s="743" t="n">
        <f aca="false">C114+120000</f>
        <v>120047</v>
      </c>
      <c r="BQ114" s="543" t="str">
        <f aca="false">D114</f>
        <v>Rebar</v>
      </c>
      <c r="BR114" s="318"/>
      <c r="BS114" s="742" t="n">
        <f aca="false">'12-PANELS'!F154</f>
        <v>0</v>
      </c>
      <c r="BT114" s="746" t="n">
        <f aca="false">C114+130000</f>
        <v>130047</v>
      </c>
      <c r="BU114" s="741" t="str">
        <f aca="false">M114</f>
        <v>Rebar</v>
      </c>
      <c r="BV114" s="318"/>
      <c r="BW114" s="742" t="n">
        <f aca="false">'13-Miscellaneous'!E87</f>
        <v>0</v>
      </c>
      <c r="BX114" s="743" t="n">
        <f aca="false">C114+140000</f>
        <v>140047</v>
      </c>
      <c r="BY114" s="741" t="str">
        <f aca="false">Q114</f>
        <v>Rebar</v>
      </c>
    </row>
    <row r="115" customFormat="false" ht="21" hidden="false" customHeight="true" outlineLevel="0" collapsed="false">
      <c r="A115" s="775"/>
      <c r="B115" s="427" t="n">
        <v>48</v>
      </c>
      <c r="C115" s="811" t="s">
        <v>1157</v>
      </c>
      <c r="D115" s="812" t="s">
        <v>1158</v>
      </c>
      <c r="E115" s="788"/>
      <c r="F115" s="800"/>
      <c r="G115" s="742" t="n">
        <f aca="false">K115+BK115+AI115+W115+AA115+AY115+BS115+BC115+BG115+S115+O115+BW115+BO115+AE115+AM115+AQ115+AU115</f>
        <v>0</v>
      </c>
      <c r="H115" s="754" t="n">
        <f aca="false">C115+10000</f>
        <v>10048</v>
      </c>
      <c r="I115" s="788" t="str">
        <f aca="false">D115</f>
        <v>PT Installation</v>
      </c>
      <c r="J115" s="800"/>
      <c r="K115" s="756" t="n">
        <f aca="false">'01-Piers'!E135</f>
        <v>0</v>
      </c>
      <c r="L115" s="801" t="n">
        <f aca="false">C115+20000</f>
        <v>20048</v>
      </c>
      <c r="M115" s="788" t="str">
        <f aca="false">Q115</f>
        <v>PT Installation</v>
      </c>
      <c r="N115" s="800"/>
      <c r="O115" s="756" t="n">
        <f aca="false">'02-Gd Beams'!E142</f>
        <v>0</v>
      </c>
      <c r="P115" s="743" t="n">
        <f aca="false">C115+40000</f>
        <v>40048</v>
      </c>
      <c r="Q115" s="788" t="str">
        <f aca="false">D115</f>
        <v>PT Installation</v>
      </c>
      <c r="R115" s="800"/>
      <c r="S115" s="744" t="n">
        <f aca="false">'04-PT Slab on Grade Wrap'!E161</f>
        <v>0</v>
      </c>
      <c r="T115" s="801" t="n">
        <f aca="false">C115+40000</f>
        <v>40048</v>
      </c>
      <c r="U115" s="788" t="str">
        <f aca="false">D115</f>
        <v>PT Installation</v>
      </c>
      <c r="V115" s="800"/>
      <c r="W115" s="793" t="n">
        <f aca="false">'04-PT Slab on Grade'!E161</f>
        <v>0</v>
      </c>
      <c r="X115" s="801" t="n">
        <f aca="false">C115+50000</f>
        <v>50048</v>
      </c>
      <c r="Y115" s="788" t="str">
        <f aca="false">D115</f>
        <v>PT Installation</v>
      </c>
      <c r="Z115" s="800"/>
      <c r="AA115" s="813" t="n">
        <f aca="false">'05-Slabs'!E161</f>
        <v>0</v>
      </c>
      <c r="AB115" s="743" t="n">
        <f aca="false">C115+30000</f>
        <v>30048</v>
      </c>
      <c r="AC115" s="788" t="str">
        <f aca="false">BE115</f>
        <v>PT Installation</v>
      </c>
      <c r="AD115" s="800"/>
      <c r="AE115" s="796" t="n">
        <f aca="false">'03-Walls &amp; Footings'!D145</f>
        <v>0</v>
      </c>
      <c r="AF115" s="801" t="n">
        <f aca="false">C115+60000</f>
        <v>60048</v>
      </c>
      <c r="AG115" s="788" t="str">
        <f aca="false">BI115</f>
        <v>PT Installation</v>
      </c>
      <c r="AH115" s="800"/>
      <c r="AI115" s="793" t="n">
        <f aca="false">'06-Walls &amp; Footings'!D145</f>
        <v>0</v>
      </c>
      <c r="AJ115" s="801" t="n">
        <f aca="false">C115+60000</f>
        <v>60048</v>
      </c>
      <c r="AK115" s="788" t="str">
        <f aca="false">BI115</f>
        <v>PT Installation</v>
      </c>
      <c r="AL115" s="800"/>
      <c r="AM115" s="793" t="n">
        <f aca="false">'06-Footings'!D145</f>
        <v>0</v>
      </c>
      <c r="AN115" s="801" t="n">
        <f aca="false">C115+60000</f>
        <v>60048</v>
      </c>
      <c r="AO115" s="788" t="str">
        <f aca="false">BI115</f>
        <v>PT Installation</v>
      </c>
      <c r="AP115" s="800"/>
      <c r="AQ115" s="752" t="n">
        <f aca="false">'06-Garage Walls &amp; Footings'!D145</f>
        <v>0</v>
      </c>
      <c r="AR115" s="801" t="n">
        <f aca="false">G115+60000</f>
        <v>60000</v>
      </c>
      <c r="AS115" s="788" t="str">
        <f aca="false">BM115</f>
        <v>PT Installation</v>
      </c>
      <c r="AT115" s="800"/>
      <c r="AU115" s="752" t="n">
        <f aca="false">'06-Garage Footings'!D145</f>
        <v>0</v>
      </c>
      <c r="AV115" s="801" t="n">
        <f aca="false">C115+70000</f>
        <v>70048</v>
      </c>
      <c r="AW115" s="788" t="str">
        <f aca="false">D115</f>
        <v>PT Installation</v>
      </c>
      <c r="AX115" s="800"/>
      <c r="AY115" s="756" t="n">
        <f aca="false">'07-COLUMNS'!D160</f>
        <v>0</v>
      </c>
      <c r="AZ115" s="801" t="n">
        <f aca="false">C115+80000</f>
        <v>80048</v>
      </c>
      <c r="BA115" s="788" t="str">
        <f aca="false">D115</f>
        <v>PT Installation</v>
      </c>
      <c r="BB115" s="800"/>
      <c r="BC115" s="756" t="n">
        <f aca="false">'08-CIP EL. DECK'!D193</f>
        <v>0</v>
      </c>
      <c r="BD115" s="801" t="n">
        <f aca="false">C115+90000</f>
        <v>90048</v>
      </c>
      <c r="BE115" s="788" t="str">
        <f aca="false">D115</f>
        <v>PT Installation</v>
      </c>
      <c r="BF115" s="800"/>
      <c r="BG115" s="756" t="n">
        <f aca="false">'09-SLAB ON DECK'!E159</f>
        <v>0</v>
      </c>
      <c r="BH115" s="801" t="n">
        <f aca="false">C115+100000</f>
        <v>100048</v>
      </c>
      <c r="BI115" s="788" t="str">
        <f aca="false">D115</f>
        <v>PT Installation</v>
      </c>
      <c r="BJ115" s="800"/>
      <c r="BK115" s="756" t="n">
        <f aca="false">'10-PAVING'!D140</f>
        <v>0</v>
      </c>
      <c r="BL115" s="801" t="n">
        <f aca="false">C115+110000</f>
        <v>110048</v>
      </c>
      <c r="BM115" s="788" t="str">
        <f aca="false">D115</f>
        <v>PT Installation</v>
      </c>
      <c r="BN115" s="800"/>
      <c r="BO115" s="756" t="n">
        <f aca="false">'11-Sidewalks'!D137</f>
        <v>0</v>
      </c>
      <c r="BP115" s="801" t="n">
        <f aca="false">C115+120000</f>
        <v>120048</v>
      </c>
      <c r="BQ115" s="788" t="str">
        <f aca="false">D115</f>
        <v>PT Installation</v>
      </c>
      <c r="BR115" s="800"/>
      <c r="BS115" s="756" t="n">
        <f aca="false">'12-PANELS'!F155</f>
        <v>0</v>
      </c>
      <c r="BT115" s="801" t="n">
        <f aca="false">C115+130000</f>
        <v>130048</v>
      </c>
      <c r="BU115" s="788" t="str">
        <f aca="false">M115</f>
        <v>PT Installation</v>
      </c>
      <c r="BV115" s="800"/>
      <c r="BW115" s="756" t="n">
        <f aca="false">'13-Miscellaneous'!E88</f>
        <v>0</v>
      </c>
      <c r="BX115" s="801" t="n">
        <f aca="false">C115+140000</f>
        <v>140048</v>
      </c>
      <c r="BY115" s="788" t="str">
        <f aca="false">Q115</f>
        <v>PT Installation</v>
      </c>
    </row>
    <row r="116" customFormat="false" ht="21" hidden="false" customHeight="true" outlineLevel="0" collapsed="false">
      <c r="A116" s="775"/>
      <c r="B116" s="814" t="n">
        <v>49</v>
      </c>
      <c r="C116" s="815" t="n">
        <v>49</v>
      </c>
      <c r="D116" s="814" t="s">
        <v>1159</v>
      </c>
      <c r="E116" s="770"/>
      <c r="F116" s="265"/>
      <c r="G116" s="742" t="n">
        <f aca="false">K116+BK116+AI116+W116+AA116+AY116+BS116+BC116+BG116+S116+O116+BW116+BO116+AE116+AM116+AQ116+AU116</f>
        <v>0</v>
      </c>
      <c r="H116" s="771" t="n">
        <f aca="false">C116+10000</f>
        <v>10049</v>
      </c>
      <c r="I116" s="770" t="str">
        <f aca="false">D116</f>
        <v>Extra Hours</v>
      </c>
      <c r="J116" s="265"/>
      <c r="K116" s="772" t="n">
        <f aca="false">'01-Piers'!E136</f>
        <v>0</v>
      </c>
      <c r="L116" s="773" t="n">
        <f aca="false">C116+20000</f>
        <v>20049</v>
      </c>
      <c r="M116" s="770" t="str">
        <f aca="false">Q116</f>
        <v>Extra Hours</v>
      </c>
      <c r="N116" s="265"/>
      <c r="O116" s="772" t="n">
        <f aca="false">'02-Gd Beams'!E143</f>
        <v>0</v>
      </c>
      <c r="P116" s="743" t="n">
        <f aca="false">C116+40000</f>
        <v>40049</v>
      </c>
      <c r="Q116" s="770" t="str">
        <f aca="false">D116</f>
        <v>Extra Hours</v>
      </c>
      <c r="R116" s="265"/>
      <c r="S116" s="744" t="n">
        <f aca="false">'04-PT Slab on Grade Wrap'!E162</f>
        <v>0</v>
      </c>
      <c r="T116" s="773" t="n">
        <f aca="false">C116+40000</f>
        <v>40049</v>
      </c>
      <c r="U116" s="770" t="str">
        <f aca="false">D116</f>
        <v>Extra Hours</v>
      </c>
      <c r="V116" s="265"/>
      <c r="W116" s="774" t="n">
        <f aca="false">'04-PT Slab on Grade'!E162</f>
        <v>0</v>
      </c>
      <c r="X116" s="773" t="n">
        <f aca="false">C116+50000</f>
        <v>50049</v>
      </c>
      <c r="Y116" s="770" t="str">
        <f aca="false">D116</f>
        <v>Extra Hours</v>
      </c>
      <c r="Z116" s="265"/>
      <c r="AA116" s="265" t="n">
        <f aca="false">'05-Slabs'!E162</f>
        <v>0</v>
      </c>
      <c r="AB116" s="743" t="n">
        <f aca="false">C116+30000</f>
        <v>30049</v>
      </c>
      <c r="AC116" s="770" t="str">
        <f aca="false">BE116</f>
        <v>Extra Hours</v>
      </c>
      <c r="AD116" s="265"/>
      <c r="AE116" s="796" t="n">
        <f aca="false">'03-Walls &amp; Footings'!D146</f>
        <v>0</v>
      </c>
      <c r="AF116" s="773" t="n">
        <f aca="false">C116+60000</f>
        <v>60049</v>
      </c>
      <c r="AG116" s="770" t="str">
        <f aca="false">BI116</f>
        <v>Extra Hours</v>
      </c>
      <c r="AH116" s="265"/>
      <c r="AI116" s="774" t="n">
        <f aca="false">'06-Walls &amp; Footings'!D146</f>
        <v>0</v>
      </c>
      <c r="AJ116" s="773" t="n">
        <f aca="false">C116+60000</f>
        <v>60049</v>
      </c>
      <c r="AK116" s="770" t="str">
        <f aca="false">BI116</f>
        <v>Extra Hours</v>
      </c>
      <c r="AL116" s="265"/>
      <c r="AM116" s="774" t="n">
        <f aca="false">'06-Footings'!D146</f>
        <v>0</v>
      </c>
      <c r="AN116" s="773" t="n">
        <f aca="false">C116+60000</f>
        <v>60049</v>
      </c>
      <c r="AO116" s="770" t="str">
        <f aca="false">BI116</f>
        <v>Extra Hours</v>
      </c>
      <c r="AP116" s="265"/>
      <c r="AQ116" s="796" t="n">
        <f aca="false">'06-Garage Walls &amp; Footings'!D146</f>
        <v>0</v>
      </c>
      <c r="AR116" s="773" t="n">
        <f aca="false">G116+60000</f>
        <v>60000</v>
      </c>
      <c r="AS116" s="770" t="str">
        <f aca="false">BM116</f>
        <v>Extra Hours</v>
      </c>
      <c r="AT116" s="265"/>
      <c r="AU116" s="796" t="n">
        <f aca="false">'06-Garage Footings'!D146</f>
        <v>0</v>
      </c>
      <c r="AV116" s="773" t="n">
        <f aca="false">C116+70000</f>
        <v>70049</v>
      </c>
      <c r="AW116" s="770" t="str">
        <f aca="false">D116</f>
        <v>Extra Hours</v>
      </c>
      <c r="AX116" s="265"/>
      <c r="AY116" s="772" t="n">
        <f aca="false">'07-COLUMNS'!D161</f>
        <v>0</v>
      </c>
      <c r="AZ116" s="773" t="n">
        <f aca="false">C116+80000</f>
        <v>80049</v>
      </c>
      <c r="BA116" s="770" t="str">
        <f aca="false">D116</f>
        <v>Extra Hours</v>
      </c>
      <c r="BB116" s="265"/>
      <c r="BC116" s="772" t="n">
        <f aca="false">'08-CIP EL. DECK'!D194</f>
        <v>0</v>
      </c>
      <c r="BD116" s="773" t="n">
        <f aca="false">C116+90000</f>
        <v>90049</v>
      </c>
      <c r="BE116" s="770" t="str">
        <f aca="false">D116</f>
        <v>Extra Hours</v>
      </c>
      <c r="BF116" s="265"/>
      <c r="BG116" s="772" t="n">
        <f aca="false">'09-SLAB ON DECK'!E160</f>
        <v>0</v>
      </c>
      <c r="BH116" s="773" t="n">
        <f aca="false">C116+100000</f>
        <v>100049</v>
      </c>
      <c r="BI116" s="770" t="str">
        <f aca="false">D116</f>
        <v>Extra Hours</v>
      </c>
      <c r="BJ116" s="265"/>
      <c r="BK116" s="772" t="n">
        <f aca="false">'10-PAVING'!D141</f>
        <v>0</v>
      </c>
      <c r="BL116" s="773" t="n">
        <f aca="false">C116+110000</f>
        <v>110049</v>
      </c>
      <c r="BM116" s="770" t="str">
        <f aca="false">D116</f>
        <v>Extra Hours</v>
      </c>
      <c r="BN116" s="265"/>
      <c r="BO116" s="772" t="n">
        <f aca="false">'11-Sidewalks'!D138</f>
        <v>0</v>
      </c>
      <c r="BP116" s="773" t="n">
        <f aca="false">C116+120000</f>
        <v>120049</v>
      </c>
      <c r="BQ116" s="770" t="str">
        <f aca="false">D116</f>
        <v>Extra Hours</v>
      </c>
      <c r="BR116" s="265"/>
      <c r="BS116" s="816" t="n">
        <f aca="false">'12-PANELS'!F156</f>
        <v>0</v>
      </c>
      <c r="BT116" s="773" t="n">
        <f aca="false">C116+130000</f>
        <v>130049</v>
      </c>
      <c r="BU116" s="770" t="str">
        <f aca="false">M116</f>
        <v>Extra Hours</v>
      </c>
      <c r="BV116" s="265"/>
      <c r="BW116" s="772" t="n">
        <f aca="false">'13-Miscellaneous'!E89</f>
        <v>0</v>
      </c>
      <c r="BX116" s="743" t="n">
        <f aca="false">C116+140000</f>
        <v>140049</v>
      </c>
      <c r="BY116" s="770" t="str">
        <f aca="false">Q116</f>
        <v>Extra Hours</v>
      </c>
    </row>
    <row r="117" s="809" customFormat="true" ht="21" hidden="false" customHeight="true" outlineLevel="0" collapsed="false">
      <c r="A117" s="817" t="s">
        <v>1160</v>
      </c>
      <c r="B117" s="818" t="n">
        <v>60</v>
      </c>
      <c r="C117" s="819" t="s">
        <v>1161</v>
      </c>
      <c r="D117" s="820" t="s">
        <v>1162</v>
      </c>
      <c r="E117" s="805"/>
      <c r="F117" s="804"/>
      <c r="G117" s="742" t="n">
        <f aca="false">K117+BK117+AI117+W117+AA117+AY117+BS117+BC117+BG117+S117+O117+BW117+BO117+AE117+AM117+AQ117+AU117</f>
        <v>46418.0625</v>
      </c>
      <c r="H117" s="821" t="n">
        <f aca="false">C117+10000</f>
        <v>10060</v>
      </c>
      <c r="I117" s="805" t="str">
        <f aca="false">D117</f>
        <v>Total Equipment Rental</v>
      </c>
      <c r="J117" s="804"/>
      <c r="K117" s="807" t="n">
        <f aca="false">'01-Piers'!E137</f>
        <v>7238.0625</v>
      </c>
      <c r="L117" s="806" t="n">
        <f aca="false">C117+20000</f>
        <v>20060</v>
      </c>
      <c r="M117" s="805" t="str">
        <f aca="false">Q117</f>
        <v>Total Equipment Rental</v>
      </c>
      <c r="N117" s="804"/>
      <c r="O117" s="807" t="n">
        <f aca="false">'02-Gd Beams'!E144</f>
        <v>0</v>
      </c>
      <c r="P117" s="743" t="n">
        <f aca="false">C117+40000</f>
        <v>40060</v>
      </c>
      <c r="Q117" s="805" t="str">
        <f aca="false">D117</f>
        <v>Total Equipment Rental</v>
      </c>
      <c r="R117" s="804"/>
      <c r="S117" s="744" t="n">
        <f aca="false">'04-PT Slab on Grade Wrap'!E163</f>
        <v>0</v>
      </c>
      <c r="T117" s="806" t="n">
        <f aca="false">C117+40000</f>
        <v>40060</v>
      </c>
      <c r="U117" s="805" t="str">
        <f aca="false">D117</f>
        <v>Total Equipment Rental</v>
      </c>
      <c r="V117" s="804"/>
      <c r="W117" s="808" t="n">
        <f aca="false">'04-PT Slab on Grade'!E163</f>
        <v>30899.25</v>
      </c>
      <c r="X117" s="806" t="n">
        <f aca="false">C117+50000</f>
        <v>50060</v>
      </c>
      <c r="Y117" s="805" t="str">
        <f aca="false">D117</f>
        <v>Total Equipment Rental</v>
      </c>
      <c r="Z117" s="804"/>
      <c r="AA117" s="744" t="n">
        <f aca="false">'05-Slabs'!E163</f>
        <v>0</v>
      </c>
      <c r="AB117" s="743" t="n">
        <f aca="false">C117+30000</f>
        <v>30060</v>
      </c>
      <c r="AC117" s="805" t="e">
        <f aca="false">#ref!</f>
        <v>#NAME?</v>
      </c>
      <c r="AD117" s="804"/>
      <c r="AE117" s="796" t="n">
        <f aca="false">'03-Walls &amp; Footings'!D147</f>
        <v>0</v>
      </c>
      <c r="AF117" s="806" t="n">
        <f aca="false">C117+60000</f>
        <v>60060</v>
      </c>
      <c r="AG117" s="805" t="str">
        <f aca="false">D117</f>
        <v>Total Equipment Rental</v>
      </c>
      <c r="AH117" s="804"/>
      <c r="AI117" s="808" t="n">
        <f aca="false">'06-Walls &amp; Footings'!D147</f>
        <v>8280.75</v>
      </c>
      <c r="AJ117" s="806" t="n">
        <f aca="false">C117+60000</f>
        <v>60060</v>
      </c>
      <c r="AK117" s="805" t="str">
        <f aca="false">D117</f>
        <v>Total Equipment Rental</v>
      </c>
      <c r="AL117" s="804"/>
      <c r="AM117" s="808" t="n">
        <f aca="false">'06-Footings'!D147</f>
        <v>0</v>
      </c>
      <c r="AN117" s="806" t="n">
        <f aca="false">C117+60000</f>
        <v>60060</v>
      </c>
      <c r="AO117" s="805" t="str">
        <f aca="false">D117</f>
        <v>Total Equipment Rental</v>
      </c>
      <c r="AP117" s="804"/>
      <c r="AQ117" s="796" t="n">
        <f aca="false">'06-Garage Walls &amp; Footings'!D147</f>
        <v>0</v>
      </c>
      <c r="AR117" s="806" t="n">
        <f aca="false">G117+60000</f>
        <v>106418.0625</v>
      </c>
      <c r="AS117" s="805" t="n">
        <f aca="false">H117</f>
        <v>10060</v>
      </c>
      <c r="AT117" s="804"/>
      <c r="AU117" s="796" t="n">
        <f aca="false">'06-Garage Footings'!D147</f>
        <v>0</v>
      </c>
      <c r="AV117" s="806" t="n">
        <f aca="false">C117+70000</f>
        <v>70060</v>
      </c>
      <c r="AW117" s="805" t="str">
        <f aca="false">AG117</f>
        <v>Total Equipment Rental</v>
      </c>
      <c r="AX117" s="804"/>
      <c r="AY117" s="807" t="n">
        <f aca="false">'07-COLUMNS'!D162</f>
        <v>0</v>
      </c>
      <c r="AZ117" s="806" t="n">
        <f aca="false">C117+80000</f>
        <v>80060</v>
      </c>
      <c r="BA117" s="805" t="str">
        <f aca="false">AW117</f>
        <v>Total Equipment Rental</v>
      </c>
      <c r="BB117" s="804"/>
      <c r="BC117" s="807" t="n">
        <f aca="false">'08-CIP EL. DECK'!D195</f>
        <v>0</v>
      </c>
      <c r="BD117" s="806" t="n">
        <f aca="false">C117+90000</f>
        <v>90060</v>
      </c>
      <c r="BE117" s="805" t="str">
        <f aca="false">BA117</f>
        <v>Total Equipment Rental</v>
      </c>
      <c r="BF117" s="804"/>
      <c r="BG117" s="807" t="n">
        <f aca="false">'09-SLAB ON DECK'!E161</f>
        <v>0</v>
      </c>
      <c r="BH117" s="806" t="n">
        <f aca="false">C117+100000</f>
        <v>100060</v>
      </c>
      <c r="BI117" s="805" t="str">
        <f aca="false">BE117</f>
        <v>Total Equipment Rental</v>
      </c>
      <c r="BJ117" s="804"/>
      <c r="BK117" s="807" t="n">
        <f aca="false">'10-PAVING'!D142</f>
        <v>0</v>
      </c>
      <c r="BL117" s="806" t="n">
        <f aca="false">C117+110000</f>
        <v>110060</v>
      </c>
      <c r="BM117" s="805" t="str">
        <f aca="false">BI117</f>
        <v>Total Equipment Rental</v>
      </c>
      <c r="BN117" s="804"/>
      <c r="BO117" s="807" t="n">
        <f aca="false">'11-Sidewalks'!D139</f>
        <v>0</v>
      </c>
      <c r="BP117" s="806" t="n">
        <f aca="false">C117+120000</f>
        <v>120060</v>
      </c>
      <c r="BQ117" s="805" t="str">
        <f aca="false">BM117</f>
        <v>Total Equipment Rental</v>
      </c>
      <c r="BR117" s="804"/>
      <c r="BS117" s="742" t="n">
        <f aca="false">'12-PANELS'!F157</f>
        <v>0</v>
      </c>
      <c r="BT117" s="806" t="n">
        <f aca="false">C117+130000</f>
        <v>130060</v>
      </c>
      <c r="BU117" s="805" t="str">
        <f aca="false">BQ117</f>
        <v>Total Equipment Rental</v>
      </c>
      <c r="BV117" s="804"/>
      <c r="BW117" s="807" t="n">
        <f aca="false">'13-Miscellaneous'!E90</f>
        <v>0</v>
      </c>
      <c r="BX117" s="743" t="n">
        <f aca="false">C117+140000</f>
        <v>140060</v>
      </c>
      <c r="BY117" s="805" t="str">
        <f aca="false">BU117</f>
        <v>Total Equipment Rental</v>
      </c>
    </row>
    <row r="118" customFormat="false" ht="21" hidden="false" customHeight="true" outlineLevel="0" collapsed="false">
      <c r="A118" s="817"/>
      <c r="B118" s="10" t="n">
        <v>61</v>
      </c>
      <c r="C118" s="822" t="s">
        <v>1163</v>
      </c>
      <c r="D118" s="317" t="s">
        <v>619</v>
      </c>
      <c r="E118" s="741"/>
      <c r="F118" s="318"/>
      <c r="G118" s="742" t="n">
        <f aca="false">K118+BK118+AI118+W118+AA118+AY118+BS118+BC118+BG118+S118+O118+BW118+BO118+AE118+AM118+AQ118+AU118</f>
        <v>0</v>
      </c>
      <c r="H118" s="747" t="n">
        <f aca="false">C118+10000</f>
        <v>10061</v>
      </c>
      <c r="I118" s="741" t="str">
        <f aca="false">D118</f>
        <v>SkyTrack</v>
      </c>
      <c r="J118" s="318"/>
      <c r="K118" s="742" t="n">
        <f aca="false">'01-Piers'!E138</f>
        <v>0</v>
      </c>
      <c r="L118" s="743" t="n">
        <f aca="false">C118+20000</f>
        <v>20061</v>
      </c>
      <c r="M118" s="741" t="str">
        <f aca="false">Q118</f>
        <v>SkyTrack</v>
      </c>
      <c r="N118" s="318"/>
      <c r="O118" s="742" t="n">
        <f aca="false">'02-Gd Beams'!E145</f>
        <v>0</v>
      </c>
      <c r="P118" s="743" t="n">
        <f aca="false">C118+40000</f>
        <v>40061</v>
      </c>
      <c r="Q118" s="741" t="str">
        <f aca="false">D118</f>
        <v>SkyTrack</v>
      </c>
      <c r="R118" s="318"/>
      <c r="S118" s="744" t="n">
        <f aca="false">'04-PT Slab on Grade Wrap'!E164</f>
        <v>0</v>
      </c>
      <c r="T118" s="743" t="n">
        <f aca="false">C118+40000</f>
        <v>40061</v>
      </c>
      <c r="U118" s="741" t="str">
        <f aca="false">D118</f>
        <v>SkyTrack</v>
      </c>
      <c r="V118" s="318"/>
      <c r="W118" s="744" t="n">
        <f aca="false">'04-PT Slab on Grade'!E164</f>
        <v>0</v>
      </c>
      <c r="X118" s="743" t="n">
        <f aca="false">C118+50000</f>
        <v>50061</v>
      </c>
      <c r="Y118" s="741" t="str">
        <f aca="false">D118</f>
        <v>SkyTrack</v>
      </c>
      <c r="Z118" s="318"/>
      <c r="AA118" s="744" t="n">
        <f aca="false">'05-Slabs'!E164</f>
        <v>0</v>
      </c>
      <c r="AB118" s="743" t="n">
        <f aca="false">C118+30000</f>
        <v>30061</v>
      </c>
      <c r="AC118" s="741" t="str">
        <f aca="false">BE118</f>
        <v>SkyTrack</v>
      </c>
      <c r="AD118" s="318"/>
      <c r="AE118" s="796" t="n">
        <f aca="false">'03-Walls &amp; Footings'!D148</f>
        <v>0</v>
      </c>
      <c r="AF118" s="743" t="n">
        <f aca="false">C118+60000</f>
        <v>60061</v>
      </c>
      <c r="AG118" s="741" t="str">
        <f aca="false">BI118</f>
        <v>SkyTrack</v>
      </c>
      <c r="AH118" s="318"/>
      <c r="AI118" s="744" t="n">
        <f aca="false">'06-Walls &amp; Footings'!D148</f>
        <v>0</v>
      </c>
      <c r="AJ118" s="743" t="n">
        <f aca="false">C118+60000</f>
        <v>60061</v>
      </c>
      <c r="AK118" s="741" t="str">
        <f aca="false">BI118</f>
        <v>SkyTrack</v>
      </c>
      <c r="AL118" s="318"/>
      <c r="AM118" s="744" t="n">
        <f aca="false">'06-Footings'!D148</f>
        <v>0</v>
      </c>
      <c r="AN118" s="743" t="n">
        <f aca="false">C118+60000</f>
        <v>60061</v>
      </c>
      <c r="AO118" s="741" t="str">
        <f aca="false">BI118</f>
        <v>SkyTrack</v>
      </c>
      <c r="AP118" s="318"/>
      <c r="AQ118" s="752" t="n">
        <f aca="false">'06-Garage Walls &amp; Footings'!D148</f>
        <v>0</v>
      </c>
      <c r="AR118" s="743" t="n">
        <f aca="false">G118+60000</f>
        <v>60000</v>
      </c>
      <c r="AS118" s="741" t="str">
        <f aca="false">BM118</f>
        <v>SkyTrack</v>
      </c>
      <c r="AT118" s="318"/>
      <c r="AU118" s="752" t="n">
        <f aca="false">'06-Garage Footings'!D148</f>
        <v>0</v>
      </c>
      <c r="AV118" s="743" t="n">
        <f aca="false">C118+70000</f>
        <v>70061</v>
      </c>
      <c r="AW118" s="741" t="str">
        <f aca="false">D118</f>
        <v>SkyTrack</v>
      </c>
      <c r="AX118" s="318"/>
      <c r="AY118" s="742" t="n">
        <f aca="false">'07-COLUMNS'!D163</f>
        <v>0</v>
      </c>
      <c r="AZ118" s="743" t="n">
        <f aca="false">C118+80000</f>
        <v>80061</v>
      </c>
      <c r="BA118" s="741" t="str">
        <f aca="false">D118</f>
        <v>SkyTrack</v>
      </c>
      <c r="BB118" s="318"/>
      <c r="BC118" s="742" t="n">
        <f aca="false">'08-CIP EL. DECK'!D196</f>
        <v>0</v>
      </c>
      <c r="BD118" s="743" t="n">
        <f aca="false">C118+90000</f>
        <v>90061</v>
      </c>
      <c r="BE118" s="741" t="str">
        <f aca="false">D118</f>
        <v>SkyTrack</v>
      </c>
      <c r="BF118" s="318"/>
      <c r="BG118" s="742" t="n">
        <f aca="false">'09-SLAB ON DECK'!E162</f>
        <v>0</v>
      </c>
      <c r="BH118" s="743" t="n">
        <f aca="false">C118+100000</f>
        <v>100061</v>
      </c>
      <c r="BI118" s="741" t="str">
        <f aca="false">D118</f>
        <v>SkyTrack</v>
      </c>
      <c r="BJ118" s="318"/>
      <c r="BK118" s="742" t="n">
        <f aca="false">'10-PAVING'!D143</f>
        <v>0</v>
      </c>
      <c r="BL118" s="743" t="n">
        <f aca="false">C118+110000</f>
        <v>110061</v>
      </c>
      <c r="BM118" s="741" t="str">
        <f aca="false">D118</f>
        <v>SkyTrack</v>
      </c>
      <c r="BN118" s="318"/>
      <c r="BO118" s="742" t="n">
        <f aca="false">'11-Sidewalks'!D140</f>
        <v>0</v>
      </c>
      <c r="BP118" s="743" t="n">
        <f aca="false">C118+120000</f>
        <v>120061</v>
      </c>
      <c r="BQ118" s="741" t="str">
        <f aca="false">D118</f>
        <v>SkyTrack</v>
      </c>
      <c r="BR118" s="318"/>
      <c r="BS118" s="742" t="n">
        <f aca="false">'12-PANELS'!F158</f>
        <v>0</v>
      </c>
      <c r="BT118" s="743" t="n">
        <f aca="false">C118+130000</f>
        <v>130061</v>
      </c>
      <c r="BU118" s="741" t="str">
        <f aca="false">M118</f>
        <v>SkyTrack</v>
      </c>
      <c r="BV118" s="318"/>
      <c r="BW118" s="742" t="n">
        <f aca="false">'13-Miscellaneous'!E91</f>
        <v>0</v>
      </c>
      <c r="BX118" s="743" t="n">
        <f aca="false">C118+140000</f>
        <v>140061</v>
      </c>
      <c r="BY118" s="741" t="str">
        <f aca="false">Q118</f>
        <v>SkyTrack</v>
      </c>
      <c r="BZ118" s="318"/>
      <c r="CA118" s="742"/>
    </row>
    <row r="119" customFormat="false" ht="21" hidden="false" customHeight="true" outlineLevel="0" collapsed="false">
      <c r="A119" s="817"/>
      <c r="B119" s="427" t="n">
        <v>62</v>
      </c>
      <c r="C119" s="810" t="s">
        <v>1164</v>
      </c>
      <c r="D119" s="317" t="s">
        <v>1165</v>
      </c>
      <c r="E119" s="543"/>
      <c r="F119" s="749"/>
      <c r="G119" s="742" t="n">
        <f aca="false">K119+BK119+AI119+W119+AA119+AY119+BS119+BC119+BG119+S119+O119+BW119+BO119+AE119+AM119+AQ119+AU119</f>
        <v>11400</v>
      </c>
      <c r="H119" s="745" t="n">
        <f aca="false">C119+10000</f>
        <v>10062</v>
      </c>
      <c r="I119" s="543" t="str">
        <f aca="false">D119</f>
        <v>Mini Excavator</v>
      </c>
      <c r="J119" s="749"/>
      <c r="K119" s="742" t="n">
        <f aca="false">'01-Piers'!E139</f>
        <v>0</v>
      </c>
      <c r="L119" s="743" t="n">
        <f aca="false">C119+20000</f>
        <v>20062</v>
      </c>
      <c r="M119" s="543" t="str">
        <f aca="false">Q119</f>
        <v>Mini Excavator</v>
      </c>
      <c r="N119" s="749"/>
      <c r="O119" s="742" t="n">
        <f aca="false">'02-Gd Beams'!E146</f>
        <v>0</v>
      </c>
      <c r="P119" s="743" t="n">
        <f aca="false">C119+40000</f>
        <v>40062</v>
      </c>
      <c r="Q119" s="741" t="str">
        <f aca="false">D119</f>
        <v>Mini Excavator</v>
      </c>
      <c r="R119" s="318"/>
      <c r="S119" s="744" t="n">
        <f aca="false">'04-PT Slab on Grade Wrap'!E165</f>
        <v>0</v>
      </c>
      <c r="T119" s="743" t="n">
        <f aca="false">C119+40000</f>
        <v>40062</v>
      </c>
      <c r="U119" s="543" t="s">
        <v>1166</v>
      </c>
      <c r="V119" s="318"/>
      <c r="W119" s="744" t="n">
        <f aca="false">'04-PT Slab on Grade'!E165</f>
        <v>8550</v>
      </c>
      <c r="X119" s="743" t="n">
        <f aca="false">C119+50000</f>
        <v>50062</v>
      </c>
      <c r="Y119" s="741" t="str">
        <f aca="false">D119</f>
        <v>Mini Excavator</v>
      </c>
      <c r="Z119" s="318"/>
      <c r="AA119" s="744" t="n">
        <f aca="false">'05-Slabs'!E165</f>
        <v>0</v>
      </c>
      <c r="AB119" s="743" t="n">
        <f aca="false">C119+30000</f>
        <v>30062</v>
      </c>
      <c r="AC119" s="741" t="str">
        <f aca="false">BE119</f>
        <v>Mini Excavator</v>
      </c>
      <c r="AD119" s="318"/>
      <c r="AE119" s="796" t="n">
        <f aca="false">'03-Walls &amp; Footings'!D149</f>
        <v>0</v>
      </c>
      <c r="AF119" s="743" t="n">
        <f aca="false">C119+60000</f>
        <v>60062</v>
      </c>
      <c r="AG119" s="741" t="str">
        <f aca="false">BI119</f>
        <v>Mini Excavator</v>
      </c>
      <c r="AH119" s="318"/>
      <c r="AI119" s="744" t="n">
        <f aca="false">'06-Walls &amp; Footings'!D149</f>
        <v>2850</v>
      </c>
      <c r="AJ119" s="743" t="n">
        <f aca="false">C119+60000</f>
        <v>60062</v>
      </c>
      <c r="AK119" s="741" t="str">
        <f aca="false">BI119</f>
        <v>Mini Excavator</v>
      </c>
      <c r="AL119" s="318"/>
      <c r="AM119" s="744" t="n">
        <f aca="false">'06-Footings'!D149</f>
        <v>0</v>
      </c>
      <c r="AN119" s="743" t="n">
        <f aca="false">C119+60000</f>
        <v>60062</v>
      </c>
      <c r="AO119" s="741" t="str">
        <f aca="false">BI119</f>
        <v>Mini Excavator</v>
      </c>
      <c r="AP119" s="318"/>
      <c r="AQ119" s="752" t="n">
        <f aca="false">'06-Garage Walls &amp; Footings'!D149</f>
        <v>0</v>
      </c>
      <c r="AR119" s="743" t="n">
        <f aca="false">G119+60000</f>
        <v>71400</v>
      </c>
      <c r="AS119" s="741" t="str">
        <f aca="false">BM119</f>
        <v>Mini Excavator</v>
      </c>
      <c r="AT119" s="318"/>
      <c r="AU119" s="752" t="n">
        <f aca="false">'06-Garage Footings'!D149</f>
        <v>0</v>
      </c>
      <c r="AV119" s="746" t="n">
        <f aca="false">C119+70000</f>
        <v>70062</v>
      </c>
      <c r="AW119" s="543" t="str">
        <f aca="false">D119</f>
        <v>Mini Excavator</v>
      </c>
      <c r="AX119" s="318"/>
      <c r="AY119" s="742" t="n">
        <f aca="false">'07-COLUMNS'!D164</f>
        <v>0</v>
      </c>
      <c r="AZ119" s="743" t="n">
        <f aca="false">C119+80000</f>
        <v>80062</v>
      </c>
      <c r="BA119" s="741" t="str">
        <f aca="false">D119</f>
        <v>Mini Excavator</v>
      </c>
      <c r="BB119" s="318"/>
      <c r="BC119" s="742" t="n">
        <f aca="false">'08-CIP EL. DECK'!D197</f>
        <v>0</v>
      </c>
      <c r="BD119" s="743" t="n">
        <f aca="false">C119+90000</f>
        <v>90062</v>
      </c>
      <c r="BE119" s="741" t="str">
        <f aca="false">D119</f>
        <v>Mini Excavator</v>
      </c>
      <c r="BF119" s="318"/>
      <c r="BG119" s="742" t="n">
        <f aca="false">'09-SLAB ON DECK'!E163</f>
        <v>0</v>
      </c>
      <c r="BH119" s="743" t="n">
        <f aca="false">C119+100000</f>
        <v>100062</v>
      </c>
      <c r="BI119" s="543" t="str">
        <f aca="false">D119</f>
        <v>Mini Excavator</v>
      </c>
      <c r="BJ119" s="318"/>
      <c r="BK119" s="742" t="n">
        <f aca="false">'10-PAVING'!D144</f>
        <v>0</v>
      </c>
      <c r="BL119" s="743" t="n">
        <f aca="false">C119+110000</f>
        <v>110062</v>
      </c>
      <c r="BM119" s="543" t="str">
        <f aca="false">D119</f>
        <v>Mini Excavator</v>
      </c>
      <c r="BN119" s="318"/>
      <c r="BO119" s="742" t="n">
        <f aca="false">'11-Sidewalks'!D141</f>
        <v>0</v>
      </c>
      <c r="BP119" s="743" t="n">
        <f aca="false">C119+120000</f>
        <v>120062</v>
      </c>
      <c r="BQ119" s="543" t="str">
        <f aca="false">D119</f>
        <v>Mini Excavator</v>
      </c>
      <c r="BR119" s="318"/>
      <c r="BS119" s="742" t="n">
        <f aca="false">'12-PANELS'!F159</f>
        <v>0</v>
      </c>
      <c r="BT119" s="746" t="n">
        <f aca="false">C119+130000</f>
        <v>130062</v>
      </c>
      <c r="BU119" s="741" t="str">
        <f aca="false">M119</f>
        <v>Mini Excavator</v>
      </c>
      <c r="BV119" s="318"/>
      <c r="BW119" s="742" t="n">
        <f aca="false">'13-Miscellaneous'!E92</f>
        <v>0</v>
      </c>
      <c r="BX119" s="743" t="n">
        <f aca="false">C119+140000</f>
        <v>140062</v>
      </c>
      <c r="BY119" s="741" t="str">
        <f aca="false">Q119</f>
        <v>Mini Excavator</v>
      </c>
      <c r="BZ119" s="318"/>
      <c r="CA119" s="742"/>
    </row>
    <row r="120" customFormat="false" ht="21" hidden="false" customHeight="true" outlineLevel="0" collapsed="false">
      <c r="A120" s="817"/>
      <c r="B120" s="427" t="n">
        <v>63</v>
      </c>
      <c r="C120" s="810" t="s">
        <v>1167</v>
      </c>
      <c r="D120" s="317" t="s">
        <v>1168</v>
      </c>
      <c r="E120" s="543"/>
      <c r="F120" s="749"/>
      <c r="G120" s="742" t="n">
        <f aca="false">K120+BK120+AI120+W120+AA120+AY120+BS120+BC120+BG120+S120+O120+BW120+BO120+AE120+AM120+AQ120+AU120</f>
        <v>10425</v>
      </c>
      <c r="H120" s="745" t="n">
        <f aca="false">C120+10000</f>
        <v>10063</v>
      </c>
      <c r="I120" s="543" t="str">
        <f aca="false">D120</f>
        <v>Trencher</v>
      </c>
      <c r="J120" s="749"/>
      <c r="K120" s="742" t="n">
        <f aca="false">'01-Piers'!E140</f>
        <v>2925</v>
      </c>
      <c r="L120" s="743" t="n">
        <f aca="false">C120+20000</f>
        <v>20063</v>
      </c>
      <c r="M120" s="543" t="str">
        <f aca="false">Q120</f>
        <v>Trencher</v>
      </c>
      <c r="N120" s="749"/>
      <c r="O120" s="742" t="n">
        <f aca="false">'02-Gd Beams'!E147</f>
        <v>0</v>
      </c>
      <c r="P120" s="743" t="n">
        <f aca="false">C120+40000</f>
        <v>40063</v>
      </c>
      <c r="Q120" s="741" t="str">
        <f aca="false">D120</f>
        <v>Trencher</v>
      </c>
      <c r="R120" s="318"/>
      <c r="S120" s="744" t="n">
        <f aca="false">'04-PT Slab on Grade Wrap'!E166</f>
        <v>0</v>
      </c>
      <c r="T120" s="743" t="n">
        <f aca="false">C120+40000</f>
        <v>40063</v>
      </c>
      <c r="U120" s="543" t="str">
        <f aca="false">D120</f>
        <v>Trencher</v>
      </c>
      <c r="V120" s="318"/>
      <c r="W120" s="744" t="n">
        <f aca="false">'04-PT Slab on Grade'!E166</f>
        <v>5850</v>
      </c>
      <c r="X120" s="743" t="n">
        <f aca="false">C120+50000</f>
        <v>50063</v>
      </c>
      <c r="Y120" s="741" t="str">
        <f aca="false">D120</f>
        <v>Trencher</v>
      </c>
      <c r="Z120" s="318"/>
      <c r="AA120" s="744" t="n">
        <f aca="false">'05-Slabs'!E166</f>
        <v>0</v>
      </c>
      <c r="AB120" s="743" t="n">
        <f aca="false">C120+30000</f>
        <v>30063</v>
      </c>
      <c r="AC120" s="741" t="str">
        <f aca="false">BE120</f>
        <v>Trencher</v>
      </c>
      <c r="AD120" s="318"/>
      <c r="AE120" s="796" t="n">
        <f aca="false">'03-Walls &amp; Footings'!D150</f>
        <v>0</v>
      </c>
      <c r="AF120" s="743" t="n">
        <f aca="false">C120+60000</f>
        <v>60063</v>
      </c>
      <c r="AG120" s="741" t="str">
        <f aca="false">BI120</f>
        <v>Trencher</v>
      </c>
      <c r="AH120" s="318"/>
      <c r="AI120" s="744" t="n">
        <f aca="false">'06-Walls &amp; Footings'!D150</f>
        <v>1650</v>
      </c>
      <c r="AJ120" s="743" t="n">
        <f aca="false">C120+60000</f>
        <v>60063</v>
      </c>
      <c r="AK120" s="741" t="str">
        <f aca="false">BI120</f>
        <v>Trencher</v>
      </c>
      <c r="AL120" s="318"/>
      <c r="AM120" s="744" t="n">
        <f aca="false">'06-Footings'!D150</f>
        <v>0</v>
      </c>
      <c r="AN120" s="743" t="n">
        <f aca="false">C120+60000</f>
        <v>60063</v>
      </c>
      <c r="AO120" s="741" t="str">
        <f aca="false">BI120</f>
        <v>Trencher</v>
      </c>
      <c r="AP120" s="318"/>
      <c r="AQ120" s="752" t="n">
        <f aca="false">'06-Garage Walls &amp; Footings'!D150</f>
        <v>0</v>
      </c>
      <c r="AR120" s="743" t="n">
        <f aca="false">G120+60000</f>
        <v>70425</v>
      </c>
      <c r="AS120" s="741" t="str">
        <f aca="false">BM120</f>
        <v>Trencher</v>
      </c>
      <c r="AT120" s="318"/>
      <c r="AU120" s="752" t="n">
        <f aca="false">'06-Garage Footings'!D150</f>
        <v>0</v>
      </c>
      <c r="AV120" s="746" t="n">
        <f aca="false">C120+70000</f>
        <v>70063</v>
      </c>
      <c r="AW120" s="543" t="str">
        <f aca="false">D120</f>
        <v>Trencher</v>
      </c>
      <c r="AX120" s="318"/>
      <c r="AY120" s="742" t="n">
        <f aca="false">'07-COLUMNS'!D165</f>
        <v>0</v>
      </c>
      <c r="AZ120" s="743" t="n">
        <f aca="false">C120+80000</f>
        <v>80063</v>
      </c>
      <c r="BA120" s="741" t="str">
        <f aca="false">D120</f>
        <v>Trencher</v>
      </c>
      <c r="BB120" s="318"/>
      <c r="BC120" s="742" t="n">
        <f aca="false">'08-CIP EL. DECK'!D198</f>
        <v>0</v>
      </c>
      <c r="BD120" s="743" t="n">
        <f aca="false">C120+90000</f>
        <v>90063</v>
      </c>
      <c r="BE120" s="741" t="str">
        <f aca="false">D120</f>
        <v>Trencher</v>
      </c>
      <c r="BF120" s="318"/>
      <c r="BG120" s="742" t="n">
        <f aca="false">'09-SLAB ON DECK'!E164</f>
        <v>0</v>
      </c>
      <c r="BH120" s="743" t="n">
        <f aca="false">C120+100000</f>
        <v>100063</v>
      </c>
      <c r="BI120" s="543" t="str">
        <f aca="false">D120</f>
        <v>Trencher</v>
      </c>
      <c r="BJ120" s="318"/>
      <c r="BK120" s="742" t="n">
        <f aca="false">'10-PAVING'!D145</f>
        <v>0</v>
      </c>
      <c r="BL120" s="743" t="n">
        <f aca="false">C120+110000</f>
        <v>110063</v>
      </c>
      <c r="BM120" s="543" t="str">
        <f aca="false">D120</f>
        <v>Trencher</v>
      </c>
      <c r="BN120" s="318"/>
      <c r="BO120" s="742" t="n">
        <f aca="false">'11-Sidewalks'!D142</f>
        <v>0</v>
      </c>
      <c r="BP120" s="743" t="n">
        <f aca="false">C120+120000</f>
        <v>120063</v>
      </c>
      <c r="BQ120" s="543" t="str">
        <f aca="false">D120</f>
        <v>Trencher</v>
      </c>
      <c r="BR120" s="318"/>
      <c r="BS120" s="742" t="n">
        <f aca="false">'12-PANELS'!F160</f>
        <v>0</v>
      </c>
      <c r="BT120" s="746" t="n">
        <f aca="false">C120+130000</f>
        <v>130063</v>
      </c>
      <c r="BU120" s="741" t="str">
        <f aca="false">M120</f>
        <v>Trencher</v>
      </c>
      <c r="BV120" s="318"/>
      <c r="BW120" s="742" t="n">
        <f aca="false">'13-Miscellaneous'!E93</f>
        <v>0</v>
      </c>
      <c r="BX120" s="743" t="n">
        <f aca="false">C120+140000</f>
        <v>140063</v>
      </c>
      <c r="BY120" s="741" t="str">
        <f aca="false">Q120</f>
        <v>Trencher</v>
      </c>
      <c r="BZ120" s="318"/>
      <c r="CA120" s="742"/>
    </row>
    <row r="121" customFormat="false" ht="21" hidden="false" customHeight="true" outlineLevel="0" collapsed="false">
      <c r="A121" s="817"/>
      <c r="B121" s="427" t="n">
        <v>64</v>
      </c>
      <c r="C121" s="810" t="s">
        <v>1169</v>
      </c>
      <c r="D121" s="317" t="s">
        <v>1170</v>
      </c>
      <c r="E121" s="543"/>
      <c r="F121" s="749"/>
      <c r="G121" s="742" t="n">
        <f aca="false">K121+BK121+AI121+W121+AA121+AY121+BS121+BC121+BG121+S121+O121+BW121+BO121+AE121+AM121+AQ121+AU121</f>
        <v>5550</v>
      </c>
      <c r="H121" s="745" t="n">
        <f aca="false">C121+10000</f>
        <v>10064</v>
      </c>
      <c r="I121" s="543" t="str">
        <f aca="false">D121</f>
        <v>Skid Steer</v>
      </c>
      <c r="J121" s="749"/>
      <c r="K121" s="742" t="n">
        <f aca="false">'01-Piers'!E141</f>
        <v>900</v>
      </c>
      <c r="L121" s="743" t="n">
        <f aca="false">C121+20000</f>
        <v>20064</v>
      </c>
      <c r="M121" s="543" t="str">
        <f aca="false">Q121</f>
        <v>Skid Steer</v>
      </c>
      <c r="N121" s="749"/>
      <c r="O121" s="742" t="n">
        <f aca="false">'02-Gd Beams'!E148</f>
        <v>0</v>
      </c>
      <c r="P121" s="743" t="n">
        <f aca="false">C121+40000</f>
        <v>40064</v>
      </c>
      <c r="Q121" s="741" t="str">
        <f aca="false">D121</f>
        <v>Skid Steer</v>
      </c>
      <c r="R121" s="318"/>
      <c r="S121" s="744" t="n">
        <f aca="false">'04-PT Slab on Grade Wrap'!E167</f>
        <v>0</v>
      </c>
      <c r="T121" s="743" t="n">
        <f aca="false">C121+40000</f>
        <v>40064</v>
      </c>
      <c r="U121" s="543" t="str">
        <f aca="false">D121</f>
        <v>Skid Steer</v>
      </c>
      <c r="V121" s="318"/>
      <c r="W121" s="744" t="n">
        <f aca="false">'04-PT Slab on Grade'!E167</f>
        <v>4050</v>
      </c>
      <c r="X121" s="743" t="n">
        <f aca="false">C121+50000</f>
        <v>50064</v>
      </c>
      <c r="Y121" s="741" t="str">
        <f aca="false">D121</f>
        <v>Skid Steer</v>
      </c>
      <c r="Z121" s="318"/>
      <c r="AA121" s="744" t="n">
        <f aca="false">'05-Slabs'!E167</f>
        <v>0</v>
      </c>
      <c r="AB121" s="743" t="n">
        <f aca="false">C121+30000</f>
        <v>30064</v>
      </c>
      <c r="AC121" s="741" t="str">
        <f aca="false">BE121</f>
        <v>Skid Steer</v>
      </c>
      <c r="AD121" s="318"/>
      <c r="AE121" s="796" t="n">
        <f aca="false">'03-Walls &amp; Footings'!D151</f>
        <v>0</v>
      </c>
      <c r="AF121" s="743" t="n">
        <f aca="false">C121+60000</f>
        <v>60064</v>
      </c>
      <c r="AG121" s="741" t="str">
        <f aca="false">BI121</f>
        <v>Skid Steer</v>
      </c>
      <c r="AH121" s="318"/>
      <c r="AI121" s="744" t="n">
        <f aca="false">'06-Walls &amp; Footings'!D151</f>
        <v>600</v>
      </c>
      <c r="AJ121" s="743" t="n">
        <f aca="false">C121+60000</f>
        <v>60064</v>
      </c>
      <c r="AK121" s="741" t="str">
        <f aca="false">BI121</f>
        <v>Skid Steer</v>
      </c>
      <c r="AL121" s="318"/>
      <c r="AM121" s="744" t="n">
        <f aca="false">'06-Footings'!D151</f>
        <v>0</v>
      </c>
      <c r="AN121" s="743" t="n">
        <f aca="false">C121+60000</f>
        <v>60064</v>
      </c>
      <c r="AO121" s="741" t="str">
        <f aca="false">BI121</f>
        <v>Skid Steer</v>
      </c>
      <c r="AP121" s="318"/>
      <c r="AQ121" s="752" t="n">
        <f aca="false">'06-Garage Walls &amp; Footings'!D151</f>
        <v>0</v>
      </c>
      <c r="AR121" s="743" t="n">
        <f aca="false">G121+60000</f>
        <v>65550</v>
      </c>
      <c r="AS121" s="741" t="str">
        <f aca="false">BM121</f>
        <v>Skid Steer</v>
      </c>
      <c r="AT121" s="318"/>
      <c r="AU121" s="752" t="n">
        <f aca="false">'06-Garage Footings'!D151</f>
        <v>0</v>
      </c>
      <c r="AV121" s="746" t="n">
        <f aca="false">C121+70000</f>
        <v>70064</v>
      </c>
      <c r="AW121" s="543" t="str">
        <f aca="false">D121</f>
        <v>Skid Steer</v>
      </c>
      <c r="AX121" s="318"/>
      <c r="AY121" s="742" t="n">
        <f aca="false">'07-COLUMNS'!D166</f>
        <v>0</v>
      </c>
      <c r="AZ121" s="743" t="n">
        <f aca="false">C121+80000</f>
        <v>80064</v>
      </c>
      <c r="BA121" s="741" t="str">
        <f aca="false">D121</f>
        <v>Skid Steer</v>
      </c>
      <c r="BB121" s="318"/>
      <c r="BC121" s="742" t="n">
        <f aca="false">'08-CIP EL. DECK'!D199</f>
        <v>0</v>
      </c>
      <c r="BD121" s="743" t="n">
        <f aca="false">C121+90000</f>
        <v>90064</v>
      </c>
      <c r="BE121" s="741" t="str">
        <f aca="false">D121</f>
        <v>Skid Steer</v>
      </c>
      <c r="BF121" s="318"/>
      <c r="BG121" s="742" t="n">
        <f aca="false">'09-SLAB ON DECK'!E165</f>
        <v>0</v>
      </c>
      <c r="BH121" s="743" t="n">
        <f aca="false">C121+100000</f>
        <v>100064</v>
      </c>
      <c r="BI121" s="543" t="str">
        <f aca="false">D121</f>
        <v>Skid Steer</v>
      </c>
      <c r="BJ121" s="318"/>
      <c r="BK121" s="742" t="n">
        <f aca="false">'10-PAVING'!D146</f>
        <v>0</v>
      </c>
      <c r="BL121" s="743" t="n">
        <f aca="false">C121+110000</f>
        <v>110064</v>
      </c>
      <c r="BM121" s="543" t="str">
        <f aca="false">D121</f>
        <v>Skid Steer</v>
      </c>
      <c r="BN121" s="318"/>
      <c r="BO121" s="742" t="n">
        <f aca="false">'11-Sidewalks'!D143</f>
        <v>0</v>
      </c>
      <c r="BP121" s="743" t="n">
        <f aca="false">C121+120000</f>
        <v>120064</v>
      </c>
      <c r="BQ121" s="543" t="str">
        <f aca="false">D121</f>
        <v>Skid Steer</v>
      </c>
      <c r="BR121" s="318"/>
      <c r="BS121" s="742" t="n">
        <f aca="false">'12-PANELS'!F161</f>
        <v>0</v>
      </c>
      <c r="BT121" s="746" t="n">
        <f aca="false">C121+130000</f>
        <v>130064</v>
      </c>
      <c r="BU121" s="741" t="str">
        <f aca="false">M121</f>
        <v>Skid Steer</v>
      </c>
      <c r="BV121" s="318"/>
      <c r="BW121" s="742" t="n">
        <f aca="false">'13-Miscellaneous'!E94</f>
        <v>0</v>
      </c>
      <c r="BX121" s="743" t="n">
        <f aca="false">C121+140000</f>
        <v>140064</v>
      </c>
      <c r="BY121" s="741" t="str">
        <f aca="false">Q121</f>
        <v>Skid Steer</v>
      </c>
      <c r="BZ121" s="318"/>
      <c r="CA121" s="742"/>
    </row>
    <row r="122" customFormat="false" ht="21" hidden="false" customHeight="true" outlineLevel="0" collapsed="false">
      <c r="A122" s="817"/>
      <c r="B122" s="427" t="n">
        <v>65</v>
      </c>
      <c r="C122" s="810" t="s">
        <v>1171</v>
      </c>
      <c r="D122" s="317" t="s">
        <v>1172</v>
      </c>
      <c r="E122" s="543"/>
      <c r="F122" s="749"/>
      <c r="G122" s="742" t="n">
        <f aca="false">K122+BK122+AI122+W122+AA122+AY122+BS122+BC122+BG122+S122+O122+BW122+BO122+AE122+AM122+AQ122+AU122</f>
        <v>1957.10900473934</v>
      </c>
      <c r="H122" s="745" t="n">
        <f aca="false">C122+10000</f>
        <v>10065</v>
      </c>
      <c r="I122" s="543" t="str">
        <f aca="false">D122</f>
        <v>General Equipment Rental</v>
      </c>
      <c r="J122" s="749"/>
      <c r="K122" s="742" t="n">
        <f aca="false">'01-Piers'!E142</f>
        <v>748.815165876777</v>
      </c>
      <c r="L122" s="743" t="n">
        <f aca="false">C122+20000</f>
        <v>20065</v>
      </c>
      <c r="M122" s="543" t="str">
        <f aca="false">Q122</f>
        <v>General Equipment Rental</v>
      </c>
      <c r="N122" s="749"/>
      <c r="O122" s="742" t="n">
        <f aca="false">'02-Gd Beams'!E149</f>
        <v>0</v>
      </c>
      <c r="P122" s="743" t="n">
        <f aca="false">C122+40000</f>
        <v>40065</v>
      </c>
      <c r="Q122" s="741" t="str">
        <f aca="false">D122</f>
        <v>General Equipment Rental</v>
      </c>
      <c r="R122" s="318"/>
      <c r="S122" s="744" t="n">
        <f aca="false">'04-PT Slab on Grade Wrap'!E168</f>
        <v>0</v>
      </c>
      <c r="T122" s="743" t="n">
        <f aca="false">C122+40000</f>
        <v>40065</v>
      </c>
      <c r="U122" s="543" t="str">
        <f aca="false">D122</f>
        <v>General Equipment Rental</v>
      </c>
      <c r="V122" s="318"/>
      <c r="W122" s="744" t="n">
        <f aca="false">'04-PT Slab on Grade'!E168</f>
        <v>1075.59241706161</v>
      </c>
      <c r="X122" s="743" t="n">
        <f aca="false">C122+50000</f>
        <v>50065</v>
      </c>
      <c r="Y122" s="741" t="str">
        <f aca="false">D122</f>
        <v>General Equipment Rental</v>
      </c>
      <c r="Z122" s="318"/>
      <c r="AA122" s="744" t="n">
        <f aca="false">'05-Slabs'!E168</f>
        <v>0</v>
      </c>
      <c r="AB122" s="743" t="n">
        <f aca="false">C122+30000</f>
        <v>30065</v>
      </c>
      <c r="AC122" s="741" t="str">
        <f aca="false">BE122</f>
        <v>General Equipment Rental</v>
      </c>
      <c r="AD122" s="318"/>
      <c r="AE122" s="796" t="n">
        <f aca="false">'03-Walls &amp; Footings'!D152</f>
        <v>0</v>
      </c>
      <c r="AF122" s="743" t="n">
        <f aca="false">C122+60000</f>
        <v>60065</v>
      </c>
      <c r="AG122" s="741" t="str">
        <f aca="false">BI122</f>
        <v>General Equipment Rental</v>
      </c>
      <c r="AH122" s="318"/>
      <c r="AI122" s="744" t="n">
        <f aca="false">'06-Walls &amp; Footings'!D152</f>
        <v>132.701421800948</v>
      </c>
      <c r="AJ122" s="743" t="n">
        <f aca="false">C122+60000</f>
        <v>60065</v>
      </c>
      <c r="AK122" s="741" t="str">
        <f aca="false">BI122</f>
        <v>General Equipment Rental</v>
      </c>
      <c r="AL122" s="318"/>
      <c r="AM122" s="744" t="n">
        <f aca="false">'06-Footings'!D152</f>
        <v>0</v>
      </c>
      <c r="AN122" s="743" t="n">
        <f aca="false">C122+60000</f>
        <v>60065</v>
      </c>
      <c r="AO122" s="741" t="str">
        <f aca="false">BI122</f>
        <v>General Equipment Rental</v>
      </c>
      <c r="AP122" s="318"/>
      <c r="AQ122" s="752" t="n">
        <f aca="false">'06-Garage Walls &amp; Footings'!D152</f>
        <v>0</v>
      </c>
      <c r="AR122" s="743" t="n">
        <f aca="false">G122+60000</f>
        <v>61957.1090047393</v>
      </c>
      <c r="AS122" s="741" t="str">
        <f aca="false">BM122</f>
        <v>General Equipment Rental</v>
      </c>
      <c r="AT122" s="318"/>
      <c r="AU122" s="752" t="n">
        <f aca="false">'06-Garage Footings'!D152</f>
        <v>0</v>
      </c>
      <c r="AV122" s="746" t="n">
        <f aca="false">C122+70000</f>
        <v>70065</v>
      </c>
      <c r="AW122" s="543" t="str">
        <f aca="false">D122</f>
        <v>General Equipment Rental</v>
      </c>
      <c r="AX122" s="318"/>
      <c r="AY122" s="742" t="n">
        <f aca="false">'07-COLUMNS'!D167</f>
        <v>0</v>
      </c>
      <c r="AZ122" s="743" t="n">
        <f aca="false">C122+80000</f>
        <v>80065</v>
      </c>
      <c r="BA122" s="741" t="str">
        <f aca="false">D122</f>
        <v>General Equipment Rental</v>
      </c>
      <c r="BB122" s="318"/>
      <c r="BC122" s="742" t="n">
        <f aca="false">'08-CIP EL. DECK'!D200</f>
        <v>0</v>
      </c>
      <c r="BD122" s="743" t="n">
        <f aca="false">C122+90000</f>
        <v>90065</v>
      </c>
      <c r="BE122" s="741" t="str">
        <f aca="false">D122</f>
        <v>General Equipment Rental</v>
      </c>
      <c r="BF122" s="318"/>
      <c r="BG122" s="742" t="n">
        <f aca="false">'09-SLAB ON DECK'!E166</f>
        <v>0</v>
      </c>
      <c r="BH122" s="743" t="n">
        <f aca="false">C122+100000</f>
        <v>100065</v>
      </c>
      <c r="BI122" s="543" t="str">
        <f aca="false">D122</f>
        <v>General Equipment Rental</v>
      </c>
      <c r="BJ122" s="318"/>
      <c r="BK122" s="742" t="n">
        <f aca="false">'10-PAVING'!D147</f>
        <v>0</v>
      </c>
      <c r="BL122" s="743" t="n">
        <f aca="false">C122+110000</f>
        <v>110065</v>
      </c>
      <c r="BM122" s="543" t="str">
        <f aca="false">D122</f>
        <v>General Equipment Rental</v>
      </c>
      <c r="BN122" s="318"/>
      <c r="BO122" s="742" t="n">
        <f aca="false">'11-Sidewalks'!D144</f>
        <v>0</v>
      </c>
      <c r="BP122" s="743" t="n">
        <f aca="false">C122+120000</f>
        <v>120065</v>
      </c>
      <c r="BQ122" s="543" t="str">
        <f aca="false">D122</f>
        <v>General Equipment Rental</v>
      </c>
      <c r="BR122" s="318"/>
      <c r="BS122" s="742" t="n">
        <f aca="false">'12-PANELS'!F162</f>
        <v>0</v>
      </c>
      <c r="BT122" s="746" t="n">
        <f aca="false">C122+130000</f>
        <v>130065</v>
      </c>
      <c r="BU122" s="741" t="str">
        <f aca="false">M122</f>
        <v>General Equipment Rental</v>
      </c>
      <c r="BV122" s="318"/>
      <c r="BW122" s="742" t="n">
        <f aca="false">'13-Miscellaneous'!E95</f>
        <v>0</v>
      </c>
      <c r="BX122" s="743" t="n">
        <f aca="false">C122+140000</f>
        <v>140065</v>
      </c>
      <c r="BY122" s="741" t="str">
        <f aca="false">Q122</f>
        <v>General Equipment Rental</v>
      </c>
      <c r="BZ122" s="318"/>
      <c r="CA122" s="742"/>
    </row>
    <row r="123" customFormat="false" ht="21" hidden="false" customHeight="true" outlineLevel="0" collapsed="false">
      <c r="A123" s="817"/>
      <c r="B123" s="427" t="n">
        <v>66</v>
      </c>
      <c r="C123" s="810" t="s">
        <v>1173</v>
      </c>
      <c r="D123" s="700" t="s">
        <v>1174</v>
      </c>
      <c r="E123" s="700"/>
      <c r="F123" s="700"/>
      <c r="G123" s="742" t="n">
        <f aca="false">K123+BK123+AI123+W123+AA123+AY123+BS123+BC123+BG123+S123+O123+BW123+BO123+AE123+AM123+AQ123+AU123</f>
        <v>17085.9534952607</v>
      </c>
      <c r="H123" s="745" t="n">
        <f aca="false">C123+10000</f>
        <v>10066</v>
      </c>
      <c r="I123" s="543" t="str">
        <f aca="false">D123</f>
        <v>Fuel</v>
      </c>
      <c r="J123" s="749"/>
      <c r="K123" s="742" t="n">
        <f aca="false">'01-Piers'!E143</f>
        <v>2664.24733412322</v>
      </c>
      <c r="L123" s="743" t="n">
        <f aca="false">C123+20000</f>
        <v>20066</v>
      </c>
      <c r="M123" s="543" t="str">
        <f aca="false">Q123</f>
        <v>Fuel</v>
      </c>
      <c r="N123" s="749"/>
      <c r="O123" s="742" t="n">
        <f aca="false">'02-Gd Beams'!E150</f>
        <v>0</v>
      </c>
      <c r="P123" s="743" t="n">
        <f aca="false">C123+40000</f>
        <v>40066</v>
      </c>
      <c r="Q123" s="741" t="str">
        <f aca="false">D123</f>
        <v>Fuel</v>
      </c>
      <c r="R123" s="318"/>
      <c r="S123" s="744" t="n">
        <f aca="false">'04-PT Slab on Grade Wrap'!E169</f>
        <v>0</v>
      </c>
      <c r="T123" s="743" t="n">
        <f aca="false">C123+40000</f>
        <v>40066</v>
      </c>
      <c r="U123" s="543" t="str">
        <f aca="false">D123</f>
        <v>Fuel</v>
      </c>
      <c r="V123" s="318"/>
      <c r="W123" s="744" t="n">
        <f aca="false">'04-PT Slab on Grade'!E169</f>
        <v>11373.6575829384</v>
      </c>
      <c r="X123" s="743" t="n">
        <f aca="false">C123+50000</f>
        <v>50066</v>
      </c>
      <c r="Y123" s="741" t="str">
        <f aca="false">D123</f>
        <v>Fuel</v>
      </c>
      <c r="Z123" s="318"/>
      <c r="AA123" s="744" t="n">
        <f aca="false">'05-Slabs'!E169</f>
        <v>0</v>
      </c>
      <c r="AB123" s="743" t="n">
        <f aca="false">C123+30000</f>
        <v>30066</v>
      </c>
      <c r="AC123" s="741" t="str">
        <f aca="false">BE123</f>
        <v>Fuel</v>
      </c>
      <c r="AD123" s="318"/>
      <c r="AE123" s="796" t="n">
        <f aca="false">'03-Walls &amp; Footings'!D153</f>
        <v>0</v>
      </c>
      <c r="AF123" s="743" t="n">
        <f aca="false">C123+60000</f>
        <v>60066</v>
      </c>
      <c r="AG123" s="741" t="str">
        <f aca="false">BI123</f>
        <v>Fuel</v>
      </c>
      <c r="AH123" s="318"/>
      <c r="AI123" s="744" t="n">
        <f aca="false">'06-Walls &amp; Footings'!D153</f>
        <v>3048.04857819905</v>
      </c>
      <c r="AJ123" s="743" t="n">
        <f aca="false">C123+60000</f>
        <v>60066</v>
      </c>
      <c r="AK123" s="741" t="str">
        <f aca="false">BI123</f>
        <v>Fuel</v>
      </c>
      <c r="AL123" s="318"/>
      <c r="AM123" s="744" t="n">
        <f aca="false">'06-Footings'!D153</f>
        <v>0</v>
      </c>
      <c r="AN123" s="743" t="n">
        <f aca="false">C123+60000</f>
        <v>60066</v>
      </c>
      <c r="AO123" s="741" t="str">
        <f aca="false">BI123</f>
        <v>Fuel</v>
      </c>
      <c r="AP123" s="318"/>
      <c r="AQ123" s="752" t="n">
        <f aca="false">'06-Garage Walls &amp; Footings'!D153</f>
        <v>0</v>
      </c>
      <c r="AR123" s="743" t="n">
        <f aca="false">G123+60000</f>
        <v>77085.9534952607</v>
      </c>
      <c r="AS123" s="741" t="str">
        <f aca="false">BM123</f>
        <v>Fuel</v>
      </c>
      <c r="AT123" s="318"/>
      <c r="AU123" s="752" t="n">
        <f aca="false">'06-Garage Footings'!D153</f>
        <v>0</v>
      </c>
      <c r="AV123" s="746" t="n">
        <f aca="false">C123+70000</f>
        <v>70066</v>
      </c>
      <c r="AW123" s="543" t="str">
        <f aca="false">D123</f>
        <v>Fuel</v>
      </c>
      <c r="AX123" s="318"/>
      <c r="AY123" s="742" t="n">
        <f aca="false">'07-COLUMNS'!D168</f>
        <v>0</v>
      </c>
      <c r="AZ123" s="743" t="n">
        <f aca="false">C123+80000</f>
        <v>80066</v>
      </c>
      <c r="BA123" s="741" t="str">
        <f aca="false">D123</f>
        <v>Fuel</v>
      </c>
      <c r="BB123" s="318"/>
      <c r="BC123" s="742" t="n">
        <f aca="false">'08-CIP EL. DECK'!D201</f>
        <v>0</v>
      </c>
      <c r="BD123" s="743" t="n">
        <f aca="false">C123+90000</f>
        <v>90066</v>
      </c>
      <c r="BE123" s="741" t="str">
        <f aca="false">D123</f>
        <v>Fuel</v>
      </c>
      <c r="BF123" s="318"/>
      <c r="BG123" s="742" t="n">
        <f aca="false">'09-SLAB ON DECK'!E167</f>
        <v>0</v>
      </c>
      <c r="BH123" s="743" t="n">
        <f aca="false">C123+100000</f>
        <v>100066</v>
      </c>
      <c r="BI123" s="543" t="str">
        <f aca="false">D123</f>
        <v>Fuel</v>
      </c>
      <c r="BJ123" s="318"/>
      <c r="BK123" s="742" t="n">
        <f aca="false">'10-PAVING'!D148</f>
        <v>0</v>
      </c>
      <c r="BL123" s="743" t="n">
        <f aca="false">C123+110000</f>
        <v>110066</v>
      </c>
      <c r="BM123" s="543" t="str">
        <f aca="false">D123</f>
        <v>Fuel</v>
      </c>
      <c r="BN123" s="318"/>
      <c r="BO123" s="742" t="n">
        <f aca="false">'11-Sidewalks'!D145</f>
        <v>0</v>
      </c>
      <c r="BP123" s="743" t="n">
        <f aca="false">C123+120000</f>
        <v>120066</v>
      </c>
      <c r="BQ123" s="543" t="str">
        <f aca="false">D123</f>
        <v>Fuel</v>
      </c>
      <c r="BR123" s="318"/>
      <c r="BS123" s="742" t="n">
        <f aca="false">'12-PANELS'!F163</f>
        <v>0</v>
      </c>
      <c r="BT123" s="746" t="n">
        <f aca="false">C123+130000</f>
        <v>130066</v>
      </c>
      <c r="BU123" s="741" t="str">
        <f aca="false">M123</f>
        <v>Fuel</v>
      </c>
      <c r="BV123" s="318"/>
      <c r="BW123" s="742" t="n">
        <f aca="false">'13-Miscellaneous'!E96</f>
        <v>0</v>
      </c>
      <c r="BX123" s="743" t="n">
        <f aca="false">C123+140000</f>
        <v>140066</v>
      </c>
      <c r="BY123" s="741" t="str">
        <f aca="false">Q123</f>
        <v>Fuel</v>
      </c>
      <c r="BZ123" s="318"/>
      <c r="CA123" s="742"/>
    </row>
    <row r="124" customFormat="false" ht="21" hidden="false" customHeight="true" outlineLevel="0" collapsed="false">
      <c r="A124" s="817"/>
      <c r="B124" s="427" t="n">
        <v>67</v>
      </c>
      <c r="C124" s="810" t="s">
        <v>1175</v>
      </c>
      <c r="D124" s="317" t="s">
        <v>1176</v>
      </c>
      <c r="E124" s="543"/>
      <c r="F124" s="749"/>
      <c r="G124" s="742" t="n">
        <f aca="false">K124+BK124+AI124+W124+AA124+AY124+BS124+BC124+BG124+S124+O124+BW124+BO124+AE124+AM124+AQ124+AU124</f>
        <v>0</v>
      </c>
      <c r="H124" s="745" t="n">
        <f aca="false">C124+10000</f>
        <v>10067</v>
      </c>
      <c r="I124" s="543" t="str">
        <f aca="false">D124</f>
        <v>Purchased Tools</v>
      </c>
      <c r="J124" s="749"/>
      <c r="K124" s="742" t="n">
        <f aca="false">'01-Piers'!E144</f>
        <v>0</v>
      </c>
      <c r="L124" s="743" t="n">
        <f aca="false">C124+20000</f>
        <v>20067</v>
      </c>
      <c r="M124" s="543" t="str">
        <f aca="false">Q124</f>
        <v>Purchased Tools</v>
      </c>
      <c r="N124" s="749"/>
      <c r="O124" s="742" t="n">
        <f aca="false">'02-Gd Beams'!E151</f>
        <v>0</v>
      </c>
      <c r="P124" s="743" t="n">
        <f aca="false">C124+40000</f>
        <v>40067</v>
      </c>
      <c r="Q124" s="741" t="str">
        <f aca="false">D124</f>
        <v>Purchased Tools</v>
      </c>
      <c r="R124" s="318"/>
      <c r="S124" s="744" t="n">
        <f aca="false">'04-PT Slab on Grade Wrap'!E170</f>
        <v>0</v>
      </c>
      <c r="T124" s="743" t="n">
        <f aca="false">C124+40000</f>
        <v>40067</v>
      </c>
      <c r="U124" s="543" t="str">
        <f aca="false">D124</f>
        <v>Purchased Tools</v>
      </c>
      <c r="V124" s="318"/>
      <c r="W124" s="744" t="n">
        <f aca="false">'04-PT Slab on Grade'!E170</f>
        <v>0</v>
      </c>
      <c r="X124" s="743" t="n">
        <f aca="false">C124+50000</f>
        <v>50067</v>
      </c>
      <c r="Y124" s="741" t="str">
        <f aca="false">D124</f>
        <v>Purchased Tools</v>
      </c>
      <c r="Z124" s="318"/>
      <c r="AA124" s="744" t="n">
        <f aca="false">'05-Slabs'!E170</f>
        <v>0</v>
      </c>
      <c r="AB124" s="743" t="n">
        <f aca="false">C124+30000</f>
        <v>30067</v>
      </c>
      <c r="AC124" s="741" t="str">
        <f aca="false">AS124</f>
        <v>Purchased Tools</v>
      </c>
      <c r="AD124" s="318"/>
      <c r="AE124" s="796" t="n">
        <f aca="false">'03-Walls &amp; Footings'!D154</f>
        <v>0</v>
      </c>
      <c r="AF124" s="743" t="n">
        <f aca="false">C124+60000</f>
        <v>60067</v>
      </c>
      <c r="AG124" s="741" t="str">
        <f aca="false">AW124</f>
        <v>Purchased Tools</v>
      </c>
      <c r="AH124" s="318"/>
      <c r="AI124" s="744" t="n">
        <f aca="false">'06-Walls &amp; Footings'!D154</f>
        <v>0</v>
      </c>
      <c r="AJ124" s="743" t="n">
        <f aca="false">C124+60000</f>
        <v>60067</v>
      </c>
      <c r="AK124" s="741" t="str">
        <f aca="false">AW124</f>
        <v>Purchased Tools</v>
      </c>
      <c r="AL124" s="318"/>
      <c r="AM124" s="744" t="n">
        <f aca="false">'06-Footings'!D154</f>
        <v>0</v>
      </c>
      <c r="AN124" s="743" t="n">
        <f aca="false">C124+60000</f>
        <v>60067</v>
      </c>
      <c r="AO124" s="741" t="str">
        <f aca="false">AW124</f>
        <v>Purchased Tools</v>
      </c>
      <c r="AP124" s="318"/>
      <c r="AQ124" s="752" t="n">
        <f aca="false">'06-Garage Walls &amp; Footings'!D154</f>
        <v>0</v>
      </c>
      <c r="AR124" s="743" t="n">
        <f aca="false">G124+60000</f>
        <v>60000</v>
      </c>
      <c r="AS124" s="741" t="str">
        <f aca="false">BA124</f>
        <v>Purchased Tools</v>
      </c>
      <c r="AT124" s="318"/>
      <c r="AU124" s="752" t="n">
        <f aca="false">'06-Garage Footings'!D154</f>
        <v>0</v>
      </c>
      <c r="AV124" s="746" t="n">
        <f aca="false">C124+70000</f>
        <v>70067</v>
      </c>
      <c r="AW124" s="543" t="str">
        <f aca="false">D124</f>
        <v>Purchased Tools</v>
      </c>
      <c r="AX124" s="318"/>
      <c r="AY124" s="742" t="n">
        <f aca="false">'07-COLUMNS'!D169</f>
        <v>0</v>
      </c>
      <c r="AZ124" s="743" t="n">
        <f aca="false">C124+80000</f>
        <v>80067</v>
      </c>
      <c r="BA124" s="741" t="str">
        <f aca="false">D124</f>
        <v>Purchased Tools</v>
      </c>
      <c r="BB124" s="318"/>
      <c r="BC124" s="742" t="n">
        <f aca="false">'08-CIP EL. DECK'!D202</f>
        <v>0</v>
      </c>
      <c r="BD124" s="743" t="n">
        <f aca="false">C124+90000</f>
        <v>90067</v>
      </c>
      <c r="BE124" s="741" t="str">
        <f aca="false">D124</f>
        <v>Purchased Tools</v>
      </c>
      <c r="BF124" s="318"/>
      <c r="BG124" s="742" t="n">
        <f aca="false">'09-SLAB ON DECK'!E168</f>
        <v>0</v>
      </c>
      <c r="BH124" s="743" t="n">
        <f aca="false">C124+100000</f>
        <v>100067</v>
      </c>
      <c r="BI124" s="543" t="str">
        <f aca="false">D124</f>
        <v>Purchased Tools</v>
      </c>
      <c r="BJ124" s="318"/>
      <c r="BK124" s="742" t="n">
        <f aca="false">'10-PAVING'!D149</f>
        <v>0</v>
      </c>
      <c r="BL124" s="743" t="n">
        <f aca="false">C124+110000</f>
        <v>110067</v>
      </c>
      <c r="BM124" s="543" t="str">
        <f aca="false">D124</f>
        <v>Purchased Tools</v>
      </c>
      <c r="BN124" s="318"/>
      <c r="BO124" s="742" t="n">
        <f aca="false">'11-Sidewalks'!D146</f>
        <v>0</v>
      </c>
      <c r="BP124" s="743" t="n">
        <f aca="false">C124+120000</f>
        <v>120067</v>
      </c>
      <c r="BQ124" s="543" t="str">
        <f aca="false">D124</f>
        <v>Purchased Tools</v>
      </c>
      <c r="BR124" s="318"/>
      <c r="BS124" s="742" t="n">
        <f aca="false">'12-PANELS'!F164</f>
        <v>0</v>
      </c>
      <c r="BT124" s="746" t="n">
        <f aca="false">C124+130000</f>
        <v>130067</v>
      </c>
      <c r="BU124" s="741" t="str">
        <f aca="false">M124</f>
        <v>Purchased Tools</v>
      </c>
      <c r="BV124" s="318"/>
      <c r="BW124" s="742" t="n">
        <f aca="false">'13-Miscellaneous'!E97</f>
        <v>0</v>
      </c>
      <c r="BX124" s="743" t="n">
        <f aca="false">C124+140000</f>
        <v>140067</v>
      </c>
      <c r="BY124" s="741" t="str">
        <f aca="false">Q124</f>
        <v>Purchased Tools</v>
      </c>
      <c r="BZ124" s="318"/>
      <c r="CA124" s="742"/>
    </row>
    <row r="125" customFormat="false" ht="21" hidden="false" customHeight="true" outlineLevel="0" collapsed="false">
      <c r="A125" s="817"/>
      <c r="B125" s="814" t="n">
        <v>68</v>
      </c>
      <c r="C125" s="811" t="s">
        <v>1177</v>
      </c>
      <c r="D125" s="812" t="s">
        <v>1178</v>
      </c>
      <c r="E125" s="788"/>
      <c r="F125" s="800"/>
      <c r="G125" s="742" t="n">
        <f aca="false">K125+BK125+AI125+W125+AA125+AY125+BS125+BC125+BG125+S125+O125+BW125+BO125+AE125+AM125+AQ125+AU125</f>
        <v>0</v>
      </c>
      <c r="H125" s="754" t="n">
        <f aca="false">C125+10000</f>
        <v>10068</v>
      </c>
      <c r="I125" s="788" t="str">
        <f aca="false">D125</f>
        <v>Stolen/Damaged</v>
      </c>
      <c r="J125" s="800"/>
      <c r="K125" s="756" t="n">
        <f aca="false">'01-Piers'!E145</f>
        <v>0</v>
      </c>
      <c r="L125" s="801" t="n">
        <f aca="false">C125+20000</f>
        <v>20068</v>
      </c>
      <c r="M125" s="788" t="str">
        <f aca="false">Q125</f>
        <v>Stolen/Damaged</v>
      </c>
      <c r="N125" s="800"/>
      <c r="O125" s="756" t="n">
        <f aca="false">'02-Gd Beams'!E152</f>
        <v>0</v>
      </c>
      <c r="P125" s="743" t="n">
        <f aca="false">C125+40000</f>
        <v>40068</v>
      </c>
      <c r="Q125" s="788" t="str">
        <f aca="false">D125</f>
        <v>Stolen/Damaged</v>
      </c>
      <c r="R125" s="800"/>
      <c r="S125" s="744" t="n">
        <f aca="false">'04-PT Slab on Grade Wrap'!E171</f>
        <v>0</v>
      </c>
      <c r="T125" s="801" t="n">
        <f aca="false">C125+40000</f>
        <v>40068</v>
      </c>
      <c r="U125" s="788" t="str">
        <f aca="false">D125</f>
        <v>Stolen/Damaged</v>
      </c>
      <c r="V125" s="800"/>
      <c r="W125" s="793" t="n">
        <f aca="false">'04-PT Slab on Grade'!E171</f>
        <v>0</v>
      </c>
      <c r="X125" s="801" t="n">
        <f aca="false">C125+50000</f>
        <v>50068</v>
      </c>
      <c r="Y125" s="788" t="str">
        <f aca="false">D125</f>
        <v>Stolen/Damaged</v>
      </c>
      <c r="Z125" s="800"/>
      <c r="AA125" s="793" t="n">
        <f aca="false">'05-Slabs'!E171</f>
        <v>0</v>
      </c>
      <c r="AB125" s="743" t="n">
        <f aca="false">C125+30000</f>
        <v>30068</v>
      </c>
      <c r="AC125" s="788" t="str">
        <f aca="false">AS125</f>
        <v>Stolen/Damaged</v>
      </c>
      <c r="AD125" s="800"/>
      <c r="AE125" s="796" t="n">
        <f aca="false">'03-Walls &amp; Footings'!D155</f>
        <v>0</v>
      </c>
      <c r="AF125" s="801" t="n">
        <f aca="false">C125+60000</f>
        <v>60068</v>
      </c>
      <c r="AG125" s="788" t="str">
        <f aca="false">AW125</f>
        <v>Stolen/Damaged</v>
      </c>
      <c r="AH125" s="800"/>
      <c r="AI125" s="793" t="n">
        <f aca="false">'06-Walls &amp; Footings'!D155</f>
        <v>0</v>
      </c>
      <c r="AJ125" s="801" t="n">
        <f aca="false">C125+60000</f>
        <v>60068</v>
      </c>
      <c r="AK125" s="788" t="str">
        <f aca="false">AW125</f>
        <v>Stolen/Damaged</v>
      </c>
      <c r="AL125" s="800"/>
      <c r="AM125" s="793" t="n">
        <f aca="false">'06-Footings'!D155</f>
        <v>0</v>
      </c>
      <c r="AN125" s="801" t="n">
        <f aca="false">C125+60000</f>
        <v>60068</v>
      </c>
      <c r="AO125" s="788" t="str">
        <f aca="false">AW125</f>
        <v>Stolen/Damaged</v>
      </c>
      <c r="AP125" s="800"/>
      <c r="AQ125" s="752" t="n">
        <f aca="false">'06-Garage Walls &amp; Footings'!D155</f>
        <v>0</v>
      </c>
      <c r="AR125" s="801" t="n">
        <f aca="false">G125+60000</f>
        <v>60000</v>
      </c>
      <c r="AS125" s="788" t="str">
        <f aca="false">BA125</f>
        <v>Stolen/Damaged</v>
      </c>
      <c r="AT125" s="800"/>
      <c r="AU125" s="752" t="n">
        <f aca="false">'06-Garage Footings'!D155</f>
        <v>0</v>
      </c>
      <c r="AV125" s="801" t="n">
        <f aca="false">C125+70000</f>
        <v>70068</v>
      </c>
      <c r="AW125" s="788" t="str">
        <f aca="false">D125</f>
        <v>Stolen/Damaged</v>
      </c>
      <c r="AX125" s="800"/>
      <c r="AY125" s="756" t="n">
        <f aca="false">'07-COLUMNS'!D170</f>
        <v>0</v>
      </c>
      <c r="AZ125" s="801" t="n">
        <f aca="false">C125+80000</f>
        <v>80068</v>
      </c>
      <c r="BA125" s="788" t="str">
        <f aca="false">D125</f>
        <v>Stolen/Damaged</v>
      </c>
      <c r="BB125" s="800"/>
      <c r="BC125" s="742" t="n">
        <f aca="false">'08-CIP EL. DECK'!D203</f>
        <v>0</v>
      </c>
      <c r="BD125" s="801" t="n">
        <f aca="false">C125+90000</f>
        <v>90068</v>
      </c>
      <c r="BE125" s="788" t="str">
        <f aca="false">D125</f>
        <v>Stolen/Damaged</v>
      </c>
      <c r="BF125" s="800"/>
      <c r="BG125" s="756" t="n">
        <f aca="false">'09-SLAB ON DECK'!E169</f>
        <v>0</v>
      </c>
      <c r="BH125" s="801" t="n">
        <f aca="false">C125+100000</f>
        <v>100068</v>
      </c>
      <c r="BI125" s="788" t="str">
        <f aca="false">D125</f>
        <v>Stolen/Damaged</v>
      </c>
      <c r="BJ125" s="800"/>
      <c r="BK125" s="756" t="n">
        <f aca="false">'10-PAVING'!D150</f>
        <v>0</v>
      </c>
      <c r="BL125" s="801" t="n">
        <f aca="false">C125+110000</f>
        <v>110068</v>
      </c>
      <c r="BM125" s="788" t="str">
        <f aca="false">D125</f>
        <v>Stolen/Damaged</v>
      </c>
      <c r="BN125" s="800"/>
      <c r="BO125" s="756" t="n">
        <f aca="false">'11-Sidewalks'!D147</f>
        <v>0</v>
      </c>
      <c r="BP125" s="801" t="n">
        <f aca="false">C125+120000</f>
        <v>120068</v>
      </c>
      <c r="BQ125" s="788" t="str">
        <f aca="false">D125</f>
        <v>Stolen/Damaged</v>
      </c>
      <c r="BR125" s="800"/>
      <c r="BS125" s="756" t="n">
        <f aca="false">'12-PANELS'!F165</f>
        <v>0</v>
      </c>
      <c r="BT125" s="801" t="n">
        <f aca="false">C125+130000</f>
        <v>130068</v>
      </c>
      <c r="BU125" s="788" t="str">
        <f aca="false">M125</f>
        <v>Stolen/Damaged</v>
      </c>
      <c r="BV125" s="800"/>
      <c r="BW125" s="772" t="n">
        <f aca="false">'13-Miscellaneous'!E98</f>
        <v>0</v>
      </c>
      <c r="BX125" s="743" t="n">
        <f aca="false">C125+140000</f>
        <v>140068</v>
      </c>
      <c r="BY125" s="788" t="str">
        <f aca="false">Q125</f>
        <v>Stolen/Damaged</v>
      </c>
      <c r="BZ125" s="800"/>
      <c r="CA125" s="756"/>
    </row>
    <row r="126" customFormat="false" ht="21" hidden="false" customHeight="true" outlineLevel="0" collapsed="false">
      <c r="A126" s="823" t="s">
        <v>1179</v>
      </c>
      <c r="B126" s="823"/>
      <c r="C126" s="822" t="s">
        <v>1180</v>
      </c>
      <c r="D126" s="317" t="s">
        <v>1181</v>
      </c>
      <c r="E126" s="741"/>
      <c r="F126" s="318"/>
      <c r="G126" s="742" t="n">
        <f aca="false">K126+BK126+AI126+W126+AA126+AY126+BS126+BC126+BG126+S126+O126+BW126+BO126+AE126+AM126+AQ126+AU126</f>
        <v>0</v>
      </c>
      <c r="H126" s="747" t="n">
        <f aca="false">C126+10000</f>
        <v>10070</v>
      </c>
      <c r="I126" s="741" t="str">
        <f aca="false">D126</f>
        <v>Out of Town Expense</v>
      </c>
      <c r="J126" s="318"/>
      <c r="K126" s="742" t="n">
        <f aca="false">'01-Piers'!E146</f>
        <v>0</v>
      </c>
      <c r="L126" s="743" t="n">
        <f aca="false">C126+20000</f>
        <v>20070</v>
      </c>
      <c r="M126" s="741" t="str">
        <f aca="false">Q126</f>
        <v>Out of Town Expense</v>
      </c>
      <c r="N126" s="318"/>
      <c r="O126" s="742" t="n">
        <f aca="false">'02-Gd Beams'!E153</f>
        <v>0</v>
      </c>
      <c r="P126" s="743" t="n">
        <f aca="false">C126+40000</f>
        <v>40070</v>
      </c>
      <c r="Q126" s="741" t="str">
        <f aca="false">D126</f>
        <v>Out of Town Expense</v>
      </c>
      <c r="R126" s="318"/>
      <c r="S126" s="744" t="n">
        <f aca="false">'04-PT Slab on Grade Wrap'!E172</f>
        <v>0</v>
      </c>
      <c r="T126" s="743" t="n">
        <f aca="false">C126+40000</f>
        <v>40070</v>
      </c>
      <c r="U126" s="741" t="str">
        <f aca="false">D126</f>
        <v>Out of Town Expense</v>
      </c>
      <c r="V126" s="318"/>
      <c r="W126" s="744" t="n">
        <f aca="false">'04-PT Slab on Grade'!E172</f>
        <v>0</v>
      </c>
      <c r="X126" s="743" t="n">
        <f aca="false">C126+50000</f>
        <v>50070</v>
      </c>
      <c r="Y126" s="741" t="str">
        <f aca="false">D126</f>
        <v>Out of Town Expense</v>
      </c>
      <c r="Z126" s="318"/>
      <c r="AA126" s="744" t="n">
        <f aca="false">'05-Slabs'!E172</f>
        <v>0</v>
      </c>
      <c r="AB126" s="743" t="n">
        <f aca="false">C126+30000</f>
        <v>30070</v>
      </c>
      <c r="AC126" s="741" t="str">
        <f aca="false">BE126</f>
        <v>Out of Town Expense</v>
      </c>
      <c r="AD126" s="318"/>
      <c r="AE126" s="796" t="n">
        <f aca="false">'03-Walls &amp; Footings'!D156</f>
        <v>0</v>
      </c>
      <c r="AF126" s="743" t="n">
        <f aca="false">C126+60000</f>
        <v>60070</v>
      </c>
      <c r="AG126" s="741" t="str">
        <f aca="false">BI126</f>
        <v>Out of Town Expense</v>
      </c>
      <c r="AH126" s="318"/>
      <c r="AI126" s="744" t="n">
        <f aca="false">'06-Walls &amp; Footings'!D156</f>
        <v>0</v>
      </c>
      <c r="AJ126" s="743" t="n">
        <f aca="false">C126+60000</f>
        <v>60070</v>
      </c>
      <c r="AK126" s="741" t="str">
        <f aca="false">BI126</f>
        <v>Out of Town Expense</v>
      </c>
      <c r="AL126" s="318"/>
      <c r="AM126" s="744" t="n">
        <f aca="false">'06-Footings'!D156</f>
        <v>0</v>
      </c>
      <c r="AN126" s="743" t="n">
        <f aca="false">C126+60000</f>
        <v>60070</v>
      </c>
      <c r="AO126" s="741" t="str">
        <f aca="false">BI126</f>
        <v>Out of Town Expense</v>
      </c>
      <c r="AP126" s="318"/>
      <c r="AQ126" s="796" t="n">
        <f aca="false">'06-Garage Walls &amp; Footings'!D156</f>
        <v>0</v>
      </c>
      <c r="AR126" s="743" t="n">
        <f aca="false">G126+60000</f>
        <v>60000</v>
      </c>
      <c r="AS126" s="741" t="str">
        <f aca="false">BM126</f>
        <v>Out of Town Expense</v>
      </c>
      <c r="AT126" s="318"/>
      <c r="AU126" s="796" t="n">
        <f aca="false">'06-Garage Footings'!D156</f>
        <v>0</v>
      </c>
      <c r="AV126" s="743" t="n">
        <f aca="false">C126+70000</f>
        <v>70070</v>
      </c>
      <c r="AW126" s="741" t="str">
        <f aca="false">D126</f>
        <v>Out of Town Expense</v>
      </c>
      <c r="AX126" s="318"/>
      <c r="AY126" s="742" t="n">
        <f aca="false">'07-COLUMNS'!D171</f>
        <v>0</v>
      </c>
      <c r="AZ126" s="743" t="n">
        <f aca="false">C126+80000</f>
        <v>80070</v>
      </c>
      <c r="BA126" s="741" t="str">
        <f aca="false">D126</f>
        <v>Out of Town Expense</v>
      </c>
      <c r="BB126" s="318"/>
      <c r="BC126" s="742" t="n">
        <f aca="false">'08-CIP EL. DECK'!D204</f>
        <v>0</v>
      </c>
      <c r="BD126" s="743" t="n">
        <f aca="false">C126+90000</f>
        <v>90070</v>
      </c>
      <c r="BE126" s="741" t="str">
        <f aca="false">D126</f>
        <v>Out of Town Expense</v>
      </c>
      <c r="BF126" s="318"/>
      <c r="BG126" s="742" t="n">
        <f aca="false">'09-SLAB ON DECK'!E170</f>
        <v>0</v>
      </c>
      <c r="BH126" s="743" t="n">
        <f aca="false">C126+100000</f>
        <v>100070</v>
      </c>
      <c r="BI126" s="741" t="str">
        <f aca="false">D126</f>
        <v>Out of Town Expense</v>
      </c>
      <c r="BJ126" s="318"/>
      <c r="BK126" s="742" t="n">
        <f aca="false">'10-PAVING'!D151</f>
        <v>0</v>
      </c>
      <c r="BL126" s="743" t="n">
        <f aca="false">C126+110000</f>
        <v>110070</v>
      </c>
      <c r="BM126" s="741" t="str">
        <f aca="false">D126</f>
        <v>Out of Town Expense</v>
      </c>
      <c r="BN126" s="318"/>
      <c r="BO126" s="742" t="n">
        <f aca="false">'11-Sidewalks'!D148</f>
        <v>0</v>
      </c>
      <c r="BP126" s="743" t="n">
        <f aca="false">C126+120000</f>
        <v>120070</v>
      </c>
      <c r="BQ126" s="741" t="str">
        <f aca="false">D126</f>
        <v>Out of Town Expense</v>
      </c>
      <c r="BR126" s="318"/>
      <c r="BS126" s="742" t="n">
        <f aca="false">'12-PANELS'!F166</f>
        <v>0</v>
      </c>
      <c r="BT126" s="743" t="n">
        <f aca="false">C126+130000</f>
        <v>130070</v>
      </c>
      <c r="BU126" s="741" t="str">
        <f aca="false">M126</f>
        <v>Out of Town Expense</v>
      </c>
      <c r="BV126" s="318"/>
      <c r="BW126" s="742" t="n">
        <f aca="false">'13-Miscellaneous'!E99</f>
        <v>0</v>
      </c>
      <c r="BX126" s="743" t="n">
        <f aca="false">C126+140000</f>
        <v>140070</v>
      </c>
      <c r="BY126" s="741" t="str">
        <f aca="false">Q126</f>
        <v>Out of Town Expense</v>
      </c>
      <c r="BZ126" s="318"/>
      <c r="CA126" s="742"/>
    </row>
    <row r="127" customFormat="false" ht="21" hidden="false" customHeight="true" outlineLevel="0" collapsed="false">
      <c r="A127" s="824" t="s">
        <v>1182</v>
      </c>
      <c r="B127" s="427" t="n">
        <v>48</v>
      </c>
      <c r="C127" s="810" t="s">
        <v>1183</v>
      </c>
      <c r="D127" s="317" t="s">
        <v>905</v>
      </c>
      <c r="E127" s="543"/>
      <c r="F127" s="749"/>
      <c r="G127" s="742" t="n">
        <f aca="false">K127+BK127+AI127+W127+AA127+AY127+BS127+BC127+BG127+S127+O127+BW127+BO127+AE127+AM127+AQ127+AU127</f>
        <v>0</v>
      </c>
      <c r="H127" s="745" t="n">
        <f aca="false">C127+10000</f>
        <v>10071</v>
      </c>
      <c r="I127" s="543" t="str">
        <f aca="false">D127</f>
        <v>Miscellaneous</v>
      </c>
      <c r="J127" s="749"/>
      <c r="K127" s="742" t="n">
        <f aca="false">'01-Piers'!E147</f>
        <v>0</v>
      </c>
      <c r="L127" s="743" t="n">
        <f aca="false">C127+20000</f>
        <v>20071</v>
      </c>
      <c r="M127" s="543" t="str">
        <f aca="false">Q127</f>
        <v>Miscellaneous</v>
      </c>
      <c r="N127" s="749"/>
      <c r="O127" s="742" t="n">
        <f aca="false">'02-Gd Beams'!E154</f>
        <v>0</v>
      </c>
      <c r="P127" s="743" t="n">
        <f aca="false">C127+40000</f>
        <v>40071</v>
      </c>
      <c r="Q127" s="741" t="str">
        <f aca="false">D127</f>
        <v>Miscellaneous</v>
      </c>
      <c r="R127" s="318"/>
      <c r="S127" s="744" t="n">
        <f aca="false">'04-PT Slab on Grade Wrap'!E173</f>
        <v>0</v>
      </c>
      <c r="T127" s="743" t="n">
        <f aca="false">C127+40000</f>
        <v>40071</v>
      </c>
      <c r="U127" s="543" t="str">
        <f aca="false">D127</f>
        <v>Miscellaneous</v>
      </c>
      <c r="V127" s="318"/>
      <c r="W127" s="744" t="n">
        <f aca="false">'04-PT Slab on Grade'!E173</f>
        <v>0</v>
      </c>
      <c r="X127" s="743" t="n">
        <f aca="false">C127+50000</f>
        <v>50071</v>
      </c>
      <c r="Y127" s="741" t="str">
        <f aca="false">D127</f>
        <v>Miscellaneous</v>
      </c>
      <c r="Z127" s="318"/>
      <c r="AA127" s="744" t="n">
        <f aca="false">'05-Slabs'!E173</f>
        <v>0</v>
      </c>
      <c r="AB127" s="743" t="n">
        <f aca="false">C127+30000</f>
        <v>30071</v>
      </c>
      <c r="AC127" s="741" t="str">
        <f aca="false">BE127</f>
        <v>Miscellaneous</v>
      </c>
      <c r="AD127" s="318"/>
      <c r="AE127" s="796" t="n">
        <f aca="false">'03-Walls &amp; Footings'!D157</f>
        <v>0</v>
      </c>
      <c r="AF127" s="743" t="n">
        <f aca="false">C127+60000</f>
        <v>60071</v>
      </c>
      <c r="AG127" s="741" t="str">
        <f aca="false">BI127</f>
        <v>Miscellaneous</v>
      </c>
      <c r="AH127" s="318"/>
      <c r="AI127" s="744" t="n">
        <f aca="false">'06-Walls &amp; Footings'!D157</f>
        <v>0</v>
      </c>
      <c r="AJ127" s="743" t="n">
        <f aca="false">C127+60000</f>
        <v>60071</v>
      </c>
      <c r="AK127" s="741" t="str">
        <f aca="false">BI127</f>
        <v>Miscellaneous</v>
      </c>
      <c r="AL127" s="318"/>
      <c r="AM127" s="744" t="n">
        <f aca="false">'06-Footings'!D157</f>
        <v>0</v>
      </c>
      <c r="AN127" s="743" t="n">
        <f aca="false">C127+60000</f>
        <v>60071</v>
      </c>
      <c r="AO127" s="741" t="str">
        <f aca="false">BI127</f>
        <v>Miscellaneous</v>
      </c>
      <c r="AP127" s="318"/>
      <c r="AQ127" s="752" t="n">
        <f aca="false">'06-Garage Walls &amp; Footings'!D157</f>
        <v>0</v>
      </c>
      <c r="AR127" s="743" t="n">
        <f aca="false">G127+60000</f>
        <v>60000</v>
      </c>
      <c r="AS127" s="741" t="str">
        <f aca="false">BM127</f>
        <v>Miscellaneous</v>
      </c>
      <c r="AT127" s="318"/>
      <c r="AU127" s="752" t="n">
        <f aca="false">'06-Garage Footings'!D157</f>
        <v>0</v>
      </c>
      <c r="AV127" s="746" t="n">
        <f aca="false">C127+70000</f>
        <v>70071</v>
      </c>
      <c r="AW127" s="543" t="str">
        <f aca="false">D127</f>
        <v>Miscellaneous</v>
      </c>
      <c r="AX127" s="318"/>
      <c r="AY127" s="742" t="n">
        <f aca="false">'07-COLUMNS'!D172</f>
        <v>0</v>
      </c>
      <c r="AZ127" s="743" t="n">
        <f aca="false">C127+80000</f>
        <v>80071</v>
      </c>
      <c r="BA127" s="741" t="str">
        <f aca="false">D127</f>
        <v>Miscellaneous</v>
      </c>
      <c r="BB127" s="318"/>
      <c r="BC127" s="742" t="n">
        <f aca="false">'08-CIP EL. DECK'!D205</f>
        <v>0</v>
      </c>
      <c r="BD127" s="743" t="n">
        <f aca="false">C127+90000</f>
        <v>90071</v>
      </c>
      <c r="BE127" s="741" t="str">
        <f aca="false">D127</f>
        <v>Miscellaneous</v>
      </c>
      <c r="BF127" s="318"/>
      <c r="BG127" s="742" t="n">
        <f aca="false">'09-SLAB ON DECK'!E171</f>
        <v>0</v>
      </c>
      <c r="BH127" s="743" t="n">
        <f aca="false">C127+100000</f>
        <v>100071</v>
      </c>
      <c r="BI127" s="543" t="str">
        <f aca="false">D127</f>
        <v>Miscellaneous</v>
      </c>
      <c r="BJ127" s="318"/>
      <c r="BK127" s="742" t="n">
        <f aca="false">'10-PAVING'!D152</f>
        <v>0</v>
      </c>
      <c r="BL127" s="743" t="n">
        <f aca="false">C127+110000</f>
        <v>110071</v>
      </c>
      <c r="BM127" s="543" t="str">
        <f aca="false">D127</f>
        <v>Miscellaneous</v>
      </c>
      <c r="BN127" s="318"/>
      <c r="BO127" s="742" t="n">
        <f aca="false">'11-Sidewalks'!D149</f>
        <v>0</v>
      </c>
      <c r="BP127" s="743" t="n">
        <f aca="false">C127+120000</f>
        <v>120071</v>
      </c>
      <c r="BQ127" s="543" t="str">
        <f aca="false">D127</f>
        <v>Miscellaneous</v>
      </c>
      <c r="BR127" s="318"/>
      <c r="BS127" s="742" t="n">
        <f aca="false">'12-PANELS'!F167</f>
        <v>0</v>
      </c>
      <c r="BT127" s="746" t="n">
        <f aca="false">C127+130000</f>
        <v>130071</v>
      </c>
      <c r="BU127" s="741" t="str">
        <f aca="false">M127</f>
        <v>Miscellaneous</v>
      </c>
      <c r="BV127" s="318"/>
      <c r="BW127" s="742" t="n">
        <f aca="false">'13-Miscellaneous'!E100</f>
        <v>0</v>
      </c>
      <c r="BX127" s="743" t="n">
        <f aca="false">C127+140000</f>
        <v>140071</v>
      </c>
      <c r="BY127" s="741" t="str">
        <f aca="false">Q127</f>
        <v>Miscellaneous</v>
      </c>
      <c r="BZ127" s="318"/>
      <c r="CA127" s="742"/>
    </row>
    <row r="128" customFormat="false" ht="21" hidden="false" customHeight="true" outlineLevel="0" collapsed="false">
      <c r="A128" s="824"/>
      <c r="B128" s="427"/>
      <c r="C128" s="810" t="s">
        <v>1184</v>
      </c>
      <c r="D128" s="317" t="s">
        <v>1185</v>
      </c>
      <c r="E128" s="543"/>
      <c r="F128" s="749"/>
      <c r="G128" s="742" t="n">
        <f aca="false">K128+BK128+AI128+W128+AA128+AY128+BS128+BC128+BG128+S128+O128+BW128+BO128+AE128+AM128+AQ128+AU128</f>
        <v>0</v>
      </c>
      <c r="H128" s="745" t="n">
        <f aca="false">C128+10000</f>
        <v>10072</v>
      </c>
      <c r="I128" s="543" t="str">
        <f aca="false">D128</f>
        <v>Repairs</v>
      </c>
      <c r="J128" s="749"/>
      <c r="K128" s="742" t="n">
        <f aca="false">'01-Piers'!E148</f>
        <v>0</v>
      </c>
      <c r="L128" s="743" t="n">
        <f aca="false">C128+20000</f>
        <v>20072</v>
      </c>
      <c r="M128" s="543" t="str">
        <f aca="false">Q128</f>
        <v>Repairs</v>
      </c>
      <c r="N128" s="749"/>
      <c r="O128" s="742" t="n">
        <f aca="false">'02-Gd Beams'!E155</f>
        <v>0</v>
      </c>
      <c r="P128" s="743" t="n">
        <f aca="false">C128+40000</f>
        <v>40072</v>
      </c>
      <c r="Q128" s="741" t="str">
        <f aca="false">D128</f>
        <v>Repairs</v>
      </c>
      <c r="R128" s="318"/>
      <c r="S128" s="744" t="n">
        <f aca="false">'04-PT Slab on Grade Wrap'!E174</f>
        <v>0</v>
      </c>
      <c r="T128" s="743" t="n">
        <f aca="false">C128+40000</f>
        <v>40072</v>
      </c>
      <c r="U128" s="543" t="str">
        <f aca="false">D128</f>
        <v>Repairs</v>
      </c>
      <c r="V128" s="318"/>
      <c r="W128" s="744" t="n">
        <f aca="false">'04-PT Slab on Grade'!E174</f>
        <v>0</v>
      </c>
      <c r="X128" s="743" t="n">
        <f aca="false">C128+50000</f>
        <v>50072</v>
      </c>
      <c r="Y128" s="741" t="str">
        <f aca="false">D128</f>
        <v>Repairs</v>
      </c>
      <c r="Z128" s="318"/>
      <c r="AA128" s="744" t="n">
        <f aca="false">'05-Slabs'!E174</f>
        <v>0</v>
      </c>
      <c r="AB128" s="743" t="n">
        <f aca="false">C128+30000</f>
        <v>30072</v>
      </c>
      <c r="AC128" s="741" t="str">
        <f aca="false">U128</f>
        <v>Repairs</v>
      </c>
      <c r="AD128" s="318"/>
      <c r="AE128" s="796" t="n">
        <f aca="false">'03-Walls &amp; Footings'!D158</f>
        <v>0</v>
      </c>
      <c r="AF128" s="743" t="n">
        <f aca="false">C128+60000</f>
        <v>60072</v>
      </c>
      <c r="AG128" s="741" t="str">
        <f aca="false">Y128</f>
        <v>Repairs</v>
      </c>
      <c r="AH128" s="318"/>
      <c r="AI128" s="744" t="n">
        <f aca="false">'06-Walls &amp; Footings'!D158</f>
        <v>0</v>
      </c>
      <c r="AJ128" s="743" t="n">
        <f aca="false">C128+60000</f>
        <v>60072</v>
      </c>
      <c r="AK128" s="741" t="str">
        <f aca="false">Y128</f>
        <v>Repairs</v>
      </c>
      <c r="AL128" s="318"/>
      <c r="AM128" s="744" t="n">
        <f aca="false">'06-Walls &amp; Footings'!D158</f>
        <v>0</v>
      </c>
      <c r="AN128" s="743" t="n">
        <f aca="false">C128+60000</f>
        <v>60072</v>
      </c>
      <c r="AO128" s="741" t="str">
        <f aca="false">Y128</f>
        <v>Repairs</v>
      </c>
      <c r="AP128" s="318"/>
      <c r="AQ128" s="752" t="n">
        <f aca="false">'06-Garage Walls &amp; Footings'!D158</f>
        <v>0</v>
      </c>
      <c r="AR128" s="743" t="n">
        <f aca="false">G128+60000</f>
        <v>60000</v>
      </c>
      <c r="AS128" s="741" t="str">
        <f aca="false">AG128</f>
        <v>Repairs</v>
      </c>
      <c r="AT128" s="318"/>
      <c r="AU128" s="752" t="n">
        <f aca="false">'06-Garage Footings'!D158</f>
        <v>0</v>
      </c>
      <c r="AV128" s="746" t="n">
        <f aca="false">C128+70000</f>
        <v>70072</v>
      </c>
      <c r="AW128" s="543" t="str">
        <f aca="false">D128</f>
        <v>Repairs</v>
      </c>
      <c r="AX128" s="318"/>
      <c r="AY128" s="742" t="n">
        <f aca="false">'07-COLUMNS'!D173</f>
        <v>0</v>
      </c>
      <c r="AZ128" s="743" t="n">
        <f aca="false">C128+80000</f>
        <v>80072</v>
      </c>
      <c r="BA128" s="741" t="str">
        <f aca="false">AW128</f>
        <v>Repairs</v>
      </c>
      <c r="BB128" s="318"/>
      <c r="BC128" s="742" t="n">
        <f aca="false">'08-CIP EL. DECK'!D206</f>
        <v>0</v>
      </c>
      <c r="BD128" s="743" t="n">
        <f aca="false">C128+90000</f>
        <v>90072</v>
      </c>
      <c r="BE128" s="741" t="str">
        <f aca="false">D128</f>
        <v>Repairs</v>
      </c>
      <c r="BF128" s="318"/>
      <c r="BG128" s="742" t="n">
        <f aca="false">'09-SLAB ON DECK'!E172</f>
        <v>0</v>
      </c>
      <c r="BH128" s="743" t="n">
        <f aca="false">C128+100000</f>
        <v>100072</v>
      </c>
      <c r="BI128" s="543" t="str">
        <f aca="false">D128</f>
        <v>Repairs</v>
      </c>
      <c r="BJ128" s="318"/>
      <c r="BK128" s="742" t="n">
        <f aca="false">'10-PAVING'!D153</f>
        <v>0</v>
      </c>
      <c r="BL128" s="743" t="n">
        <f aca="false">C128+110000</f>
        <v>110072</v>
      </c>
      <c r="BM128" s="543" t="str">
        <f aca="false">D128</f>
        <v>Repairs</v>
      </c>
      <c r="BN128" s="318"/>
      <c r="BO128" s="742" t="n">
        <f aca="false">'11-Sidewalks'!D150</f>
        <v>0</v>
      </c>
      <c r="BP128" s="743" t="n">
        <f aca="false">C128+120000</f>
        <v>120072</v>
      </c>
      <c r="BQ128" s="543" t="str">
        <f aca="false">D128</f>
        <v>Repairs</v>
      </c>
      <c r="BR128" s="318"/>
      <c r="BS128" s="742" t="n">
        <f aca="false">'12-PANELS'!F168</f>
        <v>0</v>
      </c>
      <c r="BT128" s="746" t="n">
        <f aca="false">C128+130000</f>
        <v>130072</v>
      </c>
      <c r="BU128" s="741" t="str">
        <f aca="false">M128</f>
        <v>Repairs</v>
      </c>
      <c r="BV128" s="318"/>
      <c r="BW128" s="742" t="n">
        <v>0</v>
      </c>
      <c r="BX128" s="743" t="n">
        <f aca="false">C128+140000</f>
        <v>140072</v>
      </c>
      <c r="BY128" s="741" t="str">
        <f aca="false">Q128</f>
        <v>Repairs</v>
      </c>
      <c r="BZ128" s="318"/>
      <c r="CA128" s="742"/>
    </row>
    <row r="129" customFormat="false" ht="21" hidden="false" customHeight="true" outlineLevel="0" collapsed="false">
      <c r="A129" s="824"/>
      <c r="B129" s="427"/>
      <c r="C129" s="810" t="s">
        <v>1186</v>
      </c>
      <c r="D129" s="317" t="s">
        <v>1187</v>
      </c>
      <c r="E129" s="543"/>
      <c r="F129" s="749"/>
      <c r="G129" s="742" t="n">
        <f aca="false">K129+BK129+AI129+W129+AA129+AY129+BS129+BC129+BG129+S129+O129+BW129+BO129+AE129+AM129+AQ129+AU129</f>
        <v>0</v>
      </c>
      <c r="H129" s="745" t="n">
        <f aca="false">C129+10000</f>
        <v>10073</v>
      </c>
      <c r="I129" s="543" t="str">
        <f aca="false">D129</f>
        <v>Engineering</v>
      </c>
      <c r="J129" s="749"/>
      <c r="K129" s="742" t="n">
        <f aca="false">'01-Piers'!E149</f>
        <v>0</v>
      </c>
      <c r="L129" s="743" t="n">
        <f aca="false">C129+20000</f>
        <v>20073</v>
      </c>
      <c r="M129" s="543" t="str">
        <f aca="false">Q129</f>
        <v>Engineering</v>
      </c>
      <c r="N129" s="749"/>
      <c r="O129" s="742" t="n">
        <f aca="false">'02-Gd Beams'!E156</f>
        <v>0</v>
      </c>
      <c r="P129" s="743" t="n">
        <f aca="false">C129+40000</f>
        <v>40073</v>
      </c>
      <c r="Q129" s="741" t="str">
        <f aca="false">D129</f>
        <v>Engineering</v>
      </c>
      <c r="R129" s="318"/>
      <c r="S129" s="744" t="n">
        <f aca="false">'04-PT Slab on Grade Wrap'!E175</f>
        <v>0</v>
      </c>
      <c r="T129" s="743" t="n">
        <f aca="false">C129+40000</f>
        <v>40073</v>
      </c>
      <c r="U129" s="543" t="str">
        <f aca="false">D129</f>
        <v>Engineering</v>
      </c>
      <c r="V129" s="318"/>
      <c r="W129" s="744" t="n">
        <f aca="false">'04-PT Slab on Grade'!E175</f>
        <v>0</v>
      </c>
      <c r="X129" s="743" t="n">
        <f aca="false">C129+50000</f>
        <v>50073</v>
      </c>
      <c r="Y129" s="741" t="str">
        <f aca="false">D129</f>
        <v>Engineering</v>
      </c>
      <c r="Z129" s="318"/>
      <c r="AA129" s="744" t="n">
        <f aca="false">'05-Slabs'!E175</f>
        <v>0</v>
      </c>
      <c r="AB129" s="743" t="n">
        <f aca="false">C129+30000</f>
        <v>30073</v>
      </c>
      <c r="AC129" s="741"/>
      <c r="AD129" s="318"/>
      <c r="AE129" s="796" t="n">
        <f aca="false">'03-Walls &amp; Footings'!D159</f>
        <v>0</v>
      </c>
      <c r="AF129" s="743" t="n">
        <f aca="false">C129+60000</f>
        <v>60073</v>
      </c>
      <c r="AG129" s="741"/>
      <c r="AH129" s="318"/>
      <c r="AI129" s="744" t="n">
        <f aca="false">'06-Walls &amp; Footings'!D159</f>
        <v>0</v>
      </c>
      <c r="AJ129" s="743" t="n">
        <f aca="false">C129+60000</f>
        <v>60073</v>
      </c>
      <c r="AK129" s="741"/>
      <c r="AL129" s="318"/>
      <c r="AM129" s="744" t="n">
        <f aca="false">'06-Footings'!D159</f>
        <v>0</v>
      </c>
      <c r="AN129" s="743" t="n">
        <f aca="false">C129+60000</f>
        <v>60073</v>
      </c>
      <c r="AO129" s="741"/>
      <c r="AP129" s="318"/>
      <c r="AQ129" s="752" t="n">
        <f aca="false">'06-Garage Walls &amp; Footings'!D159</f>
        <v>0</v>
      </c>
      <c r="AR129" s="743" t="n">
        <f aca="false">G129+60000</f>
        <v>60000</v>
      </c>
      <c r="AS129" s="741"/>
      <c r="AT129" s="318"/>
      <c r="AU129" s="752" t="n">
        <f aca="false">'06-Garage Footings'!D159</f>
        <v>0</v>
      </c>
      <c r="AV129" s="746" t="n">
        <f aca="false">C129+70000</f>
        <v>70073</v>
      </c>
      <c r="AW129" s="543" t="str">
        <f aca="false">D129</f>
        <v>Engineering</v>
      </c>
      <c r="AX129" s="318"/>
      <c r="AY129" s="742" t="n">
        <f aca="false">'07-COLUMNS'!D174</f>
        <v>0</v>
      </c>
      <c r="AZ129" s="743" t="n">
        <f aca="false">C129+80000</f>
        <v>80073</v>
      </c>
      <c r="BA129" s="741" t="str">
        <f aca="false">AW129</f>
        <v>Engineering</v>
      </c>
      <c r="BB129" s="318"/>
      <c r="BC129" s="742" t="n">
        <f aca="false">'08-CIP EL. DECK'!D207</f>
        <v>0</v>
      </c>
      <c r="BD129" s="743" t="n">
        <f aca="false">C129+90000</f>
        <v>90073</v>
      </c>
      <c r="BE129" s="741" t="str">
        <f aca="false">D129</f>
        <v>Engineering</v>
      </c>
      <c r="BF129" s="318"/>
      <c r="BG129" s="742" t="n">
        <f aca="false">'09-SLAB ON DECK'!E173</f>
        <v>0</v>
      </c>
      <c r="BH129" s="743" t="n">
        <f aca="false">C129+100000</f>
        <v>100073</v>
      </c>
      <c r="BI129" s="543" t="str">
        <f aca="false">D129</f>
        <v>Engineering</v>
      </c>
      <c r="BJ129" s="318"/>
      <c r="BK129" s="742" t="n">
        <f aca="false">'10-PAVING'!D154</f>
        <v>0</v>
      </c>
      <c r="BL129" s="743" t="n">
        <f aca="false">C129+110000</f>
        <v>110073</v>
      </c>
      <c r="BM129" s="543" t="str">
        <f aca="false">D129</f>
        <v>Engineering</v>
      </c>
      <c r="BN129" s="318"/>
      <c r="BO129" s="742" t="n">
        <f aca="false">'11-Sidewalks'!D151</f>
        <v>0</v>
      </c>
      <c r="BP129" s="743" t="n">
        <f aca="false">C129+120000</f>
        <v>120073</v>
      </c>
      <c r="BQ129" s="543" t="str">
        <f aca="false">D129</f>
        <v>Engineering</v>
      </c>
      <c r="BR129" s="318"/>
      <c r="BS129" s="742" t="n">
        <f aca="false">'12-PANELS'!F169</f>
        <v>0</v>
      </c>
      <c r="BT129" s="746" t="n">
        <f aca="false">C129+130000</f>
        <v>130073</v>
      </c>
      <c r="BU129" s="741" t="str">
        <f aca="false">M129</f>
        <v>Engineering</v>
      </c>
      <c r="BV129" s="318"/>
      <c r="BW129" s="742"/>
      <c r="BX129" s="743" t="n">
        <f aca="false">C129+140000</f>
        <v>140073</v>
      </c>
      <c r="BY129" s="741" t="str">
        <f aca="false">Q129</f>
        <v>Engineering</v>
      </c>
      <c r="BZ129" s="318"/>
      <c r="CA129" s="742"/>
    </row>
    <row r="130" customFormat="false" ht="21" hidden="false" customHeight="true" outlineLevel="0" collapsed="false">
      <c r="A130" s="824"/>
      <c r="B130" s="427"/>
      <c r="C130" s="810" t="s">
        <v>1188</v>
      </c>
      <c r="D130" s="317" t="s">
        <v>1189</v>
      </c>
      <c r="E130" s="543"/>
      <c r="F130" s="749"/>
      <c r="G130" s="742" t="n">
        <f aca="false">K130+BK130+AI130+W130+AA130+AY130+BS130+BC130+BG130+S130+O130+BW130+BO130+AE130+AM130+AQ130+AU130</f>
        <v>0</v>
      </c>
      <c r="H130" s="745" t="n">
        <f aca="false">C130+10000</f>
        <v>10090</v>
      </c>
      <c r="I130" s="543" t="str">
        <f aca="false">D130</f>
        <v>Not Used</v>
      </c>
      <c r="J130" s="749"/>
      <c r="K130" s="742" t="n">
        <f aca="false">'01-Piers'!E150</f>
        <v>0</v>
      </c>
      <c r="L130" s="743" t="n">
        <f aca="false">C130+20000</f>
        <v>20090</v>
      </c>
      <c r="M130" s="543" t="str">
        <f aca="false">Q130</f>
        <v>Not Used</v>
      </c>
      <c r="N130" s="749"/>
      <c r="O130" s="742" t="n">
        <f aca="false">'02-Gd Beams'!E157</f>
        <v>0</v>
      </c>
      <c r="P130" s="743" t="n">
        <f aca="false">C130+40000</f>
        <v>40090</v>
      </c>
      <c r="Q130" s="741" t="str">
        <f aca="false">D130</f>
        <v>Not Used</v>
      </c>
      <c r="R130" s="318"/>
      <c r="S130" s="744" t="n">
        <f aca="false">'04-PT Slab on Grade Wrap'!E176</f>
        <v>0</v>
      </c>
      <c r="T130" s="743" t="n">
        <f aca="false">C130+40000</f>
        <v>40090</v>
      </c>
      <c r="U130" s="543" t="str">
        <f aca="false">D130</f>
        <v>Not Used</v>
      </c>
      <c r="V130" s="318"/>
      <c r="W130" s="744" t="n">
        <f aca="false">'04-PT Slab on Grade'!E176</f>
        <v>0</v>
      </c>
      <c r="X130" s="743" t="n">
        <f aca="false">C130+50000</f>
        <v>50090</v>
      </c>
      <c r="Y130" s="741" t="str">
        <f aca="false">D130</f>
        <v>Not Used</v>
      </c>
      <c r="Z130" s="318"/>
      <c r="AA130" s="744" t="n">
        <f aca="false">'05-Slabs'!E176</f>
        <v>0</v>
      </c>
      <c r="AB130" s="743" t="n">
        <f aca="false">C130+30000</f>
        <v>30090</v>
      </c>
      <c r="AC130" s="741" t="str">
        <f aca="false">BE130</f>
        <v>Not Used</v>
      </c>
      <c r="AD130" s="318"/>
      <c r="AE130" s="796" t="n">
        <f aca="false">'03-Walls &amp; Footings'!D160</f>
        <v>0</v>
      </c>
      <c r="AF130" s="743" t="n">
        <f aca="false">C130+60000</f>
        <v>60090</v>
      </c>
      <c r="AG130" s="741" t="str">
        <f aca="false">BI130</f>
        <v>Not Used</v>
      </c>
      <c r="AH130" s="318"/>
      <c r="AI130" s="744" t="n">
        <f aca="false">'06-Walls &amp; Footings'!D160</f>
        <v>0</v>
      </c>
      <c r="AJ130" s="743" t="n">
        <f aca="false">C130+60000</f>
        <v>60090</v>
      </c>
      <c r="AK130" s="741" t="str">
        <f aca="false">BI130</f>
        <v>Not Used</v>
      </c>
      <c r="AL130" s="318"/>
      <c r="AM130" s="744" t="n">
        <f aca="false">'06-Footings'!D160</f>
        <v>0</v>
      </c>
      <c r="AN130" s="743" t="n">
        <f aca="false">C130+60000</f>
        <v>60090</v>
      </c>
      <c r="AO130" s="741" t="str">
        <f aca="false">BI130</f>
        <v>Not Used</v>
      </c>
      <c r="AP130" s="318"/>
      <c r="AQ130" s="752" t="n">
        <f aca="false">'06-Garage Walls &amp; Footings'!D160</f>
        <v>0</v>
      </c>
      <c r="AR130" s="743" t="n">
        <f aca="false">G130+60000</f>
        <v>60000</v>
      </c>
      <c r="AS130" s="741" t="str">
        <f aca="false">BM130</f>
        <v>Not Used</v>
      </c>
      <c r="AT130" s="318"/>
      <c r="AU130" s="752" t="n">
        <f aca="false">'06-Garage Footings'!D160</f>
        <v>0</v>
      </c>
      <c r="AV130" s="746" t="n">
        <f aca="false">C130+70000</f>
        <v>70090</v>
      </c>
      <c r="AW130" s="543" t="str">
        <f aca="false">D130</f>
        <v>Not Used</v>
      </c>
      <c r="AX130" s="318"/>
      <c r="AY130" s="742" t="n">
        <f aca="false">'07-COLUMNS'!D175</f>
        <v>0</v>
      </c>
      <c r="AZ130" s="743" t="n">
        <f aca="false">C130+80000</f>
        <v>80090</v>
      </c>
      <c r="BA130" s="741" t="str">
        <f aca="false">D130</f>
        <v>Not Used</v>
      </c>
      <c r="BB130" s="318"/>
      <c r="BC130" s="742" t="n">
        <f aca="false">'08-CIP EL. DECK'!D208</f>
        <v>0</v>
      </c>
      <c r="BD130" s="743" t="n">
        <f aca="false">C130+90000</f>
        <v>90090</v>
      </c>
      <c r="BE130" s="741" t="str">
        <f aca="false">D130</f>
        <v>Not Used</v>
      </c>
      <c r="BF130" s="318"/>
      <c r="BG130" s="742" t="n">
        <f aca="false">'09-SLAB ON DECK'!E174</f>
        <v>0</v>
      </c>
      <c r="BH130" s="743" t="n">
        <f aca="false">C130+100000</f>
        <v>100090</v>
      </c>
      <c r="BI130" s="543" t="str">
        <f aca="false">D130</f>
        <v>Not Used</v>
      </c>
      <c r="BJ130" s="318"/>
      <c r="BK130" s="742" t="n">
        <f aca="false">'10-PAVING'!D155</f>
        <v>0</v>
      </c>
      <c r="BL130" s="743" t="n">
        <f aca="false">C130+110000</f>
        <v>110090</v>
      </c>
      <c r="BM130" s="543" t="str">
        <f aca="false">D130</f>
        <v>Not Used</v>
      </c>
      <c r="BN130" s="318"/>
      <c r="BO130" s="742" t="n">
        <f aca="false">'11-Sidewalks'!D152</f>
        <v>0</v>
      </c>
      <c r="BP130" s="743" t="n">
        <f aca="false">C130+120000</f>
        <v>120090</v>
      </c>
      <c r="BQ130" s="543" t="str">
        <f aca="false">D130</f>
        <v>Not Used</v>
      </c>
      <c r="BR130" s="318"/>
      <c r="BS130" s="742" t="n">
        <f aca="false">'12-PANELS'!F170</f>
        <v>0</v>
      </c>
      <c r="BT130" s="746" t="n">
        <f aca="false">C130+130000</f>
        <v>130090</v>
      </c>
      <c r="BU130" s="741" t="str">
        <f aca="false">M130</f>
        <v>Not Used</v>
      </c>
      <c r="BV130" s="318"/>
      <c r="BW130" s="742" t="n">
        <f aca="false">'13-Miscellaneous'!E101</f>
        <v>0</v>
      </c>
      <c r="BX130" s="743" t="n">
        <f aca="false">C130+140000</f>
        <v>140090</v>
      </c>
      <c r="BY130" s="741" t="str">
        <f aca="false">Q130</f>
        <v>Not Used</v>
      </c>
      <c r="BZ130" s="318"/>
      <c r="CA130" s="742"/>
    </row>
    <row r="131" customFormat="false" ht="21" hidden="false" customHeight="true" outlineLevel="0" collapsed="false">
      <c r="A131" s="824"/>
      <c r="B131" s="427"/>
      <c r="C131" s="810" t="s">
        <v>1190</v>
      </c>
      <c r="D131" s="317" t="s">
        <v>1191</v>
      </c>
      <c r="E131" s="543"/>
      <c r="F131" s="749"/>
      <c r="G131" s="742" t="n">
        <f aca="false">K131+BK131+AI131+W131+AA131+AY131+BS131+BC131+BG131+S131+O131+BW131+BO131+AE131+AM131+AQ131+AU131</f>
        <v>0</v>
      </c>
      <c r="H131" s="745" t="n">
        <f aca="false">C131+10000</f>
        <v>10091</v>
      </c>
      <c r="I131" s="543" t="str">
        <f aca="false">D131</f>
        <v>Margin Contingency</v>
      </c>
      <c r="J131" s="749"/>
      <c r="K131" s="742" t="n">
        <f aca="false">'01-Piers'!E151</f>
        <v>0</v>
      </c>
      <c r="L131" s="743" t="n">
        <f aca="false">C131+20000</f>
        <v>20091</v>
      </c>
      <c r="M131" s="543" t="str">
        <f aca="false">Q131</f>
        <v>Margin Contingency</v>
      </c>
      <c r="N131" s="749"/>
      <c r="O131" s="742" t="n">
        <f aca="false">'02-Gd Beams'!E158</f>
        <v>0</v>
      </c>
      <c r="P131" s="743" t="n">
        <f aca="false">C131+40000</f>
        <v>40091</v>
      </c>
      <c r="Q131" s="741" t="str">
        <f aca="false">D131</f>
        <v>Margin Contingency</v>
      </c>
      <c r="R131" s="318"/>
      <c r="S131" s="744" t="n">
        <f aca="false">'04-PT Slab on Grade Wrap'!E177</f>
        <v>0</v>
      </c>
      <c r="T131" s="743" t="n">
        <f aca="false">C131+40000</f>
        <v>40091</v>
      </c>
      <c r="U131" s="543" t="str">
        <f aca="false">D131</f>
        <v>Margin Contingency</v>
      </c>
      <c r="V131" s="318"/>
      <c r="W131" s="744" t="n">
        <f aca="false">'04-PT Slab on Grade'!E177</f>
        <v>0</v>
      </c>
      <c r="X131" s="743" t="n">
        <f aca="false">C131+50000</f>
        <v>50091</v>
      </c>
      <c r="Y131" s="741" t="str">
        <f aca="false">D131</f>
        <v>Margin Contingency</v>
      </c>
      <c r="Z131" s="318"/>
      <c r="AA131" s="744" t="n">
        <f aca="false">'05-Slabs'!E177</f>
        <v>0</v>
      </c>
      <c r="AB131" s="743" t="n">
        <f aca="false">C131+30000</f>
        <v>30091</v>
      </c>
      <c r="AC131" s="741" t="str">
        <f aca="false">BE131</f>
        <v>Margin Contingency</v>
      </c>
      <c r="AD131" s="318"/>
      <c r="AE131" s="796" t="n">
        <f aca="false">'03-Walls &amp; Footings'!D161</f>
        <v>0</v>
      </c>
      <c r="AF131" s="743" t="n">
        <f aca="false">C131+60000</f>
        <v>60091</v>
      </c>
      <c r="AG131" s="741" t="str">
        <f aca="false">BI131</f>
        <v>Margin Contingency</v>
      </c>
      <c r="AH131" s="318"/>
      <c r="AI131" s="744" t="n">
        <f aca="false">'06-Walls &amp; Footings'!D161</f>
        <v>0</v>
      </c>
      <c r="AJ131" s="743" t="n">
        <f aca="false">C131+60000</f>
        <v>60091</v>
      </c>
      <c r="AK131" s="741" t="str">
        <f aca="false">BI131</f>
        <v>Margin Contingency</v>
      </c>
      <c r="AL131" s="318"/>
      <c r="AM131" s="744" t="n">
        <f aca="false">'06-Footings'!D161</f>
        <v>0</v>
      </c>
      <c r="AN131" s="743" t="n">
        <f aca="false">C131+60000</f>
        <v>60091</v>
      </c>
      <c r="AO131" s="741" t="str">
        <f aca="false">BI131</f>
        <v>Margin Contingency</v>
      </c>
      <c r="AP131" s="318"/>
      <c r="AQ131" s="752" t="n">
        <f aca="false">'06-Garage Walls &amp; Footings'!D161</f>
        <v>0</v>
      </c>
      <c r="AR131" s="743" t="n">
        <f aca="false">G131+60000</f>
        <v>60000</v>
      </c>
      <c r="AS131" s="741" t="str">
        <f aca="false">BM131</f>
        <v>Margin Contingency</v>
      </c>
      <c r="AT131" s="318"/>
      <c r="AU131" s="752" t="n">
        <f aca="false">'06-Garage Footings'!D161</f>
        <v>0</v>
      </c>
      <c r="AV131" s="746" t="n">
        <f aca="false">C131+70000</f>
        <v>70091</v>
      </c>
      <c r="AW131" s="543" t="str">
        <f aca="false">D131</f>
        <v>Margin Contingency</v>
      </c>
      <c r="AX131" s="318"/>
      <c r="AY131" s="742" t="n">
        <f aca="false">'07-COLUMNS'!D176</f>
        <v>0</v>
      </c>
      <c r="AZ131" s="743" t="n">
        <f aca="false">C131+80000</f>
        <v>80091</v>
      </c>
      <c r="BA131" s="741" t="str">
        <f aca="false">D131</f>
        <v>Margin Contingency</v>
      </c>
      <c r="BB131" s="318"/>
      <c r="BC131" s="742" t="n">
        <f aca="false">'08-CIP EL. DECK'!D209</f>
        <v>0</v>
      </c>
      <c r="BD131" s="743" t="n">
        <f aca="false">C131+90000</f>
        <v>90091</v>
      </c>
      <c r="BE131" s="741" t="str">
        <f aca="false">D131</f>
        <v>Margin Contingency</v>
      </c>
      <c r="BF131" s="318"/>
      <c r="BG131" s="742" t="n">
        <f aca="false">'09-SLAB ON DECK'!E175</f>
        <v>0</v>
      </c>
      <c r="BH131" s="743" t="n">
        <f aca="false">C131+100000</f>
        <v>100091</v>
      </c>
      <c r="BI131" s="543" t="str">
        <f aca="false">D131</f>
        <v>Margin Contingency</v>
      </c>
      <c r="BJ131" s="318"/>
      <c r="BK131" s="742" t="n">
        <f aca="false">'10-PAVING'!D156</f>
        <v>0</v>
      </c>
      <c r="BL131" s="743" t="n">
        <f aca="false">C131+110000</f>
        <v>110091</v>
      </c>
      <c r="BM131" s="543" t="str">
        <f aca="false">D131</f>
        <v>Margin Contingency</v>
      </c>
      <c r="BN131" s="318"/>
      <c r="BO131" s="742" t="n">
        <f aca="false">'11-Sidewalks'!D153</f>
        <v>0</v>
      </c>
      <c r="BP131" s="743" t="n">
        <f aca="false">C131+120000</f>
        <v>120091</v>
      </c>
      <c r="BQ131" s="543" t="str">
        <f aca="false">D131</f>
        <v>Margin Contingency</v>
      </c>
      <c r="BR131" s="318"/>
      <c r="BS131" s="742" t="n">
        <f aca="false">'12-PANELS'!F171</f>
        <v>0</v>
      </c>
      <c r="BT131" s="746" t="n">
        <f aca="false">C131+130000</f>
        <v>130091</v>
      </c>
      <c r="BU131" s="741" t="str">
        <f aca="false">M131</f>
        <v>Margin Contingency</v>
      </c>
      <c r="BV131" s="318"/>
      <c r="BW131" s="742" t="n">
        <f aca="false">'13-Miscellaneous'!E102</f>
        <v>0</v>
      </c>
      <c r="BX131" s="743" t="n">
        <f aca="false">C131+140000</f>
        <v>140091</v>
      </c>
      <c r="BY131" s="741" t="str">
        <f aca="false">Q131</f>
        <v>Margin Contingency</v>
      </c>
      <c r="BZ131" s="318"/>
      <c r="CA131" s="742" t="n">
        <f aca="false">'14-Contingency'!E95</f>
        <v>1000</v>
      </c>
    </row>
    <row r="132" customFormat="false" ht="21" hidden="false" customHeight="true" outlineLevel="0" collapsed="false">
      <c r="A132" s="824"/>
      <c r="C132" s="825"/>
      <c r="D132" s="826"/>
      <c r="E132" s="526"/>
      <c r="F132" s="526"/>
      <c r="G132" s="526"/>
      <c r="H132" s="526"/>
      <c r="I132" s="526"/>
      <c r="J132" s="526"/>
      <c r="K132" s="526"/>
      <c r="L132" s="526"/>
      <c r="M132" s="526"/>
      <c r="N132" s="526"/>
      <c r="O132" s="526"/>
      <c r="P132" s="526"/>
      <c r="AB132" s="827"/>
      <c r="AF132" s="827"/>
      <c r="AJ132" s="827"/>
      <c r="AN132" s="827"/>
      <c r="AR132" s="827"/>
      <c r="AV132" s="827"/>
    </row>
    <row r="306" customFormat="false" ht="15" hidden="false" customHeight="false" outlineLevel="0" collapsed="false">
      <c r="A306" s="16" t="s">
        <v>1192</v>
      </c>
      <c r="C306" s="828" t="n">
        <v>43563</v>
      </c>
    </row>
  </sheetData>
  <mergeCells count="21">
    <mergeCell ref="D55:E55"/>
    <mergeCell ref="B57:C57"/>
    <mergeCell ref="B58:C58"/>
    <mergeCell ref="B59:C59"/>
    <mergeCell ref="Q59:R59"/>
    <mergeCell ref="U59:V59"/>
    <mergeCell ref="Q60:R60"/>
    <mergeCell ref="Q61:R61"/>
    <mergeCell ref="Q63:R63"/>
    <mergeCell ref="F72:G72"/>
    <mergeCell ref="F73:G73"/>
    <mergeCell ref="BB73:BC73"/>
    <mergeCell ref="BF73:BG73"/>
    <mergeCell ref="A74:A88"/>
    <mergeCell ref="A91:A97"/>
    <mergeCell ref="A98:A106"/>
    <mergeCell ref="A107:A116"/>
    <mergeCell ref="A117:A125"/>
    <mergeCell ref="D123:F123"/>
    <mergeCell ref="A126:B126"/>
    <mergeCell ref="A127:A132"/>
  </mergeCells>
  <printOptions headings="false" gridLines="false" gridLinesSet="true" horizontalCentered="false" verticalCentered="false"/>
  <pageMargins left="0.45" right="0.359722222222222" top="1.06458333333333" bottom="0.75" header="0.0201388888888889" footer="0.3"/>
  <pageSetup paperSize="1" scale="100" fitToWidth="1" fitToHeight="0" pageOrder="downThenOver" orientation="portrait"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CR151"/>
  <sheetViews>
    <sheetView showFormulas="false" showGridLines="true" showRowColHeaders="true" showZeros="true" rightToLeft="false" tabSelected="false" showOutlineSymbols="true" defaultGridColor="true" view="normal" topLeftCell="A30" colorId="64" zoomScale="70" zoomScaleNormal="70" zoomScalePageLayoutView="70" workbookViewId="0">
      <selection pane="topLeft" activeCell="F54" activeCellId="0" sqref="F54"/>
    </sheetView>
  </sheetViews>
  <sheetFormatPr defaultColWidth="9.82421875" defaultRowHeight="15" customHeight="false" zeroHeight="false" outlineLevelRow="0" outlineLevelCol="0"/>
  <cols>
    <col collapsed="false" customWidth="true" hidden="false" outlineLevel="0" max="1" min="1" style="16" width="15.18"/>
    <col collapsed="false" customWidth="true" hidden="false" outlineLevel="0" max="2" min="2" style="16" width="11.18"/>
    <col collapsed="false" customWidth="true" hidden="false" outlineLevel="0" max="3" min="3" style="16" width="29.82"/>
    <col collapsed="false" customWidth="true" hidden="false" outlineLevel="0" max="4" min="4" style="16" width="10.45"/>
    <col collapsed="false" customWidth="true" hidden="false" outlineLevel="0" max="5" min="5" style="16" width="14.18"/>
    <col collapsed="false" customWidth="true" hidden="false" outlineLevel="0" max="6" min="6" style="16" width="10.18"/>
    <col collapsed="false" customWidth="true" hidden="false" outlineLevel="0" max="7" min="7" style="16" width="17.54"/>
    <col collapsed="false" customWidth="true" hidden="false" outlineLevel="0" max="8" min="8" style="16" width="11.82"/>
    <col collapsed="false" customWidth="true" hidden="false" outlineLevel="0" max="9" min="9" style="16" width="9"/>
    <col collapsed="false" customWidth="true" hidden="false" outlineLevel="0" max="11" min="10" style="16" width="12.82"/>
    <col collapsed="false" customWidth="true" hidden="false" outlineLevel="0" max="12" min="12" style="16" width="19.18"/>
    <col collapsed="false" customWidth="true" hidden="false" outlineLevel="0" max="13" min="13" style="16" width="12.82"/>
    <col collapsed="false" customWidth="true" hidden="false" outlineLevel="0" max="14" min="14" style="16" width="14.18"/>
    <col collapsed="false" customWidth="true" hidden="false" outlineLevel="0" max="15" min="15" style="16" width="15.18"/>
    <col collapsed="false" customWidth="true" hidden="false" outlineLevel="0" max="16" min="16" style="16" width="14"/>
    <col collapsed="false" customWidth="true" hidden="false" outlineLevel="0" max="19" min="17" style="16" width="12.82"/>
    <col collapsed="false" customWidth="true" hidden="false" outlineLevel="0" max="20" min="20" style="16" width="13.54"/>
    <col collapsed="false" customWidth="true" hidden="false" outlineLevel="0" max="21" min="21" style="16" width="19.18"/>
    <col collapsed="false" customWidth="true" hidden="false" outlineLevel="0" max="22" min="22" style="16" width="14.82"/>
    <col collapsed="false" customWidth="true" hidden="false" outlineLevel="0" max="23" min="23" style="16" width="17.82"/>
    <col collapsed="false" customWidth="true" hidden="true" outlineLevel="0" max="28" min="28" style="0" width="15.45"/>
    <col collapsed="false" customWidth="false" hidden="true" outlineLevel="0" max="64" min="29" style="0" width="9.82"/>
    <col collapsed="false" customWidth="true" hidden="true" outlineLevel="0" max="65" min="65" style="0" width="12.54"/>
    <col collapsed="false" customWidth="false" hidden="true" outlineLevel="0" max="69" min="66" style="0" width="9.82"/>
    <col collapsed="false" customWidth="true" hidden="true" outlineLevel="0" max="70" min="70" style="0" width="11.18"/>
    <col collapsed="false" customWidth="false" hidden="true" outlineLevel="0" max="73" min="71" style="0" width="9.82"/>
    <col collapsed="false" customWidth="true" hidden="true" outlineLevel="0" max="74" min="74" style="0" width="11.82"/>
    <col collapsed="false" customWidth="false" hidden="true" outlineLevel="0" max="76" min="75" style="0" width="9.82"/>
    <col collapsed="false" customWidth="true" hidden="true" outlineLevel="0" max="77" min="77" style="0" width="11.82"/>
    <col collapsed="false" customWidth="false" hidden="true" outlineLevel="0" max="84" min="78" style="0" width="9.82"/>
    <col collapsed="false" customWidth="true" hidden="true" outlineLevel="0" max="86" min="85" style="0" width="11.18"/>
    <col collapsed="false" customWidth="true" hidden="true" outlineLevel="0" max="87" min="87" style="0" width="13.18"/>
    <col collapsed="false" customWidth="true" hidden="true" outlineLevel="0" max="90" min="88" style="0" width="10.18"/>
    <col collapsed="false" customWidth="true" hidden="false" outlineLevel="0" max="91" min="91" style="0" width="10.82"/>
    <col collapsed="false" customWidth="true" hidden="false" outlineLevel="0" max="94" min="94" style="0" width="11.18"/>
    <col collapsed="false" customWidth="true" hidden="false" outlineLevel="0" max="96" min="96" style="0" width="11.45"/>
    <col collapsed="false" customWidth="true" hidden="false" outlineLevel="0" max="97" min="97" style="0" width="11.82"/>
    <col collapsed="false" customWidth="false" hidden="false" outlineLevel="0" max="16384" min="255" style="16" width="9.82"/>
  </cols>
  <sheetData>
    <row r="1" customFormat="false" ht="19.5" hidden="false" customHeight="true" outlineLevel="0" collapsed="false">
      <c r="B1" s="829"/>
      <c r="D1" s="654"/>
      <c r="E1" s="654"/>
      <c r="F1" s="654"/>
      <c r="G1" s="654"/>
      <c r="H1" s="654"/>
      <c r="I1" s="654"/>
      <c r="J1" s="654"/>
      <c r="K1" s="654"/>
      <c r="L1" s="654"/>
      <c r="M1" s="654"/>
      <c r="N1" s="654"/>
      <c r="O1" s="654"/>
      <c r="P1" s="654"/>
      <c r="Q1" s="654"/>
      <c r="R1" s="654"/>
      <c r="S1" s="654"/>
      <c r="T1" s="830" t="s">
        <v>1193</v>
      </c>
      <c r="U1" s="830"/>
      <c r="V1" s="831" t="n">
        <v>37456</v>
      </c>
      <c r="W1" s="831"/>
    </row>
    <row r="2" customFormat="false" ht="19.5" hidden="false" customHeight="true" outlineLevel="0" collapsed="false">
      <c r="B2" s="832" t="str">
        <f aca="false">Summary!C1</f>
        <v>Trammell Crow – LBJ</v>
      </c>
      <c r="C2" s="832"/>
      <c r="D2" s="832"/>
      <c r="E2" s="832"/>
      <c r="F2" s="832"/>
      <c r="G2" s="654"/>
      <c r="I2" s="833" t="s">
        <v>56</v>
      </c>
      <c r="K2" s="834" t="s">
        <v>57</v>
      </c>
      <c r="L2" s="654"/>
      <c r="M2" s="654"/>
      <c r="N2" s="654"/>
      <c r="O2" s="835" t="s">
        <v>1</v>
      </c>
      <c r="P2" s="835"/>
      <c r="Q2" s="835" t="s">
        <v>1194</v>
      </c>
      <c r="R2" s="835"/>
      <c r="S2" s="654"/>
      <c r="T2" s="836" t="s">
        <v>957</v>
      </c>
      <c r="U2" s="695"/>
      <c r="V2" s="837" t="n">
        <f aca="false">Information!C7</f>
        <v>0</v>
      </c>
      <c r="W2" s="838"/>
    </row>
    <row r="3" customFormat="false" ht="19.5" hidden="false" customHeight="true" outlineLevel="0" collapsed="false">
      <c r="B3" s="839" t="n">
        <f aca="false">Summary!C2</f>
        <v>0</v>
      </c>
      <c r="C3" s="839"/>
      <c r="D3" s="839"/>
      <c r="E3" s="839"/>
      <c r="F3" s="839"/>
      <c r="G3" s="654"/>
      <c r="I3" s="833" t="s">
        <v>955</v>
      </c>
      <c r="J3" s="840" t="n">
        <f aca="false">Summary!K2</f>
        <v>0</v>
      </c>
      <c r="K3" s="840"/>
      <c r="L3" s="840"/>
      <c r="M3" s="840"/>
      <c r="N3" s="840"/>
      <c r="O3" s="841" t="n">
        <f aca="false">Summary!O2</f>
        <v>0</v>
      </c>
      <c r="P3" s="841"/>
      <c r="Q3" s="842" t="n">
        <f aca="false">Summary!P2</f>
        <v>0</v>
      </c>
      <c r="R3" s="842"/>
      <c r="S3" s="654"/>
      <c r="T3" s="599"/>
      <c r="W3" s="843"/>
      <c r="AT3" s="0" t="s">
        <v>1195</v>
      </c>
    </row>
    <row r="4" customFormat="false" ht="19.5" hidden="false" customHeight="true" outlineLevel="0" collapsed="false">
      <c r="B4" s="844" t="str">
        <f aca="false">Summary!C3</f>
        <v>Dallas, TX</v>
      </c>
      <c r="C4" s="844"/>
      <c r="D4" s="844"/>
      <c r="E4" s="844"/>
      <c r="F4" s="844"/>
      <c r="G4" s="654"/>
      <c r="I4" s="833" t="s">
        <v>71</v>
      </c>
      <c r="J4" s="845" t="n">
        <f aca="false">Summary!K3</f>
        <v>0</v>
      </c>
      <c r="K4" s="845"/>
      <c r="L4" s="845"/>
      <c r="M4" s="845"/>
      <c r="N4" s="845"/>
      <c r="O4" s="846" t="n">
        <f aca="false">Summary!O3</f>
        <v>0</v>
      </c>
      <c r="P4" s="846"/>
      <c r="Q4" s="847" t="n">
        <f aca="false">Summary!P3</f>
        <v>0</v>
      </c>
      <c r="R4" s="847"/>
      <c r="S4" s="654"/>
      <c r="T4" s="599" t="s">
        <v>958</v>
      </c>
      <c r="V4" s="848"/>
      <c r="W4" s="849"/>
      <c r="AT4" s="0" t="n">
        <f aca="false">AW11*AX11*AY11*AV11/144/12/27</f>
        <v>0</v>
      </c>
    </row>
    <row r="5" customFormat="false" ht="19.5" hidden="false" customHeight="true" outlineLevel="0" collapsed="false">
      <c r="B5" s="405" t="s">
        <v>0</v>
      </c>
      <c r="D5" s="405" t="s">
        <v>1</v>
      </c>
      <c r="F5" s="654"/>
      <c r="G5" s="654"/>
      <c r="I5" s="833" t="s">
        <v>79</v>
      </c>
      <c r="J5" s="845" t="n">
        <f aca="false">Summary!K4</f>
        <v>0</v>
      </c>
      <c r="K5" s="845"/>
      <c r="L5" s="845"/>
      <c r="M5" s="845"/>
      <c r="N5" s="845"/>
      <c r="O5" s="846" t="n">
        <f aca="false">Summary!O4</f>
        <v>0</v>
      </c>
      <c r="P5" s="846"/>
      <c r="Q5" s="847" t="n">
        <f aca="false">Summary!P4</f>
        <v>0</v>
      </c>
      <c r="R5" s="847"/>
      <c r="S5" s="654"/>
      <c r="T5" s="599"/>
      <c r="W5" s="843"/>
      <c r="AT5" s="0" t="n">
        <f aca="false">AW12*AX12*AY12*AV12/144/12/27</f>
        <v>0</v>
      </c>
    </row>
    <row r="6" customFormat="false" ht="19.5" hidden="false" customHeight="true" outlineLevel="0" collapsed="false">
      <c r="B6" s="850" t="n">
        <f aca="false">Summary!C5</f>
        <v>0</v>
      </c>
      <c r="D6" s="851" t="n">
        <f aca="false">Summary!E5</f>
        <v>0</v>
      </c>
      <c r="E6" s="851"/>
      <c r="F6" s="654"/>
      <c r="G6" s="654"/>
      <c r="I6" s="833" t="s">
        <v>87</v>
      </c>
      <c r="J6" s="852" t="n">
        <f aca="false">Summary!K5</f>
        <v>0</v>
      </c>
      <c r="K6" s="852"/>
      <c r="L6" s="852"/>
      <c r="M6" s="852"/>
      <c r="N6" s="852"/>
      <c r="O6" s="853" t="n">
        <f aca="false">Summary!O5</f>
        <v>0</v>
      </c>
      <c r="P6" s="853"/>
      <c r="Q6" s="854" t="n">
        <f aca="false">Summary!P5</f>
        <v>0</v>
      </c>
      <c r="R6" s="854"/>
      <c r="S6" s="654"/>
      <c r="T6" s="602" t="s">
        <v>958</v>
      </c>
      <c r="U6" s="855"/>
      <c r="V6" s="855"/>
      <c r="W6" s="856"/>
      <c r="AT6" s="0" t="n">
        <f aca="false">AW13*AX13*AY13*AV13/144/12/27</f>
        <v>0</v>
      </c>
    </row>
    <row r="7" customFormat="false" ht="19.5" hidden="false" customHeight="true" outlineLevel="0" collapsed="false">
      <c r="B7" s="857" t="n">
        <f aca="false">Summary!C6</f>
        <v>0</v>
      </c>
      <c r="D7" s="858" t="n">
        <f aca="false">Summary!E6</f>
        <v>0</v>
      </c>
      <c r="E7" s="858"/>
      <c r="F7" s="859"/>
      <c r="G7" s="654"/>
      <c r="H7" s="16" t="s">
        <v>1196</v>
      </c>
      <c r="J7" s="860" t="str">
        <f aca="false">Pricing!A3</f>
        <v>SRM</v>
      </c>
      <c r="K7" s="860"/>
      <c r="L7" s="860"/>
      <c r="M7" s="860"/>
      <c r="N7" s="860"/>
      <c r="O7" s="654"/>
      <c r="P7" s="654"/>
      <c r="Q7" s="654"/>
      <c r="R7" s="654"/>
      <c r="S7" s="654"/>
      <c r="T7" s="654"/>
      <c r="U7" s="654"/>
      <c r="V7" s="654"/>
      <c r="W7" s="654"/>
      <c r="AM7" s="0" t="n">
        <f aca="false">IF(F11&lt;=12,AM57,IF(B11&lt;=18,AN57,IF(B11&lt;=24,AO57,IF(B11&lt;=30,AP57,IF(B11&lt;=36,AQ57,IF(B11&lt;=48,AS57,IF(B11&lt;=60,AT57,0)))))))</f>
        <v>0</v>
      </c>
      <c r="AU7" s="0" t="n">
        <f aca="false">AW14*AX14*AY14*AV14/144/12/27</f>
        <v>0</v>
      </c>
    </row>
    <row r="8" customFormat="false" ht="19.5" hidden="false" customHeight="true" outlineLevel="0" collapsed="false">
      <c r="F8" s="654"/>
      <c r="G8" s="654"/>
      <c r="H8" s="654"/>
      <c r="I8" s="654"/>
      <c r="J8" s="654"/>
      <c r="K8" s="654"/>
      <c r="L8" s="654"/>
      <c r="M8" s="654"/>
      <c r="N8" s="654"/>
      <c r="O8" s="654"/>
      <c r="P8" s="654"/>
      <c r="Q8" s="654"/>
      <c r="R8" s="654"/>
      <c r="S8" s="654"/>
      <c r="T8" s="654"/>
      <c r="U8" s="654"/>
      <c r="V8" s="654"/>
      <c r="W8" s="654"/>
      <c r="AU8" s="0" t="n">
        <f aca="false">AW15*AX15*AY15*AV15/144/12/27</f>
        <v>0</v>
      </c>
    </row>
    <row r="9" customFormat="false" ht="42.75" hidden="false" customHeight="true" outlineLevel="0" collapsed="false">
      <c r="B9" s="861" t="s">
        <v>1197</v>
      </c>
      <c r="C9" s="861"/>
      <c r="D9" s="861"/>
      <c r="E9" s="861"/>
      <c r="F9" s="861"/>
      <c r="G9" s="861"/>
      <c r="H9" s="861"/>
      <c r="I9" s="861"/>
      <c r="J9" s="861"/>
      <c r="K9" s="862" t="s">
        <v>1198</v>
      </c>
      <c r="L9" s="862"/>
      <c r="M9" s="863" t="s">
        <v>1199</v>
      </c>
      <c r="N9" s="863"/>
      <c r="O9" s="864" t="s">
        <v>1200</v>
      </c>
      <c r="P9" s="864"/>
      <c r="Q9" s="864"/>
      <c r="R9" s="865" t="s">
        <v>1201</v>
      </c>
      <c r="S9" s="865"/>
      <c r="T9" s="865"/>
      <c r="U9" s="866" t="s">
        <v>1202</v>
      </c>
      <c r="V9" s="866"/>
      <c r="W9" s="866"/>
      <c r="X9" s="867" t="s">
        <v>1203</v>
      </c>
      <c r="Y9" s="867"/>
      <c r="Z9" s="867"/>
      <c r="AA9" s="867"/>
      <c r="AN9" s="0" t="s">
        <v>1204</v>
      </c>
      <c r="BM9" s="868"/>
      <c r="BN9" s="869" t="s">
        <v>1205</v>
      </c>
      <c r="BO9" s="749"/>
      <c r="BP9" s="749"/>
      <c r="BQ9" s="749"/>
      <c r="BR9" s="749" t="n">
        <f aca="false">SUM(BN39:BV39)</f>
        <v>58032</v>
      </c>
      <c r="BS9" s="749"/>
      <c r="BT9" s="749"/>
      <c r="BU9" s="749"/>
      <c r="BV9" s="870" t="s">
        <v>1206</v>
      </c>
      <c r="BW9" s="871" t="s">
        <v>738</v>
      </c>
      <c r="BX9" s="871"/>
      <c r="BY9" s="871"/>
      <c r="BZ9" s="871"/>
      <c r="CA9" s="871"/>
      <c r="CB9" s="871"/>
      <c r="CC9" s="871"/>
      <c r="CD9" s="871"/>
      <c r="CE9" s="871"/>
      <c r="CF9" s="871"/>
      <c r="CG9" s="175"/>
      <c r="CH9" s="871" t="s">
        <v>1146</v>
      </c>
      <c r="CI9" s="871"/>
      <c r="CJ9" s="871"/>
      <c r="CK9" s="871"/>
      <c r="CL9" s="871"/>
      <c r="CM9" s="175"/>
      <c r="CN9" s="175"/>
      <c r="CO9" s="175"/>
      <c r="CP9" s="175"/>
      <c r="CQ9" s="175"/>
      <c r="CR9" s="872"/>
    </row>
    <row r="10" customFormat="false" ht="45" hidden="false" customHeight="true" outlineLevel="0" collapsed="false">
      <c r="A10" s="16" t="s">
        <v>1207</v>
      </c>
      <c r="B10" s="873" t="s">
        <v>1208</v>
      </c>
      <c r="C10" s="873"/>
      <c r="D10" s="874" t="s">
        <v>1209</v>
      </c>
      <c r="E10" s="874" t="s">
        <v>835</v>
      </c>
      <c r="F10" s="874" t="s">
        <v>1210</v>
      </c>
      <c r="G10" s="874" t="s">
        <v>1211</v>
      </c>
      <c r="H10" s="874" t="s">
        <v>1212</v>
      </c>
      <c r="I10" s="875" t="s">
        <v>1213</v>
      </c>
      <c r="J10" s="876" t="s">
        <v>1214</v>
      </c>
      <c r="K10" s="877" t="s">
        <v>835</v>
      </c>
      <c r="L10" s="874" t="s">
        <v>1215</v>
      </c>
      <c r="M10" s="878" t="s">
        <v>1215</v>
      </c>
      <c r="N10" s="874" t="s">
        <v>1216</v>
      </c>
      <c r="O10" s="874" t="s">
        <v>1200</v>
      </c>
      <c r="P10" s="879" t="s">
        <v>1215</v>
      </c>
      <c r="Q10" s="880" t="s">
        <v>1217</v>
      </c>
      <c r="R10" s="881" t="s">
        <v>1218</v>
      </c>
      <c r="S10" s="882" t="s">
        <v>1219</v>
      </c>
      <c r="T10" s="883"/>
      <c r="U10" s="884" t="s">
        <v>1220</v>
      </c>
      <c r="V10" s="874" t="s">
        <v>1221</v>
      </c>
      <c r="W10" s="875" t="s">
        <v>1222</v>
      </c>
      <c r="X10" s="885" t="s">
        <v>553</v>
      </c>
      <c r="Y10" s="61" t="s">
        <v>1223</v>
      </c>
      <c r="Z10" s="61" t="s">
        <v>1224</v>
      </c>
      <c r="AA10" s="144" t="s">
        <v>835</v>
      </c>
      <c r="AH10" s="0" t="s">
        <v>1225</v>
      </c>
      <c r="AI10" s="0" t="s">
        <v>1226</v>
      </c>
      <c r="AJ10" s="0" t="s">
        <v>1227</v>
      </c>
      <c r="AK10" s="0" t="s">
        <v>1228</v>
      </c>
      <c r="AL10" s="0" t="s">
        <v>1229</v>
      </c>
      <c r="AM10" s="0" t="s">
        <v>1230</v>
      </c>
      <c r="AN10" s="0" t="s">
        <v>553</v>
      </c>
      <c r="AO10" s="0" t="s">
        <v>1231</v>
      </c>
      <c r="AP10" s="0" t="s">
        <v>1232</v>
      </c>
      <c r="AQ10" s="0" t="s">
        <v>967</v>
      </c>
      <c r="AR10" s="0" t="s">
        <v>1233</v>
      </c>
      <c r="AS10" s="0" t="s">
        <v>1234</v>
      </c>
      <c r="AT10" s="0" t="s">
        <v>1235</v>
      </c>
      <c r="AU10" s="0" t="s">
        <v>1236</v>
      </c>
      <c r="AV10" s="0" t="s">
        <v>1237</v>
      </c>
      <c r="AW10" s="0" t="s">
        <v>1238</v>
      </c>
      <c r="AX10" s="0" t="s">
        <v>1239</v>
      </c>
      <c r="AY10" s="0" t="s">
        <v>1240</v>
      </c>
      <c r="AZ10" s="0" t="s">
        <v>1241</v>
      </c>
      <c r="BA10" s="0" t="s">
        <v>1242</v>
      </c>
      <c r="BB10" s="0" t="s">
        <v>1243</v>
      </c>
      <c r="BC10" s="0" t="s">
        <v>1244</v>
      </c>
      <c r="BD10" s="0" t="n">
        <f aca="false">AM50</f>
        <v>16</v>
      </c>
      <c r="BE10" s="0" t="n">
        <f aca="false">AN50</f>
        <v>18</v>
      </c>
      <c r="BF10" s="0" t="n">
        <f aca="false">AO50</f>
        <v>24</v>
      </c>
      <c r="BG10" s="0" t="n">
        <f aca="false">AP50</f>
        <v>30</v>
      </c>
      <c r="BH10" s="0" t="n">
        <f aca="false">AQ50</f>
        <v>36</v>
      </c>
      <c r="BI10" s="0" t="n">
        <f aca="false">AR50</f>
        <v>42</v>
      </c>
      <c r="BJ10" s="0" t="n">
        <f aca="false">AS50</f>
        <v>48</v>
      </c>
      <c r="BK10" s="0" t="n">
        <f aca="false">AT50</f>
        <v>54</v>
      </c>
      <c r="BL10" s="0" t="s">
        <v>1245</v>
      </c>
      <c r="BM10" s="179" t="s">
        <v>1246</v>
      </c>
      <c r="BN10" s="886" t="n">
        <f aca="false">AM50</f>
        <v>16</v>
      </c>
      <c r="BO10" s="318" t="n">
        <f aca="false">BE10</f>
        <v>18</v>
      </c>
      <c r="BP10" s="318" t="n">
        <f aca="false">BF10</f>
        <v>24</v>
      </c>
      <c r="BQ10" s="318" t="n">
        <f aca="false">BG10</f>
        <v>30</v>
      </c>
      <c r="BR10" s="318" t="n">
        <f aca="false">BH10</f>
        <v>36</v>
      </c>
      <c r="BS10" s="318" t="s">
        <v>1247</v>
      </c>
      <c r="BT10" s="318" t="n">
        <f aca="false">BJ10</f>
        <v>48</v>
      </c>
      <c r="BU10" s="318" t="n">
        <f aca="false">BK10</f>
        <v>54</v>
      </c>
      <c r="BV10" s="887" t="s">
        <v>1248</v>
      </c>
      <c r="BW10" s="869" t="s">
        <v>1235</v>
      </c>
      <c r="BX10" s="749" t="s">
        <v>1236</v>
      </c>
      <c r="BY10" s="749" t="s">
        <v>1237</v>
      </c>
      <c r="BZ10" s="749" t="s">
        <v>1238</v>
      </c>
      <c r="CA10" s="749" t="s">
        <v>1239</v>
      </c>
      <c r="CB10" s="749" t="s">
        <v>1240</v>
      </c>
      <c r="CC10" s="749" t="s">
        <v>1241</v>
      </c>
      <c r="CD10" s="749" t="s">
        <v>1242</v>
      </c>
      <c r="CE10" s="749" t="s">
        <v>1243</v>
      </c>
      <c r="CF10" s="870" t="s">
        <v>1244</v>
      </c>
      <c r="CG10" s="870" t="s">
        <v>577</v>
      </c>
      <c r="CH10" s="888" t="s">
        <v>1249</v>
      </c>
      <c r="CI10" s="749" t="s">
        <v>1250</v>
      </c>
      <c r="CJ10" s="889" t="s">
        <v>1251</v>
      </c>
      <c r="CK10" s="889" t="s">
        <v>1252</v>
      </c>
      <c r="CL10" s="890" t="s">
        <v>1159</v>
      </c>
      <c r="CM10" s="891" t="s">
        <v>550</v>
      </c>
      <c r="CN10" s="870" t="s">
        <v>1253</v>
      </c>
      <c r="CO10" s="892" t="s">
        <v>976</v>
      </c>
      <c r="CP10" s="893" t="s">
        <v>1254</v>
      </c>
      <c r="CQ10" s="0" t="s">
        <v>1255</v>
      </c>
      <c r="CR10" s="264"/>
    </row>
    <row r="11" customFormat="false" ht="19.5" hidden="false" customHeight="true" outlineLevel="0" collapsed="false">
      <c r="A11" s="16" t="s">
        <v>1256</v>
      </c>
      <c r="B11" s="894"/>
      <c r="C11" s="566"/>
      <c r="D11" s="895" t="n">
        <v>5</v>
      </c>
      <c r="E11" s="896" t="n">
        <v>12</v>
      </c>
      <c r="F11" s="897" t="n">
        <v>24</v>
      </c>
      <c r="G11" s="897" t="n">
        <v>16</v>
      </c>
      <c r="H11" s="897" t="n">
        <v>3</v>
      </c>
      <c r="I11" s="898"/>
      <c r="J11" s="899" t="n">
        <f aca="false">G11+H11</f>
        <v>19</v>
      </c>
      <c r="K11" s="78" t="n">
        <v>7</v>
      </c>
      <c r="L11" s="900" t="n">
        <v>6</v>
      </c>
      <c r="M11" s="78" t="n">
        <v>3</v>
      </c>
      <c r="N11" s="900" t="n">
        <v>10</v>
      </c>
      <c r="O11" s="901" t="n">
        <v>4</v>
      </c>
      <c r="P11" s="78" t="n">
        <v>6</v>
      </c>
      <c r="Q11" s="898" t="n">
        <v>8</v>
      </c>
      <c r="R11" s="902" t="n">
        <f aca="false">IF(E11="",0,IF(N11=0,(L11/16*L11/16*K11*10.680159*E11*J11)+(O11*P11/16*P11/16*10.680159*E11*Q11),(L11/16*L11/16*K11*10.680159*E11*J11)+(O11*P11/16*P11/16*10.680159*E11*Q11)+(M11/16*M11/16*10.680159*((F11-3)*3.1412)*E11*J11/N11)))*(1+K$53)</f>
        <v>3892.31990597909</v>
      </c>
      <c r="S11" s="902" t="n">
        <f aca="false">(IF(E11="",0,(((F11*F11/576)*J11*3.1412/27)+0.5*((3.1412*(I11*I11/576)*I11/12)/27-((F11*F11/576)*I11/12*3.1412/27)))*E11)*(1+K$49))</f>
        <v>28.1172302222222</v>
      </c>
      <c r="T11" s="903" t="n">
        <f aca="false">(IF(E11="",0,IF(J$54="",SUM(BN11:CP11)/E11,(SUM(BW11:CP11)+BM11)/E11)))*(1+M$42+Summary!P$57)</f>
        <v>1721.28582816239</v>
      </c>
      <c r="U11" s="904" t="n">
        <f aca="false">IF(E11=0,0,SUM(AO11:AS11)*(1+W$39))</f>
        <v>52.5911374037186</v>
      </c>
      <c r="V11" s="905" t="n">
        <f aca="false">AM11+AR11</f>
        <v>19.3802180092593</v>
      </c>
      <c r="W11" s="906" t="n">
        <f aca="false">IF(E11=0,0,(AN11+(AL11)+(AP11-0.5)+(AK11))*(1+W$39))</f>
        <v>45.3978391015625</v>
      </c>
      <c r="X11" s="907" t="n">
        <f aca="false">E11</f>
        <v>12</v>
      </c>
      <c r="Y11" s="908" t="n">
        <f aca="false">R11</f>
        <v>3892.31990597909</v>
      </c>
      <c r="Z11" s="908" t="n">
        <f aca="false">S11</f>
        <v>28.1172302222222</v>
      </c>
      <c r="AA11" s="909" t="n">
        <f aca="false">E11</f>
        <v>12</v>
      </c>
      <c r="AB11" s="910" t="n">
        <f aca="false">E11*T11</f>
        <v>20655.4299379486</v>
      </c>
      <c r="AG11" s="0" t="n">
        <f aca="false">IF(E11="","",J11*E11)</f>
        <v>228</v>
      </c>
      <c r="AH11" s="0" t="n">
        <f aca="false">IF(E11=0,0,(((F11+3)*0.5)*((F11+3)*0.5)*3.145/144*(1+K$49)/27)-AI11)</f>
        <v>0.0327968171296296</v>
      </c>
      <c r="AI11" s="0" t="n">
        <f aca="false">(F11*0.5)*(F11*0.5)*3.145/144*(1+K$49)/27</f>
        <v>0.12347037037037</v>
      </c>
      <c r="AJ11" s="0" t="n">
        <f aca="false">IF(E11="","",R11/E11/J11)</f>
        <v>17.071578534996</v>
      </c>
      <c r="AK11" s="0" t="n">
        <f aca="false">AH11*1.4*4</f>
        <v>0.183662175925926</v>
      </c>
      <c r="AL11" s="0" t="n">
        <f aca="false">IF(SUM(AT11:BC11)=0,0,(SUM(BW11:CF11)/SUM(AT11:BC11)*AH11))</f>
        <v>5.14787040870949</v>
      </c>
      <c r="AM11" s="0" t="n">
        <f aca="false">IF(F11=$AM$50,$AM$56,IF(F11=$AN$50,$AN$56,IF(F11=AO$50,AO$56,IF(F11=AP$50,AP$56,IF(F11=AQ$50,AQ$56,IF(F11=AR$50,AR$56,IF(F11=AS$50,AS$56,IF(F11=AT$50,AT$56,0))))))))</f>
        <v>0</v>
      </c>
      <c r="AN11" s="0" t="n">
        <f aca="false">IF(BD11&gt;0,AM$54,0)+IF(BE11&gt;0,AN$54,0)+IF(BF11&gt;0,AO$54,0)+IF(BG11&gt;0,AP$54,0)+IF(BH11&gt;0,AQ$54,0)+IF(BI11&gt;0,AR$54,0)+IF(BJ11&gt;0,AS$54,0)+IF(BK11&gt;0,AT$54,0)</f>
        <v>30</v>
      </c>
      <c r="AO11" s="0" t="n">
        <f aca="false">IF(E11="","",SUM(BN11:BU11)/(E11*J11))</f>
        <v>8</v>
      </c>
      <c r="AP11" s="0" t="n">
        <v>3</v>
      </c>
      <c r="AQ11" s="0" t="n">
        <f aca="false">IF(E11="","",R11/(E11*J11)*G$53)</f>
        <v>12.803683901247</v>
      </c>
      <c r="AR11" s="0" t="n">
        <f aca="false">IF(SUM(AT11:BC11)=0,0,SUM(BW11:CF11)/SUM(AT11:BC11)*AI11)</f>
        <v>19.3802180092593</v>
      </c>
      <c r="AS11" s="0" t="n">
        <f aca="false">AI11*1.3*4</f>
        <v>0.642045925925926</v>
      </c>
      <c r="AT11" s="0" t="n">
        <f aca="false">IF($D11=1,S11,0)</f>
        <v>0</v>
      </c>
      <c r="AU11" s="0" t="n">
        <f aca="false">IF($D11=2,S11,0)</f>
        <v>0</v>
      </c>
      <c r="AV11" s="0" t="n">
        <f aca="false">IF($D11=3,S11,0)</f>
        <v>0</v>
      </c>
      <c r="AW11" s="0" t="n">
        <f aca="false">IF($D11=4,S11,0)</f>
        <v>0</v>
      </c>
      <c r="AX11" s="908" t="n">
        <f aca="false">IF($D11=5,S11,0)</f>
        <v>28.1172302222222</v>
      </c>
      <c r="AY11" s="0" t="n">
        <f aca="false">IF($D11=6,S11,0)</f>
        <v>0</v>
      </c>
      <c r="AZ11" s="0" t="n">
        <f aca="false">IF($D11=7,S11,0)</f>
        <v>0</v>
      </c>
      <c r="BA11" s="0" t="n">
        <f aca="false">IF($D11=8,S11,0)</f>
        <v>0</v>
      </c>
      <c r="BB11" s="0" t="n">
        <f aca="false">IF($D11=9,S11,0)</f>
        <v>0</v>
      </c>
      <c r="BC11" s="0" t="n">
        <f aca="false">IF($D11=10,S11,0)</f>
        <v>0</v>
      </c>
      <c r="BD11" s="0" t="n">
        <f aca="false">IF(F11&gt;0,IF(F11&lt;=BD$10,E11*$J11,0),0)</f>
        <v>0</v>
      </c>
      <c r="BE11" s="0" t="n">
        <f aca="false">IF($F11&gt;BD$10,IF($F11&lt;=BE$10,$E11*$J11,0),0)</f>
        <v>0</v>
      </c>
      <c r="BF11" s="0" t="n">
        <f aca="false">IF($F11&gt;BE$10,IF($F11&lt;=BF$10,$E11*$J11,0),0)</f>
        <v>228</v>
      </c>
      <c r="BG11" s="0" t="n">
        <f aca="false">IF($F11&gt;BF$10,IF($F11&lt;=BG$10,$E11*$J11,0),0)</f>
        <v>0</v>
      </c>
      <c r="BH11" s="0" t="n">
        <f aca="false">IF($F11&gt;BG$10,IF($F11&lt;=BH$10,$E11*$J11,0),0)</f>
        <v>0</v>
      </c>
      <c r="BI11" s="0" t="n">
        <f aca="false">IF($F11&gt;BH$10,IF($F11&lt;=BI$10,$E11*$J11,0),0)</f>
        <v>0</v>
      </c>
      <c r="BJ11" s="0" t="n">
        <f aca="false">IF($F11&gt;BI$10,IF($F11&lt;=BJ$10,$E11*$J11,0),0)</f>
        <v>0</v>
      </c>
      <c r="BK11" s="0" t="n">
        <f aca="false">IF($F11&gt;BJ$10,IF($F11&lt;=BK$10,$E11*$J11,0),0)</f>
        <v>0</v>
      </c>
      <c r="BL11" s="0" t="str">
        <f aca="false">IF(I11="","",I11*E11)</f>
        <v/>
      </c>
      <c r="BM11" s="911" t="n">
        <f aca="false">IF(SUM(BN11:BV11)="","",SUM(BN11:BV11)/SUM(BN$39:BV$39))*J$54</f>
        <v>0</v>
      </c>
      <c r="BN11" s="912" t="n">
        <f aca="false">BD11*AM$52</f>
        <v>0</v>
      </c>
      <c r="BO11" s="913" t="n">
        <f aca="false">BE11*AN$52</f>
        <v>0</v>
      </c>
      <c r="BP11" s="913" t="n">
        <f aca="false">BF11*AO$52</f>
        <v>1824</v>
      </c>
      <c r="BQ11" s="913" t="n">
        <f aca="false">BG11*AP$52</f>
        <v>0</v>
      </c>
      <c r="BR11" s="913" t="n">
        <f aca="false">BH11*AQ$52</f>
        <v>0</v>
      </c>
      <c r="BS11" s="913" t="n">
        <f aca="false">BI11*AR$52</f>
        <v>0</v>
      </c>
      <c r="BT11" s="913" t="n">
        <f aca="false">BJ11*AS$52</f>
        <v>0</v>
      </c>
      <c r="BU11" s="913" t="n">
        <f aca="false">BK11*AT$52</f>
        <v>0</v>
      </c>
      <c r="BV11" s="914" t="str">
        <f aca="false">IF(BL11="","",BL11*AR$45)</f>
        <v/>
      </c>
      <c r="BW11" s="915" t="n">
        <f aca="false">AT11*Pricing!F$3*IF($T$41="N",(1+$V$41),1)</f>
        <v>0</v>
      </c>
      <c r="BX11" s="291" t="n">
        <f aca="false">AU11*Pricing!G$3*IF($T$41="N",(1+$V$41),1)</f>
        <v>0</v>
      </c>
      <c r="BY11" s="291" t="n">
        <f aca="false">AV11*Pricing!H$3*IF($T$41="N",(1+$V$41),1)</f>
        <v>0</v>
      </c>
      <c r="BZ11" s="291" t="n">
        <f aca="false">AW11*Pricing!I$3*IF($T$41="N",(1+$V$41),1)</f>
        <v>0</v>
      </c>
      <c r="CA11" s="291" t="n">
        <f aca="false">AX11*Pricing!J$3*IF($T$41="N",(1+$V$41),1)</f>
        <v>4413.35074875556</v>
      </c>
      <c r="CB11" s="291" t="n">
        <f aca="false">AY11*Pricing!K$3*IF($T$41="N",(1+$V$41),1)</f>
        <v>0</v>
      </c>
      <c r="CC11" s="291" t="n">
        <f aca="false">AZ11*Pricing!L$3*IF($T$41="N",(1+$V$41),1)</f>
        <v>0</v>
      </c>
      <c r="CD11" s="291" t="n">
        <f aca="false">BA11*Pricing!M$3*IF($T$41="N",(1+$V$41),1)</f>
        <v>0</v>
      </c>
      <c r="CE11" s="291" t="n">
        <f aca="false">BB11*Pricing!N$3*IF($T$41="N",(1+$V$41),1)</f>
        <v>0</v>
      </c>
      <c r="CF11" s="916" t="n">
        <f aca="false">BC11*Pricing!O$3*IF($T$41="N",(1+$V$41),1)</f>
        <v>0</v>
      </c>
      <c r="CG11" s="291" t="n">
        <f aca="false">IF(E11=0,0,R11*G$53*IF($T$41="n",(1+$V$41),1))</f>
        <v>3160.07722366677</v>
      </c>
      <c r="CH11" s="915" t="n">
        <f aca="false">E11*H$57</f>
        <v>1800</v>
      </c>
      <c r="CI11" s="291" t="n">
        <f aca="false">Z11*E$60</f>
        <v>0</v>
      </c>
      <c r="CJ11" s="291" t="n">
        <f aca="false">IF(E11="","",R11/2000*E$61)</f>
        <v>875.771978845295</v>
      </c>
      <c r="CK11" s="291" t="n">
        <f aca="false">O$62/I$57*E11</f>
        <v>0</v>
      </c>
      <c r="CL11" s="917" t="n">
        <f aca="false">O$63/I$57*E11</f>
        <v>0</v>
      </c>
      <c r="CM11" s="918" t="n">
        <f aca="false">IF(E11="",0,(W$85)/E$39*E11)</f>
        <v>1275.88253450324</v>
      </c>
      <c r="CN11" s="916" t="n">
        <f aca="false">IF(E11="",0,SUM(O$66:P$69)/E$39*E11)</f>
        <v>1231.1320754717</v>
      </c>
      <c r="CO11" s="918" t="n">
        <f aca="false">IF(E11="",0,SUM(O$71:P$76)/E$39*E11)</f>
        <v>819.403301886792</v>
      </c>
      <c r="CP11" s="291" t="n">
        <f aca="false">IF(E11="",0,SUM(O$78:P$83)/E$39*E11)</f>
        <v>2104.9837792</v>
      </c>
      <c r="CQ11" s="55" t="n">
        <f aca="false">O$84/I$57*E11</f>
        <v>0</v>
      </c>
      <c r="CR11" s="919" t="n">
        <f aca="false">IF(E11="",0,T11*E11)</f>
        <v>20655.4299379486</v>
      </c>
    </row>
    <row r="12" customFormat="false" ht="19.5" hidden="false" customHeight="true" outlineLevel="0" collapsed="false">
      <c r="A12" s="16" t="s">
        <v>1256</v>
      </c>
      <c r="B12" s="894"/>
      <c r="C12" s="566"/>
      <c r="D12" s="895" t="n">
        <v>5</v>
      </c>
      <c r="E12" s="896" t="n">
        <v>12</v>
      </c>
      <c r="F12" s="897" t="n">
        <v>24</v>
      </c>
      <c r="G12" s="897" t="n">
        <v>16</v>
      </c>
      <c r="H12" s="897" t="n">
        <v>5</v>
      </c>
      <c r="I12" s="898"/>
      <c r="J12" s="899" t="n">
        <f aca="false">G12+H12</f>
        <v>21</v>
      </c>
      <c r="K12" s="78" t="n">
        <v>7</v>
      </c>
      <c r="L12" s="900" t="n">
        <v>6</v>
      </c>
      <c r="M12" s="78" t="n">
        <v>3</v>
      </c>
      <c r="N12" s="900" t="n">
        <v>10</v>
      </c>
      <c r="O12" s="901" t="n">
        <v>4</v>
      </c>
      <c r="P12" s="78" t="n">
        <v>6</v>
      </c>
      <c r="Q12" s="898" t="n">
        <v>8</v>
      </c>
      <c r="R12" s="902" t="n">
        <f aca="false">IF(E12="",0,IF(N12=0,(L12/16*L12/16*K12*10.680159*E12*J12)+(O12*P12/16*P12/16*10.680159*E12*Q12),(L12/16*L12/16*K12*10.680159*E12*J12)+(O12*P12/16*P12/16*10.680159*E12*Q12)+(M12/16*M12/16*10.680159*((F12-3)*3.1412)*E12*J12/N12)))*(1+K$53)</f>
        <v>4235.25869138741</v>
      </c>
      <c r="S12" s="902" t="n">
        <f aca="false">(IF(E12="",0,(((F12*F12/576)*J12*3.1412/27)+0.5*((3.1412*(I12*I12/576)*I12/12)/27-((F12*F12/576)*I12/12*3.1412/27)))*E12)*(1+K$49))</f>
        <v>31.0769386666667</v>
      </c>
      <c r="T12" s="903" t="n">
        <f aca="false">(IF(E12="",0,IF(J$54="",SUM(BN12:CP12)/E12,(SUM(BW12:CP12)+BM12)/E12)))*(1+M$42+Summary!P$57)</f>
        <v>1820.8137039958</v>
      </c>
      <c r="U12" s="904" t="n">
        <f aca="false">IF(E12=0,0,SUM(AO12:AS12)*(1+W$39))</f>
        <v>52.3526406200344</v>
      </c>
      <c r="V12" s="905" t="n">
        <f aca="false">AM12+AR12</f>
        <v>19.3802180092593</v>
      </c>
      <c r="W12" s="906" t="n">
        <f aca="false">IF(E12=0,0,(AN12+(AL12)+(AP12-0.5)+(AK12))*(1+W$39))</f>
        <v>45.3978391015625</v>
      </c>
      <c r="X12" s="907" t="n">
        <f aca="false">E12</f>
        <v>12</v>
      </c>
      <c r="Y12" s="908" t="n">
        <f aca="false">R12</f>
        <v>4235.25869138741</v>
      </c>
      <c r="Z12" s="908" t="n">
        <f aca="false">S12</f>
        <v>31.0769386666667</v>
      </c>
      <c r="AA12" s="909" t="n">
        <f aca="false">E12</f>
        <v>12</v>
      </c>
      <c r="AB12" s="910" t="n">
        <f aca="false">E12*T12</f>
        <v>21849.7644479496</v>
      </c>
      <c r="AG12" s="0" t="n">
        <f aca="false">IF(E12="","",J12*E12)</f>
        <v>252</v>
      </c>
      <c r="AH12" s="0" t="n">
        <f aca="false">IF(E12=0,0,(((F12+3)*0.5)*((F12+3)*0.5)*3.145/144*(1+K$49)/27)-AI12)</f>
        <v>0.0327968171296296</v>
      </c>
      <c r="AI12" s="0" t="n">
        <f aca="false">(F12*0.5)*(F12*0.5)*3.145/144*(1+K$49)/27</f>
        <v>0.12347037037037</v>
      </c>
      <c r="AJ12" s="0" t="n">
        <f aca="false">IF(E12="","",R12/E12/J12)</f>
        <v>16.8065821086802</v>
      </c>
      <c r="AK12" s="0" t="n">
        <f aca="false">AH12*1.4*4</f>
        <v>0.183662175925926</v>
      </c>
      <c r="AL12" s="0" t="n">
        <f aca="false">IF(SUM(AT12:BC12)=0,0,(SUM(BW12:CF12)/SUM(AT12:BC12)*AH12))</f>
        <v>5.14787040870949</v>
      </c>
      <c r="AM12" s="0" t="n">
        <f aca="false">IF(F12=$AM$50,$AM$56,IF(F12=$AN$50,$AN$56,IF(F12=AO$50,AO$56,IF(F12=AP$50,AP$56,IF(F12=AQ$50,AQ$56,IF(F12=AR$50,AR$56,IF(F12=AS$50,AS$56,IF(F12=AT$50,AT$56,0))))))))</f>
        <v>0</v>
      </c>
      <c r="AN12" s="0" t="n">
        <f aca="false">IF(BD12&gt;0,AM$54,0)+IF(BE12&gt;0,AN$54,0)+IF(BF12&gt;0,AO$54,0)+IF(BG12&gt;0,AP$54,0)+IF(BH12&gt;0,AQ$54,0)+IF(BI12&gt;0,AR$54,0)+IF(BJ12&gt;0,AS$54,0)+IF(BK12&gt;0,AT$54,0)</f>
        <v>30</v>
      </c>
      <c r="AO12" s="0" t="n">
        <f aca="false">IF(E12="","",SUM(BN12:BU12)/(E12*J12))</f>
        <v>8</v>
      </c>
      <c r="AP12" s="0" t="n">
        <v>3</v>
      </c>
      <c r="AQ12" s="0" t="n">
        <f aca="false">IF(E12="","",R12/(E12*J12)*G$53)</f>
        <v>12.6049365815102</v>
      </c>
      <c r="AR12" s="0" t="n">
        <f aca="false">IF(SUM(AT12:BC12)=0,0,SUM(BW12:CF12)/SUM(AT12:BC12)*AI12)</f>
        <v>19.3802180092593</v>
      </c>
      <c r="AS12" s="0" t="n">
        <f aca="false">AI12*1.3*4</f>
        <v>0.642045925925926</v>
      </c>
      <c r="AT12" s="0" t="n">
        <f aca="false">IF($D12=1,S12,0)</f>
        <v>0</v>
      </c>
      <c r="AU12" s="0" t="n">
        <f aca="false">IF($D12=2,S12,0)</f>
        <v>0</v>
      </c>
      <c r="AV12" s="0" t="n">
        <f aca="false">IF($D12=3,S12,0)</f>
        <v>0</v>
      </c>
      <c r="AW12" s="0" t="n">
        <f aca="false">IF($D12=4,S12,0)</f>
        <v>0</v>
      </c>
      <c r="AX12" s="908" t="n">
        <f aca="false">IF($D12=5,S12,0)</f>
        <v>31.0769386666667</v>
      </c>
      <c r="AY12" s="0" t="n">
        <f aca="false">IF($D12=6,S12,0)</f>
        <v>0</v>
      </c>
      <c r="AZ12" s="0" t="n">
        <f aca="false">IF($D12=7,S12,0)</f>
        <v>0</v>
      </c>
      <c r="BA12" s="0" t="n">
        <f aca="false">IF($D12=8,S12,0)</f>
        <v>0</v>
      </c>
      <c r="BB12" s="0" t="n">
        <f aca="false">IF($D12=9,S12,0)</f>
        <v>0</v>
      </c>
      <c r="BC12" s="0" t="n">
        <f aca="false">IF($D12=10,S12,0)</f>
        <v>0</v>
      </c>
      <c r="BD12" s="0" t="n">
        <f aca="false">IF(F12&gt;0,IF(F12&lt;=BD$10,E12*$J12,0),0)</f>
        <v>0</v>
      </c>
      <c r="BE12" s="0" t="n">
        <f aca="false">IF($F12&gt;BD$10,IF($F12&lt;=BE$10,$E12*$J12,0),0)</f>
        <v>0</v>
      </c>
      <c r="BF12" s="0" t="n">
        <f aca="false">IF($F12&gt;BE$10,IF($F12&lt;=BF$10,$E12*$J12,0),0)</f>
        <v>252</v>
      </c>
      <c r="BG12" s="0" t="n">
        <f aca="false">IF($F12&gt;BF$10,IF($F12&lt;=BG$10,$E12*$J12,0),0)</f>
        <v>0</v>
      </c>
      <c r="BH12" s="0" t="n">
        <f aca="false">IF($F12&gt;BG$10,IF($F12&lt;=BH$10,$E12*$J12,0),0)</f>
        <v>0</v>
      </c>
      <c r="BI12" s="0" t="n">
        <f aca="false">IF($F12&gt;BH$10,IF($F12&lt;=BI$10,$E12*$J12,0),0)</f>
        <v>0</v>
      </c>
      <c r="BJ12" s="0" t="n">
        <f aca="false">IF($F12&gt;BI$10,IF($F12&lt;=BJ$10,$E12*$J12,0),0)</f>
        <v>0</v>
      </c>
      <c r="BK12" s="0" t="n">
        <f aca="false">IF($F12&gt;BJ$10,IF($F12&lt;=BK$10,$E12*$J12,0),0)</f>
        <v>0</v>
      </c>
      <c r="BL12" s="0" t="str">
        <f aca="false">IF(I12="","",I12*E12)</f>
        <v/>
      </c>
      <c r="BM12" s="911" t="n">
        <f aca="false">IF(SUM(BN12:BV12)="","",SUM(BN12:BV12)/SUM(BN$39:BV$39))*J$54</f>
        <v>0</v>
      </c>
      <c r="BN12" s="915" t="n">
        <f aca="false">BD12*AM$52</f>
        <v>0</v>
      </c>
      <c r="BO12" s="291" t="n">
        <f aca="false">BE12*AN$52</f>
        <v>0</v>
      </c>
      <c r="BP12" s="291" t="n">
        <f aca="false">BF12*AO$52</f>
        <v>2016</v>
      </c>
      <c r="BQ12" s="291" t="n">
        <f aca="false">BG12*AP$52</f>
        <v>0</v>
      </c>
      <c r="BR12" s="291" t="n">
        <f aca="false">BH12*AQ$52</f>
        <v>0</v>
      </c>
      <c r="BS12" s="291" t="n">
        <f aca="false">BI12*AR$52</f>
        <v>0</v>
      </c>
      <c r="BT12" s="291" t="n">
        <f aca="false">BJ12*AS$52</f>
        <v>0</v>
      </c>
      <c r="BU12" s="291" t="n">
        <f aca="false">BK12*AT$52</f>
        <v>0</v>
      </c>
      <c r="BV12" s="916" t="str">
        <f aca="false">IF(BL12="","",BL12*AR$45)</f>
        <v/>
      </c>
      <c r="BW12" s="915" t="n">
        <f aca="false">AT12*Pricing!F$3*IF($T$41="N",(1+$V$41),1)</f>
        <v>0</v>
      </c>
      <c r="BX12" s="291" t="n">
        <f aca="false">AU12*Pricing!G$3*IF($T$41="N",(1+$V$41),1)</f>
        <v>0</v>
      </c>
      <c r="BY12" s="291" t="n">
        <f aca="false">AV12*Pricing!H$3*IF($T$41="N",(1+$V$41),1)</f>
        <v>0</v>
      </c>
      <c r="BZ12" s="291" t="n">
        <f aca="false">AW12*Pricing!I$3*IF($T$41="N",(1+$V$41),1)</f>
        <v>0</v>
      </c>
      <c r="CA12" s="291" t="n">
        <f aca="false">AX12*Pricing!J$3*IF($T$41="N",(1+$V$41),1)</f>
        <v>4877.91398546667</v>
      </c>
      <c r="CB12" s="291" t="n">
        <f aca="false">AY12*Pricing!K$3*IF($T$41="N",(1+$V$41),1)</f>
        <v>0</v>
      </c>
      <c r="CC12" s="291" t="n">
        <f aca="false">AZ12*Pricing!L$3*IF($T$41="N",(1+$V$41),1)</f>
        <v>0</v>
      </c>
      <c r="CD12" s="291" t="n">
        <f aca="false">BA12*Pricing!M$3*IF($T$41="N",(1+$V$41),1)</f>
        <v>0</v>
      </c>
      <c r="CE12" s="291" t="n">
        <f aca="false">BB12*Pricing!N$3*IF($T$41="N",(1+$V$41),1)</f>
        <v>0</v>
      </c>
      <c r="CF12" s="916" t="n">
        <f aca="false">BC12*Pricing!O$3*IF($T$41="N",(1+$V$41),1)</f>
        <v>0</v>
      </c>
      <c r="CG12" s="291" t="n">
        <f aca="false">IF(E12=0,0,R12*G$53*IF($T$41="n",(1+$V$41),1))</f>
        <v>3438.50065007015</v>
      </c>
      <c r="CH12" s="915" t="n">
        <f aca="false">E12*H$57</f>
        <v>1800</v>
      </c>
      <c r="CI12" s="291" t="n">
        <f aca="false">Z12*E$60</f>
        <v>0</v>
      </c>
      <c r="CJ12" s="291" t="n">
        <f aca="false">IF(E12="","",R12/2000*E$61)</f>
        <v>952.933205562168</v>
      </c>
      <c r="CK12" s="291" t="n">
        <f aca="false">O$62/I$57*E12</f>
        <v>0</v>
      </c>
      <c r="CL12" s="917" t="n">
        <f aca="false">O$63/I$57*E12</f>
        <v>0</v>
      </c>
      <c r="CM12" s="918" t="n">
        <f aca="false">IF(E12="",0,(W$85)/E$39*E12)</f>
        <v>1275.88253450324</v>
      </c>
      <c r="CN12" s="916" t="n">
        <f aca="false">IF(E12="",0,SUM(O$66:P$69)/E$39*E12)</f>
        <v>1231.1320754717</v>
      </c>
      <c r="CO12" s="918" t="n">
        <f aca="false">IF(E12="",0,SUM(O$71:P$76)/E$39*E12)</f>
        <v>819.403301886792</v>
      </c>
      <c r="CP12" s="291" t="n">
        <f aca="false">IF(E12="",0,SUM(O$78:P$83)/E$39*E12)</f>
        <v>2104.9837792</v>
      </c>
      <c r="CQ12" s="55" t="n">
        <f aca="false">O$84/I$57*E12</f>
        <v>0</v>
      </c>
      <c r="CR12" s="919" t="n">
        <f aca="false">IF(E12="",0,T12*E12)</f>
        <v>21849.7644479496</v>
      </c>
    </row>
    <row r="13" customFormat="false" ht="19.5" hidden="false" customHeight="true" outlineLevel="0" collapsed="false">
      <c r="A13" s="16" t="s">
        <v>1256</v>
      </c>
      <c r="B13" s="894"/>
      <c r="C13" s="566"/>
      <c r="D13" s="895" t="n">
        <v>5</v>
      </c>
      <c r="E13" s="896" t="n">
        <v>46</v>
      </c>
      <c r="F13" s="897" t="n">
        <v>36</v>
      </c>
      <c r="G13" s="897" t="n">
        <v>16</v>
      </c>
      <c r="H13" s="897" t="n">
        <v>8</v>
      </c>
      <c r="I13" s="898"/>
      <c r="J13" s="899" t="n">
        <f aca="false">G13+H13</f>
        <v>24</v>
      </c>
      <c r="K13" s="78" t="n">
        <v>8</v>
      </c>
      <c r="L13" s="900" t="n">
        <v>8</v>
      </c>
      <c r="M13" s="78" t="n">
        <v>3</v>
      </c>
      <c r="N13" s="900" t="n">
        <v>10</v>
      </c>
      <c r="O13" s="901" t="n">
        <v>4</v>
      </c>
      <c r="P13" s="78" t="n">
        <v>6</v>
      </c>
      <c r="Q13" s="898" t="n">
        <v>8</v>
      </c>
      <c r="R13" s="902" t="n">
        <f aca="false">IF(E13="",0,IF(N13=0,(L13/16*L13/16*K13*10.680159*E13*J13)+(O13*P13/16*P13/16*10.680159*E13*Q13),(L13/16*L13/16*K13*10.680159*E13*J13)+(O13*P13/16*P13/16*10.680159*E13*Q13)+(M13/16*M13/16*10.680159*((F13-3)*3.1412)*E13*J13/N13)))*(1+K$53)</f>
        <v>33098.4717575411</v>
      </c>
      <c r="S13" s="902" t="n">
        <f aca="false">(IF(E13="",0,(((F13*F13/576)*J13*3.1412/27)+0.5*((3.1412*(I13*I13/576)*I13/12)/27-((F13*F13/576)*I13/12*3.1412/27)))*E13)*(1+K$49))</f>
        <v>306.329824</v>
      </c>
      <c r="T13" s="903" t="n">
        <f aca="false">(IF(E13="",0,IF(J$54="",SUM(BN13:CP13)/E13,(SUM(BW13:CP13)+BM13)/E13)))*(1+M$42+Summary!P$57)</f>
        <v>3674.45961612346</v>
      </c>
      <c r="U13" s="904" t="n">
        <f aca="false">IF(E13=0,0,SUM(AO13:AS13)*(1+W$39))</f>
        <v>120.642562427343</v>
      </c>
      <c r="V13" s="905" t="n">
        <f aca="false">AM13+AR13</f>
        <v>43.6054905208333</v>
      </c>
      <c r="W13" s="906" t="n">
        <f aca="false">IF(E13=0,0,(AN13+(AL13)+(AP13-0.5)+(AK13))*(1+W$39))</f>
        <v>66.4085869140625</v>
      </c>
      <c r="X13" s="907" t="n">
        <f aca="false">E13</f>
        <v>46</v>
      </c>
      <c r="Y13" s="908" t="n">
        <f aca="false">R13</f>
        <v>33098.4717575411</v>
      </c>
      <c r="Z13" s="908" t="n">
        <f aca="false">S13</f>
        <v>306.329824</v>
      </c>
      <c r="AA13" s="909" t="n">
        <f aca="false">E13</f>
        <v>46</v>
      </c>
      <c r="AB13" s="910" t="n">
        <f aca="false">E13*T13</f>
        <v>169025.142341679</v>
      </c>
      <c r="AG13" s="0" t="n">
        <f aca="false">IF(E13="","",J13*E13)</f>
        <v>1104</v>
      </c>
      <c r="AH13" s="0" t="n">
        <f aca="false">IF(E13=0,0,(((F13+3)*0.5)*((F13+3)*0.5)*3.145/144*(1+K$49)/27)-AI13)</f>
        <v>0.0482306134259259</v>
      </c>
      <c r="AI13" s="0" t="n">
        <f aca="false">(F13*0.5)*(F13*0.5)*3.145/144*(1+K$49)/27</f>
        <v>0.277808333333333</v>
      </c>
      <c r="AJ13" s="0" t="n">
        <f aca="false">IF(E13="","",R13/E13/J13)</f>
        <v>29.9804997803814</v>
      </c>
      <c r="AK13" s="0" t="n">
        <f aca="false">AH13*1.4*4</f>
        <v>0.270091435185185</v>
      </c>
      <c r="AL13" s="0" t="n">
        <f aca="false">IF(SUM(AT13:BC13)=0,0,(SUM(BW13:CF13)/SUM(AT13:BC13)*AH13))</f>
        <v>7.57039765986689</v>
      </c>
      <c r="AM13" s="0" t="n">
        <f aca="false">IF(F13=$AM$50,$AM$56,IF(F13=$AN$50,$AN$56,IF(F13=AO$50,AO$56,IF(F13=AP$50,AP$56,IF(F13=AQ$50,AQ$56,IF(F13=AR$50,AR$56,IF(F13=AS$50,AS$56,IF(F13=AT$50,AT$56,0))))))))</f>
        <v>0</v>
      </c>
      <c r="AN13" s="0" t="n">
        <f aca="false">IF(BD13&gt;0,AM$54,0)+IF(BE13&gt;0,AN$54,0)+IF(BF13&gt;0,AO$54,0)+IF(BG13&gt;0,AP$54,0)+IF(BH13&gt;0,AQ$54,0)+IF(BI13&gt;0,AR$54,0)+IF(BJ13&gt;0,AS$54,0)+IF(BK13&gt;0,AT$54,0)</f>
        <v>45</v>
      </c>
      <c r="AO13" s="0" t="n">
        <f aca="false">IF(E13="","",SUM(BN13:BU13)/(E13*J13))</f>
        <v>30</v>
      </c>
      <c r="AP13" s="0" t="n">
        <v>3</v>
      </c>
      <c r="AQ13" s="0" t="n">
        <f aca="false">IF(E13="","",R13/(E13*J13)*G$53)</f>
        <v>22.485374835286</v>
      </c>
      <c r="AR13" s="0" t="n">
        <f aca="false">IF(SUM(AT13:BC13)=0,0,SUM(BW13:CF13)/SUM(AT13:BC13)*AI13)</f>
        <v>43.6054905208333</v>
      </c>
      <c r="AS13" s="0" t="n">
        <f aca="false">AI13*1.3*4</f>
        <v>1.44460333333333</v>
      </c>
      <c r="AT13" s="0" t="n">
        <f aca="false">IF($D13=1,S13,0)</f>
        <v>0</v>
      </c>
      <c r="AU13" s="0" t="n">
        <f aca="false">IF($D13=2,S13,0)</f>
        <v>0</v>
      </c>
      <c r="AV13" s="0" t="n">
        <f aca="false">IF($D13=3,S13,0)</f>
        <v>0</v>
      </c>
      <c r="AW13" s="0" t="n">
        <f aca="false">IF($D13=4,S13,0)</f>
        <v>0</v>
      </c>
      <c r="AX13" s="0" t="n">
        <f aca="false">IF($D13=5,S13,0)</f>
        <v>306.329824</v>
      </c>
      <c r="AY13" s="0" t="n">
        <f aca="false">IF($D13=6,S13,0)</f>
        <v>0</v>
      </c>
      <c r="AZ13" s="0" t="n">
        <f aca="false">IF($D13=7,S13,0)</f>
        <v>0</v>
      </c>
      <c r="BA13" s="0" t="n">
        <f aca="false">IF($D13=8,S13,0)</f>
        <v>0</v>
      </c>
      <c r="BB13" s="0" t="n">
        <f aca="false">IF($D13=9,S13,0)</f>
        <v>0</v>
      </c>
      <c r="BC13" s="0" t="n">
        <f aca="false">IF($D13=10,S13,0)</f>
        <v>0</v>
      </c>
      <c r="BD13" s="0" t="n">
        <f aca="false">IF(F13&gt;0,IF(F13&lt;=BD$10,E13*$J13,0),0)</f>
        <v>0</v>
      </c>
      <c r="BE13" s="0" t="n">
        <f aca="false">IF($F13&gt;BD$10,IF($F13&lt;=BE$10,$E13*$J13,0),0)</f>
        <v>0</v>
      </c>
      <c r="BF13" s="0" t="n">
        <f aca="false">IF($F13&gt;BE$10,IF($F13&lt;=BF$10,$E13*$J13,0),0)</f>
        <v>0</v>
      </c>
      <c r="BG13" s="0" t="n">
        <f aca="false">IF($F13&gt;BF$10,IF($F13&lt;=BG$10,$E13*$J13,0),0)</f>
        <v>0</v>
      </c>
      <c r="BH13" s="0" t="n">
        <f aca="false">IF($F13&gt;BG$10,IF($F13&lt;=BH$10,$E13*$J13,0),0)</f>
        <v>1104</v>
      </c>
      <c r="BI13" s="0" t="n">
        <f aca="false">IF($F13&gt;BH$10,IF($F13&lt;=BI$10,$E13*$J13,0),0)</f>
        <v>0</v>
      </c>
      <c r="BJ13" s="0" t="n">
        <f aca="false">IF($F13&gt;BI$10,IF($F13&lt;=BJ$10,$E13*$J13,0),0)</f>
        <v>0</v>
      </c>
      <c r="BK13" s="0" t="n">
        <f aca="false">IF($F13&gt;BJ$10,IF($F13&lt;=BK$10,$E13*$J13,0),0)</f>
        <v>0</v>
      </c>
      <c r="BL13" s="0" t="str">
        <f aca="false">IF(I13="","",I13*E13)</f>
        <v/>
      </c>
      <c r="BM13" s="911" t="n">
        <f aca="false">IF(SUM(BN13:BV13)="","",SUM(BN13:BV13)/SUM(BN$39:BV$39))*J$54</f>
        <v>0</v>
      </c>
      <c r="BN13" s="915" t="n">
        <f aca="false">BD13*AM$52</f>
        <v>0</v>
      </c>
      <c r="BO13" s="291" t="n">
        <f aca="false">BE13*AN$52</f>
        <v>0</v>
      </c>
      <c r="BP13" s="291" t="n">
        <f aca="false">BF13*AO$52</f>
        <v>0</v>
      </c>
      <c r="BQ13" s="291" t="n">
        <f aca="false">BG13*AP$52</f>
        <v>0</v>
      </c>
      <c r="BR13" s="291" t="n">
        <f aca="false">BH13*AQ$52</f>
        <v>33120</v>
      </c>
      <c r="BS13" s="291" t="n">
        <f aca="false">BI13*AR$52</f>
        <v>0</v>
      </c>
      <c r="BT13" s="291" t="n">
        <f aca="false">BJ13*AS$52</f>
        <v>0</v>
      </c>
      <c r="BU13" s="291" t="n">
        <f aca="false">BK13*AT$52</f>
        <v>0</v>
      </c>
      <c r="BV13" s="916" t="str">
        <f aca="false">IF(BL13="","",BL13*AR$45)</f>
        <v/>
      </c>
      <c r="BW13" s="915" t="n">
        <f aca="false">AT13*Pricing!F$3*IF($T$41="N",(1+$V$41),1)</f>
        <v>0</v>
      </c>
      <c r="BX13" s="291" t="n">
        <f aca="false">AU13*Pricing!G$3*IF($T$41="N",(1+$V$41),1)</f>
        <v>0</v>
      </c>
      <c r="BY13" s="291" t="n">
        <f aca="false">AV13*Pricing!H$3*IF($T$41="N",(1+$V$41),1)</f>
        <v>0</v>
      </c>
      <c r="BZ13" s="291" t="n">
        <f aca="false">AW13*Pricing!I$3*IF($T$41="N",(1+$V$41),1)</f>
        <v>0</v>
      </c>
      <c r="CA13" s="291" t="n">
        <f aca="false">AX13*Pricing!J$3*IF($T$41="N",(1+$V$41),1)</f>
        <v>48082.2949996</v>
      </c>
      <c r="CB13" s="291" t="n">
        <f aca="false">AY13*Pricing!K$3*IF($T$41="N",(1+$V$41),1)</f>
        <v>0</v>
      </c>
      <c r="CC13" s="291" t="n">
        <f aca="false">AZ13*Pricing!L$3*IF($T$41="N",(1+$V$41),1)</f>
        <v>0</v>
      </c>
      <c r="CD13" s="291" t="n">
        <f aca="false">BA13*Pricing!M$3*IF($T$41="N",(1+$V$41),1)</f>
        <v>0</v>
      </c>
      <c r="CE13" s="291" t="n">
        <f aca="false">BB13*Pricing!N$3*IF($T$41="N",(1+$V$41),1)</f>
        <v>0</v>
      </c>
      <c r="CF13" s="916" t="n">
        <f aca="false">BC13*Pricing!O$3*IF($T$41="N",(1+$V$41),1)</f>
        <v>0</v>
      </c>
      <c r="CG13" s="291" t="n">
        <f aca="false">IF(E13=0,0,R13*G$53*IF($T$41="n",(1+$V$41),1))</f>
        <v>26871.8217581536</v>
      </c>
      <c r="CH13" s="915" t="n">
        <f aca="false">E13*H$57</f>
        <v>6900</v>
      </c>
      <c r="CI13" s="291" t="n">
        <f aca="false">Z13*E$60</f>
        <v>0</v>
      </c>
      <c r="CJ13" s="291" t="n">
        <f aca="false">IF(E13="","",R13/2000*E$61)</f>
        <v>7447.15614544674</v>
      </c>
      <c r="CK13" s="291" t="n">
        <f aca="false">O$62/I$57*E13</f>
        <v>0</v>
      </c>
      <c r="CL13" s="917" t="n">
        <f aca="false">O$63/I$57*E13</f>
        <v>0</v>
      </c>
      <c r="CM13" s="918" t="n">
        <f aca="false">IF(E13="",0,(W$85)/E$39*E13)</f>
        <v>4890.88304892907</v>
      </c>
      <c r="CN13" s="916" t="n">
        <f aca="false">IF(E13="",0,SUM(O$66:P$69)/E$39*E13)</f>
        <v>4719.33962264151</v>
      </c>
      <c r="CO13" s="918" t="n">
        <f aca="false">IF(E13="",0,SUM(O$71:P$76)/E$39*E13)</f>
        <v>3141.04599056604</v>
      </c>
      <c r="CP13" s="291" t="n">
        <f aca="false">IF(E13="",0,SUM(O$78:P$83)/E$39*E13)</f>
        <v>8069.10448693334</v>
      </c>
      <c r="CQ13" s="55" t="n">
        <f aca="false">O$84/I$57*E13</f>
        <v>0</v>
      </c>
      <c r="CR13" s="919" t="n">
        <f aca="false">IF(E13="",0,T13*E13)</f>
        <v>169025.142341679</v>
      </c>
    </row>
    <row r="14" customFormat="false" ht="19.5" hidden="false" customHeight="true" outlineLevel="0" collapsed="false">
      <c r="A14" s="16" t="s">
        <v>1256</v>
      </c>
      <c r="B14" s="894"/>
      <c r="C14" s="566"/>
      <c r="D14" s="895" t="n">
        <v>5</v>
      </c>
      <c r="E14" s="896" t="n">
        <v>20</v>
      </c>
      <c r="F14" s="897" t="n">
        <v>42</v>
      </c>
      <c r="G14" s="897" t="n">
        <v>16</v>
      </c>
      <c r="H14" s="897" t="n">
        <v>6</v>
      </c>
      <c r="I14" s="898"/>
      <c r="J14" s="899" t="n">
        <f aca="false">G14+H14</f>
        <v>22</v>
      </c>
      <c r="K14" s="78" t="n">
        <v>12</v>
      </c>
      <c r="L14" s="900" t="n">
        <v>8</v>
      </c>
      <c r="M14" s="78" t="n">
        <v>3</v>
      </c>
      <c r="N14" s="900" t="n">
        <v>10</v>
      </c>
      <c r="O14" s="901" t="n">
        <v>4</v>
      </c>
      <c r="P14" s="78" t="n">
        <v>6</v>
      </c>
      <c r="Q14" s="898" t="n">
        <v>8</v>
      </c>
      <c r="R14" s="902" t="n">
        <f aca="false">IF(E14="",0,IF(N14=0,(L14/16*L14/16*K14*10.680159*E14*J14)+(O14*P14/16*P14/16*10.680159*E14*Q14),(L14/16*L14/16*K14*10.680159*E14*J14)+(O14*P14/16*P14/16*10.680159*E14*Q14)+(M14/16*M14/16*10.680159*((F14-3)*3.1412)*E14*J14/N14)))*(1+K$53)</f>
        <v>18791.2375460483</v>
      </c>
      <c r="S14" s="902" t="n">
        <f aca="false">(IF(E14="",0,(((F14*F14/576)*J14*3.1412/27)+0.5*((3.1412*(I14*I14/576)*I14/12)/27-((F14*F14/576)*I14/12*3.1412/27)))*E14)*(1+K$49))</f>
        <v>166.175297037037</v>
      </c>
      <c r="T14" s="903" t="n">
        <f aca="false">(IF(E14="",0,IF(J$54="",SUM(BN14:CP14)/E14,(SUM(BW14:CP14)+BM14)/E14)))*(1+M$42+Summary!P$57)</f>
        <v>4178.36764796676</v>
      </c>
      <c r="U14" s="904" t="n">
        <f aca="false">IF(E14=0,0,SUM(AO14:AS14)*(1+W$39))</f>
        <v>151.618442215086</v>
      </c>
      <c r="V14" s="905" t="n">
        <f aca="false">AM14+AR14</f>
        <v>59.3519176533565</v>
      </c>
      <c r="W14" s="906" t="n">
        <f aca="false">IF(E14=0,0,(AN14+(AL14)+(AP14-0.5)+(AK14))*(1+W$39))</f>
        <v>85.9139608203125</v>
      </c>
      <c r="X14" s="907" t="n">
        <f aca="false">E14</f>
        <v>20</v>
      </c>
      <c r="Y14" s="908" t="n">
        <f aca="false">R14</f>
        <v>18791.2375460483</v>
      </c>
      <c r="Z14" s="908" t="n">
        <f aca="false">S14</f>
        <v>166.175297037037</v>
      </c>
      <c r="AA14" s="909" t="n">
        <f aca="false">E14</f>
        <v>20</v>
      </c>
      <c r="AB14" s="910" t="n">
        <f aca="false">E14*T14</f>
        <v>83567.3529593351</v>
      </c>
      <c r="AG14" s="0" t="n">
        <f aca="false">IF(E14="","",J14*E14)</f>
        <v>440</v>
      </c>
      <c r="AH14" s="0" t="n">
        <f aca="false">IF(E14=0,0,(((F14+3)*0.5)*((F14+3)*0.5)*3.145/144*(1+K$49)/27)-AI14)</f>
        <v>0.0559475115740741</v>
      </c>
      <c r="AI14" s="0" t="n">
        <f aca="false">(F14*0.5)*(F14*0.5)*3.145/144*(1+K$49)/27</f>
        <v>0.378128009259259</v>
      </c>
      <c r="AJ14" s="0" t="n">
        <f aca="false">IF(E14="","",R14/E14/J14)</f>
        <v>42.7073580592007</v>
      </c>
      <c r="AK14" s="0" t="n">
        <f aca="false">AH14*1.4*4</f>
        <v>0.313306064814815</v>
      </c>
      <c r="AL14" s="0" t="n">
        <f aca="false">IF(SUM(AT14:BC14)=0,0,(SUM(BW14:CF14)/SUM(AT14:BC14)*AH14))</f>
        <v>8.7816612854456</v>
      </c>
      <c r="AM14" s="0" t="n">
        <f aca="false">IF(F14=$AM$50,$AM$56,IF(F14=$AN$50,$AN$56,IF(F14=AO$50,AO$56,IF(F14=AP$50,AP$56,IF(F14=AQ$50,AQ$56,IF(F14=AR$50,AR$56,IF(F14=AS$50,AS$56,IF(F14=AT$50,AT$56,0))))))))</f>
        <v>0</v>
      </c>
      <c r="AN14" s="0" t="n">
        <f aca="false">IF(BD14&gt;0,AM$54,0)+IF(BE14&gt;0,AN$54,0)+IF(BF14&gt;0,AO$54,0)+IF(BG14&gt;0,AP$54,0)+IF(BH14&gt;0,AQ$54,0)+IF(BI14&gt;0,AR$54,0)+IF(BJ14&gt;0,AS$54,0)+IF(BK14&gt;0,AT$54,0)</f>
        <v>60</v>
      </c>
      <c r="AO14" s="0" t="n">
        <f aca="false">IF(E14="","",SUM(BN14:BU14)/(E14*J14))</f>
        <v>30</v>
      </c>
      <c r="AP14" s="0" t="n">
        <v>3</v>
      </c>
      <c r="AQ14" s="0" t="n">
        <f aca="false">IF(E14="","",R14/(E14*J14)*G$53)</f>
        <v>32.0305185444006</v>
      </c>
      <c r="AR14" s="0" t="n">
        <f aca="false">IF(SUM(AT14:BC14)=0,0,SUM(BW14:CF14)/SUM(AT14:BC14)*AI14)</f>
        <v>59.3519176533565</v>
      </c>
      <c r="AS14" s="0" t="n">
        <f aca="false">AI14*1.3*4</f>
        <v>1.96626564814815</v>
      </c>
      <c r="AT14" s="0" t="n">
        <f aca="false">IF($D14=1,S14,0)</f>
        <v>0</v>
      </c>
      <c r="AU14" s="0" t="n">
        <f aca="false">IF($D14=2,S14,0)</f>
        <v>0</v>
      </c>
      <c r="AV14" s="0" t="n">
        <f aca="false">IF($D14=3,S14,0)</f>
        <v>0</v>
      </c>
      <c r="AW14" s="0" t="n">
        <f aca="false">IF($D14=4,S14,0)</f>
        <v>0</v>
      </c>
      <c r="AX14" s="0" t="n">
        <f aca="false">IF($D14=5,S14,0)</f>
        <v>166.175297037037</v>
      </c>
      <c r="AY14" s="0" t="n">
        <f aca="false">IF($D14=6,S14,0)</f>
        <v>0</v>
      </c>
      <c r="AZ14" s="0" t="n">
        <f aca="false">IF($D14=7,S14,0)</f>
        <v>0</v>
      </c>
      <c r="BA14" s="0" t="n">
        <f aca="false">IF($D14=8,S14,0)</f>
        <v>0</v>
      </c>
      <c r="BB14" s="0" t="n">
        <f aca="false">IF($D14=9,S14,0)</f>
        <v>0</v>
      </c>
      <c r="BC14" s="0" t="n">
        <f aca="false">IF($D14=10,S14,0)</f>
        <v>0</v>
      </c>
      <c r="BD14" s="0" t="n">
        <f aca="false">IF(F14&gt;0,IF(F14&lt;=BD$10,E14*$J14,0),0)</f>
        <v>0</v>
      </c>
      <c r="BE14" s="0" t="n">
        <f aca="false">IF($F14&gt;BD$10,IF($F14&lt;=BE$10,$E14*$J14,0),0)</f>
        <v>0</v>
      </c>
      <c r="BF14" s="0" t="n">
        <f aca="false">IF($F14&gt;BE$10,IF($F14&lt;=BF$10,$E14*$J14,0),0)</f>
        <v>0</v>
      </c>
      <c r="BG14" s="0" t="n">
        <f aca="false">IF($F14&gt;BF$10,IF($F14&lt;=BG$10,$E14*$J14,0),0)</f>
        <v>0</v>
      </c>
      <c r="BH14" s="0" t="n">
        <f aca="false">IF($F14&gt;BG$10,IF($F14&lt;=BH$10,$E14*$J14,0),0)</f>
        <v>0</v>
      </c>
      <c r="BI14" s="0" t="n">
        <f aca="false">IF($F14&gt;BH$10,IF($F14&lt;=BI$10,$E14*$J14,0),0)</f>
        <v>440</v>
      </c>
      <c r="BJ14" s="0" t="n">
        <f aca="false">IF($F14&gt;BI$10,IF($F14&lt;=BJ$10,$E14*$J14,0),0)</f>
        <v>0</v>
      </c>
      <c r="BK14" s="0" t="n">
        <f aca="false">IF($F14&gt;BJ$10,IF($F14&lt;=BK$10,$E14*$J14,0),0)</f>
        <v>0</v>
      </c>
      <c r="BL14" s="0" t="str">
        <f aca="false">IF(I14="","",I14*E14)</f>
        <v/>
      </c>
      <c r="BM14" s="911" t="n">
        <f aca="false">IF(SUM(BN14:BV14)="","",SUM(BN14:BV14)/SUM(BN$39:BV$39))*J$54</f>
        <v>0</v>
      </c>
      <c r="BN14" s="915" t="n">
        <f aca="false">BD14*AM$52</f>
        <v>0</v>
      </c>
      <c r="BO14" s="291" t="n">
        <f aca="false">BE14*AN$52</f>
        <v>0</v>
      </c>
      <c r="BP14" s="291" t="n">
        <f aca="false">BF14*AO$52</f>
        <v>0</v>
      </c>
      <c r="BQ14" s="291" t="n">
        <f aca="false">BG14*AP$52</f>
        <v>0</v>
      </c>
      <c r="BR14" s="291" t="n">
        <f aca="false">BH14*AQ$52</f>
        <v>0</v>
      </c>
      <c r="BS14" s="291" t="n">
        <f aca="false">BI14*AR$52</f>
        <v>13200</v>
      </c>
      <c r="BT14" s="291" t="n">
        <f aca="false">BJ14*AS$52</f>
        <v>0</v>
      </c>
      <c r="BU14" s="291" t="n">
        <f aca="false">BK14*AT$52</f>
        <v>0</v>
      </c>
      <c r="BV14" s="916" t="str">
        <f aca="false">IF(BL14="","",BL14*AR$45)</f>
        <v/>
      </c>
      <c r="BW14" s="915" t="n">
        <f aca="false">AT14*Pricing!F$3*IF($T$41="N",(1+$V$41),1)</f>
        <v>0</v>
      </c>
      <c r="BX14" s="291" t="n">
        <f aca="false">AU14*Pricing!G$3*IF($T$41="N",(1+$V$41),1)</f>
        <v>0</v>
      </c>
      <c r="BY14" s="291" t="n">
        <f aca="false">AV14*Pricing!H$3*IF($T$41="N",(1+$V$41),1)</f>
        <v>0</v>
      </c>
      <c r="BZ14" s="291" t="n">
        <f aca="false">AW14*Pricing!I$3*IF($T$41="N",(1+$V$41),1)</f>
        <v>0</v>
      </c>
      <c r="CA14" s="291" t="n">
        <f aca="false">AX14*Pricing!J$3*IF($T$41="N",(1+$V$41),1)</f>
        <v>26083.2900611759</v>
      </c>
      <c r="CB14" s="291" t="n">
        <f aca="false">AY14*Pricing!K$3*IF($T$41="N",(1+$V$41),1)</f>
        <v>0</v>
      </c>
      <c r="CC14" s="291" t="n">
        <f aca="false">AZ14*Pricing!L$3*IF($T$41="N",(1+$V$41),1)</f>
        <v>0</v>
      </c>
      <c r="CD14" s="291" t="n">
        <f aca="false">BA14*Pricing!M$3*IF($T$41="N",(1+$V$41),1)</f>
        <v>0</v>
      </c>
      <c r="CE14" s="291" t="n">
        <f aca="false">BB14*Pricing!N$3*IF($T$41="N",(1+$V$41),1)</f>
        <v>0</v>
      </c>
      <c r="CF14" s="916" t="n">
        <f aca="false">BC14*Pricing!O$3*IF($T$41="N",(1+$V$41),1)</f>
        <v>0</v>
      </c>
      <c r="CG14" s="291" t="n">
        <f aca="false">IF(E14=0,0,R14*G$53*IF($T$41="n",(1+$V$41),1))</f>
        <v>15256.135982698</v>
      </c>
      <c r="CH14" s="915" t="n">
        <f aca="false">E14*H$57</f>
        <v>3000</v>
      </c>
      <c r="CI14" s="291" t="n">
        <f aca="false">Z14*E$60</f>
        <v>0</v>
      </c>
      <c r="CJ14" s="291" t="n">
        <f aca="false">IF(E14="","",R14/2000*E$61)</f>
        <v>4228.02844786087</v>
      </c>
      <c r="CK14" s="291" t="n">
        <f aca="false">O$62/I$57*E14</f>
        <v>0</v>
      </c>
      <c r="CL14" s="917" t="n">
        <f aca="false">O$63/I$57*E14</f>
        <v>0</v>
      </c>
      <c r="CM14" s="918" t="n">
        <f aca="false">IF(E14="",0,(W$85)/E$39*E14)</f>
        <v>2126.47089083873</v>
      </c>
      <c r="CN14" s="916" t="n">
        <f aca="false">IF(E14="",0,SUM(O$66:P$69)/E$39*E14)</f>
        <v>2051.88679245283</v>
      </c>
      <c r="CO14" s="918" t="n">
        <f aca="false">IF(E14="",0,SUM(O$71:P$76)/E$39*E14)</f>
        <v>1365.67216981132</v>
      </c>
      <c r="CP14" s="291" t="n">
        <f aca="false">IF(E14="",0,SUM(O$78:P$83)/E$39*E14)</f>
        <v>3508.30629866667</v>
      </c>
      <c r="CQ14" s="55" t="n">
        <f aca="false">O$84/I$57*E14</f>
        <v>0</v>
      </c>
      <c r="CR14" s="919" t="n">
        <f aca="false">IF(E14="",0,T14*E14)</f>
        <v>83567.3529593351</v>
      </c>
    </row>
    <row r="15" customFormat="false" ht="19.5" hidden="false" customHeight="true" outlineLevel="0" collapsed="false">
      <c r="B15" s="894"/>
      <c r="C15" s="566"/>
      <c r="D15" s="895" t="n">
        <v>5</v>
      </c>
      <c r="E15" s="896"/>
      <c r="F15" s="897"/>
      <c r="G15" s="897"/>
      <c r="H15" s="897"/>
      <c r="I15" s="898"/>
      <c r="J15" s="899" t="n">
        <f aca="false">G15+H15</f>
        <v>0</v>
      </c>
      <c r="K15" s="78"/>
      <c r="L15" s="900"/>
      <c r="M15" s="78"/>
      <c r="N15" s="900"/>
      <c r="O15" s="901"/>
      <c r="P15" s="78"/>
      <c r="Q15" s="898"/>
      <c r="R15" s="902" t="n">
        <f aca="false">IF(E15="",0,IF(N15=0,(L15/16*L15/16*K15*10.680159*E15*J15)+(O15*P15/16*P15/16*10.680159*E15*Q15),(L15/16*L15/16*K15*10.680159*E15*J15)+(O15*P15/16*P15/16*10.680159*E15*Q15)+(M15/16*M15/16*10.680159*((F15-3)*3.1412)*E15*J15/N15)))*(1+K$53)</f>
        <v>0</v>
      </c>
      <c r="S15" s="902" t="n">
        <f aca="false">(IF(E15="",0,(((F15*F15/576)*J15*3.1412/27)+0.5*((3.1412*(I15*I15/576)*I15/12)/27-((F15*F15/576)*I15/12*3.1412/27)))*E15)*(1+K$49))</f>
        <v>0</v>
      </c>
      <c r="T15" s="903" t="n">
        <f aca="false">(IF(E15="",0,IF(J$54="",SUM(BN15:CP15)/E15,(SUM(BW15:CP15)+BM15)/E15)))*(1+M$42+Summary!P$57)</f>
        <v>0</v>
      </c>
      <c r="U15" s="904" t="n">
        <f aca="false">IF(E15=0,0,SUM(AO15:AS15)*(1+W$39))</f>
        <v>0</v>
      </c>
      <c r="V15" s="905" t="n">
        <f aca="false">AM15+AR15</f>
        <v>0</v>
      </c>
      <c r="W15" s="906" t="n">
        <f aca="false">IF(E15=0,0,(AN15+(AL15)+(AP15-0.5)+(AK15))*(1+W$39))</f>
        <v>0</v>
      </c>
      <c r="X15" s="907" t="n">
        <f aca="false">E15</f>
        <v>0</v>
      </c>
      <c r="Y15" s="908" t="n">
        <f aca="false">R15</f>
        <v>0</v>
      </c>
      <c r="Z15" s="908" t="n">
        <f aca="false">S15</f>
        <v>0</v>
      </c>
      <c r="AA15" s="909" t="n">
        <f aca="false">E15</f>
        <v>0</v>
      </c>
      <c r="AB15" s="910" t="n">
        <f aca="false">E15*T15</f>
        <v>0</v>
      </c>
      <c r="AG15" s="0" t="str">
        <f aca="false">IF(E15="","",J15*E15)</f>
        <v/>
      </c>
      <c r="AH15" s="0" t="n">
        <f aca="false">IF(E15=0,0,(((F15+3)*0.5)*((F15+3)*0.5)*3.145/144*(1+K$49)/27)-AI15)</f>
        <v>0</v>
      </c>
      <c r="AI15" s="0" t="n">
        <f aca="false">(F15*0.5)*(F15*0.5)*3.145/144*(1+K$49)/27</f>
        <v>0</v>
      </c>
      <c r="AJ15" s="0" t="str">
        <f aca="false">IF(E15="","",R15/E15/J15)</f>
        <v/>
      </c>
      <c r="AK15" s="0" t="n">
        <f aca="false">AH15*1.4*4</f>
        <v>0</v>
      </c>
      <c r="AL15" s="0" t="n">
        <f aca="false">IF(SUM(AT15:BC15)=0,0,(SUM(BW15:CF15)/SUM(AT15:BC15)*AH15))</f>
        <v>0</v>
      </c>
      <c r="AM15" s="0" t="n">
        <f aca="false">IF(F15=$AM$50,$AM$56,IF(F15=$AN$50,$AN$56,IF(F15=AO$50,AO$56,IF(F15=AP$50,AP$56,IF(F15=AQ$50,AQ$56,IF(F15=AR$50,AR$56,IF(F15=AS$50,AS$56,IF(F15=AT$50,AT$56,0))))))))</f>
        <v>0</v>
      </c>
      <c r="AN15" s="0" t="n">
        <f aca="false">IF(BD15&gt;0,AM$54,0)+IF(BE15&gt;0,AN$54,0)+IF(BF15&gt;0,AO$54,0)+IF(BG15&gt;0,AP$54,0)+IF(BH15&gt;0,AQ$54,0)+IF(BI15&gt;0,AR$54,0)+IF(BJ15&gt;0,AS$54,0)+IF(BK15&gt;0,AT$54,0)</f>
        <v>0</v>
      </c>
      <c r="AO15" s="0" t="str">
        <f aca="false">IF(E15="","",SUM(BN15:BU15)/(E15*J15))</f>
        <v/>
      </c>
      <c r="AP15" s="0" t="n">
        <v>3</v>
      </c>
      <c r="AQ15" s="0" t="str">
        <f aca="false">IF(E15="","",R15/(E15*J15)*G$53)</f>
        <v/>
      </c>
      <c r="AR15" s="0" t="n">
        <f aca="false">IF(SUM(AT15:BC15)=0,0,SUM(BW15:CF15)/SUM(AT15:BC15)*AI15)</f>
        <v>0</v>
      </c>
      <c r="AS15" s="0" t="n">
        <f aca="false">AI15*1.3*4</f>
        <v>0</v>
      </c>
      <c r="AT15" s="0" t="n">
        <f aca="false">IF($D15=1,S15,0)</f>
        <v>0</v>
      </c>
      <c r="AU15" s="0" t="n">
        <f aca="false">IF($D15=2,S15,0)</f>
        <v>0</v>
      </c>
      <c r="AV15" s="0" t="n">
        <f aca="false">IF($D15=3,S15,0)</f>
        <v>0</v>
      </c>
      <c r="AW15" s="0" t="n">
        <f aca="false">IF($D15=4,S15,0)</f>
        <v>0</v>
      </c>
      <c r="AX15" s="908" t="n">
        <f aca="false">IF($D15=5,S15,0)</f>
        <v>0</v>
      </c>
      <c r="AY15" s="0" t="n">
        <f aca="false">IF($D15=6,S15,0)</f>
        <v>0</v>
      </c>
      <c r="AZ15" s="0" t="n">
        <f aca="false">IF($D15=7,S15,0)</f>
        <v>0</v>
      </c>
      <c r="BA15" s="0" t="n">
        <f aca="false">IF($D15=8,S15,0)</f>
        <v>0</v>
      </c>
      <c r="BB15" s="0" t="n">
        <f aca="false">IF($D15=9,S15,0)</f>
        <v>0</v>
      </c>
      <c r="BC15" s="0" t="n">
        <f aca="false">IF($D15=10,S15,0)</f>
        <v>0</v>
      </c>
      <c r="BD15" s="0" t="n">
        <f aca="false">IF(F15&gt;0,IF(F15&lt;=BD$10,E15*$J15,0),0)</f>
        <v>0</v>
      </c>
      <c r="BE15" s="0" t="n">
        <f aca="false">IF($F15&gt;BD$10,IF($F15&lt;=BE$10,$E15*$J15,0),0)</f>
        <v>0</v>
      </c>
      <c r="BF15" s="0" t="n">
        <f aca="false">IF($F15&gt;BE$10,IF($F15&lt;=BF$10,$E15*$J15,0),0)</f>
        <v>0</v>
      </c>
      <c r="BG15" s="0" t="n">
        <f aca="false">IF($F15&gt;BF$10,IF($F15&lt;=BG$10,$E15*$J15,0),0)</f>
        <v>0</v>
      </c>
      <c r="BH15" s="0" t="n">
        <f aca="false">IF($F15&gt;BG$10,IF($F15&lt;=BH$10,$E15*$J15,0),0)</f>
        <v>0</v>
      </c>
      <c r="BI15" s="0" t="n">
        <f aca="false">IF($F15&gt;BH$10,IF($F15&lt;=BI$10,$E15*$J15,0),0)</f>
        <v>0</v>
      </c>
      <c r="BJ15" s="0" t="n">
        <f aca="false">IF($F15&gt;BI$10,IF($F15&lt;=BJ$10,$E15*$J15,0),0)</f>
        <v>0</v>
      </c>
      <c r="BK15" s="0" t="n">
        <f aca="false">IF($F15&gt;BJ$10,IF($F15&lt;=BK$10,$E15*$J15,0),0)</f>
        <v>0</v>
      </c>
      <c r="BL15" s="0" t="str">
        <f aca="false">IF(I15="","",I15*E15)</f>
        <v/>
      </c>
      <c r="BM15" s="911" t="n">
        <f aca="false">IF(SUM(BN15:BV15)="","",SUM(BN15:BV15)/SUM(BN$39:BV$39))*J$54</f>
        <v>0</v>
      </c>
      <c r="BN15" s="915" t="n">
        <f aca="false">BD15*AM$52</f>
        <v>0</v>
      </c>
      <c r="BO15" s="291" t="n">
        <f aca="false">BE15*AN$52</f>
        <v>0</v>
      </c>
      <c r="BP15" s="291" t="n">
        <f aca="false">BF15*AO$52</f>
        <v>0</v>
      </c>
      <c r="BQ15" s="291" t="n">
        <f aca="false">BG15*AP$52</f>
        <v>0</v>
      </c>
      <c r="BR15" s="291" t="n">
        <f aca="false">BH15*AQ$52</f>
        <v>0</v>
      </c>
      <c r="BS15" s="291" t="n">
        <f aca="false">BI15*AR$52</f>
        <v>0</v>
      </c>
      <c r="BT15" s="291" t="n">
        <f aca="false">BJ15*AS$52</f>
        <v>0</v>
      </c>
      <c r="BU15" s="291" t="n">
        <f aca="false">BK15*AT$52</f>
        <v>0</v>
      </c>
      <c r="BV15" s="916" t="str">
        <f aca="false">IF(BL15="","",BL15*AR$45)</f>
        <v/>
      </c>
      <c r="BW15" s="915" t="n">
        <f aca="false">AT15*Pricing!F$3*IF($T$41="N",(1+$V$41),1)</f>
        <v>0</v>
      </c>
      <c r="BX15" s="291" t="n">
        <f aca="false">AU15*Pricing!G$3*IF($T$41="N",(1+$V$41),1)</f>
        <v>0</v>
      </c>
      <c r="BY15" s="291" t="n">
        <f aca="false">AV15*Pricing!H$3*IF($T$41="N",(1+$V$41),1)</f>
        <v>0</v>
      </c>
      <c r="BZ15" s="291" t="n">
        <f aca="false">AW15*Pricing!I$3*IF($T$41="N",(1+$V$41),1)</f>
        <v>0</v>
      </c>
      <c r="CA15" s="291" t="n">
        <f aca="false">AX15*Pricing!J$3*IF($T$41="N",(1+$V$41),1)</f>
        <v>0</v>
      </c>
      <c r="CB15" s="291" t="n">
        <f aca="false">AY15*Pricing!K$3*IF($T$41="N",(1+$V$41),1)</f>
        <v>0</v>
      </c>
      <c r="CC15" s="291" t="n">
        <f aca="false">AZ15*Pricing!L$3*IF($T$41="N",(1+$V$41),1)</f>
        <v>0</v>
      </c>
      <c r="CD15" s="291" t="n">
        <f aca="false">BA15*Pricing!M$3*IF($T$41="N",(1+$V$41),1)</f>
        <v>0</v>
      </c>
      <c r="CE15" s="291" t="n">
        <f aca="false">BB15*Pricing!N$3*IF($T$41="N",(1+$V$41),1)</f>
        <v>0</v>
      </c>
      <c r="CF15" s="916" t="n">
        <f aca="false">BC15*Pricing!O$3*IF($T$41="N",(1+$V$41),1)</f>
        <v>0</v>
      </c>
      <c r="CG15" s="291" t="n">
        <f aca="false">IF(E15=0,0,R15*G$53*IF($T$41="n",(1+$V$41),1))</f>
        <v>0</v>
      </c>
      <c r="CH15" s="915" t="n">
        <f aca="false">E15*H$57</f>
        <v>0</v>
      </c>
      <c r="CI15" s="291" t="n">
        <f aca="false">Z15*E$60</f>
        <v>0</v>
      </c>
      <c r="CJ15" s="291" t="str">
        <f aca="false">IF(E15="","",R15/2000*E$61)</f>
        <v/>
      </c>
      <c r="CK15" s="291" t="n">
        <f aca="false">O$62/I$57*E15</f>
        <v>0</v>
      </c>
      <c r="CL15" s="917" t="n">
        <f aca="false">O$63/I$57*E15</f>
        <v>0</v>
      </c>
      <c r="CM15" s="918" t="n">
        <f aca="false">IF(E15="",0,(W$85)/E$39*E15)</f>
        <v>0</v>
      </c>
      <c r="CN15" s="916" t="n">
        <f aca="false">IF(E15="",0,SUM(O$66:P$69)/E$39*E15)</f>
        <v>0</v>
      </c>
      <c r="CO15" s="918" t="n">
        <f aca="false">IF(E15="",0,SUM(O$71:P$76)/E$39*E15)</f>
        <v>0</v>
      </c>
      <c r="CP15" s="291" t="n">
        <f aca="false">IF(E15="",0,SUM(O$78:P$83)/E$39*E15)</f>
        <v>0</v>
      </c>
      <c r="CQ15" s="55" t="n">
        <f aca="false">O$84/I$57*E15</f>
        <v>0</v>
      </c>
      <c r="CR15" s="919" t="n">
        <f aca="false">IF(E15="",0,T15*E15)</f>
        <v>0</v>
      </c>
    </row>
    <row r="16" customFormat="false" ht="19.5" hidden="false" customHeight="true" outlineLevel="0" collapsed="false">
      <c r="A16" s="16" t="s">
        <v>1257</v>
      </c>
      <c r="B16" s="894"/>
      <c r="C16" s="566"/>
      <c r="D16" s="895" t="n">
        <v>5</v>
      </c>
      <c r="E16" s="896"/>
      <c r="F16" s="897"/>
      <c r="G16" s="897"/>
      <c r="H16" s="897"/>
      <c r="I16" s="898"/>
      <c r="J16" s="899" t="n">
        <f aca="false">G16+H16</f>
        <v>0</v>
      </c>
      <c r="K16" s="78"/>
      <c r="L16" s="900"/>
      <c r="M16" s="78"/>
      <c r="N16" s="900"/>
      <c r="O16" s="901"/>
      <c r="P16" s="78"/>
      <c r="Q16" s="898"/>
      <c r="R16" s="902" t="n">
        <f aca="false">IF(E16="",0,IF(N16=0,(L16/16*L16/16*K16*10.680159*E16*J16)+(O16*P16/16*P16/16*10.680159*E16*Q16),(L16/16*L16/16*K16*10.680159*E16*J16)+(O16*P16/16*P16/16*10.680159*E16*Q16)+(M16/16*M16/16*10.680159*((F16-3)*3.1412)*E16*J16/N16)))*(1+K$53)</f>
        <v>0</v>
      </c>
      <c r="S16" s="902" t="n">
        <f aca="false">(IF(E16="",0,(((F16*F16/576)*J16*3.1412/27)+0.5*((3.1412*(I16*I16/576)*I16/12)/27-((F16*F16/576)*I16/12*3.1412/27)))*E16)*(1+K$49))</f>
        <v>0</v>
      </c>
      <c r="T16" s="903" t="n">
        <f aca="false">(IF(E16="",0,IF(J$54="",SUM(BN16:CP16)/E16,(SUM(BW16:CP16)+BM16)/E16)))*(1+M$42+Summary!P$57)</f>
        <v>0</v>
      </c>
      <c r="U16" s="904" t="n">
        <f aca="false">IF(E16=0,0,SUM(AO16:AS16)*(1+W$39))</f>
        <v>0</v>
      </c>
      <c r="V16" s="905" t="n">
        <f aca="false">AM16+AR16</f>
        <v>0</v>
      </c>
      <c r="W16" s="906" t="n">
        <f aca="false">IF(E16=0,0,(AN16+(AL16)+(AP16-0.5)+(AK16))*(1+W$39))</f>
        <v>0</v>
      </c>
      <c r="X16" s="907" t="n">
        <f aca="false">E16</f>
        <v>0</v>
      </c>
      <c r="Y16" s="908" t="n">
        <f aca="false">R16</f>
        <v>0</v>
      </c>
      <c r="Z16" s="908" t="n">
        <f aca="false">S16</f>
        <v>0</v>
      </c>
      <c r="AA16" s="909" t="n">
        <f aca="false">E16</f>
        <v>0</v>
      </c>
      <c r="AB16" s="910" t="n">
        <f aca="false">E16*T16</f>
        <v>0</v>
      </c>
      <c r="AG16" s="0" t="str">
        <f aca="false">IF(E16="","",J16*E16)</f>
        <v/>
      </c>
      <c r="AH16" s="0" t="n">
        <f aca="false">IF(E16=0,0,(((F16+3)*0.5)*((F16+3)*0.5)*3.145/144*(1+K$49)/27)-AI16)</f>
        <v>0</v>
      </c>
      <c r="AI16" s="0" t="n">
        <f aca="false">(F16*0.5)*(F16*0.5)*3.145/144*(1+K$49)/27</f>
        <v>0</v>
      </c>
      <c r="AJ16" s="0" t="str">
        <f aca="false">IF(E16="","",R16/E16/J16)</f>
        <v/>
      </c>
      <c r="AK16" s="0" t="n">
        <f aca="false">AH16*1.4*4</f>
        <v>0</v>
      </c>
      <c r="AL16" s="0" t="n">
        <f aca="false">IF(SUM(AT16:BC16)=0,0,(SUM(BW16:CF16)/SUM(AT16:BC16)*AH16))</f>
        <v>0</v>
      </c>
      <c r="AM16" s="0" t="n">
        <f aca="false">IF(F16=$AM$50,$AM$56,IF(F16=$AN$50,$AN$56,IF(F16=AO$50,AO$56,IF(F16=AP$50,AP$56,IF(F16=AQ$50,AQ$56,IF(F16=AR$50,AR$56,IF(F16=AS$50,AS$56,IF(F16=AT$50,AT$56,0))))))))</f>
        <v>0</v>
      </c>
      <c r="AN16" s="0" t="n">
        <f aca="false">IF(BD16&gt;0,AM$54,0)+IF(BE16&gt;0,AN$54,0)+IF(BF16&gt;0,AO$54,0)+IF(BG16&gt;0,AP$54,0)+IF(BH16&gt;0,AQ$54,0)+IF(BI16&gt;0,AR$54,0)+IF(BJ16&gt;0,AS$54,0)+IF(BK16&gt;0,AT$54,0)</f>
        <v>0</v>
      </c>
      <c r="AO16" s="0" t="str">
        <f aca="false">IF(E16="","",SUM(BN16:BU16)/(E16*J16))</f>
        <v/>
      </c>
      <c r="AP16" s="0" t="n">
        <v>3</v>
      </c>
      <c r="AQ16" s="0" t="str">
        <f aca="false">IF(E16="","",R16/(E16*J16)*G$53)</f>
        <v/>
      </c>
      <c r="AR16" s="0" t="n">
        <f aca="false">IF(SUM(AT16:BC16)=0,0,SUM(BW16:CF16)/SUM(AT16:BC16)*AI16)</f>
        <v>0</v>
      </c>
      <c r="AS16" s="0" t="n">
        <f aca="false">AI16*1.3*4</f>
        <v>0</v>
      </c>
      <c r="AT16" s="0" t="n">
        <f aca="false">IF($D16=1,S16,0)</f>
        <v>0</v>
      </c>
      <c r="AU16" s="0" t="n">
        <f aca="false">IF($D16=2,S16,0)</f>
        <v>0</v>
      </c>
      <c r="AV16" s="0" t="n">
        <f aca="false">IF($D16=3,S16,0)</f>
        <v>0</v>
      </c>
      <c r="AW16" s="0" t="n">
        <f aca="false">IF($D16=4,S16,0)</f>
        <v>0</v>
      </c>
      <c r="AX16" s="908" t="n">
        <f aca="false">IF($D16=5,S16,0)</f>
        <v>0</v>
      </c>
      <c r="AY16" s="0" t="n">
        <f aca="false">IF($D16=6,S16,0)</f>
        <v>0</v>
      </c>
      <c r="AZ16" s="0" t="n">
        <f aca="false">IF($D16=7,S16,0)</f>
        <v>0</v>
      </c>
      <c r="BA16" s="0" t="n">
        <f aca="false">IF($D16=8,S16,0)</f>
        <v>0</v>
      </c>
      <c r="BB16" s="0" t="n">
        <f aca="false">IF($D16=9,S16,0)</f>
        <v>0</v>
      </c>
      <c r="BC16" s="0" t="n">
        <f aca="false">IF($D16=10,S16,0)</f>
        <v>0</v>
      </c>
      <c r="BD16" s="0" t="n">
        <f aca="false">IF(F16&gt;0,IF(F16&lt;=BD$10,E16*$J16,0),0)</f>
        <v>0</v>
      </c>
      <c r="BE16" s="0" t="n">
        <f aca="false">IF($F16&gt;BD$10,IF($F16&lt;=BE$10,$E16*$J16,0),0)</f>
        <v>0</v>
      </c>
      <c r="BF16" s="0" t="n">
        <f aca="false">IF($F16&gt;BE$10,IF($F16&lt;=BF$10,$E16*$J16,0),0)</f>
        <v>0</v>
      </c>
      <c r="BG16" s="0" t="n">
        <f aca="false">IF($F16&gt;BF$10,IF($F16&lt;=BG$10,$E16*$J16,0),0)</f>
        <v>0</v>
      </c>
      <c r="BH16" s="0" t="n">
        <f aca="false">IF($F16&gt;BG$10,IF($F16&lt;=BH$10,$E16*$J16,0),0)</f>
        <v>0</v>
      </c>
      <c r="BI16" s="0" t="n">
        <f aca="false">IF($F16&gt;BH$10,IF($F16&lt;=BI$10,$E16*$J16,0),0)</f>
        <v>0</v>
      </c>
      <c r="BJ16" s="0" t="n">
        <f aca="false">IF($F16&gt;BI$10,IF($F16&lt;=BJ$10,$E16*$J16,0),0)</f>
        <v>0</v>
      </c>
      <c r="BK16" s="0" t="n">
        <f aca="false">IF($F16&gt;BJ$10,IF($F16&lt;=BK$10,$E16*$J16,0),0)</f>
        <v>0</v>
      </c>
      <c r="BL16" s="0" t="str">
        <f aca="false">IF(I16="","",I16*E16)</f>
        <v/>
      </c>
      <c r="BM16" s="911" t="n">
        <f aca="false">IF(SUM(BN16:BV16)="","",SUM(BN16:BV16)/SUM(BN$39:BV$39))*J$54</f>
        <v>0</v>
      </c>
      <c r="BN16" s="915" t="n">
        <f aca="false">BD16*AM$52</f>
        <v>0</v>
      </c>
      <c r="BO16" s="291" t="n">
        <f aca="false">BE16*AN$52</f>
        <v>0</v>
      </c>
      <c r="BP16" s="291" t="n">
        <f aca="false">BF16*AO$52</f>
        <v>0</v>
      </c>
      <c r="BQ16" s="291" t="n">
        <f aca="false">BG16*AP$52</f>
        <v>0</v>
      </c>
      <c r="BR16" s="291" t="n">
        <f aca="false">BH16*AQ$52</f>
        <v>0</v>
      </c>
      <c r="BS16" s="291" t="n">
        <f aca="false">BI16*AR$52</f>
        <v>0</v>
      </c>
      <c r="BT16" s="291" t="n">
        <f aca="false">BJ16*AS$52</f>
        <v>0</v>
      </c>
      <c r="BU16" s="291" t="n">
        <f aca="false">BK16*AT$52</f>
        <v>0</v>
      </c>
      <c r="BV16" s="916" t="str">
        <f aca="false">IF(BL16="","",BL16*AR$45)</f>
        <v/>
      </c>
      <c r="BW16" s="915" t="n">
        <f aca="false">AT16*Pricing!F$3*IF($T$41="N",(1+$V$41),1)</f>
        <v>0</v>
      </c>
      <c r="BX16" s="291" t="n">
        <f aca="false">AU16*Pricing!G$3*IF($T$41="N",(1+$V$41),1)</f>
        <v>0</v>
      </c>
      <c r="BY16" s="291" t="n">
        <f aca="false">AV16*Pricing!H$3*IF($T$41="N",(1+$V$41),1)</f>
        <v>0</v>
      </c>
      <c r="BZ16" s="291" t="n">
        <f aca="false">AW16*Pricing!I$3*IF($T$41="N",(1+$V$41),1)</f>
        <v>0</v>
      </c>
      <c r="CA16" s="291" t="n">
        <f aca="false">AX16*Pricing!J$3*IF($T$41="N",(1+$V$41),1)</f>
        <v>0</v>
      </c>
      <c r="CB16" s="291" t="n">
        <f aca="false">AY16*Pricing!K$3*IF($T$41="N",(1+$V$41),1)</f>
        <v>0</v>
      </c>
      <c r="CC16" s="291" t="n">
        <f aca="false">AZ16*Pricing!L$3*IF($T$41="N",(1+$V$41),1)</f>
        <v>0</v>
      </c>
      <c r="CD16" s="291" t="n">
        <f aca="false">BA16*Pricing!M$3*IF($T$41="N",(1+$V$41),1)</f>
        <v>0</v>
      </c>
      <c r="CE16" s="291" t="n">
        <f aca="false">BB16*Pricing!N$3*IF($T$41="N",(1+$V$41),1)</f>
        <v>0</v>
      </c>
      <c r="CF16" s="916" t="n">
        <f aca="false">BC16*Pricing!O$3*IF($T$41="N",(1+$V$41),1)</f>
        <v>0</v>
      </c>
      <c r="CG16" s="291" t="n">
        <f aca="false">IF(E16=0,0,R16*G$53*IF($T$41="n",(1+$V$41),1))</f>
        <v>0</v>
      </c>
      <c r="CH16" s="915" t="n">
        <f aca="false">E16*H$57</f>
        <v>0</v>
      </c>
      <c r="CI16" s="291" t="n">
        <f aca="false">Z16*E$60</f>
        <v>0</v>
      </c>
      <c r="CJ16" s="291" t="str">
        <f aca="false">IF(E16="","",R16/2000*E$61)</f>
        <v/>
      </c>
      <c r="CK16" s="291" t="n">
        <f aca="false">O$62/I$57*E16</f>
        <v>0</v>
      </c>
      <c r="CL16" s="917" t="n">
        <f aca="false">O$63/I$57*E16</f>
        <v>0</v>
      </c>
      <c r="CM16" s="918" t="n">
        <f aca="false">IF(E16="",0,(W$85)/E$39*E16)</f>
        <v>0</v>
      </c>
      <c r="CN16" s="916" t="n">
        <f aca="false">IF(E16="",0,SUM(O$66:P$69)/E$39*E16)</f>
        <v>0</v>
      </c>
      <c r="CO16" s="918" t="n">
        <f aca="false">IF(E16="",0,SUM(O$71:P$76)/E$39*E16)</f>
        <v>0</v>
      </c>
      <c r="CP16" s="291" t="n">
        <f aca="false">IF(E16="",0,SUM(O$78:P$83)/E$39*E16)</f>
        <v>0</v>
      </c>
      <c r="CQ16" s="55" t="n">
        <f aca="false">O$84/I$57*E16</f>
        <v>0</v>
      </c>
      <c r="CR16" s="919" t="n">
        <f aca="false">IF(E16="",0,T16*E16)</f>
        <v>0</v>
      </c>
    </row>
    <row r="17" customFormat="false" ht="19.5" hidden="false" customHeight="true" outlineLevel="0" collapsed="false">
      <c r="A17" s="16" t="s">
        <v>1257</v>
      </c>
      <c r="B17" s="894"/>
      <c r="C17" s="566"/>
      <c r="D17" s="895" t="n">
        <v>5</v>
      </c>
      <c r="E17" s="896" t="n">
        <v>4</v>
      </c>
      <c r="F17" s="897" t="n">
        <v>24</v>
      </c>
      <c r="G17" s="897" t="n">
        <v>16</v>
      </c>
      <c r="H17" s="897" t="n">
        <v>5</v>
      </c>
      <c r="I17" s="898"/>
      <c r="J17" s="899" t="n">
        <f aca="false">G17+H17</f>
        <v>21</v>
      </c>
      <c r="K17" s="78" t="n">
        <v>7</v>
      </c>
      <c r="L17" s="900" t="n">
        <v>6</v>
      </c>
      <c r="M17" s="78" t="n">
        <v>3</v>
      </c>
      <c r="N17" s="900" t="n">
        <v>10</v>
      </c>
      <c r="O17" s="901" t="n">
        <v>4</v>
      </c>
      <c r="P17" s="78" t="n">
        <v>6</v>
      </c>
      <c r="Q17" s="898" t="n">
        <v>8</v>
      </c>
      <c r="R17" s="902" t="n">
        <f aca="false">IF(E17="",0,IF(N17=0,(L17/16*L17/16*K17*10.680159*E17*J17)+(O17*P17/16*P17/16*10.680159*E17*Q17),(L17/16*L17/16*K17*10.680159*E17*J17)+(O17*P17/16*P17/16*10.680159*E17*Q17)+(M17/16*M17/16*10.680159*((F17-3)*3.1412)*E17*J17/N17)))*(1+K$53)</f>
        <v>1411.75289712914</v>
      </c>
      <c r="S17" s="902" t="n">
        <f aca="false">(IF(E17="",0,(((F17*F17/576)*J17*3.1412/27)+0.5*((3.1412*(I17*I17/576)*I17/12)/27-((F17*F17/576)*I17/12*3.1412/27)))*E17)*(1+K$49))</f>
        <v>10.3589795555556</v>
      </c>
      <c r="T17" s="903" t="n">
        <f aca="false">(IF(E17="",0,IF(J$54="",SUM(BN17:CP17)/E17,(SUM(BW17:CP17)+BM17)/E17)))*(1+M$42+Summary!P$57)</f>
        <v>1820.8137039958</v>
      </c>
      <c r="U17" s="904" t="n">
        <f aca="false">IF(E17=0,0,SUM(AO17:AS17)*(1+W$39))</f>
        <v>52.3526406200344</v>
      </c>
      <c r="V17" s="905" t="n">
        <f aca="false">AM17+AR17</f>
        <v>19.3802180092593</v>
      </c>
      <c r="W17" s="906" t="n">
        <f aca="false">IF(E17=0,0,(AN17+(AL17)+(AP17-0.5)+(AK17))*(1+W$39))</f>
        <v>45.3978391015625</v>
      </c>
      <c r="X17" s="907" t="n">
        <f aca="false">E17</f>
        <v>4</v>
      </c>
      <c r="Y17" s="908" t="n">
        <f aca="false">R17</f>
        <v>1411.75289712914</v>
      </c>
      <c r="Z17" s="908" t="n">
        <f aca="false">S17</f>
        <v>10.3589795555556</v>
      </c>
      <c r="AA17" s="909" t="n">
        <f aca="false">E17</f>
        <v>4</v>
      </c>
      <c r="AB17" s="910" t="n">
        <f aca="false">E17*T17</f>
        <v>7283.25481598321</v>
      </c>
      <c r="AG17" s="0" t="n">
        <f aca="false">IF(E17="","",J17*E17)</f>
        <v>84</v>
      </c>
      <c r="AH17" s="0" t="n">
        <f aca="false">IF(E17=0,0,(((F17+3)*0.5)*((F17+3)*0.5)*3.145/144*(1+K$49)/27)-AI17)</f>
        <v>0.0327968171296296</v>
      </c>
      <c r="AI17" s="0" t="n">
        <f aca="false">(F17*0.5)*(F17*0.5)*3.145/144*(1+K$49)/27</f>
        <v>0.12347037037037</v>
      </c>
      <c r="AJ17" s="0" t="n">
        <f aca="false">IF(E17="","",R17/E17/J17)</f>
        <v>16.8065821086802</v>
      </c>
      <c r="AK17" s="0" t="n">
        <f aca="false">AH17*1.4*4</f>
        <v>0.183662175925926</v>
      </c>
      <c r="AL17" s="0" t="n">
        <f aca="false">IF(SUM(AT17:BC17)=0,0,(SUM(BW17:CF17)/SUM(AT17:BC17)*AH17))</f>
        <v>5.14787040870949</v>
      </c>
      <c r="AM17" s="0" t="n">
        <f aca="false">IF(F17=$AM$50,$AM$56,IF(F17=$AN$50,$AN$56,IF(F17=AO$50,AO$56,IF(F17=AP$50,AP$56,IF(F17=AQ$50,AQ$56,IF(F17=AR$50,AR$56,IF(F17=AS$50,AS$56,IF(F17=AT$50,AT$56,0))))))))</f>
        <v>0</v>
      </c>
      <c r="AN17" s="0" t="n">
        <f aca="false">IF(BD17&gt;0,AM$54,0)+IF(BE17&gt;0,AN$54,0)+IF(BF17&gt;0,AO$54,0)+IF(BG17&gt;0,AP$54,0)+IF(BH17&gt;0,AQ$54,0)+IF(BI17&gt;0,AR$54,0)+IF(BJ17&gt;0,AS$54,0)+IF(BK17&gt;0,AT$54,0)</f>
        <v>30</v>
      </c>
      <c r="AO17" s="0" t="n">
        <f aca="false">IF(E17="","",SUM(BN17:BU17)/(E17*J17))</f>
        <v>8</v>
      </c>
      <c r="AP17" s="0" t="n">
        <v>3</v>
      </c>
      <c r="AQ17" s="0" t="n">
        <f aca="false">IF(E17="","",R17/(E17*J17)*G$53)</f>
        <v>12.6049365815102</v>
      </c>
      <c r="AR17" s="0" t="n">
        <f aca="false">IF(SUM(AT17:BC17)=0,0,SUM(BW17:CF17)/SUM(AT17:BC17)*AI17)</f>
        <v>19.3802180092593</v>
      </c>
      <c r="AS17" s="0" t="n">
        <f aca="false">AI17*1.3*4</f>
        <v>0.642045925925926</v>
      </c>
      <c r="AT17" s="0" t="n">
        <f aca="false">IF($D17=1,S17,0)</f>
        <v>0</v>
      </c>
      <c r="AU17" s="0" t="n">
        <f aca="false">IF($D17=2,S17,0)</f>
        <v>0</v>
      </c>
      <c r="AV17" s="0" t="n">
        <f aca="false">IF($D17=3,S17,0)</f>
        <v>0</v>
      </c>
      <c r="AW17" s="0" t="n">
        <f aca="false">IF($D17=4,S17,0)</f>
        <v>0</v>
      </c>
      <c r="AX17" s="908" t="n">
        <f aca="false">IF($D17=5,S17,0)</f>
        <v>10.3589795555556</v>
      </c>
      <c r="AY17" s="0" t="n">
        <f aca="false">IF($D17=6,S17,0)</f>
        <v>0</v>
      </c>
      <c r="AZ17" s="0" t="n">
        <f aca="false">IF($D17=7,S17,0)</f>
        <v>0</v>
      </c>
      <c r="BA17" s="0" t="n">
        <f aca="false">IF($D17=8,S17,0)</f>
        <v>0</v>
      </c>
      <c r="BB17" s="0" t="n">
        <f aca="false">IF($D17=9,S17,0)</f>
        <v>0</v>
      </c>
      <c r="BC17" s="0" t="n">
        <f aca="false">IF($D17=10,S17,0)</f>
        <v>0</v>
      </c>
      <c r="BD17" s="0" t="n">
        <f aca="false">IF(F17&gt;0,IF(F17&lt;=BD$10,E17*$J17,0),0)</f>
        <v>0</v>
      </c>
      <c r="BE17" s="0" t="n">
        <f aca="false">IF($F17&gt;BD$10,IF($F17&lt;=BE$10,$E17*$J17,0),0)</f>
        <v>0</v>
      </c>
      <c r="BF17" s="0" t="n">
        <f aca="false">IF($F17&gt;BE$10,IF($F17&lt;=BF$10,$E17*$J17,0),0)</f>
        <v>84</v>
      </c>
      <c r="BG17" s="0" t="n">
        <f aca="false">IF($F17&gt;BF$10,IF($F17&lt;=BG$10,$E17*$J17,0),0)</f>
        <v>0</v>
      </c>
      <c r="BH17" s="0" t="n">
        <f aca="false">IF($F17&gt;BG$10,IF($F17&lt;=BH$10,$E17*$J17,0),0)</f>
        <v>0</v>
      </c>
      <c r="BI17" s="0" t="n">
        <f aca="false">IF($F17&gt;BH$10,IF($F17&lt;=BI$10,$E17*$J17,0),0)</f>
        <v>0</v>
      </c>
      <c r="BJ17" s="0" t="n">
        <f aca="false">IF($F17&gt;BI$10,IF($F17&lt;=BJ$10,$E17*$J17,0),0)</f>
        <v>0</v>
      </c>
      <c r="BK17" s="0" t="n">
        <f aca="false">IF($F17&gt;BJ$10,IF($F17&lt;=BK$10,$E17*$J17,0),0)</f>
        <v>0</v>
      </c>
      <c r="BL17" s="0" t="str">
        <f aca="false">IF(I17="","",I17*E17)</f>
        <v/>
      </c>
      <c r="BM17" s="911" t="n">
        <f aca="false">IF(SUM(BN17:BV17)="","",SUM(BN17:BV17)/SUM(BN$39:BV$39))*J$54</f>
        <v>0</v>
      </c>
      <c r="BN17" s="915" t="n">
        <f aca="false">BD17*AM$52</f>
        <v>0</v>
      </c>
      <c r="BO17" s="291" t="n">
        <f aca="false">BE17*AN$52</f>
        <v>0</v>
      </c>
      <c r="BP17" s="291" t="n">
        <f aca="false">BF17*AO$52</f>
        <v>672</v>
      </c>
      <c r="BQ17" s="291" t="n">
        <f aca="false">BG17*AP$52</f>
        <v>0</v>
      </c>
      <c r="BR17" s="291" t="n">
        <f aca="false">BH17*AQ$52</f>
        <v>0</v>
      </c>
      <c r="BS17" s="291" t="n">
        <f aca="false">BI17*AR$52</f>
        <v>0</v>
      </c>
      <c r="BT17" s="291" t="n">
        <f aca="false">BJ17*AS$52</f>
        <v>0</v>
      </c>
      <c r="BU17" s="291" t="n">
        <f aca="false">BK17*AT$52</f>
        <v>0</v>
      </c>
      <c r="BV17" s="916" t="str">
        <f aca="false">IF(BL17="","",BL17*AR$45)</f>
        <v/>
      </c>
      <c r="BW17" s="915" t="n">
        <f aca="false">AT17*Pricing!F$3*IF($T$41="N",(1+$V$41),1)</f>
        <v>0</v>
      </c>
      <c r="BX17" s="291" t="n">
        <f aca="false">AU17*Pricing!G$3*IF($T$41="N",(1+$V$41),1)</f>
        <v>0</v>
      </c>
      <c r="BY17" s="291" t="n">
        <f aca="false">AV17*Pricing!H$3*IF($T$41="N",(1+$V$41),1)</f>
        <v>0</v>
      </c>
      <c r="BZ17" s="291" t="n">
        <f aca="false">AW17*Pricing!I$3*IF($T$41="N",(1+$V$41),1)</f>
        <v>0</v>
      </c>
      <c r="CA17" s="291" t="n">
        <f aca="false">AX17*Pricing!J$3*IF($T$41="N",(1+$V$41),1)</f>
        <v>1625.97132848889</v>
      </c>
      <c r="CB17" s="291" t="n">
        <f aca="false">AY17*Pricing!K$3*IF($T$41="N",(1+$V$41),1)</f>
        <v>0</v>
      </c>
      <c r="CC17" s="291" t="n">
        <f aca="false">AZ17*Pricing!L$3*IF($T$41="N",(1+$V$41),1)</f>
        <v>0</v>
      </c>
      <c r="CD17" s="291" t="n">
        <f aca="false">BA17*Pricing!M$3*IF($T$41="N",(1+$V$41),1)</f>
        <v>0</v>
      </c>
      <c r="CE17" s="291" t="n">
        <f aca="false">BB17*Pricing!N$3*IF($T$41="N",(1+$V$41),1)</f>
        <v>0</v>
      </c>
      <c r="CF17" s="916" t="n">
        <f aca="false">BC17*Pricing!O$3*IF($T$41="N",(1+$V$41),1)</f>
        <v>0</v>
      </c>
      <c r="CG17" s="291" t="n">
        <f aca="false">IF(E17=0,0,R17*G$53*IF($T$41="n",(1+$V$41),1))</f>
        <v>1146.16688335672</v>
      </c>
      <c r="CH17" s="915" t="n">
        <f aca="false">E17*H$57</f>
        <v>600</v>
      </c>
      <c r="CI17" s="291" t="n">
        <f aca="false">Z17*E$60</f>
        <v>0</v>
      </c>
      <c r="CJ17" s="291" t="n">
        <f aca="false">IF(E17="","",R17/2000*E$61)</f>
        <v>317.644401854056</v>
      </c>
      <c r="CK17" s="291" t="n">
        <f aca="false">O$62/I$57*E17</f>
        <v>0</v>
      </c>
      <c r="CL17" s="917" t="n">
        <f aca="false">O$63/I$57*E17</f>
        <v>0</v>
      </c>
      <c r="CM17" s="918" t="n">
        <f aca="false">IF(E17="",0,(W$85)/E$39*E17)</f>
        <v>425.294178167745</v>
      </c>
      <c r="CN17" s="916" t="n">
        <f aca="false">IF(E17="",0,SUM(O$66:P$69)/E$39*E17)</f>
        <v>410.377358490566</v>
      </c>
      <c r="CO17" s="918" t="n">
        <f aca="false">IF(E17="",0,SUM(O$71:P$76)/E$39*E17)</f>
        <v>273.134433962264</v>
      </c>
      <c r="CP17" s="291" t="n">
        <f aca="false">IF(E17="",0,SUM(O$78:P$83)/E$39*E17)</f>
        <v>701.661259733334</v>
      </c>
      <c r="CQ17" s="55" t="n">
        <f aca="false">O$84/I$57*E17</f>
        <v>0</v>
      </c>
      <c r="CR17" s="919" t="n">
        <f aca="false">IF(E17="",0,T17*E17)</f>
        <v>7283.25481598321</v>
      </c>
    </row>
    <row r="18" customFormat="false" ht="19.5" hidden="false" customHeight="true" outlineLevel="0" collapsed="false">
      <c r="A18" s="16" t="s">
        <v>1257</v>
      </c>
      <c r="B18" s="894"/>
      <c r="C18" s="566"/>
      <c r="D18" s="895" t="n">
        <v>5</v>
      </c>
      <c r="E18" s="896" t="n">
        <v>12</v>
      </c>
      <c r="F18" s="897" t="n">
        <v>42</v>
      </c>
      <c r="G18" s="897" t="n">
        <v>16</v>
      </c>
      <c r="H18" s="897" t="n">
        <v>4</v>
      </c>
      <c r="I18" s="898"/>
      <c r="J18" s="899" t="n">
        <f aca="false">G18+H18</f>
        <v>20</v>
      </c>
      <c r="K18" s="78" t="n">
        <v>12</v>
      </c>
      <c r="L18" s="900" t="n">
        <v>8</v>
      </c>
      <c r="M18" s="78" t="n">
        <v>3</v>
      </c>
      <c r="N18" s="900" t="n">
        <v>10</v>
      </c>
      <c r="O18" s="901" t="n">
        <v>4</v>
      </c>
      <c r="P18" s="78" t="n">
        <v>6</v>
      </c>
      <c r="Q18" s="898" t="n">
        <v>8</v>
      </c>
      <c r="R18" s="902" t="n">
        <f aca="false">IF(E18="",0,IF(N18=0,(L18/16*L18/16*K18*10.680159*E18*J18)+(O18*P18/16*P18/16*10.680159*E18*Q18),(L18/16*L18/16*K18*10.680159*E18*J18)+(O18*P18/16*P18/16*10.680159*E18*Q18)+(M18/16*M18/16*10.680159*((F18-3)*3.1412)*E18*J18/N18)))*(1+K$53)</f>
        <v>10307.4387928082</v>
      </c>
      <c r="S18" s="902" t="n">
        <f aca="false">(IF(E18="",0,(((F18*F18/576)*J18*3.1412/27)+0.5*((3.1412*(I18*I18/576)*I18/12)/27-((F18*F18/576)*I18/12*3.1412/27)))*E18)*(1+K$49))</f>
        <v>90.6410711111111</v>
      </c>
      <c r="T18" s="903" t="n">
        <f aca="false">(IF(E18="",0,IF(J$54="",SUM(BN18:CP18)/E18,(SUM(BW18:CP18)+BM18)/E18)))*(1+M$42+Summary!P$57)</f>
        <v>3869.04068067386</v>
      </c>
      <c r="U18" s="904" t="n">
        <f aca="false">IF(E18=0,0,SUM(AO18:AS18)*(1+W$39))</f>
        <v>151.834715434836</v>
      </c>
      <c r="V18" s="905" t="n">
        <f aca="false">AM18+AR18</f>
        <v>59.3519176533565</v>
      </c>
      <c r="W18" s="906" t="n">
        <f aca="false">IF(E18=0,0,(AN18+(AL18)+(AP18-0.5)+(AK18))*(1+W$39))</f>
        <v>85.9139608203125</v>
      </c>
      <c r="X18" s="907" t="n">
        <f aca="false">E18</f>
        <v>12</v>
      </c>
      <c r="Y18" s="908" t="n">
        <f aca="false">R18</f>
        <v>10307.4387928082</v>
      </c>
      <c r="Z18" s="908" t="n">
        <f aca="false">S18</f>
        <v>90.6410711111111</v>
      </c>
      <c r="AA18" s="909" t="n">
        <f aca="false">E18</f>
        <v>12</v>
      </c>
      <c r="AB18" s="910" t="n">
        <f aca="false">E18*T18</f>
        <v>46428.4881680863</v>
      </c>
      <c r="AG18" s="0" t="n">
        <f aca="false">IF(E18="","",J18*E18)</f>
        <v>240</v>
      </c>
      <c r="AH18" s="0" t="n">
        <f aca="false">IF(E18=0,0,(((F18+3)*0.5)*((F18+3)*0.5)*3.145/144*(1+K$49)/27)-AI18)</f>
        <v>0.0559475115740741</v>
      </c>
      <c r="AI18" s="0" t="n">
        <f aca="false">(F18*0.5)*(F18*0.5)*3.145/144*(1+K$49)/27</f>
        <v>0.378128009259259</v>
      </c>
      <c r="AJ18" s="0" t="n">
        <f aca="false">IF(E18="","",R18/E18/J18)</f>
        <v>42.9476616367007</v>
      </c>
      <c r="AK18" s="0" t="n">
        <f aca="false">AH18*1.4*4</f>
        <v>0.313306064814815</v>
      </c>
      <c r="AL18" s="0" t="n">
        <f aca="false">IF(SUM(AT18:BC18)=0,0,(SUM(BW18:CF18)/SUM(AT18:BC18)*AH18))</f>
        <v>8.7816612854456</v>
      </c>
      <c r="AM18" s="0" t="n">
        <f aca="false">IF(F18=$AM$50,$AM$56,IF(F18=$AN$50,$AN$56,IF(F18=AO$50,AO$56,IF(F18=AP$50,AP$56,IF(F18=AQ$50,AQ$56,IF(F18=AR$50,AR$56,IF(F18=AS$50,AS$56,IF(F18=AT$50,AT$56,0))))))))</f>
        <v>0</v>
      </c>
      <c r="AN18" s="0" t="n">
        <f aca="false">IF(BD18&gt;0,AM$54,0)+IF(BE18&gt;0,AN$54,0)+IF(BF18&gt;0,AO$54,0)+IF(BG18&gt;0,AP$54,0)+IF(BH18&gt;0,AQ$54,0)+IF(BI18&gt;0,AR$54,0)+IF(BJ18&gt;0,AS$54,0)+IF(BK18&gt;0,AT$54,0)</f>
        <v>60</v>
      </c>
      <c r="AO18" s="0" t="n">
        <f aca="false">IF(E18="","",SUM(BN18:BU18)/(E18*J18))</f>
        <v>30</v>
      </c>
      <c r="AP18" s="0" t="n">
        <v>3</v>
      </c>
      <c r="AQ18" s="0" t="n">
        <f aca="false">IF(E18="","",R18/(E18*J18)*G$53)</f>
        <v>32.2107462275256</v>
      </c>
      <c r="AR18" s="0" t="n">
        <f aca="false">IF(SUM(AT18:BC18)=0,0,SUM(BW18:CF18)/SUM(AT18:BC18)*AI18)</f>
        <v>59.3519176533565</v>
      </c>
      <c r="AS18" s="0" t="n">
        <f aca="false">AI18*1.3*4</f>
        <v>1.96626564814815</v>
      </c>
      <c r="AT18" s="0" t="n">
        <f aca="false">IF($D18=1,S18,0)</f>
        <v>0</v>
      </c>
      <c r="AU18" s="0" t="n">
        <f aca="false">IF($D18=2,S18,0)</f>
        <v>0</v>
      </c>
      <c r="AV18" s="0" t="n">
        <f aca="false">IF($D18=3,S18,0)</f>
        <v>0</v>
      </c>
      <c r="AW18" s="0" t="n">
        <f aca="false">IF($D18=4,S18,0)</f>
        <v>0</v>
      </c>
      <c r="AX18" s="908" t="n">
        <f aca="false">IF($D18=5,S18,0)</f>
        <v>90.6410711111111</v>
      </c>
      <c r="AY18" s="0" t="n">
        <f aca="false">IF($D18=6,S18,0)</f>
        <v>0</v>
      </c>
      <c r="AZ18" s="0" t="n">
        <f aca="false">IF($D18=7,S18,0)</f>
        <v>0</v>
      </c>
      <c r="BA18" s="0" t="n">
        <f aca="false">IF($D18=8,S18,0)</f>
        <v>0</v>
      </c>
      <c r="BB18" s="0" t="n">
        <f aca="false">IF($D18=9,S18,0)</f>
        <v>0</v>
      </c>
      <c r="BC18" s="0" t="n">
        <f aca="false">IF($D18=10,S18,0)</f>
        <v>0</v>
      </c>
      <c r="BD18" s="0" t="n">
        <f aca="false">IF(F18&gt;0,IF(F18&lt;=BD$10,E18*$J18,0),0)</f>
        <v>0</v>
      </c>
      <c r="BE18" s="0" t="n">
        <f aca="false">IF($F18&gt;BD$10,IF($F18&lt;=BE$10,$E18*$J18,0),0)</f>
        <v>0</v>
      </c>
      <c r="BF18" s="0" t="n">
        <f aca="false">IF($F18&gt;BE$10,IF($F18&lt;=BF$10,$E18*$J18,0),0)</f>
        <v>0</v>
      </c>
      <c r="BG18" s="0" t="n">
        <f aca="false">IF($F18&gt;BF$10,IF($F18&lt;=BG$10,$E18*$J18,0),0)</f>
        <v>0</v>
      </c>
      <c r="BH18" s="0" t="n">
        <f aca="false">IF($F18&gt;BG$10,IF($F18&lt;=BH$10,$E18*$J18,0),0)</f>
        <v>0</v>
      </c>
      <c r="BI18" s="0" t="n">
        <f aca="false">IF($F18&gt;BH$10,IF($F18&lt;=BI$10,$E18*$J18,0),0)</f>
        <v>240</v>
      </c>
      <c r="BJ18" s="0" t="n">
        <f aca="false">IF($F18&gt;BI$10,IF($F18&lt;=BJ$10,$E18*$J18,0),0)</f>
        <v>0</v>
      </c>
      <c r="BK18" s="0" t="n">
        <f aca="false">IF($F18&gt;BJ$10,IF($F18&lt;=BK$10,$E18*$J18,0),0)</f>
        <v>0</v>
      </c>
      <c r="BL18" s="0" t="str">
        <f aca="false">IF(I18="","",I18*E18)</f>
        <v/>
      </c>
      <c r="BM18" s="911" t="n">
        <f aca="false">IF(SUM(BN18:BV18)="","",SUM(BN18:BV18)/SUM(BN$39:BV$39))*J$54</f>
        <v>0</v>
      </c>
      <c r="BN18" s="915" t="n">
        <f aca="false">BD18*AM$52</f>
        <v>0</v>
      </c>
      <c r="BO18" s="291" t="n">
        <f aca="false">BE18*AN$52</f>
        <v>0</v>
      </c>
      <c r="BP18" s="291" t="n">
        <f aca="false">BF18*AO$52</f>
        <v>0</v>
      </c>
      <c r="BQ18" s="291" t="n">
        <f aca="false">BG18*AP$52</f>
        <v>0</v>
      </c>
      <c r="BR18" s="291" t="n">
        <f aca="false">BH18*AQ$52</f>
        <v>0</v>
      </c>
      <c r="BS18" s="291" t="n">
        <f aca="false">BI18*AR$52</f>
        <v>7200</v>
      </c>
      <c r="BT18" s="291" t="n">
        <f aca="false">BJ18*AS$52</f>
        <v>0</v>
      </c>
      <c r="BU18" s="291" t="n">
        <f aca="false">BK18*AT$52</f>
        <v>0</v>
      </c>
      <c r="BV18" s="916" t="str">
        <f aca="false">IF(BL18="","",BL18*AR$45)</f>
        <v/>
      </c>
      <c r="BW18" s="915" t="n">
        <f aca="false">AT18*Pricing!F$3*IF($T$41="N",(1+$V$41),1)</f>
        <v>0</v>
      </c>
      <c r="BX18" s="291" t="n">
        <f aca="false">AU18*Pricing!G$3*IF($T$41="N",(1+$V$41),1)</f>
        <v>0</v>
      </c>
      <c r="BY18" s="291" t="n">
        <f aca="false">AV18*Pricing!H$3*IF($T$41="N",(1+$V$41),1)</f>
        <v>0</v>
      </c>
      <c r="BZ18" s="291" t="n">
        <f aca="false">AW18*Pricing!I$3*IF($T$41="N",(1+$V$41),1)</f>
        <v>0</v>
      </c>
      <c r="CA18" s="291" t="n">
        <f aca="false">AX18*Pricing!J$3*IF($T$41="N",(1+$V$41),1)</f>
        <v>14227.2491242778</v>
      </c>
      <c r="CB18" s="291" t="n">
        <f aca="false">AY18*Pricing!K$3*IF($T$41="N",(1+$V$41),1)</f>
        <v>0</v>
      </c>
      <c r="CC18" s="291" t="n">
        <f aca="false">AZ18*Pricing!L$3*IF($T$41="N",(1+$V$41),1)</f>
        <v>0</v>
      </c>
      <c r="CD18" s="291" t="n">
        <f aca="false">BA18*Pricing!M$3*IF($T$41="N",(1+$V$41),1)</f>
        <v>0</v>
      </c>
      <c r="CE18" s="291" t="n">
        <f aca="false">BB18*Pricing!N$3*IF($T$41="N",(1+$V$41),1)</f>
        <v>0</v>
      </c>
      <c r="CF18" s="916" t="n">
        <f aca="false">BC18*Pricing!O$3*IF($T$41="N",(1+$V$41),1)</f>
        <v>0</v>
      </c>
      <c r="CG18" s="291" t="n">
        <f aca="false">IF(E18=0,0,R18*G$53*IF($T$41="n",(1+$V$41),1))</f>
        <v>8368.35186991114</v>
      </c>
      <c r="CH18" s="915" t="n">
        <f aca="false">E18*H$57</f>
        <v>1800</v>
      </c>
      <c r="CI18" s="291" t="n">
        <f aca="false">Z18*E$60</f>
        <v>0</v>
      </c>
      <c r="CJ18" s="291" t="n">
        <f aca="false">IF(E18="","",R18/2000*E$61)</f>
        <v>2319.17372838184</v>
      </c>
      <c r="CK18" s="291" t="n">
        <f aca="false">O$62/I$57*E18</f>
        <v>0</v>
      </c>
      <c r="CL18" s="917" t="n">
        <f aca="false">O$63/I$57*E18</f>
        <v>0</v>
      </c>
      <c r="CM18" s="918" t="n">
        <f aca="false">IF(E18="",0,(W$85)/E$39*E18)</f>
        <v>1275.88253450324</v>
      </c>
      <c r="CN18" s="916" t="n">
        <f aca="false">IF(E18="",0,SUM(O$66:P$69)/E$39*E18)</f>
        <v>1231.1320754717</v>
      </c>
      <c r="CO18" s="918" t="n">
        <f aca="false">IF(E18="",0,SUM(O$71:P$76)/E$39*E18)</f>
        <v>819.403301886792</v>
      </c>
      <c r="CP18" s="291" t="n">
        <f aca="false">IF(E18="",0,SUM(O$78:P$83)/E$39*E18)</f>
        <v>2104.9837792</v>
      </c>
      <c r="CQ18" s="55" t="n">
        <f aca="false">O$84/I$57*E18</f>
        <v>0</v>
      </c>
      <c r="CR18" s="919" t="n">
        <f aca="false">IF(E18="",0,T18*E18)</f>
        <v>46428.4881680863</v>
      </c>
    </row>
    <row r="19" customFormat="false" ht="19.5" hidden="false" customHeight="true" outlineLevel="0" collapsed="false">
      <c r="A19" s="16" t="s">
        <v>1257</v>
      </c>
      <c r="B19" s="894"/>
      <c r="C19" s="566"/>
      <c r="D19" s="895"/>
      <c r="E19" s="896"/>
      <c r="F19" s="897"/>
      <c r="G19" s="897"/>
      <c r="H19" s="897"/>
      <c r="I19" s="898"/>
      <c r="J19" s="899" t="n">
        <f aca="false">G19+H19</f>
        <v>0</v>
      </c>
      <c r="K19" s="920"/>
      <c r="L19" s="900"/>
      <c r="M19" s="78"/>
      <c r="N19" s="900"/>
      <c r="O19" s="901"/>
      <c r="P19" s="78"/>
      <c r="Q19" s="898"/>
      <c r="R19" s="902" t="n">
        <f aca="false">IF(E19="",0,IF(N19=0,(L19/16*L19/16*K19*10.680159*E19*J19)+(O19*P19/16*P19/16*10.680159*E19*Q19),(L19/16*L19/16*K19*10.680159*E19*J19)+(O19*P19/16*P19/16*10.680159*E19*Q19)+(M19/16*M19/16*10.680159*((F19-3)*3.1412)*E19*J19/N19)))*(1+K$53)</f>
        <v>0</v>
      </c>
      <c r="S19" s="902" t="n">
        <f aca="false">(IF(E19="",0,(((F19*F19/576)*J19*3.1412/27)+0.5*((3.1412*(I19*I19/576)*I19/12)/27-((F19*F19/576)*I19/12*3.1412/27)))*E19)*(1+K$49))</f>
        <v>0</v>
      </c>
      <c r="T19" s="903" t="n">
        <f aca="false">(IF(E19="",0,IF(J$54="",SUM(BN19:CP19)/E19,(SUM(BW19:CP19)+BM19)/E19)))*(1+M$42+Summary!P$57)</f>
        <v>0</v>
      </c>
      <c r="U19" s="904" t="n">
        <f aca="false">IF(E19=0,0,SUM(AO19:AS19)*(1+W$39))</f>
        <v>0</v>
      </c>
      <c r="V19" s="905" t="n">
        <f aca="false">AM19+AR19</f>
        <v>0</v>
      </c>
      <c r="W19" s="906" t="n">
        <f aca="false">IF(E19=0,0,(AN19+(AL19)+(AP19-0.5)+(AK19))*(1+W$39))</f>
        <v>0</v>
      </c>
      <c r="X19" s="907" t="n">
        <f aca="false">E19</f>
        <v>0</v>
      </c>
      <c r="Y19" s="908" t="n">
        <f aca="false">R19</f>
        <v>0</v>
      </c>
      <c r="Z19" s="908" t="n">
        <f aca="false">S19</f>
        <v>0</v>
      </c>
      <c r="AA19" s="909" t="n">
        <f aca="false">E19</f>
        <v>0</v>
      </c>
      <c r="AB19" s="910" t="n">
        <f aca="false">E19*T19</f>
        <v>0</v>
      </c>
      <c r="AG19" s="0" t="str">
        <f aca="false">IF(E19="","",J19*E19)</f>
        <v/>
      </c>
      <c r="AH19" s="0" t="n">
        <f aca="false">IF(E19=0,0,(((F19+3)*0.5)*((F19+3)*0.5)*3.145/144*(1+K$49)/27)-AI19)</f>
        <v>0</v>
      </c>
      <c r="AI19" s="0" t="n">
        <f aca="false">(F19*0.5)*(F19*0.5)*3.145/144*(1+K$49)/27</f>
        <v>0</v>
      </c>
      <c r="AJ19" s="0" t="str">
        <f aca="false">IF(E19="","",R19/E19/J19)</f>
        <v/>
      </c>
      <c r="AK19" s="0" t="n">
        <f aca="false">AH19*1.4*4</f>
        <v>0</v>
      </c>
      <c r="AL19" s="0" t="n">
        <f aca="false">IF(SUM(AT19:BC19)=0,0,(SUM(BW19:CF19)/SUM(AT19:BC19)*AH19))</f>
        <v>0</v>
      </c>
      <c r="AM19" s="0" t="n">
        <f aca="false">IF(F19=$AM$50,$AM$56,IF(F19=$AN$50,$AN$56,IF(F19=AO$50,AO$56,IF(F19=AP$50,AP$56,IF(F19=AQ$50,AQ$56,IF(F19=AR$50,AR$56,IF(F19=AS$50,AS$56,IF(F19=AT$50,AT$56,0))))))))</f>
        <v>0</v>
      </c>
      <c r="AN19" s="0" t="n">
        <f aca="false">IF(BD19&gt;0,AM$54,0)+IF(BE19&gt;0,AN$54,0)+IF(BF19&gt;0,AO$54,0)+IF(BG19&gt;0,AP$54,0)+IF(BH19&gt;0,AQ$54,0)+IF(BI19&gt;0,AR$54,0)+IF(BJ19&gt;0,AS$54,0)+IF(BK19&gt;0,AT$54,0)</f>
        <v>0</v>
      </c>
      <c r="AO19" s="0" t="str">
        <f aca="false">IF(E19="","",SUM(BN19:BU19)/(E19*J19))</f>
        <v/>
      </c>
      <c r="AP19" s="0" t="n">
        <v>3</v>
      </c>
      <c r="AQ19" s="0" t="str">
        <f aca="false">IF(E19="","",R19/(E19*J19)*G$53)</f>
        <v/>
      </c>
      <c r="AR19" s="0" t="n">
        <f aca="false">IF(SUM(AT19:BC19)=0,0,SUM(BW19:CF19)/SUM(AT19:BC19)*AI19)</f>
        <v>0</v>
      </c>
      <c r="AS19" s="0" t="n">
        <f aca="false">AI19*1.3*4</f>
        <v>0</v>
      </c>
      <c r="AT19" s="0" t="n">
        <f aca="false">IF($D19=1,S19,0)</f>
        <v>0</v>
      </c>
      <c r="AU19" s="0" t="n">
        <f aca="false">IF($D19=2,S19,0)</f>
        <v>0</v>
      </c>
      <c r="AV19" s="0" t="n">
        <f aca="false">IF($D19=3,S19,0)</f>
        <v>0</v>
      </c>
      <c r="AW19" s="0" t="n">
        <f aca="false">IF($D19=4,S19,0)</f>
        <v>0</v>
      </c>
      <c r="AX19" s="0" t="n">
        <f aca="false">IF($D19=5,S19,0)</f>
        <v>0</v>
      </c>
      <c r="AY19" s="0" t="n">
        <f aca="false">IF($D19=6,S19,0)</f>
        <v>0</v>
      </c>
      <c r="AZ19" s="0" t="n">
        <f aca="false">IF($D19=7,S19,0)</f>
        <v>0</v>
      </c>
      <c r="BA19" s="0" t="n">
        <f aca="false">IF($D19=8,S19,0)</f>
        <v>0</v>
      </c>
      <c r="BB19" s="0" t="n">
        <f aca="false">IF($D19=9,S19,0)</f>
        <v>0</v>
      </c>
      <c r="BC19" s="0" t="n">
        <f aca="false">IF($D19=10,S19,0)</f>
        <v>0</v>
      </c>
      <c r="BD19" s="0" t="n">
        <f aca="false">IF(F19&gt;0,IF(F19&lt;=BD$10,E19*$J19,0),0)</f>
        <v>0</v>
      </c>
      <c r="BE19" s="0" t="n">
        <f aca="false">IF($F19&gt;BD$10,IF($F19&lt;=BE$10,$E19*$J19,0),0)</f>
        <v>0</v>
      </c>
      <c r="BF19" s="0" t="n">
        <f aca="false">IF($F19&gt;BE$10,IF($F19&lt;=BF$10,$E19*$J19,0),0)</f>
        <v>0</v>
      </c>
      <c r="BG19" s="0" t="n">
        <f aca="false">IF($F19&gt;BF$10,IF($F19&lt;=BG$10,$E19*$J19,0),0)</f>
        <v>0</v>
      </c>
      <c r="BH19" s="0" t="n">
        <f aca="false">IF($F19&gt;BG$10,IF($F19&lt;=BH$10,$E19*$J19,0),0)</f>
        <v>0</v>
      </c>
      <c r="BI19" s="0" t="n">
        <f aca="false">IF($F19&gt;BH$10,IF($F19&lt;=BI$10,$E19*$J19,0),0)</f>
        <v>0</v>
      </c>
      <c r="BJ19" s="0" t="n">
        <f aca="false">IF($F19&gt;BI$10,IF($F19&lt;=BJ$10,$E19*$J19,0),0)</f>
        <v>0</v>
      </c>
      <c r="BK19" s="0" t="n">
        <f aca="false">IF($F19&gt;BJ$10,IF($F19&lt;=BK$10,$E19*$J19,0),0)</f>
        <v>0</v>
      </c>
      <c r="BL19" s="0" t="str">
        <f aca="false">IF(I19="","",I19*E19)</f>
        <v/>
      </c>
      <c r="BM19" s="911" t="n">
        <f aca="false">IF(SUM(BN19:BV19)="","",SUM(BN19:BV19)/SUM(BN$39:BV$39))*J$54</f>
        <v>0</v>
      </c>
      <c r="BN19" s="915" t="n">
        <f aca="false">BD19*AM$52</f>
        <v>0</v>
      </c>
      <c r="BO19" s="291" t="n">
        <f aca="false">BE19*AN$52</f>
        <v>0</v>
      </c>
      <c r="BP19" s="291" t="n">
        <f aca="false">BF19*AO$52</f>
        <v>0</v>
      </c>
      <c r="BQ19" s="291" t="n">
        <f aca="false">BG19*AP$52</f>
        <v>0</v>
      </c>
      <c r="BR19" s="291" t="n">
        <f aca="false">BH19*AQ$52</f>
        <v>0</v>
      </c>
      <c r="BS19" s="291" t="n">
        <f aca="false">BI19*AR$52</f>
        <v>0</v>
      </c>
      <c r="BT19" s="291" t="n">
        <f aca="false">BJ19*AS$52</f>
        <v>0</v>
      </c>
      <c r="BU19" s="291" t="n">
        <f aca="false">BK19*AT$52</f>
        <v>0</v>
      </c>
      <c r="BV19" s="916" t="str">
        <f aca="false">IF(BL19="","",BL19*AR$45)</f>
        <v/>
      </c>
      <c r="BW19" s="915" t="n">
        <f aca="false">AT19*Pricing!F$3*IF($T$41="N",(1+$V$41),1)</f>
        <v>0</v>
      </c>
      <c r="BX19" s="291" t="n">
        <f aca="false">AU19*Pricing!G$3*IF($T$41="N",(1+$V$41),1)</f>
        <v>0</v>
      </c>
      <c r="BY19" s="291" t="n">
        <f aca="false">AV19*Pricing!H$3*IF($T$41="N",(1+$V$41),1)</f>
        <v>0</v>
      </c>
      <c r="BZ19" s="291" t="n">
        <f aca="false">AW19*Pricing!I$3*IF($T$41="N",(1+$V$41),1)</f>
        <v>0</v>
      </c>
      <c r="CA19" s="291" t="n">
        <f aca="false">AX19*Pricing!J$3*IF($T$41="N",(1+$V$41),1)</f>
        <v>0</v>
      </c>
      <c r="CB19" s="291" t="n">
        <f aca="false">AY19*Pricing!K$3*IF($T$41="N",(1+$V$41),1)</f>
        <v>0</v>
      </c>
      <c r="CC19" s="291" t="n">
        <f aca="false">AZ19*Pricing!L$3*IF($T$41="N",(1+$V$41),1)</f>
        <v>0</v>
      </c>
      <c r="CD19" s="291" t="n">
        <f aca="false">BA19*Pricing!M$3*IF($T$41="N",(1+$V$41),1)</f>
        <v>0</v>
      </c>
      <c r="CE19" s="291" t="n">
        <f aca="false">BB19*Pricing!N$3*IF($T$41="N",(1+$V$41),1)</f>
        <v>0</v>
      </c>
      <c r="CF19" s="916" t="n">
        <f aca="false">BC19*Pricing!O$3*IF($T$41="N",(1+$V$41),1)</f>
        <v>0</v>
      </c>
      <c r="CG19" s="291" t="n">
        <f aca="false">IF(E19=0,0,R19*G$53*IF($T$41="n",(1+$V$41),1))</f>
        <v>0</v>
      </c>
      <c r="CH19" s="915" t="n">
        <f aca="false">E19*H$57</f>
        <v>0</v>
      </c>
      <c r="CI19" s="291" t="n">
        <f aca="false">Z19*E$60</f>
        <v>0</v>
      </c>
      <c r="CJ19" s="291" t="str">
        <f aca="false">IF(E19="","",R19/2000*E$61)</f>
        <v/>
      </c>
      <c r="CK19" s="291" t="n">
        <f aca="false">O$62/I$57*E19</f>
        <v>0</v>
      </c>
      <c r="CL19" s="917" t="n">
        <f aca="false">O$63/I$57*E19</f>
        <v>0</v>
      </c>
      <c r="CM19" s="918" t="n">
        <f aca="false">IF(E19="",0,(W$85)/E$39*E19)</f>
        <v>0</v>
      </c>
      <c r="CN19" s="916" t="n">
        <f aca="false">IF(E19="",0,SUM(O$66:P$69)/E$39*E19)</f>
        <v>0</v>
      </c>
      <c r="CO19" s="918" t="n">
        <f aca="false">IF(E19="",0,SUM(O$71:P$76)/E$39*E19)</f>
        <v>0</v>
      </c>
      <c r="CP19" s="291" t="n">
        <f aca="false">IF(E19="",0,SUM(O$78:P$83)/E$39*E19)</f>
        <v>0</v>
      </c>
      <c r="CQ19" s="55" t="n">
        <f aca="false">O$84/I$57*E19</f>
        <v>0</v>
      </c>
      <c r="CR19" s="919" t="n">
        <f aca="false">IF(E19="",0,T19*E19)</f>
        <v>0</v>
      </c>
    </row>
    <row r="20" customFormat="false" ht="19.5" hidden="false" customHeight="true" outlineLevel="0" collapsed="false">
      <c r="B20" s="894"/>
      <c r="C20" s="566"/>
      <c r="D20" s="895"/>
      <c r="E20" s="896"/>
      <c r="F20" s="897"/>
      <c r="G20" s="897"/>
      <c r="H20" s="78"/>
      <c r="I20" s="898"/>
      <c r="J20" s="899" t="n">
        <f aca="false">G20+H20</f>
        <v>0</v>
      </c>
      <c r="K20" s="920"/>
      <c r="L20" s="900"/>
      <c r="M20" s="78"/>
      <c r="N20" s="900"/>
      <c r="O20" s="901"/>
      <c r="P20" s="78"/>
      <c r="Q20" s="898"/>
      <c r="R20" s="902" t="n">
        <f aca="false">IF(E20="",0,IF(N20=0,(L20/16*L20/16*K20*10.680159*E20*J20)+(O20*P20/16*P20/16*10.680159*E20*Q20),(L20/16*L20/16*K20*10.680159*E20*J20)+(O20*P20/16*P20/16*10.680159*E20*Q20)+(M20/16*M20/16*10.680159*((F20-3)*3.1412)*E20*J20/N20)))*(1+K$53)</f>
        <v>0</v>
      </c>
      <c r="S20" s="902" t="n">
        <f aca="false">(IF(E20="",0,(((F20*F20/576)*J20*3.1412/27)+0.5*((3.1412*(I20*I20/576)*I20/12)/27-((F20*F20/576)*I20/12*3.1412/27)))*E20)*(1+K$49))</f>
        <v>0</v>
      </c>
      <c r="T20" s="903" t="n">
        <f aca="false">(IF(E20="",0,IF(J$54="",SUM(BN20:CP20)/E20,(SUM(BW20:CP20)+BM20)/E20)))*(1+M$42+Summary!P$57)</f>
        <v>0</v>
      </c>
      <c r="U20" s="904" t="n">
        <f aca="false">IF(E20=0,0,SUM(AO20:AS20)*(1+W$39))</f>
        <v>0</v>
      </c>
      <c r="V20" s="905" t="n">
        <f aca="false">AM20+AR20</f>
        <v>0</v>
      </c>
      <c r="W20" s="906" t="n">
        <f aca="false">IF(E20=0,0,(AN20+(AL20)+(AP20-0.5)+(AK20))*(1+W$39))</f>
        <v>0</v>
      </c>
      <c r="X20" s="907" t="n">
        <f aca="false">E20</f>
        <v>0</v>
      </c>
      <c r="Y20" s="908" t="n">
        <f aca="false">R20</f>
        <v>0</v>
      </c>
      <c r="Z20" s="908" t="n">
        <f aca="false">S20</f>
        <v>0</v>
      </c>
      <c r="AA20" s="909" t="n">
        <f aca="false">E20</f>
        <v>0</v>
      </c>
      <c r="AB20" s="910" t="n">
        <f aca="false">E20*T20</f>
        <v>0</v>
      </c>
      <c r="AG20" s="0" t="str">
        <f aca="false">IF(E20="","",J20*E20)</f>
        <v/>
      </c>
      <c r="AH20" s="0" t="n">
        <f aca="false">IF(E20=0,0,(((F20+3)*0.5)*((F20+3)*0.5)*3.145/144*(1+K$49)/27)-AI20)</f>
        <v>0</v>
      </c>
      <c r="AI20" s="0" t="n">
        <f aca="false">(F20*0.5)*(F20*0.5)*3.145/144*(1+K$49)/27</f>
        <v>0</v>
      </c>
      <c r="AJ20" s="0" t="str">
        <f aca="false">IF(E20="","",R20/E20/J20)</f>
        <v/>
      </c>
      <c r="AK20" s="0" t="n">
        <f aca="false">AH20*1.4*4</f>
        <v>0</v>
      </c>
      <c r="AL20" s="0" t="n">
        <f aca="false">IF(SUM(AT20:BC20)=0,0,(SUM(BW20:CF20)/SUM(AT20:BC20)*AH20))</f>
        <v>0</v>
      </c>
      <c r="AM20" s="0" t="n">
        <f aca="false">IF(F20=$AM$50,$AM$56,IF(F20=$AN$50,$AN$56,IF(F20=AO$50,AO$56,IF(F20=AP$50,AP$56,IF(F20=AQ$50,AQ$56,IF(F20=AR$50,AR$56,IF(F20=AS$50,AS$56,IF(F20=AT$50,AT$56,0))))))))</f>
        <v>0</v>
      </c>
      <c r="AN20" s="0" t="n">
        <f aca="false">IF(BD20&gt;0,AM$54,0)+IF(BE20&gt;0,AN$54,0)+IF(BF20&gt;0,AO$54,0)+IF(BG20&gt;0,AP$54,0)+IF(BH20&gt;0,AQ$54,0)+IF(BI20&gt;0,AR$54,0)+IF(BJ20&gt;0,AS$54,0)+IF(BK20&gt;0,AT$54,0)</f>
        <v>0</v>
      </c>
      <c r="AO20" s="0" t="str">
        <f aca="false">IF(E20="","",SUM(BN20:BU20)/(E20*J20))</f>
        <v/>
      </c>
      <c r="AP20" s="0" t="n">
        <v>3</v>
      </c>
      <c r="AQ20" s="0" t="str">
        <f aca="false">IF(E20="","",R20/(E20*J20)*G$53)</f>
        <v/>
      </c>
      <c r="AR20" s="0" t="n">
        <f aca="false">IF(SUM(AT20:BC20)=0,0,SUM(BW20:CF20)/SUM(AT20:BC20)*AI20)</f>
        <v>0</v>
      </c>
      <c r="AS20" s="0" t="n">
        <f aca="false">AI20*1.3*4</f>
        <v>0</v>
      </c>
      <c r="AT20" s="0" t="n">
        <f aca="false">IF($D20=1,S20,0)</f>
        <v>0</v>
      </c>
      <c r="AU20" s="0" t="n">
        <f aca="false">IF($D20=2,S20,0)</f>
        <v>0</v>
      </c>
      <c r="AV20" s="0" t="n">
        <f aca="false">IF($D20=3,S20,0)</f>
        <v>0</v>
      </c>
      <c r="AW20" s="0" t="n">
        <f aca="false">IF($D20=4,S20,0)</f>
        <v>0</v>
      </c>
      <c r="AX20" s="0" t="n">
        <f aca="false">IF($D20=5,S20,0)</f>
        <v>0</v>
      </c>
      <c r="AY20" s="0" t="n">
        <f aca="false">IF($D20=6,S20,0)</f>
        <v>0</v>
      </c>
      <c r="AZ20" s="0" t="n">
        <f aca="false">IF($D20=7,S20,0)</f>
        <v>0</v>
      </c>
      <c r="BA20" s="0" t="n">
        <f aca="false">IF($D20=8,S20,0)</f>
        <v>0</v>
      </c>
      <c r="BB20" s="0" t="n">
        <f aca="false">IF($D20=9,S20,0)</f>
        <v>0</v>
      </c>
      <c r="BC20" s="0" t="n">
        <f aca="false">IF($D20=10,S20,0)</f>
        <v>0</v>
      </c>
      <c r="BD20" s="0" t="n">
        <f aca="false">IF(F20&gt;0,IF(F20&lt;=BD$10,E20*$J20,0),0)</f>
        <v>0</v>
      </c>
      <c r="BE20" s="0" t="n">
        <f aca="false">IF($F20&gt;BD$10,IF($F20&lt;=BE$10,$E20*$J20,0),0)</f>
        <v>0</v>
      </c>
      <c r="BF20" s="0" t="n">
        <f aca="false">IF($F20&gt;BE$10,IF($F20&lt;=BF$10,$E20*$J20,0),0)</f>
        <v>0</v>
      </c>
      <c r="BG20" s="0" t="n">
        <f aca="false">IF($F20&gt;BF$10,IF($F20&lt;=BG$10,$E20*$J20,0),0)</f>
        <v>0</v>
      </c>
      <c r="BH20" s="0" t="n">
        <f aca="false">IF($F20&gt;BG$10,IF($F20&lt;=BH$10,$E20*$J20,0),0)</f>
        <v>0</v>
      </c>
      <c r="BI20" s="0" t="n">
        <f aca="false">IF($F20&gt;BH$10,IF($F20&lt;=BI$10,$E20*$J20,0),0)</f>
        <v>0</v>
      </c>
      <c r="BJ20" s="0" t="n">
        <f aca="false">IF($F20&gt;BI$10,IF($F20&lt;=BJ$10,$E20*$J20,0),0)</f>
        <v>0</v>
      </c>
      <c r="BK20" s="0" t="n">
        <f aca="false">IF($F20&gt;BJ$10,IF($F20&lt;=BK$10,$E20*$J20,0),0)</f>
        <v>0</v>
      </c>
      <c r="BL20" s="0" t="str">
        <f aca="false">IF(I20="","",I20*E20)</f>
        <v/>
      </c>
      <c r="BM20" s="911" t="n">
        <f aca="false">IF(SUM(BN20:BV20)="","",SUM(BN20:BV20)/SUM(BN$39:BV$39))*J$54</f>
        <v>0</v>
      </c>
      <c r="BN20" s="915" t="n">
        <f aca="false">BD20*AM$52</f>
        <v>0</v>
      </c>
      <c r="BO20" s="291" t="n">
        <f aca="false">BE20*AN$52</f>
        <v>0</v>
      </c>
      <c r="BP20" s="291" t="n">
        <f aca="false">BF20*AO$52</f>
        <v>0</v>
      </c>
      <c r="BQ20" s="291" t="n">
        <f aca="false">BG20*AP$52</f>
        <v>0</v>
      </c>
      <c r="BR20" s="291" t="n">
        <f aca="false">BH20*AQ$52</f>
        <v>0</v>
      </c>
      <c r="BS20" s="291" t="n">
        <f aca="false">BI20*AR$52</f>
        <v>0</v>
      </c>
      <c r="BT20" s="291" t="n">
        <f aca="false">BJ20*AS$52</f>
        <v>0</v>
      </c>
      <c r="BU20" s="291" t="n">
        <f aca="false">BK20*AT$52</f>
        <v>0</v>
      </c>
      <c r="BV20" s="916" t="str">
        <f aca="false">IF(BL20="","",BL20*AR$45)</f>
        <v/>
      </c>
      <c r="BW20" s="915" t="n">
        <f aca="false">AT20*Pricing!F$3*IF($T$41="N",(1+$V$41),1)</f>
        <v>0</v>
      </c>
      <c r="BX20" s="291" t="n">
        <f aca="false">AU20*Pricing!G$3*IF($T$41="N",(1+$V$41),1)</f>
        <v>0</v>
      </c>
      <c r="BY20" s="291" t="n">
        <f aca="false">AV20*Pricing!H$3*IF($T$41="N",(1+$V$41),1)</f>
        <v>0</v>
      </c>
      <c r="BZ20" s="291" t="n">
        <f aca="false">AW20*Pricing!I$3*IF($T$41="N",(1+$V$41),1)</f>
        <v>0</v>
      </c>
      <c r="CA20" s="291" t="n">
        <f aca="false">AX20*Pricing!J$3*IF($T$41="N",(1+$V$41),1)</f>
        <v>0</v>
      </c>
      <c r="CB20" s="291" t="n">
        <f aca="false">AY20*Pricing!K$3*IF($T$41="N",(1+$V$41),1)</f>
        <v>0</v>
      </c>
      <c r="CC20" s="291" t="n">
        <f aca="false">AZ20*Pricing!L$3*IF($T$41="N",(1+$V$41),1)</f>
        <v>0</v>
      </c>
      <c r="CD20" s="291" t="n">
        <f aca="false">BA20*Pricing!M$3*IF($T$41="N",(1+$V$41),1)</f>
        <v>0</v>
      </c>
      <c r="CE20" s="291" t="n">
        <f aca="false">BB20*Pricing!N$3*IF($T$41="N",(1+$V$41),1)</f>
        <v>0</v>
      </c>
      <c r="CF20" s="916" t="n">
        <f aca="false">BC20*Pricing!O$3*IF($T$41="N",(1+$V$41),1)</f>
        <v>0</v>
      </c>
      <c r="CG20" s="291" t="n">
        <f aca="false">IF(E20=0,0,R20*G$53*IF($T$41="n",(1+$V$41),1))</f>
        <v>0</v>
      </c>
      <c r="CH20" s="915" t="n">
        <f aca="false">E20*H$57</f>
        <v>0</v>
      </c>
      <c r="CI20" s="291" t="n">
        <f aca="false">Z20*E$60</f>
        <v>0</v>
      </c>
      <c r="CJ20" s="291" t="str">
        <f aca="false">IF(E20="","",R20/2000*E$61)</f>
        <v/>
      </c>
      <c r="CK20" s="291" t="n">
        <f aca="false">O$62/I$57*E20</f>
        <v>0</v>
      </c>
      <c r="CL20" s="917" t="n">
        <f aca="false">O$63/I$57*E20</f>
        <v>0</v>
      </c>
      <c r="CM20" s="918" t="n">
        <f aca="false">IF(E20="",0,(W$85)/E$39*E20)</f>
        <v>0</v>
      </c>
      <c r="CN20" s="916" t="n">
        <f aca="false">IF(E20="",0,SUM(O$66:P$69)/E$39*E20)</f>
        <v>0</v>
      </c>
      <c r="CO20" s="918" t="n">
        <f aca="false">IF(E20="",0,SUM(O$71:P$76)/E$39*E20)</f>
        <v>0</v>
      </c>
      <c r="CP20" s="291" t="n">
        <f aca="false">IF(E20="",0,SUM(O$78:P$83)/E$39*E20)</f>
        <v>0</v>
      </c>
      <c r="CQ20" s="55" t="n">
        <f aca="false">O$84/I$57*E20</f>
        <v>0</v>
      </c>
      <c r="CR20" s="919" t="n">
        <f aca="false">IF(E20="",0,T20*E20)</f>
        <v>0</v>
      </c>
    </row>
    <row r="21" customFormat="false" ht="19.5" hidden="false" customHeight="true" outlineLevel="0" collapsed="false">
      <c r="B21" s="894"/>
      <c r="C21" s="566"/>
      <c r="D21" s="895"/>
      <c r="E21" s="896"/>
      <c r="F21" s="897"/>
      <c r="G21" s="897"/>
      <c r="H21" s="897"/>
      <c r="I21" s="898"/>
      <c r="J21" s="899" t="n">
        <f aca="false">G21+H21</f>
        <v>0</v>
      </c>
      <c r="K21" s="920"/>
      <c r="L21" s="900"/>
      <c r="M21" s="78"/>
      <c r="N21" s="900"/>
      <c r="O21" s="901"/>
      <c r="P21" s="78"/>
      <c r="Q21" s="898"/>
      <c r="R21" s="902" t="n">
        <f aca="false">IF(E21="",0,IF(N21=0,(L21/16*L21/16*K21*10.680159*E21*J21)+(O21*P21/16*P21/16*10.680159*E21*Q21),(L21/16*L21/16*K21*10.680159*E21*J21)+(O21*P21/16*P21/16*10.680159*E21*Q21)+(M21/16*M21/16*10.680159*((F21-3)*3.1412)*E21*J21/N21)))*(1+K$53)</f>
        <v>0</v>
      </c>
      <c r="S21" s="902" t="n">
        <f aca="false">(IF(E21="",0,(((F21*F21/576)*J21*3.1412/27)+0.5*((3.1412*(I21*I21/576)*I21/12)/27-((F21*F21/576)*I21/12*3.1412/27)))*E21)*(1+K$49))</f>
        <v>0</v>
      </c>
      <c r="T21" s="903" t="n">
        <f aca="false">(IF(E21="",0,IF(J$54="",SUM(BN21:CP21)/E21,(SUM(BW21:CP21)+BM21)/E21)))*(1+M$42+Summary!P$57)</f>
        <v>0</v>
      </c>
      <c r="U21" s="904" t="n">
        <f aca="false">IF(E21=0,0,SUM(AO21:AS21)*(1+W$39))</f>
        <v>0</v>
      </c>
      <c r="V21" s="905" t="n">
        <f aca="false">AM21+AR21</f>
        <v>0</v>
      </c>
      <c r="W21" s="906" t="n">
        <f aca="false">IF(E21=0,0,(AN21+(AL21)+(AP21-0.5)+(AK21))*(1+W$39))</f>
        <v>0</v>
      </c>
      <c r="X21" s="907" t="n">
        <f aca="false">E21</f>
        <v>0</v>
      </c>
      <c r="Y21" s="908" t="n">
        <f aca="false">R21</f>
        <v>0</v>
      </c>
      <c r="Z21" s="908" t="n">
        <f aca="false">S21</f>
        <v>0</v>
      </c>
      <c r="AA21" s="909" t="n">
        <f aca="false">E21</f>
        <v>0</v>
      </c>
      <c r="AB21" s="910" t="n">
        <f aca="false">E21*T21</f>
        <v>0</v>
      </c>
      <c r="AG21" s="0" t="str">
        <f aca="false">IF(E21="","",J21*E21)</f>
        <v/>
      </c>
      <c r="AH21" s="0" t="n">
        <f aca="false">IF(E21=0,0,(((F21+3)*0.5)*((F21+3)*0.5)*3.145/144*(1+K$49)/27)-AI21)</f>
        <v>0</v>
      </c>
      <c r="AI21" s="0" t="n">
        <f aca="false">(F21*0.5)*(F21*0.5)*3.145/144*(1+K$49)/27</f>
        <v>0</v>
      </c>
      <c r="AJ21" s="0" t="str">
        <f aca="false">IF(E21="","",R21/E21/J21)</f>
        <v/>
      </c>
      <c r="AK21" s="0" t="n">
        <f aca="false">AH21*1.4*4</f>
        <v>0</v>
      </c>
      <c r="AL21" s="0" t="n">
        <f aca="false">IF(SUM(AT21:BC21)=0,0,(SUM(BW21:CF21)/SUM(AT21:BC21)*AH21))</f>
        <v>0</v>
      </c>
      <c r="AM21" s="0" t="n">
        <f aca="false">IF(F21=$AM$50,$AM$56,IF(F21=$AN$50,$AN$56,IF(F21=AO$50,AO$56,IF(F21=AP$50,AP$56,IF(F21=AQ$50,AQ$56,IF(F21=AR$50,AR$56,IF(F21=AS$50,AS$56,IF(F21=AT$50,AT$56,0))))))))</f>
        <v>0</v>
      </c>
      <c r="AN21" s="0" t="n">
        <f aca="false">IF(BD21&gt;0,AM$54,0)+IF(BE21&gt;0,AN$54,0)+IF(BF21&gt;0,AO$54,0)+IF(BG21&gt;0,AP$54,0)+IF(BH21&gt;0,AQ$54,0)+IF(BI21&gt;0,AR$54,0)+IF(BJ21&gt;0,AS$54,0)+IF(BK21&gt;0,AT$54,0)</f>
        <v>0</v>
      </c>
      <c r="AO21" s="0" t="str">
        <f aca="false">IF(E21="","",SUM(BN21:BU21)/(E21*J21))</f>
        <v/>
      </c>
      <c r="AP21" s="0" t="n">
        <v>3</v>
      </c>
      <c r="AQ21" s="0" t="str">
        <f aca="false">IF(E21="","",R21/(E21*J21)*G$53)</f>
        <v/>
      </c>
      <c r="AR21" s="0" t="n">
        <f aca="false">IF(SUM(AT21:BC21)=0,0,SUM(BW21:CF21)/SUM(AT21:BC21)*AI21)</f>
        <v>0</v>
      </c>
      <c r="AS21" s="0" t="n">
        <f aca="false">AI21*1.3*4</f>
        <v>0</v>
      </c>
      <c r="AT21" s="0" t="n">
        <f aca="false">IF($D21=1,S21,0)</f>
        <v>0</v>
      </c>
      <c r="AU21" s="0" t="n">
        <f aca="false">IF($D21=2,S21,0)</f>
        <v>0</v>
      </c>
      <c r="AV21" s="0" t="n">
        <f aca="false">IF($D21=3,S21,0)</f>
        <v>0</v>
      </c>
      <c r="AW21" s="0" t="n">
        <f aca="false">IF($D21=4,S21,0)</f>
        <v>0</v>
      </c>
      <c r="AX21" s="0" t="n">
        <f aca="false">IF($D21=5,S21,0)</f>
        <v>0</v>
      </c>
      <c r="AY21" s="0" t="n">
        <f aca="false">IF($D21=6,S21,0)</f>
        <v>0</v>
      </c>
      <c r="AZ21" s="0" t="n">
        <f aca="false">IF($D21=7,S21,0)</f>
        <v>0</v>
      </c>
      <c r="BA21" s="0" t="n">
        <f aca="false">IF($D21=8,S21,0)</f>
        <v>0</v>
      </c>
      <c r="BB21" s="0" t="n">
        <f aca="false">IF($D21=9,S21,0)</f>
        <v>0</v>
      </c>
      <c r="BC21" s="0" t="n">
        <f aca="false">IF($D21=10,S21,0)</f>
        <v>0</v>
      </c>
      <c r="BD21" s="0" t="n">
        <f aca="false">IF(F21&gt;0,IF(F21&lt;=BD$10,E21*$J21,0),0)</f>
        <v>0</v>
      </c>
      <c r="BE21" s="0" t="n">
        <f aca="false">IF($F21&gt;BD$10,IF($F21&lt;=BE$10,$E21*$J21,0),0)</f>
        <v>0</v>
      </c>
      <c r="BF21" s="0" t="n">
        <f aca="false">IF($F21&gt;BE$10,IF($F21&lt;=BF$10,$E21*$J21,0),0)</f>
        <v>0</v>
      </c>
      <c r="BG21" s="0" t="n">
        <f aca="false">IF($F21&gt;BF$10,IF($F21&lt;=BG$10,$E21*$J21,0),0)</f>
        <v>0</v>
      </c>
      <c r="BH21" s="0" t="n">
        <f aca="false">IF($F21&gt;BG$10,IF($F21&lt;=BH$10,$E21*$J21,0),0)</f>
        <v>0</v>
      </c>
      <c r="BI21" s="0" t="n">
        <f aca="false">IF($F21&gt;BH$10,IF($F21&lt;=BI$10,$E21*$J21,0),0)</f>
        <v>0</v>
      </c>
      <c r="BJ21" s="0" t="n">
        <f aca="false">IF($F21&gt;BI$10,IF($F21&lt;=BJ$10,$E21*$J21,0),0)</f>
        <v>0</v>
      </c>
      <c r="BK21" s="0" t="n">
        <f aca="false">IF($F21&gt;BJ$10,IF($F21&lt;=BK$10,$E21*$J21,0),0)</f>
        <v>0</v>
      </c>
      <c r="BL21" s="0" t="str">
        <f aca="false">IF(I21="","",I21*E21)</f>
        <v/>
      </c>
      <c r="BM21" s="911" t="n">
        <f aca="false">IF(SUM(BN21:BV21)="","",SUM(BN21:BV21)/SUM(BN$39:BV$39))*J$54</f>
        <v>0</v>
      </c>
      <c r="BN21" s="915" t="n">
        <f aca="false">BD21*AM$52</f>
        <v>0</v>
      </c>
      <c r="BO21" s="291" t="n">
        <f aca="false">BE21*AN$52</f>
        <v>0</v>
      </c>
      <c r="BP21" s="291" t="n">
        <f aca="false">BF21*AO$52</f>
        <v>0</v>
      </c>
      <c r="BQ21" s="291" t="n">
        <f aca="false">BG21*AP$52</f>
        <v>0</v>
      </c>
      <c r="BR21" s="291" t="n">
        <f aca="false">BH21*AQ$52</f>
        <v>0</v>
      </c>
      <c r="BS21" s="291" t="n">
        <f aca="false">BI21*AR$52</f>
        <v>0</v>
      </c>
      <c r="BT21" s="291" t="n">
        <f aca="false">BJ21*AS$52</f>
        <v>0</v>
      </c>
      <c r="BU21" s="291" t="n">
        <f aca="false">BK21*AT$52</f>
        <v>0</v>
      </c>
      <c r="BV21" s="916" t="str">
        <f aca="false">IF(BL21="","",BL21*AR$45)</f>
        <v/>
      </c>
      <c r="BW21" s="915" t="n">
        <f aca="false">AT21*Pricing!F$3*IF($T$41="N",(1+$V$41),1)</f>
        <v>0</v>
      </c>
      <c r="BX21" s="291" t="n">
        <f aca="false">AU21*Pricing!G$3*IF($T$41="N",(1+$V$41),1)</f>
        <v>0</v>
      </c>
      <c r="BY21" s="291" t="n">
        <f aca="false">AV21*Pricing!H$3*IF($T$41="N",(1+$V$41),1)</f>
        <v>0</v>
      </c>
      <c r="BZ21" s="291" t="n">
        <f aca="false">AW21*Pricing!I$3*IF($T$41="N",(1+$V$41),1)</f>
        <v>0</v>
      </c>
      <c r="CA21" s="291" t="n">
        <f aca="false">AX21*Pricing!J$3*IF($T$41="N",(1+$V$41),1)</f>
        <v>0</v>
      </c>
      <c r="CB21" s="291" t="n">
        <f aca="false">AY21*Pricing!K$3*IF($T$41="N",(1+$V$41),1)</f>
        <v>0</v>
      </c>
      <c r="CC21" s="291" t="n">
        <f aca="false">AZ21*Pricing!L$3*IF($T$41="N",(1+$V$41),1)</f>
        <v>0</v>
      </c>
      <c r="CD21" s="291" t="n">
        <f aca="false">BA21*Pricing!M$3*IF($T$41="N",(1+$V$41),1)</f>
        <v>0</v>
      </c>
      <c r="CE21" s="291" t="n">
        <f aca="false">BB21*Pricing!N$3*IF($T$41="N",(1+$V$41),1)</f>
        <v>0</v>
      </c>
      <c r="CF21" s="916" t="n">
        <f aca="false">BC21*Pricing!O$3*IF($T$41="N",(1+$V$41),1)</f>
        <v>0</v>
      </c>
      <c r="CG21" s="291" t="n">
        <f aca="false">IF(E21=0,0,R21*G$53*IF($T$41="n",(1+$V$41),1))</f>
        <v>0</v>
      </c>
      <c r="CH21" s="915" t="n">
        <f aca="false">E21*H$57</f>
        <v>0</v>
      </c>
      <c r="CI21" s="291" t="n">
        <f aca="false">Z21*E$60</f>
        <v>0</v>
      </c>
      <c r="CJ21" s="291" t="str">
        <f aca="false">IF(E21="","",R21/2000*E$61)</f>
        <v/>
      </c>
      <c r="CK21" s="291" t="n">
        <f aca="false">O$62/I$57*E21</f>
        <v>0</v>
      </c>
      <c r="CL21" s="917" t="n">
        <f aca="false">O$63/I$57*E21</f>
        <v>0</v>
      </c>
      <c r="CM21" s="918" t="n">
        <f aca="false">IF(E21="",0,(W$85)/E$39*E21)</f>
        <v>0</v>
      </c>
      <c r="CN21" s="916" t="n">
        <f aca="false">IF(E21="",0,SUM(O$66:P$69)/E$39*E21)</f>
        <v>0</v>
      </c>
      <c r="CO21" s="918" t="n">
        <f aca="false">IF(E21="",0,SUM(O$71:P$76)/E$39*E21)</f>
        <v>0</v>
      </c>
      <c r="CP21" s="291" t="n">
        <f aca="false">IF(E21="",0,SUM(O$78:P$83)/E$39*E21)</f>
        <v>0</v>
      </c>
      <c r="CQ21" s="55" t="n">
        <f aca="false">O$84/I$57*E21</f>
        <v>0</v>
      </c>
      <c r="CR21" s="919" t="n">
        <f aca="false">IF(E21="",0,T21*E21)</f>
        <v>0</v>
      </c>
    </row>
    <row r="22" customFormat="false" ht="19.5" hidden="false" customHeight="true" outlineLevel="0" collapsed="false">
      <c r="B22" s="894"/>
      <c r="C22" s="566"/>
      <c r="D22" s="895"/>
      <c r="E22" s="896"/>
      <c r="F22" s="897"/>
      <c r="G22" s="897"/>
      <c r="H22" s="897"/>
      <c r="I22" s="898"/>
      <c r="J22" s="899" t="n">
        <f aca="false">G22+H22</f>
        <v>0</v>
      </c>
      <c r="K22" s="920"/>
      <c r="L22" s="900"/>
      <c r="M22" s="78"/>
      <c r="N22" s="900"/>
      <c r="O22" s="901"/>
      <c r="P22" s="78"/>
      <c r="Q22" s="898"/>
      <c r="R22" s="902" t="n">
        <f aca="false">IF(E22="",0,IF(N22=0,(L22/16*L22/16*K22*10.680159*E22*J22)+(O22*P22/16*P22/16*10.680159*E22*Q22),(L22/16*L22/16*K22*10.680159*E22*J22)+(O22*P22/16*P22/16*10.680159*E22*Q22)+(M22/16*M22/16*10.680159*((F22-3)*3.1412)*E22*J22/N22)))*(1+K$53)</f>
        <v>0</v>
      </c>
      <c r="S22" s="902" t="n">
        <f aca="false">(IF(E22="",0,(((F22*F22/576)*J22*3.1412/27)+0.5*((3.1412*(I22*I22/576)*I22/12)/27-((F22*F22/576)*I22/12*3.1412/27)))*E22)*(1+K$49))</f>
        <v>0</v>
      </c>
      <c r="T22" s="903" t="n">
        <f aca="false">(IF(E22="",0,IF(J$54="",SUM(BN22:CP22)/E22,(SUM(BW22:CP22)+BM22)/E22)))*(1+M$42+Summary!P$57)</f>
        <v>0</v>
      </c>
      <c r="U22" s="904" t="n">
        <f aca="false">IF(E22=0,0,SUM(AO22:AS22)*(1+W$39))</f>
        <v>0</v>
      </c>
      <c r="V22" s="905" t="n">
        <f aca="false">AM22+AR22</f>
        <v>0</v>
      </c>
      <c r="W22" s="906" t="n">
        <f aca="false">IF(E22=0,0,(AN22+(AL22)+(AP22-0.5)+(AK22))*(1+W$39))</f>
        <v>0</v>
      </c>
      <c r="X22" s="907" t="n">
        <f aca="false">E22</f>
        <v>0</v>
      </c>
      <c r="Y22" s="908" t="n">
        <f aca="false">R22</f>
        <v>0</v>
      </c>
      <c r="Z22" s="908" t="n">
        <f aca="false">S22</f>
        <v>0</v>
      </c>
      <c r="AA22" s="909" t="n">
        <f aca="false">E22</f>
        <v>0</v>
      </c>
      <c r="AB22" s="910" t="n">
        <f aca="false">E22*T22</f>
        <v>0</v>
      </c>
      <c r="AG22" s="0" t="str">
        <f aca="false">IF(E22="","",J22*E22)</f>
        <v/>
      </c>
      <c r="AH22" s="0" t="n">
        <f aca="false">IF(E22=0,0,(((F22+3)*0.5)*((F22+3)*0.5)*3.145/144*(1+K$49)/27)-AI22)</f>
        <v>0</v>
      </c>
      <c r="AI22" s="0" t="n">
        <f aca="false">(F22*0.5)*(F22*0.5)*3.145/144*(1+K$49)/27</f>
        <v>0</v>
      </c>
      <c r="AJ22" s="0" t="str">
        <f aca="false">IF(E22="","",R22/E22/J22)</f>
        <v/>
      </c>
      <c r="AK22" s="0" t="n">
        <f aca="false">AH22*1.4*4</f>
        <v>0</v>
      </c>
      <c r="AL22" s="0" t="n">
        <f aca="false">IF(SUM(AT22:BC22)=0,0,(SUM(BW22:CF22)/SUM(AT22:BC22)*AH22))</f>
        <v>0</v>
      </c>
      <c r="AM22" s="0" t="n">
        <f aca="false">IF(F22=$AM$50,$AM$56,IF(F22=$AN$50,$AN$56,IF(F22=AO$50,AO$56,IF(F22=AP$50,AP$56,IF(F22=AQ$50,AQ$56,IF(F22=AR$50,AR$56,IF(F22=AS$50,AS$56,IF(F22=AT$50,AT$56,0))))))))</f>
        <v>0</v>
      </c>
      <c r="AN22" s="0" t="n">
        <f aca="false">IF(BD22&gt;0,AM$54,0)+IF(BE22&gt;0,AN$54,0)+IF(BF22&gt;0,AO$54,0)+IF(BG22&gt;0,AP$54,0)+IF(BH22&gt;0,AQ$54,0)+IF(BI22&gt;0,AR$54,0)+IF(BJ22&gt;0,AS$54,0)+IF(BK22&gt;0,AT$54,0)</f>
        <v>0</v>
      </c>
      <c r="AO22" s="0" t="str">
        <f aca="false">IF(E22="","",SUM(BN22:BU22)/(E22*J22))</f>
        <v/>
      </c>
      <c r="AP22" s="0" t="n">
        <v>3</v>
      </c>
      <c r="AQ22" s="0" t="str">
        <f aca="false">IF(E22="","",R22/(E22*J22)*G$53)</f>
        <v/>
      </c>
      <c r="AR22" s="0" t="n">
        <f aca="false">IF(SUM(AT22:BC22)=0,0,SUM(BW22:CF22)/SUM(AT22:BC22)*AI22)</f>
        <v>0</v>
      </c>
      <c r="AS22" s="0" t="n">
        <f aca="false">AI22*1.3*4</f>
        <v>0</v>
      </c>
      <c r="AT22" s="0" t="n">
        <f aca="false">IF($D22=1,S22,0)</f>
        <v>0</v>
      </c>
      <c r="AU22" s="0" t="n">
        <f aca="false">IF($D22=2,S22,0)</f>
        <v>0</v>
      </c>
      <c r="AV22" s="0" t="n">
        <f aca="false">IF($D22=3,S22,0)</f>
        <v>0</v>
      </c>
      <c r="AW22" s="0" t="n">
        <f aca="false">IF($D22=4,S22,0)</f>
        <v>0</v>
      </c>
      <c r="AX22" s="0" t="n">
        <f aca="false">IF($D22=5,S22,0)</f>
        <v>0</v>
      </c>
      <c r="AY22" s="0" t="n">
        <f aca="false">IF($D22=6,S22,0)</f>
        <v>0</v>
      </c>
      <c r="AZ22" s="0" t="n">
        <f aca="false">IF($D22=7,S22,0)</f>
        <v>0</v>
      </c>
      <c r="BA22" s="0" t="n">
        <f aca="false">IF($D22=8,S22,0)</f>
        <v>0</v>
      </c>
      <c r="BB22" s="0" t="n">
        <f aca="false">IF($D22=9,S22,0)</f>
        <v>0</v>
      </c>
      <c r="BC22" s="0" t="n">
        <f aca="false">IF($D22=10,S22,0)</f>
        <v>0</v>
      </c>
      <c r="BD22" s="0" t="n">
        <f aca="false">IF(F22&gt;0,IF(F22&lt;=BD$10,E22*$J22,0),0)</f>
        <v>0</v>
      </c>
      <c r="BE22" s="0" t="n">
        <f aca="false">IF($F22&gt;BD$10,IF($F22&lt;=BE$10,$E22*$J22,0),0)</f>
        <v>0</v>
      </c>
      <c r="BF22" s="0" t="n">
        <f aca="false">IF($F22&gt;BE$10,IF($F22&lt;=BF$10,$E22*$J22,0),0)</f>
        <v>0</v>
      </c>
      <c r="BG22" s="0" t="n">
        <f aca="false">IF($F22&gt;BF$10,IF($F22&lt;=BG$10,$E22*$J22,0),0)</f>
        <v>0</v>
      </c>
      <c r="BH22" s="0" t="n">
        <f aca="false">IF($F22&gt;BG$10,IF($F22&lt;=BH$10,$E22*$J22,0),0)</f>
        <v>0</v>
      </c>
      <c r="BI22" s="0" t="n">
        <f aca="false">IF($F22&gt;BH$10,IF($F22&lt;=BI$10,$E22*$J22,0),0)</f>
        <v>0</v>
      </c>
      <c r="BJ22" s="0" t="n">
        <f aca="false">IF($F22&gt;BI$10,IF($F22&lt;=BJ$10,$E22*$J22,0),0)</f>
        <v>0</v>
      </c>
      <c r="BK22" s="0" t="n">
        <f aca="false">IF($F22&gt;BJ$10,IF($F22&lt;=BK$10,$E22*$J22,0),0)</f>
        <v>0</v>
      </c>
      <c r="BL22" s="0" t="str">
        <f aca="false">IF(I22="","",I22*E22)</f>
        <v/>
      </c>
      <c r="BM22" s="911" t="n">
        <f aca="false">IF(SUM(BN22:BV22)="","",SUM(BN22:BV22)/SUM(BN$39:BV$39))*J$54</f>
        <v>0</v>
      </c>
      <c r="BN22" s="915" t="n">
        <f aca="false">BD22*AM$52</f>
        <v>0</v>
      </c>
      <c r="BO22" s="291" t="n">
        <f aca="false">BE22*AN$52</f>
        <v>0</v>
      </c>
      <c r="BP22" s="291" t="n">
        <f aca="false">BF22*AO$52</f>
        <v>0</v>
      </c>
      <c r="BQ22" s="291" t="n">
        <f aca="false">BG22*AP$52</f>
        <v>0</v>
      </c>
      <c r="BR22" s="291" t="n">
        <f aca="false">BH22*AQ$52</f>
        <v>0</v>
      </c>
      <c r="BS22" s="291" t="n">
        <f aca="false">BI22*AR$52</f>
        <v>0</v>
      </c>
      <c r="BT22" s="291" t="n">
        <f aca="false">BJ22*AS$52</f>
        <v>0</v>
      </c>
      <c r="BU22" s="291" t="n">
        <f aca="false">BK22*AT$52</f>
        <v>0</v>
      </c>
      <c r="BV22" s="916" t="str">
        <f aca="false">IF(BL22="","",BL22*AR$45)</f>
        <v/>
      </c>
      <c r="BW22" s="915" t="n">
        <f aca="false">AT22*Pricing!F$3*IF($T$41="N",(1+$V$41),1)</f>
        <v>0</v>
      </c>
      <c r="BX22" s="291" t="n">
        <f aca="false">AU22*Pricing!G$3*IF($T$41="N",(1+$V$41),1)</f>
        <v>0</v>
      </c>
      <c r="BY22" s="291" t="n">
        <f aca="false">AV22*Pricing!H$3*IF($T$41="N",(1+$V$41),1)</f>
        <v>0</v>
      </c>
      <c r="BZ22" s="291" t="n">
        <f aca="false">AW22*Pricing!I$3*IF($T$41="N",(1+$V$41),1)</f>
        <v>0</v>
      </c>
      <c r="CA22" s="291" t="n">
        <f aca="false">AX22*Pricing!J$3*IF($T$41="N",(1+$V$41),1)</f>
        <v>0</v>
      </c>
      <c r="CB22" s="291" t="n">
        <f aca="false">AY22*Pricing!K$3*IF($T$41="N",(1+$V$41),1)</f>
        <v>0</v>
      </c>
      <c r="CC22" s="291" t="n">
        <f aca="false">AZ22*Pricing!L$3*IF($T$41="N",(1+$V$41),1)</f>
        <v>0</v>
      </c>
      <c r="CD22" s="291" t="n">
        <f aca="false">BA22*Pricing!M$3*IF($T$41="N",(1+$V$41),1)</f>
        <v>0</v>
      </c>
      <c r="CE22" s="291" t="n">
        <f aca="false">BB22*Pricing!N$3*IF($T$41="N",(1+$V$41),1)</f>
        <v>0</v>
      </c>
      <c r="CF22" s="916" t="n">
        <f aca="false">BC22*Pricing!O$3*IF($T$41="N",(1+$V$41),1)</f>
        <v>0</v>
      </c>
      <c r="CG22" s="291" t="n">
        <f aca="false">IF(E22=0,0,R22*G$53*IF($T$41="n",(1+$V$41),1))</f>
        <v>0</v>
      </c>
      <c r="CH22" s="915" t="n">
        <f aca="false">E22*H$57</f>
        <v>0</v>
      </c>
      <c r="CI22" s="291" t="n">
        <f aca="false">Z22*E$60</f>
        <v>0</v>
      </c>
      <c r="CJ22" s="291" t="str">
        <f aca="false">IF(E22="","",R22/2000*E$61)</f>
        <v/>
      </c>
      <c r="CK22" s="291" t="n">
        <f aca="false">O$62/I$57*E22</f>
        <v>0</v>
      </c>
      <c r="CL22" s="917" t="n">
        <f aca="false">O$63/I$57*E22</f>
        <v>0</v>
      </c>
      <c r="CM22" s="918" t="n">
        <f aca="false">IF(E22="",0,(W$85)/E$39*E22)</f>
        <v>0</v>
      </c>
      <c r="CN22" s="916" t="n">
        <f aca="false">IF(E22="",0,SUM(O$66:P$69)/E$39*E22)</f>
        <v>0</v>
      </c>
      <c r="CO22" s="918" t="n">
        <f aca="false">IF(E22="",0,SUM(O$71:P$76)/E$39*E22)</f>
        <v>0</v>
      </c>
      <c r="CP22" s="291" t="n">
        <f aca="false">IF(E22="",0,SUM(O$78:P$83)/E$39*E22)</f>
        <v>0</v>
      </c>
      <c r="CQ22" s="55" t="n">
        <f aca="false">O$84/I$57*E22</f>
        <v>0</v>
      </c>
      <c r="CR22" s="919" t="n">
        <f aca="false">IF(E22="",0,T22*E22)</f>
        <v>0</v>
      </c>
    </row>
    <row r="23" customFormat="false" ht="19.5" hidden="false" customHeight="true" outlineLevel="0" collapsed="false">
      <c r="B23" s="894"/>
      <c r="C23" s="566"/>
      <c r="D23" s="895"/>
      <c r="E23" s="896"/>
      <c r="F23" s="897"/>
      <c r="G23" s="897"/>
      <c r="H23" s="897"/>
      <c r="I23" s="898"/>
      <c r="J23" s="899" t="n">
        <f aca="false">G23+H23</f>
        <v>0</v>
      </c>
      <c r="K23" s="920"/>
      <c r="L23" s="900"/>
      <c r="M23" s="78"/>
      <c r="N23" s="900"/>
      <c r="O23" s="901"/>
      <c r="P23" s="78"/>
      <c r="Q23" s="898"/>
      <c r="R23" s="902" t="n">
        <f aca="false">IF(E23="",0,IF(N23=0,(L23/16*L23/16*K23*10.680159*E23*J23)+(O23*P23/16*P23/16*10.680159*E23*Q23),(L23/16*L23/16*K23*10.680159*E23*J23)+(O23*P23/16*P23/16*10.680159*E23*Q23)+(M23/16*M23/16*10.680159*((F23-3)*3.1412)*E23*J23/N23)))*(1+K$53)</f>
        <v>0</v>
      </c>
      <c r="S23" s="902" t="n">
        <f aca="false">(IF(E23="",0,(((F23*F23/576)*J23*3.1412/27)+0.5*((3.1412*(I23*I23/576)*I23/12)/27-((F23*F23/576)*I23/12*3.1412/27)))*E23)*(1+K$49))</f>
        <v>0</v>
      </c>
      <c r="T23" s="903" t="n">
        <f aca="false">(IF(E23="",0,IF(J$54="",SUM(BN23:CP23)/E23,(SUM(BW23:CP23)+BM23)/E23)))*(1+M$42+Summary!P$57)</f>
        <v>0</v>
      </c>
      <c r="U23" s="904" t="n">
        <f aca="false">IF(E23=0,0,SUM(AO23:AS23)*(1+W$39))</f>
        <v>0</v>
      </c>
      <c r="V23" s="905" t="n">
        <f aca="false">AM23+AR23</f>
        <v>0</v>
      </c>
      <c r="W23" s="906" t="n">
        <f aca="false">IF(E23=0,0,(AN23+(AL23)+(AP23-0.5)+(AK23))*(1+W$39))</f>
        <v>0</v>
      </c>
      <c r="X23" s="907" t="n">
        <f aca="false">E23</f>
        <v>0</v>
      </c>
      <c r="Y23" s="908" t="n">
        <f aca="false">R23</f>
        <v>0</v>
      </c>
      <c r="Z23" s="908" t="n">
        <f aca="false">S23</f>
        <v>0</v>
      </c>
      <c r="AA23" s="909" t="n">
        <f aca="false">E23</f>
        <v>0</v>
      </c>
      <c r="AB23" s="910" t="n">
        <f aca="false">E23*T23</f>
        <v>0</v>
      </c>
      <c r="AG23" s="0" t="str">
        <f aca="false">IF(E23="","",J23*E23)</f>
        <v/>
      </c>
      <c r="AH23" s="0" t="n">
        <f aca="false">IF(E23=0,0,(((F23+3)*0.5)*((F23+3)*0.5)*3.145/144*(1+K$49)/27)-AI23)</f>
        <v>0</v>
      </c>
      <c r="AI23" s="0" t="n">
        <f aca="false">(F23*0.5)*(F23*0.5)*3.145/144*(1+K$49)/27</f>
        <v>0</v>
      </c>
      <c r="AJ23" s="0" t="str">
        <f aca="false">IF(E23="","",R23/E23/J23)</f>
        <v/>
      </c>
      <c r="AK23" s="0" t="n">
        <f aca="false">AH23*1.4*4</f>
        <v>0</v>
      </c>
      <c r="AL23" s="0" t="n">
        <f aca="false">IF(SUM(AT23:BC23)=0,0,(SUM(BW23:CF23)/SUM(AT23:BC23)*AH23))</f>
        <v>0</v>
      </c>
      <c r="AM23" s="0" t="n">
        <f aca="false">IF(F23=$AM$50,$AM$56,IF(F23=$AN$50,$AN$56,IF(F23=AO$50,AO$56,IF(F23=AP$50,AP$56,IF(F23=AQ$50,AQ$56,IF(F23=AR$50,AR$56,IF(F23=AS$50,AS$56,IF(F23=AT$50,AT$56,0))))))))</f>
        <v>0</v>
      </c>
      <c r="AN23" s="0" t="n">
        <f aca="false">IF(BD23&gt;0,AM$54,0)+IF(BE23&gt;0,AN$54,0)+IF(BF23&gt;0,AO$54,0)+IF(BG23&gt;0,AP$54,0)+IF(BH23&gt;0,AQ$54,0)+IF(BI23&gt;0,AR$54,0)+IF(BJ23&gt;0,AS$54,0)+IF(BK23&gt;0,AT$54,0)</f>
        <v>0</v>
      </c>
      <c r="AO23" s="0" t="str">
        <f aca="false">IF(E23="","",SUM(BN23:BU23)/(E23*J23))</f>
        <v/>
      </c>
      <c r="AP23" s="0" t="n">
        <v>3</v>
      </c>
      <c r="AQ23" s="0" t="str">
        <f aca="false">IF(E23="","",R23/(E23*J23)*G$53)</f>
        <v/>
      </c>
      <c r="AR23" s="0" t="n">
        <f aca="false">IF(SUM(AT23:BC23)=0,0,SUM(BW23:CF23)/SUM(AT23:BC23)*AI23)</f>
        <v>0</v>
      </c>
      <c r="AS23" s="0" t="n">
        <f aca="false">AI23*1.3*4</f>
        <v>0</v>
      </c>
      <c r="AT23" s="0" t="n">
        <f aca="false">IF($D23=1,S23,0)</f>
        <v>0</v>
      </c>
      <c r="AU23" s="0" t="n">
        <f aca="false">IF($D23=2,S23,0)</f>
        <v>0</v>
      </c>
      <c r="AV23" s="0" t="n">
        <f aca="false">IF($D23=3,S23,0)</f>
        <v>0</v>
      </c>
      <c r="AW23" s="0" t="n">
        <f aca="false">IF($D23=4,S23,0)</f>
        <v>0</v>
      </c>
      <c r="AX23" s="0" t="n">
        <f aca="false">IF($D23=5,S23,0)</f>
        <v>0</v>
      </c>
      <c r="AY23" s="0" t="n">
        <f aca="false">IF($D23=6,S23,0)</f>
        <v>0</v>
      </c>
      <c r="AZ23" s="0" t="n">
        <f aca="false">IF($D23=7,S23,0)</f>
        <v>0</v>
      </c>
      <c r="BA23" s="0" t="n">
        <f aca="false">IF($D23=8,S23,0)</f>
        <v>0</v>
      </c>
      <c r="BB23" s="0" t="n">
        <f aca="false">IF($D23=9,S23,0)</f>
        <v>0</v>
      </c>
      <c r="BC23" s="0" t="n">
        <f aca="false">IF($D23=10,S23,0)</f>
        <v>0</v>
      </c>
      <c r="BD23" s="0" t="n">
        <f aca="false">IF(F23&gt;0,IF(F23&lt;=BD$10,E23*$J23,0),0)</f>
        <v>0</v>
      </c>
      <c r="BE23" s="0" t="n">
        <f aca="false">IF($F23&gt;BD$10,IF($F23&lt;=BE$10,$E23*$J23,0),0)</f>
        <v>0</v>
      </c>
      <c r="BF23" s="0" t="n">
        <f aca="false">IF($F23&gt;BE$10,IF($F23&lt;=BF$10,$E23*$J23,0),0)</f>
        <v>0</v>
      </c>
      <c r="BG23" s="0" t="n">
        <f aca="false">IF($F23&gt;BF$10,IF($F23&lt;=BG$10,$E23*$J23,0),0)</f>
        <v>0</v>
      </c>
      <c r="BH23" s="0" t="n">
        <f aca="false">IF($F23&gt;BG$10,IF($F23&lt;=BH$10,$E23*$J23,0),0)</f>
        <v>0</v>
      </c>
      <c r="BI23" s="0" t="n">
        <f aca="false">IF($F23&gt;BH$10,IF($F23&lt;=BI$10,$E23*$J23,0),0)</f>
        <v>0</v>
      </c>
      <c r="BJ23" s="0" t="n">
        <f aca="false">IF($F23&gt;BI$10,IF($F23&lt;=BJ$10,$E23*$J23,0),0)</f>
        <v>0</v>
      </c>
      <c r="BK23" s="0" t="n">
        <f aca="false">IF($F23&gt;BJ$10,IF($F23&lt;=BK$10,$E23*$J23,0),0)</f>
        <v>0</v>
      </c>
      <c r="BL23" s="0" t="str">
        <f aca="false">IF(I23="","",I23*E23)</f>
        <v/>
      </c>
      <c r="BM23" s="911" t="n">
        <f aca="false">IF(SUM(BN23:BV23)="","",SUM(BN23:BV23)/SUM(BN$39:BV$39))*J$54</f>
        <v>0</v>
      </c>
      <c r="BN23" s="915" t="n">
        <f aca="false">BD23*AM$52</f>
        <v>0</v>
      </c>
      <c r="BO23" s="291" t="n">
        <f aca="false">BE23*AN$52</f>
        <v>0</v>
      </c>
      <c r="BP23" s="291" t="n">
        <f aca="false">BF23*AO$52</f>
        <v>0</v>
      </c>
      <c r="BQ23" s="291" t="n">
        <f aca="false">BG23*AP$52</f>
        <v>0</v>
      </c>
      <c r="BR23" s="291" t="n">
        <f aca="false">BH23*AQ$52</f>
        <v>0</v>
      </c>
      <c r="BS23" s="291" t="n">
        <f aca="false">BI23*AR$52</f>
        <v>0</v>
      </c>
      <c r="BT23" s="291" t="n">
        <f aca="false">BJ23*AS$52</f>
        <v>0</v>
      </c>
      <c r="BU23" s="291" t="n">
        <f aca="false">BK23*AT$52</f>
        <v>0</v>
      </c>
      <c r="BV23" s="916" t="str">
        <f aca="false">IF(BL23="","",BL23*AR$45)</f>
        <v/>
      </c>
      <c r="BW23" s="915" t="n">
        <f aca="false">AT23*Pricing!F$3*IF($T$41="N",(1+$V$41),1)</f>
        <v>0</v>
      </c>
      <c r="BX23" s="291" t="n">
        <f aca="false">AU23*Pricing!G$3*IF($T$41="N",(1+$V$41),1)</f>
        <v>0</v>
      </c>
      <c r="BY23" s="291" t="n">
        <f aca="false">AV23*Pricing!H$3*IF($T$41="N",(1+$V$41),1)</f>
        <v>0</v>
      </c>
      <c r="BZ23" s="291" t="n">
        <f aca="false">AW23*Pricing!I$3*IF($T$41="N",(1+$V$41),1)</f>
        <v>0</v>
      </c>
      <c r="CA23" s="291" t="n">
        <f aca="false">AX23*Pricing!J$3*IF($T$41="N",(1+$V$41),1)</f>
        <v>0</v>
      </c>
      <c r="CB23" s="291" t="n">
        <f aca="false">AY23*Pricing!K$3*IF($T$41="N",(1+$V$41),1)</f>
        <v>0</v>
      </c>
      <c r="CC23" s="291" t="n">
        <f aca="false">AZ23*Pricing!L$3*IF($T$41="N",(1+$V$41),1)</f>
        <v>0</v>
      </c>
      <c r="CD23" s="291" t="n">
        <f aca="false">BA23*Pricing!M$3*IF($T$41="N",(1+$V$41),1)</f>
        <v>0</v>
      </c>
      <c r="CE23" s="291" t="n">
        <f aca="false">BB23*Pricing!N$3*IF($T$41="N",(1+$V$41),1)</f>
        <v>0</v>
      </c>
      <c r="CF23" s="916" t="n">
        <f aca="false">BC23*Pricing!O$3*IF($T$41="N",(1+$V$41),1)</f>
        <v>0</v>
      </c>
      <c r="CG23" s="291" t="n">
        <f aca="false">IF(E23=0,0,R23*G$53*IF($T$41="n",(1+$V$41),1))</f>
        <v>0</v>
      </c>
      <c r="CH23" s="915" t="n">
        <f aca="false">E23*H$57</f>
        <v>0</v>
      </c>
      <c r="CI23" s="291" t="n">
        <f aca="false">Z23*E$60</f>
        <v>0</v>
      </c>
      <c r="CJ23" s="291" t="str">
        <f aca="false">IF(E23="","",R23/2000*E$61)</f>
        <v/>
      </c>
      <c r="CK23" s="291" t="n">
        <f aca="false">O$62/I$57*E23</f>
        <v>0</v>
      </c>
      <c r="CL23" s="917" t="n">
        <f aca="false">O$63/I$57*E23</f>
        <v>0</v>
      </c>
      <c r="CM23" s="918" t="n">
        <f aca="false">IF(E23="",0,(W$85)/E$39*E23)</f>
        <v>0</v>
      </c>
      <c r="CN23" s="916" t="n">
        <f aca="false">IF(E23="",0,SUM(O$66:P$69)/E$39*E23)</f>
        <v>0</v>
      </c>
      <c r="CO23" s="918" t="n">
        <f aca="false">IF(E23="",0,SUM(O$71:P$76)/E$39*E23)</f>
        <v>0</v>
      </c>
      <c r="CP23" s="291" t="n">
        <f aca="false">IF(E23="",0,SUM(O$78:P$83)/E$39*E23)</f>
        <v>0</v>
      </c>
      <c r="CQ23" s="55" t="n">
        <f aca="false">O$84/I$57*E23</f>
        <v>0</v>
      </c>
      <c r="CR23" s="919" t="n">
        <f aca="false">IF(E23="",0,T23*E23)</f>
        <v>0</v>
      </c>
    </row>
    <row r="24" customFormat="false" ht="19.5" hidden="false" customHeight="true" outlineLevel="0" collapsed="false">
      <c r="B24" s="894"/>
      <c r="C24" s="566"/>
      <c r="D24" s="895"/>
      <c r="E24" s="896"/>
      <c r="F24" s="897"/>
      <c r="G24" s="897"/>
      <c r="H24" s="897"/>
      <c r="I24" s="898"/>
      <c r="J24" s="899" t="n">
        <f aca="false">G24+H24</f>
        <v>0</v>
      </c>
      <c r="K24" s="920"/>
      <c r="L24" s="900"/>
      <c r="M24" s="78"/>
      <c r="N24" s="900"/>
      <c r="O24" s="901"/>
      <c r="P24" s="78"/>
      <c r="Q24" s="898"/>
      <c r="R24" s="902" t="n">
        <f aca="false">IF(E24="",0,IF(N24=0,(L24/16*L24/16*K24*10.680159*E24*J24)+(O24*P24/16*P24/16*10.680159*E24*Q24),(L24/16*L24/16*K24*10.680159*E24*J24)+(O24*P24/16*P24/16*10.680159*E24*Q24)+(M24/16*M24/16*10.680159*((F24-3)*3.1412)*E24*J24/N24)))*(1+K$53)</f>
        <v>0</v>
      </c>
      <c r="S24" s="902" t="n">
        <f aca="false">(IF(E24="",0,(((F24*F24/576)*J24*3.1412/27)+0.5*((3.1412*(I24*I24/576)*I24/12)/27-((F24*F24/576)*I24/12*3.1412/27)))*E24)*(1+K$49))</f>
        <v>0</v>
      </c>
      <c r="T24" s="903" t="n">
        <f aca="false">(IF(E24="",0,IF(J$54="",SUM(BN24:CP24)/E24,(SUM(BW24:CP24)+BM24)/E24)))*(1+M$42+Summary!P$57)</f>
        <v>0</v>
      </c>
      <c r="U24" s="904" t="n">
        <f aca="false">IF(E24=0,0,SUM(AO24:AS24)*(1+W$39))</f>
        <v>0</v>
      </c>
      <c r="V24" s="905" t="n">
        <f aca="false">AM24+AR24</f>
        <v>0</v>
      </c>
      <c r="W24" s="906" t="n">
        <f aca="false">IF(E24=0,0,(AN24+(AL24)+(AP24-0.5)+(AK24))*(1+W$39))</f>
        <v>0</v>
      </c>
      <c r="X24" s="907" t="n">
        <f aca="false">E24</f>
        <v>0</v>
      </c>
      <c r="Y24" s="908" t="n">
        <f aca="false">R24</f>
        <v>0</v>
      </c>
      <c r="Z24" s="908" t="n">
        <f aca="false">S24</f>
        <v>0</v>
      </c>
      <c r="AA24" s="909" t="n">
        <f aca="false">E24</f>
        <v>0</v>
      </c>
      <c r="AB24" s="910" t="n">
        <f aca="false">E24*T24</f>
        <v>0</v>
      </c>
      <c r="AG24" s="0" t="str">
        <f aca="false">IF(E24="","",J24*E24)</f>
        <v/>
      </c>
      <c r="AH24" s="0" t="n">
        <f aca="false">IF(E24=0,0,(((F24+3)*0.5)*((F24+3)*0.5)*3.145/144*(1+K$49)/27)-AI24)</f>
        <v>0</v>
      </c>
      <c r="AI24" s="0" t="n">
        <f aca="false">(F24*0.5)*(F24*0.5)*3.145/144*(1+K$49)/27</f>
        <v>0</v>
      </c>
      <c r="AJ24" s="0" t="str">
        <f aca="false">IF(E24="","",R24/E24/J24)</f>
        <v/>
      </c>
      <c r="AK24" s="0" t="n">
        <f aca="false">AH24*1.4*4</f>
        <v>0</v>
      </c>
      <c r="AL24" s="0" t="n">
        <f aca="false">IF(SUM(AT24:BC24)=0,0,(SUM(BW24:CF24)/SUM(AT24:BC24)*AH24))</f>
        <v>0</v>
      </c>
      <c r="AM24" s="0" t="n">
        <f aca="false">IF(F24=$AM$50,$AM$56,IF(F24=$AN$50,$AN$56,IF(F24=AO$50,AO$56,IF(F24=AP$50,AP$56,IF(F24=AQ$50,AQ$56,IF(F24=AR$50,AR$56,IF(F24=AS$50,AS$56,IF(F24=AT$50,AT$56,0))))))))</f>
        <v>0</v>
      </c>
      <c r="AN24" s="0" t="n">
        <f aca="false">IF(BD24&gt;0,AM$54,0)+IF(BE24&gt;0,AN$54,0)+IF(BF24&gt;0,AO$54,0)+IF(BG24&gt;0,AP$54,0)+IF(BH24&gt;0,AQ$54,0)+IF(BI24&gt;0,AR$54,0)+IF(BJ24&gt;0,AS$54,0)+IF(BK24&gt;0,AT$54,0)</f>
        <v>0</v>
      </c>
      <c r="AO24" s="0" t="str">
        <f aca="false">IF(E24="","",SUM(BN24:BU24)/(E24*J24))</f>
        <v/>
      </c>
      <c r="AP24" s="0" t="n">
        <v>3</v>
      </c>
      <c r="AQ24" s="0" t="str">
        <f aca="false">IF(E24="","",R24/(E24*J24)*G$53)</f>
        <v/>
      </c>
      <c r="AR24" s="0" t="n">
        <f aca="false">IF(SUM(AT24:BC24)=0,0,SUM(BW24:CF24)/SUM(AT24:BC24)*AI24)</f>
        <v>0</v>
      </c>
      <c r="AS24" s="0" t="n">
        <f aca="false">AI24*1.3*4</f>
        <v>0</v>
      </c>
      <c r="AT24" s="0" t="n">
        <f aca="false">IF($D24=1,S24,0)</f>
        <v>0</v>
      </c>
      <c r="AU24" s="0" t="n">
        <f aca="false">IF($D24=2,S24,0)</f>
        <v>0</v>
      </c>
      <c r="AV24" s="0" t="n">
        <f aca="false">IF($D24=3,S24,0)</f>
        <v>0</v>
      </c>
      <c r="AW24" s="0" t="n">
        <f aca="false">IF($D24=4,S24,0)</f>
        <v>0</v>
      </c>
      <c r="AX24" s="0" t="n">
        <f aca="false">IF($D24=5,S24,0)</f>
        <v>0</v>
      </c>
      <c r="AY24" s="0" t="n">
        <f aca="false">IF($D24=6,S24,0)</f>
        <v>0</v>
      </c>
      <c r="AZ24" s="0" t="n">
        <f aca="false">IF($D24=7,S24,0)</f>
        <v>0</v>
      </c>
      <c r="BA24" s="0" t="n">
        <f aca="false">IF($D24=8,S24,0)</f>
        <v>0</v>
      </c>
      <c r="BB24" s="0" t="n">
        <f aca="false">IF($D24=9,S24,0)</f>
        <v>0</v>
      </c>
      <c r="BC24" s="0" t="n">
        <f aca="false">IF($D24=10,S24,0)</f>
        <v>0</v>
      </c>
      <c r="BD24" s="0" t="n">
        <f aca="false">IF(F24&gt;0,IF(F24&lt;=BD$10,E24*$J24,0),0)</f>
        <v>0</v>
      </c>
      <c r="BE24" s="0" t="n">
        <f aca="false">IF($F24&gt;BD$10,IF($F24&lt;=BE$10,$E24*$J24,0),0)</f>
        <v>0</v>
      </c>
      <c r="BF24" s="0" t="n">
        <f aca="false">IF($F24&gt;BE$10,IF($F24&lt;=BF$10,$E24*$J24,0),0)</f>
        <v>0</v>
      </c>
      <c r="BG24" s="0" t="n">
        <f aca="false">IF($F24&gt;BF$10,IF($F24&lt;=BG$10,$E24*$J24,0),0)</f>
        <v>0</v>
      </c>
      <c r="BH24" s="0" t="n">
        <f aca="false">IF($F24&gt;BG$10,IF($F24&lt;=BH$10,$E24*$J24,0),0)</f>
        <v>0</v>
      </c>
      <c r="BI24" s="0" t="n">
        <f aca="false">IF($F24&gt;BH$10,IF($F24&lt;=BI$10,$E24*$J24,0),0)</f>
        <v>0</v>
      </c>
      <c r="BJ24" s="0" t="n">
        <f aca="false">IF($F24&gt;BI$10,IF($F24&lt;=BJ$10,$E24*$J24,0),0)</f>
        <v>0</v>
      </c>
      <c r="BK24" s="0" t="n">
        <f aca="false">IF($F24&gt;BJ$10,IF($F24&lt;=BK$10,$E24*$J24,0),0)</f>
        <v>0</v>
      </c>
      <c r="BL24" s="0" t="str">
        <f aca="false">IF(I24="","",I24*E24)</f>
        <v/>
      </c>
      <c r="BM24" s="911" t="n">
        <f aca="false">IF(SUM(BN24:BV24)="","",SUM(BN24:BV24)/SUM(BN$39:BV$39))*J$54</f>
        <v>0</v>
      </c>
      <c r="BN24" s="915" t="n">
        <f aca="false">BD24*AM$52</f>
        <v>0</v>
      </c>
      <c r="BO24" s="291" t="n">
        <f aca="false">BE24*AN$52</f>
        <v>0</v>
      </c>
      <c r="BP24" s="291" t="n">
        <f aca="false">BF24*AO$52</f>
        <v>0</v>
      </c>
      <c r="BQ24" s="291" t="n">
        <f aca="false">BG24*AP$52</f>
        <v>0</v>
      </c>
      <c r="BR24" s="291" t="n">
        <f aca="false">BH24*AQ$52</f>
        <v>0</v>
      </c>
      <c r="BS24" s="291" t="n">
        <f aca="false">BI24*AR$52</f>
        <v>0</v>
      </c>
      <c r="BT24" s="291" t="n">
        <f aca="false">BJ24*AS$52</f>
        <v>0</v>
      </c>
      <c r="BU24" s="291" t="n">
        <f aca="false">BK24*AT$52</f>
        <v>0</v>
      </c>
      <c r="BV24" s="916" t="str">
        <f aca="false">IF(BL24="","",BL24*AR$45)</f>
        <v/>
      </c>
      <c r="BW24" s="915" t="n">
        <f aca="false">AT24*Pricing!F$3*IF($T$41="N",(1+$V$41),1)</f>
        <v>0</v>
      </c>
      <c r="BX24" s="291" t="n">
        <f aca="false">AU24*Pricing!G$3*IF($T$41="N",(1+$V$41),1)</f>
        <v>0</v>
      </c>
      <c r="BY24" s="291" t="n">
        <f aca="false">AV24*Pricing!H$3*IF($T$41="N",(1+$V$41),1)</f>
        <v>0</v>
      </c>
      <c r="BZ24" s="291" t="n">
        <f aca="false">AW24*Pricing!I$3*IF($T$41="N",(1+$V$41),1)</f>
        <v>0</v>
      </c>
      <c r="CA24" s="291" t="n">
        <f aca="false">AX24*Pricing!J$3*IF($T$41="N",(1+$V$41),1)</f>
        <v>0</v>
      </c>
      <c r="CB24" s="291" t="n">
        <f aca="false">AY24*Pricing!K$3*IF($T$41="N",(1+$V$41),1)</f>
        <v>0</v>
      </c>
      <c r="CC24" s="291" t="n">
        <f aca="false">AZ24*Pricing!L$3*IF($T$41="N",(1+$V$41),1)</f>
        <v>0</v>
      </c>
      <c r="CD24" s="291" t="n">
        <f aca="false">BA24*Pricing!M$3*IF($T$41="N",(1+$V$41),1)</f>
        <v>0</v>
      </c>
      <c r="CE24" s="291" t="n">
        <f aca="false">BB24*Pricing!N$3*IF($T$41="N",(1+$V$41),1)</f>
        <v>0</v>
      </c>
      <c r="CF24" s="916" t="n">
        <f aca="false">BC24*Pricing!O$3*IF($T$41="N",(1+$V$41),1)</f>
        <v>0</v>
      </c>
      <c r="CG24" s="291" t="n">
        <f aca="false">IF(E24=0,0,R24*G$53*IF($T$41="n",(1+$V$41),1))</f>
        <v>0</v>
      </c>
      <c r="CH24" s="915" t="n">
        <f aca="false">E24*H$57</f>
        <v>0</v>
      </c>
      <c r="CI24" s="291" t="n">
        <f aca="false">Z24*E$60</f>
        <v>0</v>
      </c>
      <c r="CJ24" s="291" t="str">
        <f aca="false">IF(E24="","",R24/2000*E$61)</f>
        <v/>
      </c>
      <c r="CK24" s="291" t="n">
        <f aca="false">O$62/I$57*E24</f>
        <v>0</v>
      </c>
      <c r="CL24" s="917" t="n">
        <f aca="false">O$63/I$57*E24</f>
        <v>0</v>
      </c>
      <c r="CM24" s="918" t="n">
        <f aca="false">IF(E24="",0,(W$85)/E$39*E24)</f>
        <v>0</v>
      </c>
      <c r="CN24" s="916" t="n">
        <f aca="false">IF(E24="",0,SUM(O$66:P$69)/E$39*E24)</f>
        <v>0</v>
      </c>
      <c r="CO24" s="918" t="n">
        <f aca="false">IF(E24="",0,SUM(O$71:P$76)/E$39*E24)</f>
        <v>0</v>
      </c>
      <c r="CP24" s="291" t="n">
        <f aca="false">IF(E24="",0,SUM(O$78:P$83)/E$39*E24)</f>
        <v>0</v>
      </c>
      <c r="CQ24" s="55" t="n">
        <f aca="false">O$84/I$57*E24</f>
        <v>0</v>
      </c>
      <c r="CR24" s="919" t="n">
        <f aca="false">IF(E24="",0,T24*E24)</f>
        <v>0</v>
      </c>
    </row>
    <row r="25" customFormat="false" ht="19.5" hidden="false" customHeight="true" outlineLevel="0" collapsed="false">
      <c r="B25" s="894"/>
      <c r="C25" s="566"/>
      <c r="D25" s="895"/>
      <c r="E25" s="896"/>
      <c r="F25" s="897"/>
      <c r="G25" s="897"/>
      <c r="H25" s="897"/>
      <c r="I25" s="898"/>
      <c r="J25" s="899" t="n">
        <f aca="false">G25+H25</f>
        <v>0</v>
      </c>
      <c r="K25" s="920"/>
      <c r="L25" s="900"/>
      <c r="M25" s="78"/>
      <c r="N25" s="900"/>
      <c r="O25" s="901"/>
      <c r="P25" s="78"/>
      <c r="Q25" s="898"/>
      <c r="R25" s="902" t="n">
        <f aca="false">IF(E25="",0,IF(N25=0,(L25/16*L25/16*K25*10.680159*E25*J25)+(O25*P25/16*P25/16*10.680159*E25*Q25),(L25/16*L25/16*K25*10.680159*E25*J25)+(O25*P25/16*P25/16*10.680159*E25*Q25)+(M25/16*M25/16*10.680159*((F25-3)*3.1412)*E25*J25/N25)))*(1+K$53)</f>
        <v>0</v>
      </c>
      <c r="S25" s="902" t="n">
        <f aca="false">(IF(E25="",0,(((F25*F25/576)*J25*3.1412/27)+0.5*((3.1412*(I25*I25/576)*I25/12)/27-((F25*F25/576)*I25/12*3.1412/27)))*E25)*(1+K$49))</f>
        <v>0</v>
      </c>
      <c r="T25" s="903" t="n">
        <f aca="false">(IF(E25="",0,IF(J$54="",SUM(BN25:CP25)/E25,(SUM(BW25:CP25)+BM25)/E25)))*(1+M$42+Summary!P$57)</f>
        <v>0</v>
      </c>
      <c r="U25" s="904" t="n">
        <f aca="false">IF(E25=0,0,SUM(AO25:AS25)*(1+W$39))</f>
        <v>0</v>
      </c>
      <c r="V25" s="905" t="n">
        <f aca="false">AM25+AR25</f>
        <v>0</v>
      </c>
      <c r="W25" s="906" t="n">
        <f aca="false">IF(E25=0,0,(AN25+(AL25)+(AP25-0.5)+(AK25))*(1+W$39))</f>
        <v>0</v>
      </c>
      <c r="X25" s="907" t="n">
        <f aca="false">E25</f>
        <v>0</v>
      </c>
      <c r="Y25" s="908" t="n">
        <f aca="false">R25</f>
        <v>0</v>
      </c>
      <c r="Z25" s="908" t="n">
        <f aca="false">S25</f>
        <v>0</v>
      </c>
      <c r="AA25" s="909" t="n">
        <f aca="false">E25</f>
        <v>0</v>
      </c>
      <c r="AB25" s="910" t="n">
        <f aca="false">E25*T25</f>
        <v>0</v>
      </c>
      <c r="AG25" s="0" t="str">
        <f aca="false">IF(E25="","",J25*E25)</f>
        <v/>
      </c>
      <c r="AH25" s="0" t="n">
        <f aca="false">IF(E25=0,0,(((F25+3)*0.5)*((F25+3)*0.5)*3.145/144*(1+K$49)/27)-AI25)</f>
        <v>0</v>
      </c>
      <c r="AI25" s="0" t="n">
        <f aca="false">(F25*0.5)*(F25*0.5)*3.145/144*(1+K$49)/27</f>
        <v>0</v>
      </c>
      <c r="AJ25" s="0" t="str">
        <f aca="false">IF(E25="","",R25/E25/J25)</f>
        <v/>
      </c>
      <c r="AK25" s="0" t="n">
        <f aca="false">AH25*1.4*4</f>
        <v>0</v>
      </c>
      <c r="AL25" s="0" t="n">
        <f aca="false">IF(SUM(AT25:BC25)=0,0,(SUM(BW25:CF25)/SUM(AT25:BC25)*AH25))</f>
        <v>0</v>
      </c>
      <c r="AM25" s="0" t="n">
        <f aca="false">IF(F25=$AM$50,$AM$56,IF(F25=$AN$50,$AN$56,IF(F25=AO$50,AO$56,IF(F25=AP$50,AP$56,IF(F25=AQ$50,AQ$56,IF(F25=AR$50,AR$56,IF(F25=AS$50,AS$56,IF(F25=AT$50,AT$56,0))))))))</f>
        <v>0</v>
      </c>
      <c r="AN25" s="0" t="n">
        <f aca="false">IF(BD25&gt;0,AM$54,0)+IF(BE25&gt;0,AN$54,0)+IF(BF25&gt;0,AO$54,0)+IF(BG25&gt;0,AP$54,0)+IF(BH25&gt;0,AQ$54,0)+IF(BI25&gt;0,AR$54,0)+IF(BJ25&gt;0,AS$54,0)+IF(BK25&gt;0,AT$54,0)</f>
        <v>0</v>
      </c>
      <c r="AO25" s="0" t="str">
        <f aca="false">IF(E25="","",SUM(BN25:BU25)/(E25*J25))</f>
        <v/>
      </c>
      <c r="AP25" s="0" t="n">
        <v>3</v>
      </c>
      <c r="AQ25" s="0" t="str">
        <f aca="false">IF(E25="","",R25/(E25*J25)*G$53)</f>
        <v/>
      </c>
      <c r="AR25" s="0" t="n">
        <f aca="false">IF(SUM(AT25:BC25)=0,0,SUM(BW25:CF25)/SUM(AT25:BC25)*AI25)</f>
        <v>0</v>
      </c>
      <c r="AS25" s="0" t="n">
        <f aca="false">AI25*1.3*4</f>
        <v>0</v>
      </c>
      <c r="AT25" s="0" t="n">
        <f aca="false">IF($D25=1,S25,0)</f>
        <v>0</v>
      </c>
      <c r="AU25" s="0" t="n">
        <f aca="false">IF($D25=2,S25,0)</f>
        <v>0</v>
      </c>
      <c r="AV25" s="0" t="n">
        <f aca="false">IF($D25=3,S25,0)</f>
        <v>0</v>
      </c>
      <c r="AW25" s="0" t="n">
        <f aca="false">IF($D25=4,S25,0)</f>
        <v>0</v>
      </c>
      <c r="AX25" s="0" t="n">
        <f aca="false">IF($D25=5,S25,0)</f>
        <v>0</v>
      </c>
      <c r="AY25" s="0" t="n">
        <f aca="false">IF($D25=6,S25,0)</f>
        <v>0</v>
      </c>
      <c r="AZ25" s="0" t="n">
        <f aca="false">IF($D25=7,S25,0)</f>
        <v>0</v>
      </c>
      <c r="BA25" s="0" t="n">
        <f aca="false">IF($D25=8,S25,0)</f>
        <v>0</v>
      </c>
      <c r="BB25" s="0" t="n">
        <f aca="false">IF($D25=9,S25,0)</f>
        <v>0</v>
      </c>
      <c r="BC25" s="0" t="n">
        <f aca="false">IF($D25=10,S25,0)</f>
        <v>0</v>
      </c>
      <c r="BD25" s="0" t="n">
        <f aca="false">IF(F25&gt;0,IF(F25&lt;=BD$10,E25*$J25,0),0)</f>
        <v>0</v>
      </c>
      <c r="BE25" s="0" t="n">
        <f aca="false">IF($F25&gt;BD$10,IF($F25&lt;=BE$10,$E25*$J25,0),0)</f>
        <v>0</v>
      </c>
      <c r="BF25" s="0" t="n">
        <f aca="false">IF($F25&gt;BE$10,IF($F25&lt;=BF$10,$E25*$J25,0),0)</f>
        <v>0</v>
      </c>
      <c r="BG25" s="0" t="n">
        <f aca="false">IF($F25&gt;BF$10,IF($F25&lt;=BG$10,$E25*$J25,0),0)</f>
        <v>0</v>
      </c>
      <c r="BH25" s="0" t="n">
        <f aca="false">IF($F25&gt;BG$10,IF($F25&lt;=BH$10,$E25*$J25,0),0)</f>
        <v>0</v>
      </c>
      <c r="BI25" s="0" t="n">
        <f aca="false">IF($F25&gt;BH$10,IF($F25&lt;=BI$10,$E25*$J25,0),0)</f>
        <v>0</v>
      </c>
      <c r="BJ25" s="0" t="n">
        <f aca="false">IF($F25&gt;BI$10,IF($F25&lt;=BJ$10,$E25*$J25,0),0)</f>
        <v>0</v>
      </c>
      <c r="BK25" s="0" t="n">
        <f aca="false">IF($F25&gt;BJ$10,IF($F25&lt;=BK$10,$E25*$J25,0),0)</f>
        <v>0</v>
      </c>
      <c r="BL25" s="0" t="str">
        <f aca="false">IF(I25="","",I25*E25)</f>
        <v/>
      </c>
      <c r="BM25" s="911" t="n">
        <f aca="false">IF(SUM(BN25:BV25)="","",SUM(BN25:BV25)/SUM(BN$39:BV$39))*J$54</f>
        <v>0</v>
      </c>
      <c r="BN25" s="915" t="n">
        <f aca="false">BD25*AM$52</f>
        <v>0</v>
      </c>
      <c r="BO25" s="291" t="n">
        <f aca="false">BE25*AN$52</f>
        <v>0</v>
      </c>
      <c r="BP25" s="291" t="n">
        <f aca="false">BF25*AO$52</f>
        <v>0</v>
      </c>
      <c r="BQ25" s="291" t="n">
        <f aca="false">BG25*AP$52</f>
        <v>0</v>
      </c>
      <c r="BR25" s="291" t="n">
        <f aca="false">BH25*AQ$52</f>
        <v>0</v>
      </c>
      <c r="BS25" s="291" t="n">
        <f aca="false">BI25*AR$52</f>
        <v>0</v>
      </c>
      <c r="BT25" s="291" t="n">
        <f aca="false">BJ25*AS$52</f>
        <v>0</v>
      </c>
      <c r="BU25" s="291" t="n">
        <f aca="false">BK25*AT$52</f>
        <v>0</v>
      </c>
      <c r="BV25" s="916" t="str">
        <f aca="false">IF(BL25="","",BL25*AR$45)</f>
        <v/>
      </c>
      <c r="BW25" s="915" t="n">
        <f aca="false">AT25*Pricing!F$3*IF($T$41="N",(1+$V$41),1)</f>
        <v>0</v>
      </c>
      <c r="BX25" s="291" t="n">
        <f aca="false">AU25*Pricing!G$3*IF($T$41="N",(1+$V$41),1)</f>
        <v>0</v>
      </c>
      <c r="BY25" s="291" t="n">
        <f aca="false">AV25*Pricing!H$3*IF($T$41="N",(1+$V$41),1)</f>
        <v>0</v>
      </c>
      <c r="BZ25" s="291" t="n">
        <f aca="false">AW25*Pricing!I$3*IF($T$41="N",(1+$V$41),1)</f>
        <v>0</v>
      </c>
      <c r="CA25" s="291" t="n">
        <f aca="false">AX25*Pricing!J$3*IF($T$41="N",(1+$V$41),1)</f>
        <v>0</v>
      </c>
      <c r="CB25" s="291" t="n">
        <f aca="false">AY25*Pricing!K$3*IF($T$41="N",(1+$V$41),1)</f>
        <v>0</v>
      </c>
      <c r="CC25" s="291" t="n">
        <f aca="false">AZ25*Pricing!L$3*IF($T$41="N",(1+$V$41),1)</f>
        <v>0</v>
      </c>
      <c r="CD25" s="291" t="n">
        <f aca="false">BA25*Pricing!M$3*IF($T$41="N",(1+$V$41),1)</f>
        <v>0</v>
      </c>
      <c r="CE25" s="291" t="n">
        <f aca="false">BB25*Pricing!N$3*IF($T$41="N",(1+$V$41),1)</f>
        <v>0</v>
      </c>
      <c r="CF25" s="916" t="n">
        <f aca="false">BC25*Pricing!O$3*IF($T$41="N",(1+$V$41),1)</f>
        <v>0</v>
      </c>
      <c r="CG25" s="291" t="n">
        <f aca="false">IF(E25=0,0,R25*G$53*IF($T$41="n",(1+$V$41),1))</f>
        <v>0</v>
      </c>
      <c r="CH25" s="915" t="n">
        <f aca="false">E25*H$57</f>
        <v>0</v>
      </c>
      <c r="CI25" s="291" t="n">
        <f aca="false">Z25*E$60</f>
        <v>0</v>
      </c>
      <c r="CJ25" s="291" t="str">
        <f aca="false">IF(E25="","",R25/2000*E$61)</f>
        <v/>
      </c>
      <c r="CK25" s="291" t="n">
        <f aca="false">O$62/I$57*E25</f>
        <v>0</v>
      </c>
      <c r="CL25" s="917" t="n">
        <f aca="false">O$63/I$57*E25</f>
        <v>0</v>
      </c>
      <c r="CM25" s="918" t="n">
        <f aca="false">IF(E25="",0,(W$85)/E$39*E25)</f>
        <v>0</v>
      </c>
      <c r="CN25" s="916" t="n">
        <f aca="false">IF(E25="",0,SUM(O$66:P$69)/E$39*E25)</f>
        <v>0</v>
      </c>
      <c r="CO25" s="918" t="n">
        <f aca="false">IF(E25="",0,SUM(O$71:P$76)/E$39*E25)</f>
        <v>0</v>
      </c>
      <c r="CP25" s="291" t="n">
        <f aca="false">IF(E25="",0,SUM(O$78:P$83)/E$39*E25)</f>
        <v>0</v>
      </c>
      <c r="CQ25" s="55" t="n">
        <f aca="false">O$84/I$57*E25</f>
        <v>0</v>
      </c>
      <c r="CR25" s="919" t="n">
        <f aca="false">IF(E25="",0,T25*E25)</f>
        <v>0</v>
      </c>
    </row>
    <row r="26" customFormat="false" ht="19.5" hidden="false" customHeight="true" outlineLevel="0" collapsed="false">
      <c r="B26" s="894"/>
      <c r="C26" s="566"/>
      <c r="D26" s="895"/>
      <c r="E26" s="896"/>
      <c r="F26" s="897"/>
      <c r="G26" s="897"/>
      <c r="H26" s="897"/>
      <c r="I26" s="898"/>
      <c r="J26" s="899" t="n">
        <f aca="false">G26+H26</f>
        <v>0</v>
      </c>
      <c r="K26" s="920"/>
      <c r="L26" s="900"/>
      <c r="M26" s="78"/>
      <c r="N26" s="900"/>
      <c r="O26" s="901"/>
      <c r="P26" s="78"/>
      <c r="Q26" s="898"/>
      <c r="R26" s="902" t="n">
        <f aca="false">IF(E26="",0,IF(N26=0,(L26/16*L26/16*K26*10.680159*E26*J26)+(O26*P26/16*P26/16*10.680159*E26*Q26),(L26/16*L26/16*K26*10.680159*E26*J26)+(O26*P26/16*P26/16*10.680159*E26*Q26)+(M26/16*M26/16*10.680159*((F26-3)*3.1412)*E26*J26/N26)))*(1+K$53)</f>
        <v>0</v>
      </c>
      <c r="S26" s="902" t="n">
        <f aca="false">(IF(E26="",0,(((F26*F26/576)*J26*3.1412/27)+0.5*((3.1412*(I26*I26/576)*I26/12)/27-((F26*F26/576)*I26/12*3.1412/27)))*E26)*(1+K$49))</f>
        <v>0</v>
      </c>
      <c r="T26" s="903" t="n">
        <f aca="false">(IF(E26="",0,IF(J$54="",SUM(BN26:CP26)/E26,(SUM(BW26:CP26)+BM26)/E26)))*(1+M$42+Summary!P$57)</f>
        <v>0</v>
      </c>
      <c r="U26" s="904" t="n">
        <f aca="false">IF(E26=0,0,SUM(AO26:AS26)*(1+W$39))</f>
        <v>0</v>
      </c>
      <c r="V26" s="905" t="n">
        <f aca="false">AM26+AR26</f>
        <v>0</v>
      </c>
      <c r="W26" s="906" t="n">
        <f aca="false">IF(E26=0,0,(AN26+(AL26)+(AP26-0.5)+(AK26))*(1+W$39))</f>
        <v>0</v>
      </c>
      <c r="X26" s="907" t="n">
        <f aca="false">E26</f>
        <v>0</v>
      </c>
      <c r="Y26" s="908" t="n">
        <f aca="false">R26</f>
        <v>0</v>
      </c>
      <c r="Z26" s="908" t="n">
        <f aca="false">S26</f>
        <v>0</v>
      </c>
      <c r="AA26" s="909" t="n">
        <f aca="false">E26</f>
        <v>0</v>
      </c>
      <c r="AB26" s="910" t="n">
        <f aca="false">E26*T26</f>
        <v>0</v>
      </c>
      <c r="AG26" s="0" t="str">
        <f aca="false">IF(E26="","",J26*E26)</f>
        <v/>
      </c>
      <c r="AH26" s="0" t="n">
        <f aca="false">IF(E26=0,0,(((F26+3)*0.5)*((F26+3)*0.5)*3.145/144*(1+K$49)/27)-AI26)</f>
        <v>0</v>
      </c>
      <c r="AI26" s="0" t="n">
        <f aca="false">(F26*0.5)*(F26*0.5)*3.145/144*(1+K$49)/27</f>
        <v>0</v>
      </c>
      <c r="AJ26" s="0" t="str">
        <f aca="false">IF(E26="","",R26/E26/J26)</f>
        <v/>
      </c>
      <c r="AK26" s="0" t="n">
        <f aca="false">AH26*1.4*4</f>
        <v>0</v>
      </c>
      <c r="AL26" s="0" t="n">
        <f aca="false">IF(SUM(AT26:BC26)=0,0,(SUM(BW26:CF26)/SUM(AT26:BC26)*AH26))</f>
        <v>0</v>
      </c>
      <c r="AM26" s="0" t="n">
        <f aca="false">IF(F26=$AM$50,$AM$56,IF(F26=$AN$50,$AN$56,IF(F26=AO$50,AO$56,IF(F26=AP$50,AP$56,IF(F26=AQ$50,AQ$56,IF(F26=AR$50,AR$56,IF(F26=AS$50,AS$56,IF(F26=AT$50,AT$56,0))))))))</f>
        <v>0</v>
      </c>
      <c r="AN26" s="0" t="n">
        <f aca="false">IF(BD26&gt;0,AM$54,0)+IF(BE26&gt;0,AN$54,0)+IF(BF26&gt;0,AO$54,0)+IF(BG26&gt;0,AP$54,0)+IF(BH26&gt;0,AQ$54,0)+IF(BI26&gt;0,AR$54,0)+IF(BJ26&gt;0,AS$54,0)+IF(BK26&gt;0,AT$54,0)</f>
        <v>0</v>
      </c>
      <c r="AO26" s="0" t="str">
        <f aca="false">IF(E26="","",SUM(BN26:BU26)/(E26*J26))</f>
        <v/>
      </c>
      <c r="AP26" s="0" t="n">
        <v>3</v>
      </c>
      <c r="AQ26" s="0" t="str">
        <f aca="false">IF(E26="","",R26/(E26*J26)*G$53)</f>
        <v/>
      </c>
      <c r="AR26" s="0" t="n">
        <f aca="false">IF(SUM(AT26:BC26)=0,0,SUM(BW26:CF26)/SUM(AT26:BC26)*AI26)</f>
        <v>0</v>
      </c>
      <c r="AS26" s="0" t="n">
        <f aca="false">AI26*1.3*4</f>
        <v>0</v>
      </c>
      <c r="AT26" s="0" t="n">
        <f aca="false">IF($D26=1,S26,0)</f>
        <v>0</v>
      </c>
      <c r="AU26" s="0" t="n">
        <f aca="false">IF($D26=2,S26,0)</f>
        <v>0</v>
      </c>
      <c r="AV26" s="0" t="n">
        <f aca="false">IF($D26=3,S26,0)</f>
        <v>0</v>
      </c>
      <c r="AW26" s="0" t="n">
        <f aca="false">IF($D26=4,S26,0)</f>
        <v>0</v>
      </c>
      <c r="AX26" s="0" t="n">
        <f aca="false">IF($D26=5,S26,0)</f>
        <v>0</v>
      </c>
      <c r="AY26" s="0" t="n">
        <f aca="false">IF($D26=6,S26,0)</f>
        <v>0</v>
      </c>
      <c r="AZ26" s="0" t="n">
        <f aca="false">IF($D26=7,S26,0)</f>
        <v>0</v>
      </c>
      <c r="BA26" s="0" t="n">
        <f aca="false">IF($D26=8,S26,0)</f>
        <v>0</v>
      </c>
      <c r="BB26" s="0" t="n">
        <f aca="false">IF($D26=9,S26,0)</f>
        <v>0</v>
      </c>
      <c r="BC26" s="0" t="n">
        <f aca="false">IF($D26=10,S26,0)</f>
        <v>0</v>
      </c>
      <c r="BD26" s="0" t="n">
        <f aca="false">IF(F26&gt;0,IF(F26&lt;=BD$10,E26*$J26,0),0)</f>
        <v>0</v>
      </c>
      <c r="BE26" s="0" t="n">
        <f aca="false">IF($F26&gt;BD$10,IF($F26&lt;=BE$10,$E26*$J26,0),0)</f>
        <v>0</v>
      </c>
      <c r="BF26" s="0" t="n">
        <f aca="false">IF($F26&gt;BE$10,IF($F26&lt;=BF$10,$E26*$J26,0),0)</f>
        <v>0</v>
      </c>
      <c r="BG26" s="0" t="n">
        <f aca="false">IF($F26&gt;BF$10,IF($F26&lt;=BG$10,$E26*$J26,0),0)</f>
        <v>0</v>
      </c>
      <c r="BH26" s="0" t="n">
        <f aca="false">IF($F26&gt;BG$10,IF($F26&lt;=BH$10,$E26*$J26,0),0)</f>
        <v>0</v>
      </c>
      <c r="BI26" s="0" t="n">
        <f aca="false">IF($F26&gt;BH$10,IF($F26&lt;=BI$10,$E26*$J26,0),0)</f>
        <v>0</v>
      </c>
      <c r="BJ26" s="0" t="n">
        <f aca="false">IF($F26&gt;BI$10,IF($F26&lt;=BJ$10,$E26*$J26,0),0)</f>
        <v>0</v>
      </c>
      <c r="BK26" s="0" t="n">
        <f aca="false">IF($F26&gt;BJ$10,IF($F26&lt;=BK$10,$E26*$J26,0),0)</f>
        <v>0</v>
      </c>
      <c r="BL26" s="0" t="str">
        <f aca="false">IF(I26="","",I26*E26)</f>
        <v/>
      </c>
      <c r="BM26" s="911" t="n">
        <f aca="false">IF(SUM(BN26:BV26)="","",SUM(BN26:BV26)/SUM(BN$39:BV$39))*J$54</f>
        <v>0</v>
      </c>
      <c r="BN26" s="915" t="n">
        <f aca="false">BD26*AM$52</f>
        <v>0</v>
      </c>
      <c r="BO26" s="291" t="n">
        <f aca="false">BE26*AN$52</f>
        <v>0</v>
      </c>
      <c r="BP26" s="291" t="n">
        <f aca="false">BF26*AO$52</f>
        <v>0</v>
      </c>
      <c r="BQ26" s="291" t="n">
        <f aca="false">BG26*AP$52</f>
        <v>0</v>
      </c>
      <c r="BR26" s="291" t="n">
        <f aca="false">BH26*AQ$52</f>
        <v>0</v>
      </c>
      <c r="BS26" s="291" t="n">
        <f aca="false">BI26*AR$52</f>
        <v>0</v>
      </c>
      <c r="BT26" s="291" t="n">
        <f aca="false">BJ26*AS$52</f>
        <v>0</v>
      </c>
      <c r="BU26" s="291" t="n">
        <f aca="false">BK26*AT$52</f>
        <v>0</v>
      </c>
      <c r="BV26" s="916" t="str">
        <f aca="false">IF(BL26="","",BL26*AR$45)</f>
        <v/>
      </c>
      <c r="BW26" s="915" t="n">
        <f aca="false">AT26*Pricing!F$3*IF($T$41="N",(1+$V$41),1)</f>
        <v>0</v>
      </c>
      <c r="BX26" s="291" t="n">
        <f aca="false">AU26*Pricing!G$3*IF($T$41="N",(1+$V$41),1)</f>
        <v>0</v>
      </c>
      <c r="BY26" s="291" t="n">
        <f aca="false">AV26*Pricing!H$3*IF($T$41="N",(1+$V$41),1)</f>
        <v>0</v>
      </c>
      <c r="BZ26" s="291" t="n">
        <f aca="false">AW26*Pricing!I$3*IF($T$41="N",(1+$V$41),1)</f>
        <v>0</v>
      </c>
      <c r="CA26" s="291" t="n">
        <f aca="false">AX26*Pricing!J$3*IF($T$41="N",(1+$V$41),1)</f>
        <v>0</v>
      </c>
      <c r="CB26" s="291" t="n">
        <f aca="false">AY26*Pricing!K$3*IF($T$41="N",(1+$V$41),1)</f>
        <v>0</v>
      </c>
      <c r="CC26" s="291" t="n">
        <f aca="false">AZ26*Pricing!L$3*IF($T$41="N",(1+$V$41),1)</f>
        <v>0</v>
      </c>
      <c r="CD26" s="291" t="n">
        <f aca="false">BA26*Pricing!M$3*IF($T$41="N",(1+$V$41),1)</f>
        <v>0</v>
      </c>
      <c r="CE26" s="291" t="n">
        <f aca="false">BB26*Pricing!N$3*IF($T$41="N",(1+$V$41),1)</f>
        <v>0</v>
      </c>
      <c r="CF26" s="916" t="n">
        <f aca="false">BC26*Pricing!O$3*IF($T$41="N",(1+$V$41),1)</f>
        <v>0</v>
      </c>
      <c r="CG26" s="291" t="n">
        <f aca="false">IF(E26=0,0,R26*G$53*IF($T$41="n",(1+$V$41),1))</f>
        <v>0</v>
      </c>
      <c r="CH26" s="915" t="n">
        <f aca="false">E26*H$57</f>
        <v>0</v>
      </c>
      <c r="CI26" s="291" t="n">
        <f aca="false">Z26*E$60</f>
        <v>0</v>
      </c>
      <c r="CJ26" s="291" t="str">
        <f aca="false">IF(E26="","",R26/2000*E$61)</f>
        <v/>
      </c>
      <c r="CK26" s="291" t="n">
        <f aca="false">O$62/I$57*E26</f>
        <v>0</v>
      </c>
      <c r="CL26" s="917" t="n">
        <f aca="false">O$63/I$57*E26</f>
        <v>0</v>
      </c>
      <c r="CM26" s="918" t="n">
        <f aca="false">IF(E26="",0,(W$85)/E$39*E26)</f>
        <v>0</v>
      </c>
      <c r="CN26" s="916" t="n">
        <f aca="false">IF(E26="",0,SUM(O$66:P$69)/E$39*E26)</f>
        <v>0</v>
      </c>
      <c r="CO26" s="918" t="n">
        <f aca="false">IF(E26="",0,SUM(O$71:P$76)/E$39*E26)</f>
        <v>0</v>
      </c>
      <c r="CP26" s="291" t="n">
        <f aca="false">IF(E26="",0,SUM(O$78:P$83)/E$39*E26)</f>
        <v>0</v>
      </c>
      <c r="CQ26" s="55" t="n">
        <f aca="false">O$84/I$57*E26</f>
        <v>0</v>
      </c>
      <c r="CR26" s="919" t="n">
        <f aca="false">IF(E26="",0,T26*E26)</f>
        <v>0</v>
      </c>
    </row>
    <row r="27" customFormat="false" ht="19.5" hidden="false" customHeight="true" outlineLevel="0" collapsed="false">
      <c r="B27" s="894"/>
      <c r="C27" s="566"/>
      <c r="D27" s="895"/>
      <c r="E27" s="896"/>
      <c r="F27" s="897"/>
      <c r="G27" s="897"/>
      <c r="H27" s="897"/>
      <c r="I27" s="898"/>
      <c r="J27" s="899" t="n">
        <f aca="false">G27+H27</f>
        <v>0</v>
      </c>
      <c r="K27" s="920"/>
      <c r="L27" s="900"/>
      <c r="M27" s="78"/>
      <c r="N27" s="900"/>
      <c r="O27" s="901"/>
      <c r="P27" s="78"/>
      <c r="Q27" s="898"/>
      <c r="R27" s="902" t="n">
        <f aca="false">IF(E27="",0,IF(N27=0,(L27/16*L27/16*K27*10.680159*E27*J27)+(O27*P27/16*P27/16*10.680159*E27*Q27),(L27/16*L27/16*K27*10.680159*E27*J27)+(O27*P27/16*P27/16*10.680159*E27*Q27)+(M27/16*M27/16*10.680159*((F27-3)*3.1412)*E27*J27/N27)))*(1+K$53)</f>
        <v>0</v>
      </c>
      <c r="S27" s="902" t="n">
        <f aca="false">(IF(E27="",0,(((F27*F27/576)*J27*3.1412/27)+0.5*((3.1412*(I27*I27/576)*I27/12)/27-((F27*F27/576)*I27/12*3.1412/27)))*E27)*(1+K$49))</f>
        <v>0</v>
      </c>
      <c r="T27" s="903" t="n">
        <f aca="false">(IF(E27="",0,IF(J$54="",SUM(BN27:CP27)/E27,(SUM(BW27:CP27)+BM27)/E27)))*(1+M$42+Summary!P$57)</f>
        <v>0</v>
      </c>
      <c r="U27" s="904" t="n">
        <f aca="false">IF(E27=0,0,SUM(AO27:AS27)*(1+W$39))</f>
        <v>0</v>
      </c>
      <c r="V27" s="905" t="n">
        <f aca="false">AM27+AR27</f>
        <v>0</v>
      </c>
      <c r="W27" s="906" t="n">
        <f aca="false">IF(E27=0,0,(AN27+(AL27)+(AP27-0.5)+(AK27))*(1+W$39))</f>
        <v>0</v>
      </c>
      <c r="X27" s="907" t="n">
        <f aca="false">E27</f>
        <v>0</v>
      </c>
      <c r="Y27" s="908" t="n">
        <f aca="false">R27</f>
        <v>0</v>
      </c>
      <c r="Z27" s="908" t="n">
        <f aca="false">S27</f>
        <v>0</v>
      </c>
      <c r="AA27" s="909" t="n">
        <f aca="false">E27</f>
        <v>0</v>
      </c>
      <c r="AB27" s="910" t="n">
        <f aca="false">E27*T27</f>
        <v>0</v>
      </c>
      <c r="AG27" s="0" t="str">
        <f aca="false">IF(E27="","",J27*E27)</f>
        <v/>
      </c>
      <c r="AH27" s="0" t="n">
        <f aca="false">IF(E27=0,0,(((F27+3)*0.5)*((F27+3)*0.5)*3.145/144*(1+K$49)/27)-AI27)</f>
        <v>0</v>
      </c>
      <c r="AI27" s="0" t="n">
        <f aca="false">(F27*0.5)*(F27*0.5)*3.145/144*(1+K$49)/27</f>
        <v>0</v>
      </c>
      <c r="AJ27" s="0" t="str">
        <f aca="false">IF(E27="","",R27/E27/J27)</f>
        <v/>
      </c>
      <c r="AK27" s="0" t="n">
        <f aca="false">AH27*1.4*4</f>
        <v>0</v>
      </c>
      <c r="AL27" s="0" t="n">
        <f aca="false">IF(SUM(AT27:BC27)=0,0,(SUM(BW27:CF27)/SUM(AT27:BC27)*AH27))</f>
        <v>0</v>
      </c>
      <c r="AM27" s="0" t="n">
        <f aca="false">IF(F27=$AM$50,$AM$56,IF(F27=$AN$50,$AN$56,IF(F27=AO$50,AO$56,IF(F27=AP$50,AP$56,IF(F27=AQ$50,AQ$56,IF(F27=AR$50,AR$56,IF(F27=AS$50,AS$56,IF(F27=AT$50,AT$56,0))))))))</f>
        <v>0</v>
      </c>
      <c r="AN27" s="0" t="n">
        <f aca="false">IF(BD27&gt;0,AM$54,0)+IF(BE27&gt;0,AN$54,0)+IF(BF27&gt;0,AO$54,0)+IF(BG27&gt;0,AP$54,0)+IF(BH27&gt;0,AQ$54,0)+IF(BI27&gt;0,AR$54,0)+IF(BJ27&gt;0,AS$54,0)+IF(BK27&gt;0,AT$54,0)</f>
        <v>0</v>
      </c>
      <c r="AO27" s="0" t="str">
        <f aca="false">IF(E27="","",SUM(BN27:BU27)/(E27*J27))</f>
        <v/>
      </c>
      <c r="AP27" s="0" t="n">
        <v>3</v>
      </c>
      <c r="AQ27" s="0" t="str">
        <f aca="false">IF(E27="","",R27/(E27*J27)*G$53)</f>
        <v/>
      </c>
      <c r="AR27" s="0" t="n">
        <f aca="false">IF(SUM(AT27:BC27)=0,0,SUM(BW27:CF27)/SUM(AT27:BC27)*AI27)</f>
        <v>0</v>
      </c>
      <c r="AS27" s="0" t="n">
        <f aca="false">AI27*1.3*4</f>
        <v>0</v>
      </c>
      <c r="AT27" s="0" t="n">
        <f aca="false">IF($D27=1,S27,0)</f>
        <v>0</v>
      </c>
      <c r="AU27" s="0" t="n">
        <f aca="false">IF($D27=2,S27,0)</f>
        <v>0</v>
      </c>
      <c r="AV27" s="0" t="n">
        <f aca="false">IF($D27=3,S27,0)</f>
        <v>0</v>
      </c>
      <c r="AW27" s="0" t="n">
        <f aca="false">IF($D27=4,S27,0)</f>
        <v>0</v>
      </c>
      <c r="AX27" s="0" t="n">
        <f aca="false">IF($D27=5,S27,0)</f>
        <v>0</v>
      </c>
      <c r="AY27" s="0" t="n">
        <f aca="false">IF($D27=6,S27,0)</f>
        <v>0</v>
      </c>
      <c r="AZ27" s="0" t="n">
        <f aca="false">IF($D27=7,S27,0)</f>
        <v>0</v>
      </c>
      <c r="BA27" s="0" t="n">
        <f aca="false">IF($D27=8,S27,0)</f>
        <v>0</v>
      </c>
      <c r="BB27" s="0" t="n">
        <f aca="false">IF($D27=9,S27,0)</f>
        <v>0</v>
      </c>
      <c r="BC27" s="0" t="n">
        <f aca="false">IF($D27=10,S27,0)</f>
        <v>0</v>
      </c>
      <c r="BD27" s="0" t="n">
        <f aca="false">IF(F27&gt;0,IF(F27&lt;=BD$10,E27*$J27,0),0)</f>
        <v>0</v>
      </c>
      <c r="BE27" s="0" t="n">
        <f aca="false">IF($F27&gt;BD$10,IF($F27&lt;=BE$10,$E27*$J27,0),0)</f>
        <v>0</v>
      </c>
      <c r="BF27" s="0" t="n">
        <f aca="false">IF($F27&gt;BE$10,IF($F27&lt;=BF$10,$E27*$J27,0),0)</f>
        <v>0</v>
      </c>
      <c r="BG27" s="0" t="n">
        <f aca="false">IF($F27&gt;BF$10,IF($F27&lt;=BG$10,$E27*$J27,0),0)</f>
        <v>0</v>
      </c>
      <c r="BH27" s="0" t="n">
        <f aca="false">IF($F27&gt;BG$10,IF($F27&lt;=BH$10,$E27*$J27,0),0)</f>
        <v>0</v>
      </c>
      <c r="BI27" s="0" t="n">
        <f aca="false">IF($F27&gt;BH$10,IF($F27&lt;=BI$10,$E27*$J27,0),0)</f>
        <v>0</v>
      </c>
      <c r="BJ27" s="0" t="n">
        <f aca="false">IF($F27&gt;BI$10,IF($F27&lt;=BJ$10,$E27*$J27,0),0)</f>
        <v>0</v>
      </c>
      <c r="BK27" s="0" t="n">
        <f aca="false">IF($F27&gt;BJ$10,IF($F27&lt;=BK$10,$E27*$J27,0),0)</f>
        <v>0</v>
      </c>
      <c r="BL27" s="0" t="str">
        <f aca="false">IF(I27="","",I27*E27)</f>
        <v/>
      </c>
      <c r="BM27" s="911" t="n">
        <f aca="false">IF(SUM(BN27:BV27)="","",SUM(BN27:BV27)/SUM(BN$39:BV$39))*J$54</f>
        <v>0</v>
      </c>
      <c r="BN27" s="915" t="n">
        <f aca="false">BD27*AM$52</f>
        <v>0</v>
      </c>
      <c r="BO27" s="291" t="n">
        <f aca="false">BE27*AN$52</f>
        <v>0</v>
      </c>
      <c r="BP27" s="291" t="n">
        <f aca="false">BF27*AO$52</f>
        <v>0</v>
      </c>
      <c r="BQ27" s="291" t="n">
        <f aca="false">BG27*AP$52</f>
        <v>0</v>
      </c>
      <c r="BR27" s="291" t="n">
        <f aca="false">BH27*AQ$52</f>
        <v>0</v>
      </c>
      <c r="BS27" s="291" t="n">
        <f aca="false">BI27*AR$52</f>
        <v>0</v>
      </c>
      <c r="BT27" s="291" t="n">
        <f aca="false">BJ27*AS$52</f>
        <v>0</v>
      </c>
      <c r="BU27" s="291" t="n">
        <f aca="false">BK27*AT$52</f>
        <v>0</v>
      </c>
      <c r="BV27" s="916" t="str">
        <f aca="false">IF(BL27="","",BL27*AR$45)</f>
        <v/>
      </c>
      <c r="BW27" s="915" t="n">
        <f aca="false">AT27*Pricing!F$3*IF($T$41="N",(1+$V$41),1)</f>
        <v>0</v>
      </c>
      <c r="BX27" s="291" t="n">
        <f aca="false">AU27*Pricing!G$3*IF($T$41="N",(1+$V$41),1)</f>
        <v>0</v>
      </c>
      <c r="BY27" s="291" t="n">
        <f aca="false">AV27*Pricing!H$3*IF($T$41="N",(1+$V$41),1)</f>
        <v>0</v>
      </c>
      <c r="BZ27" s="291" t="n">
        <f aca="false">AW27*Pricing!I$3*IF($T$41="N",(1+$V$41),1)</f>
        <v>0</v>
      </c>
      <c r="CA27" s="291" t="n">
        <f aca="false">AX27*Pricing!J$3*IF($T$41="N",(1+$V$41),1)</f>
        <v>0</v>
      </c>
      <c r="CB27" s="291" t="n">
        <f aca="false">AY27*Pricing!K$3*IF($T$41="N",(1+$V$41),1)</f>
        <v>0</v>
      </c>
      <c r="CC27" s="291" t="n">
        <f aca="false">AZ27*Pricing!L$3*IF($T$41="N",(1+$V$41),1)</f>
        <v>0</v>
      </c>
      <c r="CD27" s="291" t="n">
        <f aca="false">BA27*Pricing!M$3*IF($T$41="N",(1+$V$41),1)</f>
        <v>0</v>
      </c>
      <c r="CE27" s="291" t="n">
        <f aca="false">BB27*Pricing!N$3*IF($T$41="N",(1+$V$41),1)</f>
        <v>0</v>
      </c>
      <c r="CF27" s="916" t="n">
        <f aca="false">BC27*Pricing!O$3*IF($T$41="N",(1+$V$41),1)</f>
        <v>0</v>
      </c>
      <c r="CG27" s="291" t="n">
        <f aca="false">IF(E27=0,0,R27*G$53*IF($T$41="n",(1+$V$41),1))</f>
        <v>0</v>
      </c>
      <c r="CH27" s="915" t="n">
        <f aca="false">E27*H$57</f>
        <v>0</v>
      </c>
      <c r="CI27" s="291" t="n">
        <f aca="false">Z27*E$60</f>
        <v>0</v>
      </c>
      <c r="CJ27" s="291" t="str">
        <f aca="false">IF(E27="","",R27/2000*E$61)</f>
        <v/>
      </c>
      <c r="CK27" s="291" t="n">
        <f aca="false">O$62/I$57*E27</f>
        <v>0</v>
      </c>
      <c r="CL27" s="917" t="n">
        <f aca="false">O$63/I$57*E27</f>
        <v>0</v>
      </c>
      <c r="CM27" s="918" t="n">
        <f aca="false">IF(E27="",0,(W$85)/E$39*E27)</f>
        <v>0</v>
      </c>
      <c r="CN27" s="916" t="n">
        <f aca="false">IF(E27="",0,SUM(O$66:P$69)/E$39*E27)</f>
        <v>0</v>
      </c>
      <c r="CO27" s="918" t="n">
        <f aca="false">IF(E27="",0,SUM(O$71:P$76)/E$39*E27)</f>
        <v>0</v>
      </c>
      <c r="CP27" s="291" t="n">
        <f aca="false">IF(E27="",0,SUM(O$78:P$83)/E$39*E27)</f>
        <v>0</v>
      </c>
      <c r="CQ27" s="55" t="n">
        <f aca="false">O$84/I$57*E27</f>
        <v>0</v>
      </c>
      <c r="CR27" s="919" t="n">
        <f aca="false">IF(E27="",0,T27*E27)</f>
        <v>0</v>
      </c>
    </row>
    <row r="28" customFormat="false" ht="19.5" hidden="false" customHeight="true" outlineLevel="0" collapsed="false">
      <c r="B28" s="894"/>
      <c r="C28" s="566"/>
      <c r="D28" s="895"/>
      <c r="E28" s="896"/>
      <c r="F28" s="897"/>
      <c r="G28" s="897"/>
      <c r="H28" s="897"/>
      <c r="I28" s="898"/>
      <c r="J28" s="899" t="n">
        <f aca="false">G28+H28</f>
        <v>0</v>
      </c>
      <c r="K28" s="920"/>
      <c r="L28" s="900"/>
      <c r="M28" s="78"/>
      <c r="N28" s="900"/>
      <c r="O28" s="901"/>
      <c r="P28" s="78"/>
      <c r="Q28" s="898"/>
      <c r="R28" s="902" t="n">
        <f aca="false">IF(E28="",0,IF(N28=0,(L28/16*L28/16*K28*10.680159*E28*J28)+(O28*P28/16*P28/16*10.680159*E28*Q28),(L28/16*L28/16*K28*10.680159*E28*J28)+(O28*P28/16*P28/16*10.680159*E28*Q28)+(M28/16*M28/16*10.680159*((F28-3)*3.1412)*E28*J28/N28)))*(1+K$53)</f>
        <v>0</v>
      </c>
      <c r="S28" s="902" t="n">
        <f aca="false">(IF(E28="",0,(((F28*F28/576)*J28*3.1412/27)+0.5*((3.1412*(I28*I28/576)*I28/12)/27-((F28*F28/576)*I28/12*3.1412/27)))*E28)*(1+K$49))</f>
        <v>0</v>
      </c>
      <c r="T28" s="903" t="n">
        <f aca="false">(IF(E28="",0,IF(J$54="",SUM(BN28:CP28)/E28,(SUM(BW28:CP28)+BM28)/E28)))*(1+M$42+Summary!P$57)</f>
        <v>0</v>
      </c>
      <c r="U28" s="904" t="n">
        <f aca="false">IF(E28=0,0,SUM(AO28:AS28)*(1+W$39))</f>
        <v>0</v>
      </c>
      <c r="V28" s="905" t="n">
        <f aca="false">AM28+AR28</f>
        <v>0</v>
      </c>
      <c r="W28" s="906" t="n">
        <f aca="false">IF(E28=0,0,(AN28+(AL28)+(AP28-0.5)+(AK28))*(1+W$39))</f>
        <v>0</v>
      </c>
      <c r="X28" s="907" t="n">
        <f aca="false">E28</f>
        <v>0</v>
      </c>
      <c r="Y28" s="908" t="n">
        <f aca="false">R28</f>
        <v>0</v>
      </c>
      <c r="Z28" s="908" t="n">
        <f aca="false">S28</f>
        <v>0</v>
      </c>
      <c r="AA28" s="909" t="n">
        <f aca="false">E28</f>
        <v>0</v>
      </c>
      <c r="AB28" s="910" t="n">
        <f aca="false">E28*T28</f>
        <v>0</v>
      </c>
      <c r="AG28" s="0" t="str">
        <f aca="false">IF(E28="","",J28*E28)</f>
        <v/>
      </c>
      <c r="AH28" s="0" t="n">
        <f aca="false">IF(E28=0,0,(((F28+3)*0.5)*((F28+3)*0.5)*3.145/144*(1+K$49)/27)-AI28)</f>
        <v>0</v>
      </c>
      <c r="AI28" s="0" t="n">
        <f aca="false">(F28*0.5)*(F28*0.5)*3.145/144*(1+K$49)/27</f>
        <v>0</v>
      </c>
      <c r="AJ28" s="0" t="str">
        <f aca="false">IF(E28="","",R28/E28/J28)</f>
        <v/>
      </c>
      <c r="AK28" s="0" t="n">
        <f aca="false">AH28*1.4*4</f>
        <v>0</v>
      </c>
      <c r="AL28" s="0" t="n">
        <f aca="false">IF(SUM(AT28:BC28)=0,0,(SUM(BW28:CF28)/SUM(AT28:BC28)*AH28))</f>
        <v>0</v>
      </c>
      <c r="AM28" s="0" t="n">
        <f aca="false">IF(F28=$AM$50,$AM$56,IF(F28=$AN$50,$AN$56,IF(F28=AO$50,AO$56,IF(F28=AP$50,AP$56,IF(F28=AQ$50,AQ$56,IF(F28=AR$50,AR$56,IF(F28=AS$50,AS$56,IF(F28=AT$50,AT$56,0))))))))</f>
        <v>0</v>
      </c>
      <c r="AN28" s="0" t="n">
        <f aca="false">IF(BD28&gt;0,AM$54,0)+IF(BE28&gt;0,AN$54,0)+IF(BF28&gt;0,AO$54,0)+IF(BG28&gt;0,AP$54,0)+IF(BH28&gt;0,AQ$54,0)+IF(BI28&gt;0,AR$54,0)+IF(BJ28&gt;0,AS$54,0)+IF(BK28&gt;0,AT$54,0)</f>
        <v>0</v>
      </c>
      <c r="AO28" s="0" t="str">
        <f aca="false">IF(E28="","",SUM(BN28:BU28)/(E28*J28))</f>
        <v/>
      </c>
      <c r="AP28" s="0" t="n">
        <v>3</v>
      </c>
      <c r="AQ28" s="0" t="str">
        <f aca="false">IF(E28="","",R28/(E28*J28)*G$53)</f>
        <v/>
      </c>
      <c r="AR28" s="0" t="n">
        <f aca="false">IF(SUM(AT28:BC28)=0,0,SUM(BW28:CF28)/SUM(AT28:BC28)*AI28)</f>
        <v>0</v>
      </c>
      <c r="AS28" s="0" t="n">
        <f aca="false">AI28*1.3*4</f>
        <v>0</v>
      </c>
      <c r="AT28" s="0" t="n">
        <f aca="false">IF($D28=1,S28,0)</f>
        <v>0</v>
      </c>
      <c r="AU28" s="0" t="n">
        <f aca="false">IF($D28=2,S28,0)</f>
        <v>0</v>
      </c>
      <c r="AV28" s="0" t="n">
        <f aca="false">IF($D28=3,S28,0)</f>
        <v>0</v>
      </c>
      <c r="AW28" s="0" t="n">
        <f aca="false">IF($D28=4,S28,0)</f>
        <v>0</v>
      </c>
      <c r="AX28" s="0" t="n">
        <f aca="false">IF($D28=5,S28,0)</f>
        <v>0</v>
      </c>
      <c r="AY28" s="0" t="n">
        <f aca="false">IF($D28=6,S28,0)</f>
        <v>0</v>
      </c>
      <c r="AZ28" s="0" t="n">
        <f aca="false">IF($D28=7,S28,0)</f>
        <v>0</v>
      </c>
      <c r="BA28" s="0" t="n">
        <f aca="false">IF($D28=8,S28,0)</f>
        <v>0</v>
      </c>
      <c r="BB28" s="0" t="n">
        <f aca="false">IF($D28=9,S28,0)</f>
        <v>0</v>
      </c>
      <c r="BC28" s="0" t="n">
        <f aca="false">IF($D28=10,S28,0)</f>
        <v>0</v>
      </c>
      <c r="BD28" s="0" t="n">
        <f aca="false">IF(F28&gt;0,IF(F28&lt;=BD$10,E28*$J28,0),0)</f>
        <v>0</v>
      </c>
      <c r="BE28" s="0" t="n">
        <f aca="false">IF($F28&gt;BD$10,IF($F28&lt;=BE$10,$E28*$J28,0),0)</f>
        <v>0</v>
      </c>
      <c r="BF28" s="0" t="n">
        <f aca="false">IF($F28&gt;BE$10,IF($F28&lt;=BF$10,$E28*$J28,0),0)</f>
        <v>0</v>
      </c>
      <c r="BG28" s="0" t="n">
        <f aca="false">IF($F28&gt;BF$10,IF($F28&lt;=BG$10,$E28*$J28,0),0)</f>
        <v>0</v>
      </c>
      <c r="BH28" s="0" t="n">
        <f aca="false">IF($F28&gt;BG$10,IF($F28&lt;=BH$10,$E28*$J28,0),0)</f>
        <v>0</v>
      </c>
      <c r="BI28" s="0" t="n">
        <f aca="false">IF($F28&gt;BH$10,IF($F28&lt;=BI$10,$E28*$J28,0),0)</f>
        <v>0</v>
      </c>
      <c r="BJ28" s="0" t="n">
        <f aca="false">IF($F28&gt;BI$10,IF($F28&lt;=BJ$10,$E28*$J28,0),0)</f>
        <v>0</v>
      </c>
      <c r="BK28" s="0" t="n">
        <f aca="false">IF($F28&gt;BJ$10,IF($F28&lt;=BK$10,$E28*$J28,0),0)</f>
        <v>0</v>
      </c>
      <c r="BL28" s="0" t="str">
        <f aca="false">IF(I28="","",I28*E28)</f>
        <v/>
      </c>
      <c r="BM28" s="911" t="n">
        <f aca="false">IF(SUM(BN28:BV28)="","",SUM(BN28:BV28)/SUM(BN$39:BV$39))*J$54</f>
        <v>0</v>
      </c>
      <c r="BN28" s="915" t="n">
        <f aca="false">BD28*AM$52</f>
        <v>0</v>
      </c>
      <c r="BO28" s="291" t="n">
        <f aca="false">BE28*AN$52</f>
        <v>0</v>
      </c>
      <c r="BP28" s="291" t="n">
        <f aca="false">BF28*AO$52</f>
        <v>0</v>
      </c>
      <c r="BQ28" s="291" t="n">
        <f aca="false">BG28*AP$52</f>
        <v>0</v>
      </c>
      <c r="BR28" s="291" t="n">
        <f aca="false">BH28*AQ$52</f>
        <v>0</v>
      </c>
      <c r="BS28" s="291" t="n">
        <f aca="false">BI28*AR$52</f>
        <v>0</v>
      </c>
      <c r="BT28" s="291" t="n">
        <f aca="false">BJ28*AS$52</f>
        <v>0</v>
      </c>
      <c r="BU28" s="291" t="n">
        <f aca="false">BK28*AT$52</f>
        <v>0</v>
      </c>
      <c r="BV28" s="916" t="str">
        <f aca="false">IF(BL28="","",BL28*AR$45)</f>
        <v/>
      </c>
      <c r="BW28" s="915" t="n">
        <f aca="false">AT28*Pricing!F$3*IF($T$41="N",(1+$V$41),1)</f>
        <v>0</v>
      </c>
      <c r="BX28" s="291" t="n">
        <f aca="false">AU28*Pricing!G$3*IF($T$41="N",(1+$V$41),1)</f>
        <v>0</v>
      </c>
      <c r="BY28" s="291" t="n">
        <f aca="false">AV28*Pricing!H$3*IF($T$41="N",(1+$V$41),1)</f>
        <v>0</v>
      </c>
      <c r="BZ28" s="291" t="n">
        <f aca="false">AW28*Pricing!I$3*IF($T$41="N",(1+$V$41),1)</f>
        <v>0</v>
      </c>
      <c r="CA28" s="291" t="n">
        <f aca="false">AX28*Pricing!J$3*IF($T$41="N",(1+$V$41),1)</f>
        <v>0</v>
      </c>
      <c r="CB28" s="291" t="n">
        <f aca="false">AY28*Pricing!K$3*IF($T$41="N",(1+$V$41),1)</f>
        <v>0</v>
      </c>
      <c r="CC28" s="291" t="n">
        <f aca="false">AZ28*Pricing!L$3*IF($T$41="N",(1+$V$41),1)</f>
        <v>0</v>
      </c>
      <c r="CD28" s="291" t="n">
        <f aca="false">BA28*Pricing!M$3*IF($T$41="N",(1+$V$41),1)</f>
        <v>0</v>
      </c>
      <c r="CE28" s="291" t="n">
        <f aca="false">BB28*Pricing!N$3*IF($T$41="N",(1+$V$41),1)</f>
        <v>0</v>
      </c>
      <c r="CF28" s="916" t="n">
        <f aca="false">BC28*Pricing!O$3*IF($T$41="N",(1+$V$41),1)</f>
        <v>0</v>
      </c>
      <c r="CG28" s="291" t="n">
        <f aca="false">IF(E28=0,0,R28*G$53*IF($T$41="n",(1+$V$41),1))</f>
        <v>0</v>
      </c>
      <c r="CH28" s="915" t="n">
        <f aca="false">E28*H$57</f>
        <v>0</v>
      </c>
      <c r="CI28" s="291" t="n">
        <f aca="false">Z28*E$60</f>
        <v>0</v>
      </c>
      <c r="CJ28" s="291" t="str">
        <f aca="false">IF(E28="","",R28/2000*E$61)</f>
        <v/>
      </c>
      <c r="CK28" s="291" t="n">
        <f aca="false">O$62/I$57*E28</f>
        <v>0</v>
      </c>
      <c r="CL28" s="917" t="n">
        <f aca="false">O$63/I$57*E28</f>
        <v>0</v>
      </c>
      <c r="CM28" s="918" t="n">
        <f aca="false">IF(E28="",0,(W$85)/E$39*E28)</f>
        <v>0</v>
      </c>
      <c r="CN28" s="916" t="n">
        <f aca="false">IF(E28="",0,SUM(O$66:P$69)/E$39*E28)</f>
        <v>0</v>
      </c>
      <c r="CO28" s="918" t="n">
        <f aca="false">IF(E28="",0,SUM(O$71:P$76)/E$39*E28)</f>
        <v>0</v>
      </c>
      <c r="CP28" s="291" t="n">
        <f aca="false">IF(E28="",0,SUM(O$78:P$83)/E$39*E28)</f>
        <v>0</v>
      </c>
      <c r="CQ28" s="55" t="n">
        <f aca="false">O$84/I$57*E28</f>
        <v>0</v>
      </c>
      <c r="CR28" s="919" t="n">
        <f aca="false">IF(E28="",0,T28*E28)</f>
        <v>0</v>
      </c>
    </row>
    <row r="29" customFormat="false" ht="19.5" hidden="false" customHeight="true" outlineLevel="0" collapsed="false">
      <c r="B29" s="894"/>
      <c r="C29" s="566"/>
      <c r="D29" s="895"/>
      <c r="E29" s="896"/>
      <c r="F29" s="897"/>
      <c r="G29" s="897"/>
      <c r="H29" s="897"/>
      <c r="I29" s="898"/>
      <c r="J29" s="899" t="n">
        <f aca="false">G29+H29</f>
        <v>0</v>
      </c>
      <c r="K29" s="920"/>
      <c r="L29" s="900"/>
      <c r="M29" s="78"/>
      <c r="N29" s="900"/>
      <c r="O29" s="901"/>
      <c r="P29" s="78"/>
      <c r="Q29" s="898"/>
      <c r="R29" s="902" t="n">
        <f aca="false">IF(E29="",0,IF(N29=0,(L29/16*L29/16*K29*10.680159*E29*J29)+(O29*P29/16*P29/16*10.680159*E29*Q29),(L29/16*L29/16*K29*10.680159*E29*J29)+(O29*P29/16*P29/16*10.680159*E29*Q29)+(M29/16*M29/16*10.680159*((F29-3)*3.1412)*E29*J29/N29)))*(1+K$53)</f>
        <v>0</v>
      </c>
      <c r="S29" s="902" t="n">
        <f aca="false">(IF(E29="",0,(((F29*F29/576)*J29*3.1412/27)+0.5*((3.1412*(I29*I29/576)*I29/12)/27-((F29*F29/576)*I29/12*3.1412/27)))*E29)*(1+K$49))</f>
        <v>0</v>
      </c>
      <c r="T29" s="903" t="n">
        <f aca="false">(IF(E29="",0,IF(J$54="",SUM(BN29:CP29)/E29,(SUM(BW29:CP29)+BM29)/E29)))*(1+M$42+Summary!P$57)</f>
        <v>0</v>
      </c>
      <c r="U29" s="904" t="n">
        <f aca="false">IF(E29=0,0,SUM(AO29:AS29)*(1+W$39))</f>
        <v>0</v>
      </c>
      <c r="V29" s="905" t="n">
        <f aca="false">AM29+AR29</f>
        <v>0</v>
      </c>
      <c r="W29" s="906" t="n">
        <f aca="false">IF(E29=0,0,(AN29+(AL29)+(AP29-0.5)+(AK29))*(1+W$39))</f>
        <v>0</v>
      </c>
      <c r="X29" s="907" t="n">
        <f aca="false">E29</f>
        <v>0</v>
      </c>
      <c r="Y29" s="908" t="n">
        <f aca="false">R29</f>
        <v>0</v>
      </c>
      <c r="Z29" s="908" t="n">
        <f aca="false">S29</f>
        <v>0</v>
      </c>
      <c r="AA29" s="909" t="n">
        <f aca="false">E29</f>
        <v>0</v>
      </c>
      <c r="AB29" s="910" t="n">
        <f aca="false">E29*T29</f>
        <v>0</v>
      </c>
      <c r="AG29" s="0" t="str">
        <f aca="false">IF(E29="","",J29*E29)</f>
        <v/>
      </c>
      <c r="AH29" s="0" t="n">
        <f aca="false">IF(E29=0,0,(((F29+3)*0.5)*((F29+3)*0.5)*3.145/144*(1+K$49)/27)-AI29)</f>
        <v>0</v>
      </c>
      <c r="AI29" s="0" t="n">
        <f aca="false">(F29*0.5)*(F29*0.5)*3.145/144*(1+K$49)/27</f>
        <v>0</v>
      </c>
      <c r="AJ29" s="0" t="str">
        <f aca="false">IF(E29="","",R29/E29/J29)</f>
        <v/>
      </c>
      <c r="AK29" s="0" t="n">
        <f aca="false">AH29*1.4*4</f>
        <v>0</v>
      </c>
      <c r="AL29" s="0" t="n">
        <f aca="false">IF(SUM(AT29:BC29)=0,0,(SUM(BW29:CF29)/SUM(AT29:BC29)*AH29))</f>
        <v>0</v>
      </c>
      <c r="AM29" s="0" t="n">
        <f aca="false">IF(F29=$AM$50,$AM$56,IF(F29=$AN$50,$AN$56,IF(F29=AO$50,AO$56,IF(F29=AP$50,AP$56,IF(F29=AQ$50,AQ$56,IF(F29=AR$50,AR$56,IF(F29=AS$50,AS$56,IF(F29=AT$50,AT$56,0))))))))</f>
        <v>0</v>
      </c>
      <c r="AN29" s="0" t="n">
        <f aca="false">IF(BD29&gt;0,AM$54,0)+IF(BE29&gt;0,AN$54,0)+IF(BF29&gt;0,AO$54,0)+IF(BG29&gt;0,AP$54,0)+IF(BH29&gt;0,AQ$54,0)+IF(BI29&gt;0,AR$54,0)+IF(BJ29&gt;0,AS$54,0)+IF(BK29&gt;0,AT$54,0)</f>
        <v>0</v>
      </c>
      <c r="AO29" s="0" t="str">
        <f aca="false">IF(E29="","",SUM(BN29:BU29)/(E29*J29))</f>
        <v/>
      </c>
      <c r="AP29" s="0" t="n">
        <v>3</v>
      </c>
      <c r="AQ29" s="0" t="str">
        <f aca="false">IF(E29="","",R29/(E29*J29)*G$53)</f>
        <v/>
      </c>
      <c r="AR29" s="0" t="n">
        <f aca="false">IF(SUM(AT29:BC29)=0,0,SUM(BW29:CF29)/SUM(AT29:BC29)*AI29)</f>
        <v>0</v>
      </c>
      <c r="AS29" s="0" t="n">
        <f aca="false">AI29*1.3*4</f>
        <v>0</v>
      </c>
      <c r="AT29" s="0" t="n">
        <f aca="false">IF($D29=1,S29,0)</f>
        <v>0</v>
      </c>
      <c r="AU29" s="0" t="n">
        <f aca="false">IF($D29=2,S29,0)</f>
        <v>0</v>
      </c>
      <c r="AV29" s="0" t="n">
        <f aca="false">IF($D29=3,S29,0)</f>
        <v>0</v>
      </c>
      <c r="AW29" s="0" t="n">
        <f aca="false">IF($D29=4,S29,0)</f>
        <v>0</v>
      </c>
      <c r="AX29" s="0" t="n">
        <f aca="false">IF($D29=5,S29,0)</f>
        <v>0</v>
      </c>
      <c r="AY29" s="0" t="n">
        <f aca="false">IF($D29=6,S29,0)</f>
        <v>0</v>
      </c>
      <c r="AZ29" s="0" t="n">
        <f aca="false">IF($D29=7,S29,0)</f>
        <v>0</v>
      </c>
      <c r="BA29" s="0" t="n">
        <f aca="false">IF($D29=8,S29,0)</f>
        <v>0</v>
      </c>
      <c r="BB29" s="0" t="n">
        <f aca="false">IF($D29=9,S29,0)</f>
        <v>0</v>
      </c>
      <c r="BC29" s="0" t="n">
        <f aca="false">IF($D29=10,S29,0)</f>
        <v>0</v>
      </c>
      <c r="BD29" s="0" t="n">
        <f aca="false">IF(F29&gt;0,IF(F29&lt;=BD$10,E29*$J29,0),0)</f>
        <v>0</v>
      </c>
      <c r="BE29" s="0" t="n">
        <f aca="false">IF($F29&gt;BD$10,IF($F29&lt;=BE$10,$E29*$J29,0),0)</f>
        <v>0</v>
      </c>
      <c r="BF29" s="0" t="n">
        <f aca="false">IF($F29&gt;BE$10,IF($F29&lt;=BF$10,$E29*$J29,0),0)</f>
        <v>0</v>
      </c>
      <c r="BG29" s="0" t="n">
        <f aca="false">IF($F29&gt;BF$10,IF($F29&lt;=BG$10,$E29*$J29,0),0)</f>
        <v>0</v>
      </c>
      <c r="BH29" s="0" t="n">
        <f aca="false">IF($F29&gt;BG$10,IF($F29&lt;=BH$10,$E29*$J29,0),0)</f>
        <v>0</v>
      </c>
      <c r="BI29" s="0" t="n">
        <f aca="false">IF($F29&gt;BH$10,IF($F29&lt;=BI$10,$E29*$J29,0),0)</f>
        <v>0</v>
      </c>
      <c r="BJ29" s="0" t="n">
        <f aca="false">IF($F29&gt;BI$10,IF($F29&lt;=BJ$10,$E29*$J29,0),0)</f>
        <v>0</v>
      </c>
      <c r="BK29" s="0" t="n">
        <f aca="false">IF($F29&gt;BJ$10,IF($F29&lt;=BK$10,$E29*$J29,0),0)</f>
        <v>0</v>
      </c>
      <c r="BL29" s="0" t="str">
        <f aca="false">IF(I29="","",I29*E29)</f>
        <v/>
      </c>
      <c r="BM29" s="911" t="n">
        <f aca="false">IF(SUM(BN29:BV29)="","",SUM(BN29:BV29)/SUM(BN$39:BV$39))*J$54</f>
        <v>0</v>
      </c>
      <c r="BN29" s="915" t="n">
        <f aca="false">BD29*AM$52</f>
        <v>0</v>
      </c>
      <c r="BO29" s="291" t="n">
        <f aca="false">BE29*AN$52</f>
        <v>0</v>
      </c>
      <c r="BP29" s="291" t="n">
        <f aca="false">BF29*AO$52</f>
        <v>0</v>
      </c>
      <c r="BQ29" s="291" t="n">
        <f aca="false">BG29*AP$52</f>
        <v>0</v>
      </c>
      <c r="BR29" s="291" t="n">
        <f aca="false">BH29*AQ$52</f>
        <v>0</v>
      </c>
      <c r="BS29" s="291" t="n">
        <f aca="false">BI29*AR$52</f>
        <v>0</v>
      </c>
      <c r="BT29" s="291" t="n">
        <f aca="false">BJ29*AS$52</f>
        <v>0</v>
      </c>
      <c r="BU29" s="291" t="n">
        <f aca="false">BK29*AT$52</f>
        <v>0</v>
      </c>
      <c r="BV29" s="916" t="str">
        <f aca="false">IF(BL29="","",BL29*AR$45)</f>
        <v/>
      </c>
      <c r="BW29" s="915" t="n">
        <f aca="false">AT29*Pricing!F$3*IF($T$41="N",(1+$V$41),1)</f>
        <v>0</v>
      </c>
      <c r="BX29" s="291" t="n">
        <f aca="false">AU29*Pricing!G$3*IF($T$41="N",(1+$V$41),1)</f>
        <v>0</v>
      </c>
      <c r="BY29" s="291" t="n">
        <f aca="false">AV29*Pricing!H$3*IF($T$41="N",(1+$V$41),1)</f>
        <v>0</v>
      </c>
      <c r="BZ29" s="291" t="n">
        <f aca="false">AW29*Pricing!I$3*IF($T$41="N",(1+$V$41),1)</f>
        <v>0</v>
      </c>
      <c r="CA29" s="291" t="n">
        <f aca="false">AX29*Pricing!J$3*IF($T$41="N",(1+$V$41),1)</f>
        <v>0</v>
      </c>
      <c r="CB29" s="291" t="n">
        <f aca="false">AY29*Pricing!K$3*IF($T$41="N",(1+$V$41),1)</f>
        <v>0</v>
      </c>
      <c r="CC29" s="291" t="n">
        <f aca="false">AZ29*Pricing!L$3*IF($T$41="N",(1+$V$41),1)</f>
        <v>0</v>
      </c>
      <c r="CD29" s="291" t="n">
        <f aca="false">BA29*Pricing!M$3*IF($T$41="N",(1+$V$41),1)</f>
        <v>0</v>
      </c>
      <c r="CE29" s="291" t="n">
        <f aca="false">BB29*Pricing!N$3*IF($T$41="N",(1+$V$41),1)</f>
        <v>0</v>
      </c>
      <c r="CF29" s="916" t="n">
        <f aca="false">BC29*Pricing!O$3*IF($T$41="N",(1+$V$41),1)</f>
        <v>0</v>
      </c>
      <c r="CG29" s="291" t="n">
        <f aca="false">IF(E29=0,0,R29*G$53*IF($T$41="n",(1+$V$41),1))</f>
        <v>0</v>
      </c>
      <c r="CH29" s="915" t="n">
        <f aca="false">E29*H$57</f>
        <v>0</v>
      </c>
      <c r="CI29" s="291" t="n">
        <f aca="false">Z29*E$60</f>
        <v>0</v>
      </c>
      <c r="CJ29" s="291" t="str">
        <f aca="false">IF(E29="","",R29/2000*E$61)</f>
        <v/>
      </c>
      <c r="CK29" s="291" t="n">
        <f aca="false">O$62/I$57*E29</f>
        <v>0</v>
      </c>
      <c r="CL29" s="917" t="n">
        <f aca="false">O$63/I$57*E29</f>
        <v>0</v>
      </c>
      <c r="CM29" s="918" t="n">
        <f aca="false">IF(E29="",0,(W$85)/E$39*E29)</f>
        <v>0</v>
      </c>
      <c r="CN29" s="916" t="n">
        <f aca="false">IF(E29="",0,SUM(O$66:P$69)/E$39*E29)</f>
        <v>0</v>
      </c>
      <c r="CO29" s="918" t="n">
        <f aca="false">IF(E29="",0,SUM(O$71:P$76)/E$39*E29)</f>
        <v>0</v>
      </c>
      <c r="CP29" s="291" t="n">
        <f aca="false">IF(E29="",0,SUM(O$78:P$83)/E$39*E29)</f>
        <v>0</v>
      </c>
      <c r="CQ29" s="55" t="n">
        <f aca="false">O$84/I$57*E29</f>
        <v>0</v>
      </c>
      <c r="CR29" s="919" t="n">
        <f aca="false">IF(E29="",0,T29*E29)</f>
        <v>0</v>
      </c>
    </row>
    <row r="30" customFormat="false" ht="19.5" hidden="false" customHeight="true" outlineLevel="0" collapsed="false">
      <c r="B30" s="894"/>
      <c r="C30" s="566"/>
      <c r="D30" s="895"/>
      <c r="E30" s="896"/>
      <c r="F30" s="897"/>
      <c r="G30" s="897"/>
      <c r="H30" s="78"/>
      <c r="I30" s="898"/>
      <c r="J30" s="899" t="n">
        <f aca="false">G30+H30</f>
        <v>0</v>
      </c>
      <c r="K30" s="920"/>
      <c r="L30" s="900"/>
      <c r="M30" s="78"/>
      <c r="N30" s="900"/>
      <c r="O30" s="901"/>
      <c r="P30" s="78"/>
      <c r="Q30" s="898"/>
      <c r="R30" s="902" t="n">
        <f aca="false">IF(E30="",0,IF(N30=0,(L30/16*L30/16*K30*10.680159*E30*J30)+(O30*P30/16*P30/16*10.680159*E30*Q30),(L30/16*L30/16*K30*10.680159*E30*J30)+(O30*P30/16*P30/16*10.680159*E30*Q30)+(M30/16*M30/16*10.680159*((F30-3)*3.1412)*E30*J30/N30)))*(1+K$53)</f>
        <v>0</v>
      </c>
      <c r="S30" s="902" t="n">
        <f aca="false">(IF(E30="",0,(((F30*F30/576)*J30*3.1412/27)+0.5*((3.1412*(I30*I30/576)*I30/12)/27-((F30*F30/576)*I30/12*3.1412/27)))*E30)*(1+K$49))</f>
        <v>0</v>
      </c>
      <c r="T30" s="903" t="n">
        <f aca="false">(IF(E30="",0,IF(J$54="",SUM(BN30:CP30)/E30,(SUM(BW30:CP30)+BM30)/E30)))*(1+M$42+Summary!P$57)</f>
        <v>0</v>
      </c>
      <c r="U30" s="904" t="n">
        <f aca="false">IF(E30=0,0,SUM(AO30:AS30)*(1+W$39))</f>
        <v>0</v>
      </c>
      <c r="V30" s="905" t="n">
        <f aca="false">AM30+AR30</f>
        <v>0</v>
      </c>
      <c r="W30" s="906" t="n">
        <f aca="false">IF(E30=0,0,(AN30+(AL30)+(AP30-0.5)+(AK30))*(1+W$39))</f>
        <v>0</v>
      </c>
      <c r="X30" s="907" t="n">
        <f aca="false">E30</f>
        <v>0</v>
      </c>
      <c r="Y30" s="908" t="n">
        <f aca="false">R30</f>
        <v>0</v>
      </c>
      <c r="Z30" s="908" t="n">
        <f aca="false">S30</f>
        <v>0</v>
      </c>
      <c r="AA30" s="909" t="n">
        <f aca="false">E30</f>
        <v>0</v>
      </c>
      <c r="AB30" s="910" t="n">
        <f aca="false">E30*T30</f>
        <v>0</v>
      </c>
      <c r="AG30" s="0" t="str">
        <f aca="false">IF(E30="","",J30*E30)</f>
        <v/>
      </c>
      <c r="AH30" s="0" t="n">
        <f aca="false">IF(E30=0,0,(((F30+3)*0.5)*((F30+3)*0.5)*3.145/144*(1+K$49)/27)-AI30)</f>
        <v>0</v>
      </c>
      <c r="AI30" s="0" t="n">
        <f aca="false">(F30*0.5)*(F30*0.5)*3.145/144*(1+K$49)/27</f>
        <v>0</v>
      </c>
      <c r="AJ30" s="0" t="str">
        <f aca="false">IF(E30="","",R30/E30/J30)</f>
        <v/>
      </c>
      <c r="AK30" s="0" t="n">
        <f aca="false">AH30*1.4*4</f>
        <v>0</v>
      </c>
      <c r="AL30" s="0" t="n">
        <f aca="false">IF(SUM(AT30:BC30)=0,0,(SUM(BW30:CF30)/SUM(AT30:BC30)*AH30))</f>
        <v>0</v>
      </c>
      <c r="AM30" s="0" t="n">
        <f aca="false">IF(F30=$AM$50,$AM$56,IF(F30=$AN$50,$AN$56,IF(F30=AO$50,AO$56,IF(F30=AP$50,AP$56,IF(F30=AQ$50,AQ$56,IF(F30=AR$50,AR$56,IF(F30=AS$50,AS$56,IF(F30=AT$50,AT$56,0))))))))</f>
        <v>0</v>
      </c>
      <c r="AN30" s="0" t="n">
        <f aca="false">IF(BD30&gt;0,AM$54,0)+IF(BE30&gt;0,AN$54,0)+IF(BF30&gt;0,AO$54,0)+IF(BG30&gt;0,AP$54,0)+IF(BH30&gt;0,AQ$54,0)+IF(BI30&gt;0,AR$54,0)+IF(BJ30&gt;0,AS$54,0)+IF(BK30&gt;0,AT$54,0)</f>
        <v>0</v>
      </c>
      <c r="AO30" s="0" t="str">
        <f aca="false">IF(E30="","",SUM(BN30:BU30)/(E30*J30))</f>
        <v/>
      </c>
      <c r="AP30" s="0" t="n">
        <v>3</v>
      </c>
      <c r="AQ30" s="0" t="str">
        <f aca="false">IF(E30="","",R30/(E30*J30)*G$53)</f>
        <v/>
      </c>
      <c r="AR30" s="0" t="n">
        <f aca="false">IF(SUM(AT30:BC30)=0,0,SUM(BW30:CF30)/SUM(AT30:BC30)*AI30)</f>
        <v>0</v>
      </c>
      <c r="AS30" s="0" t="n">
        <f aca="false">AI30*1.3*4</f>
        <v>0</v>
      </c>
      <c r="AT30" s="0" t="n">
        <f aca="false">IF($D30=1,S30,0)</f>
        <v>0</v>
      </c>
      <c r="AU30" s="0" t="n">
        <f aca="false">IF($D30=2,S30,0)</f>
        <v>0</v>
      </c>
      <c r="AV30" s="0" t="n">
        <f aca="false">IF($D30=3,S30,0)</f>
        <v>0</v>
      </c>
      <c r="AW30" s="0" t="n">
        <f aca="false">IF($D30=4,S30,0)</f>
        <v>0</v>
      </c>
      <c r="AX30" s="0" t="n">
        <f aca="false">IF($D30=5,S30,0)</f>
        <v>0</v>
      </c>
      <c r="AY30" s="0" t="n">
        <f aca="false">IF($D30=6,S30,0)</f>
        <v>0</v>
      </c>
      <c r="AZ30" s="0" t="n">
        <f aca="false">IF($D30=7,S30,0)</f>
        <v>0</v>
      </c>
      <c r="BA30" s="0" t="n">
        <f aca="false">IF($D30=8,S30,0)</f>
        <v>0</v>
      </c>
      <c r="BB30" s="0" t="n">
        <f aca="false">IF($D30=9,S30,0)</f>
        <v>0</v>
      </c>
      <c r="BC30" s="0" t="n">
        <f aca="false">IF($D30=10,S30,0)</f>
        <v>0</v>
      </c>
      <c r="BD30" s="0" t="n">
        <f aca="false">IF(F30&gt;0,IF(F30&lt;=BD$10,E30*$J30,0),0)</f>
        <v>0</v>
      </c>
      <c r="BE30" s="0" t="n">
        <f aca="false">IF($F30&gt;BD$10,IF($F30&lt;=BE$10,$E30*$J30,0),0)</f>
        <v>0</v>
      </c>
      <c r="BF30" s="0" t="n">
        <f aca="false">IF($F30&gt;BE$10,IF($F30&lt;=BF$10,$E30*$J30,0),0)</f>
        <v>0</v>
      </c>
      <c r="BG30" s="0" t="n">
        <f aca="false">IF($F30&gt;BF$10,IF($F30&lt;=BG$10,$E30*$J30,0),0)</f>
        <v>0</v>
      </c>
      <c r="BH30" s="0" t="n">
        <f aca="false">IF($F30&gt;BG$10,IF($F30&lt;=BH$10,$E30*$J30,0),0)</f>
        <v>0</v>
      </c>
      <c r="BI30" s="0" t="n">
        <f aca="false">IF($F30&gt;BH$10,IF($F30&lt;=BI$10,$E30*$J30,0),0)</f>
        <v>0</v>
      </c>
      <c r="BJ30" s="0" t="n">
        <f aca="false">IF($F30&gt;BI$10,IF($F30&lt;=BJ$10,$E30*$J30,0),0)</f>
        <v>0</v>
      </c>
      <c r="BK30" s="0" t="n">
        <f aca="false">IF($F30&gt;BJ$10,IF($F30&lt;=BK$10,$E30*$J30,0),0)</f>
        <v>0</v>
      </c>
      <c r="BL30" s="0" t="str">
        <f aca="false">IF(I30="","",I30*E30)</f>
        <v/>
      </c>
      <c r="BM30" s="911" t="n">
        <f aca="false">IF(SUM(BN30:BV30)="","",SUM(BN30:BV30)/SUM(BN$39:BV$39))*J$54</f>
        <v>0</v>
      </c>
      <c r="BN30" s="915" t="n">
        <f aca="false">BD30*AM$52</f>
        <v>0</v>
      </c>
      <c r="BO30" s="291" t="n">
        <f aca="false">BE30*AN$52</f>
        <v>0</v>
      </c>
      <c r="BP30" s="291" t="n">
        <f aca="false">BF30*AO$52</f>
        <v>0</v>
      </c>
      <c r="BQ30" s="291" t="n">
        <f aca="false">BG30*AP$52</f>
        <v>0</v>
      </c>
      <c r="BR30" s="291" t="n">
        <f aca="false">BH30*AQ$52</f>
        <v>0</v>
      </c>
      <c r="BS30" s="291" t="n">
        <f aca="false">BI30*AR$52</f>
        <v>0</v>
      </c>
      <c r="BT30" s="291" t="n">
        <f aca="false">BJ30*AS$52</f>
        <v>0</v>
      </c>
      <c r="BU30" s="291" t="n">
        <f aca="false">BK30*AT$52</f>
        <v>0</v>
      </c>
      <c r="BV30" s="916" t="str">
        <f aca="false">IF(BL30="","",BL30*AR$45)</f>
        <v/>
      </c>
      <c r="BW30" s="915" t="n">
        <f aca="false">AT30*Pricing!F$3*IF($T$41="N",(1+$V$41),1)</f>
        <v>0</v>
      </c>
      <c r="BX30" s="291" t="n">
        <f aca="false">AU30*Pricing!G$3*IF($T$41="N",(1+$V$41),1)</f>
        <v>0</v>
      </c>
      <c r="BY30" s="291" t="n">
        <f aca="false">AV30*Pricing!H$3*IF($T$41="N",(1+$V$41),1)</f>
        <v>0</v>
      </c>
      <c r="BZ30" s="291" t="n">
        <f aca="false">AW30*Pricing!I$3*IF($T$41="N",(1+$V$41),1)</f>
        <v>0</v>
      </c>
      <c r="CA30" s="291" t="n">
        <f aca="false">AX30*Pricing!J$3*IF($T$41="N",(1+$V$41),1)</f>
        <v>0</v>
      </c>
      <c r="CB30" s="291" t="n">
        <f aca="false">AY30*Pricing!K$3*IF($T$41="N",(1+$V$41),1)</f>
        <v>0</v>
      </c>
      <c r="CC30" s="291" t="n">
        <f aca="false">AZ30*Pricing!L$3*IF($T$41="N",(1+$V$41),1)</f>
        <v>0</v>
      </c>
      <c r="CD30" s="291" t="n">
        <f aca="false">BA30*Pricing!M$3*IF($T$41="N",(1+$V$41),1)</f>
        <v>0</v>
      </c>
      <c r="CE30" s="291" t="n">
        <f aca="false">BB30*Pricing!N$3*IF($T$41="N",(1+$V$41),1)</f>
        <v>0</v>
      </c>
      <c r="CF30" s="916" t="n">
        <f aca="false">BC30*Pricing!O$3*IF($T$41="N",(1+$V$41),1)</f>
        <v>0</v>
      </c>
      <c r="CG30" s="291" t="n">
        <f aca="false">IF(E30=0,0,R30*G$53*IF($T$41="n",(1+$V$41),1))</f>
        <v>0</v>
      </c>
      <c r="CH30" s="915" t="n">
        <f aca="false">E30*H$57</f>
        <v>0</v>
      </c>
      <c r="CI30" s="291" t="n">
        <f aca="false">Z30*E$60</f>
        <v>0</v>
      </c>
      <c r="CJ30" s="291" t="str">
        <f aca="false">IF(E30="","",R30/2000*E$61)</f>
        <v/>
      </c>
      <c r="CK30" s="291" t="n">
        <f aca="false">O$62/I$57*E30</f>
        <v>0</v>
      </c>
      <c r="CL30" s="917" t="n">
        <f aca="false">O$63/I$57*E30</f>
        <v>0</v>
      </c>
      <c r="CM30" s="918" t="n">
        <f aca="false">IF(E30="",0,(W$85)/E$39*E30)</f>
        <v>0</v>
      </c>
      <c r="CN30" s="916" t="n">
        <f aca="false">IF(E30="",0,SUM(O$66:P$69)/E$39*E30)</f>
        <v>0</v>
      </c>
      <c r="CO30" s="918" t="n">
        <f aca="false">IF(E30="",0,SUM(O$71:P$76)/E$39*E30)</f>
        <v>0</v>
      </c>
      <c r="CP30" s="291" t="n">
        <f aca="false">IF(E30="",0,SUM(O$78:P$83)/E$39*E30)</f>
        <v>0</v>
      </c>
      <c r="CQ30" s="55" t="n">
        <f aca="false">O$84/I$57*E30</f>
        <v>0</v>
      </c>
      <c r="CR30" s="919" t="n">
        <f aca="false">IF(E30="",0,T30*E30)</f>
        <v>0</v>
      </c>
    </row>
    <row r="31" customFormat="false" ht="19.5" hidden="false" customHeight="true" outlineLevel="0" collapsed="false">
      <c r="B31" s="894"/>
      <c r="C31" s="566"/>
      <c r="D31" s="895"/>
      <c r="E31" s="896"/>
      <c r="F31" s="897"/>
      <c r="G31" s="897"/>
      <c r="H31" s="78"/>
      <c r="I31" s="898"/>
      <c r="J31" s="899" t="n">
        <f aca="false">G31+H31</f>
        <v>0</v>
      </c>
      <c r="K31" s="920"/>
      <c r="L31" s="900"/>
      <c r="M31" s="78"/>
      <c r="N31" s="900"/>
      <c r="O31" s="901"/>
      <c r="P31" s="78"/>
      <c r="Q31" s="898"/>
      <c r="R31" s="902" t="n">
        <f aca="false">IF(E31="",0,IF(N31=0,(L31/16*L31/16*K31*10.680159*E31*J31)+(O31*P31/16*P31/16*10.680159*E31*Q31),(L31/16*L31/16*K31*10.680159*E31*J31)+(O31*P31/16*P31/16*10.680159*E31*Q31)+(M31/16*M31/16*10.680159*((F31-3)*3.1412)*E31*J31/N31)))*(1+K$53)</f>
        <v>0</v>
      </c>
      <c r="S31" s="902" t="n">
        <f aca="false">(IF(E31="",0,(((F31*F31/576)*J31*3.1412/27)+0.5*((3.1412*(I31*I31/576)*I31/12)/27-((F31*F31/576)*I31/12*3.1412/27)))*E31)*(1+K$49))</f>
        <v>0</v>
      </c>
      <c r="T31" s="903" t="n">
        <f aca="false">(IF(E31="",0,IF(J$54="",SUM(BN31:CP31)/E31,(SUM(BW31:CP31)+BM31)/E31)))*(1+M$42+Summary!P$57)</f>
        <v>0</v>
      </c>
      <c r="U31" s="904" t="n">
        <f aca="false">IF(E31=0,0,SUM(AO31:AS31)*(1+W$39))</f>
        <v>0</v>
      </c>
      <c r="V31" s="905" t="n">
        <f aca="false">AM31+AR31</f>
        <v>0</v>
      </c>
      <c r="W31" s="906" t="n">
        <f aca="false">IF(E31=0,0,(AN31+(AL31)+(AP31-0.5)+(AK31))*(1+W$39))</f>
        <v>0</v>
      </c>
      <c r="X31" s="907" t="n">
        <f aca="false">E31</f>
        <v>0</v>
      </c>
      <c r="Y31" s="908" t="n">
        <f aca="false">R31</f>
        <v>0</v>
      </c>
      <c r="Z31" s="908" t="n">
        <f aca="false">S31</f>
        <v>0</v>
      </c>
      <c r="AA31" s="909" t="n">
        <f aca="false">E31</f>
        <v>0</v>
      </c>
      <c r="AB31" s="910" t="n">
        <f aca="false">E31*T31</f>
        <v>0</v>
      </c>
      <c r="AG31" s="0" t="str">
        <f aca="false">IF(E31="","",J31*E31)</f>
        <v/>
      </c>
      <c r="AH31" s="0" t="n">
        <f aca="false">IF(E31=0,0,(((F31+3)*0.5)*((F31+3)*0.5)*3.145/144*(1+K$49)/27)-AI31)</f>
        <v>0</v>
      </c>
      <c r="AI31" s="0" t="n">
        <f aca="false">(F31*0.5)*(F31*0.5)*3.145/144*(1+K$49)/27</f>
        <v>0</v>
      </c>
      <c r="AJ31" s="0" t="str">
        <f aca="false">IF(E31="","",R31/E31/J31)</f>
        <v/>
      </c>
      <c r="AK31" s="0" t="n">
        <f aca="false">AH31*1.4*4</f>
        <v>0</v>
      </c>
      <c r="AL31" s="0" t="n">
        <f aca="false">IF(SUM(AT31:BC31)=0,0,(SUM(BW31:CF31)/SUM(AT31:BC31)*AH31))</f>
        <v>0</v>
      </c>
      <c r="AM31" s="0" t="n">
        <f aca="false">IF(F31=$AM$50,$AM$56,IF(F31=$AN$50,$AN$56,IF(F31=AO$50,AO$56,IF(F31=AP$50,AP$56,IF(F31=AQ$50,AQ$56,IF(F31=AR$50,AR$56,IF(F31=AS$50,AS$56,IF(F31=AT$50,AT$56,0))))))))</f>
        <v>0</v>
      </c>
      <c r="AN31" s="0" t="n">
        <f aca="false">IF(BD31&gt;0,AM$54,0)+IF(BE31&gt;0,AN$54,0)+IF(BF31&gt;0,AO$54,0)+IF(BG31&gt;0,AP$54,0)+IF(BH31&gt;0,AQ$54,0)+IF(BI31&gt;0,AR$54,0)+IF(BJ31&gt;0,AS$54,0)+IF(BK31&gt;0,AT$54,0)</f>
        <v>0</v>
      </c>
      <c r="AO31" s="0" t="str">
        <f aca="false">IF(E31="","",SUM(BN31:BU31)/(E31*J31))</f>
        <v/>
      </c>
      <c r="AP31" s="0" t="n">
        <v>3</v>
      </c>
      <c r="AQ31" s="0" t="str">
        <f aca="false">IF(E31="","",R31/(E31*J31)*G$53)</f>
        <v/>
      </c>
      <c r="AR31" s="0" t="n">
        <f aca="false">IF(SUM(AT31:BC31)=0,0,SUM(BW31:CF31)/SUM(AT31:BC31)*AI31)</f>
        <v>0</v>
      </c>
      <c r="AS31" s="0" t="n">
        <f aca="false">AI31*1.3*4</f>
        <v>0</v>
      </c>
      <c r="AT31" s="0" t="n">
        <f aca="false">IF($D31=1,S31,0)</f>
        <v>0</v>
      </c>
      <c r="AU31" s="0" t="n">
        <f aca="false">IF($D31=2,S31,0)</f>
        <v>0</v>
      </c>
      <c r="AV31" s="0" t="n">
        <f aca="false">IF($D31=3,S31,0)</f>
        <v>0</v>
      </c>
      <c r="AW31" s="0" t="n">
        <f aca="false">IF($D31=4,S31,0)</f>
        <v>0</v>
      </c>
      <c r="AX31" s="0" t="n">
        <f aca="false">IF($D31=5,S31,0)</f>
        <v>0</v>
      </c>
      <c r="AY31" s="0" t="n">
        <f aca="false">IF($D31=6,S31,0)</f>
        <v>0</v>
      </c>
      <c r="AZ31" s="0" t="n">
        <f aca="false">IF($D31=7,S31,0)</f>
        <v>0</v>
      </c>
      <c r="BA31" s="0" t="n">
        <f aca="false">IF($D31=8,S31,0)</f>
        <v>0</v>
      </c>
      <c r="BB31" s="0" t="n">
        <f aca="false">IF($D31=9,S31,0)</f>
        <v>0</v>
      </c>
      <c r="BC31" s="0" t="n">
        <f aca="false">IF($D31=10,S31,0)</f>
        <v>0</v>
      </c>
      <c r="BD31" s="0" t="n">
        <f aca="false">IF(F31&gt;0,IF(F31&lt;=BD$10,E31*$J31,0),0)</f>
        <v>0</v>
      </c>
      <c r="BE31" s="0" t="n">
        <f aca="false">IF($F31&gt;BD$10,IF($F31&lt;=BE$10,$E31*$J31,0),0)</f>
        <v>0</v>
      </c>
      <c r="BF31" s="0" t="n">
        <f aca="false">IF($F31&gt;BE$10,IF($F31&lt;=BF$10,$E31*$J31,0),0)</f>
        <v>0</v>
      </c>
      <c r="BG31" s="0" t="n">
        <f aca="false">IF($F31&gt;BF$10,IF($F31&lt;=BG$10,$E31*$J31,0),0)</f>
        <v>0</v>
      </c>
      <c r="BH31" s="0" t="n">
        <f aca="false">IF($F31&gt;BG$10,IF($F31&lt;=BH$10,$E31*$J31,0),0)</f>
        <v>0</v>
      </c>
      <c r="BI31" s="0" t="n">
        <f aca="false">IF($F31&gt;BH$10,IF($F31&lt;=BI$10,$E31*$J31,0),0)</f>
        <v>0</v>
      </c>
      <c r="BJ31" s="0" t="n">
        <f aca="false">IF($F31&gt;BI$10,IF($F31&lt;=BJ$10,$E31*$J31,0),0)</f>
        <v>0</v>
      </c>
      <c r="BK31" s="0" t="n">
        <f aca="false">IF($F31&gt;BJ$10,IF($F31&lt;=BK$10,$E31*$J31,0),0)</f>
        <v>0</v>
      </c>
      <c r="BL31" s="0" t="str">
        <f aca="false">IF(I31="","",I31*E31)</f>
        <v/>
      </c>
      <c r="BM31" s="911" t="n">
        <f aca="false">IF(SUM(BN31:BV31)="","",SUM(BN31:BV31)/SUM(BN$39:BV$39))*J$54</f>
        <v>0</v>
      </c>
      <c r="BN31" s="915" t="n">
        <f aca="false">BD31*AM$52</f>
        <v>0</v>
      </c>
      <c r="BO31" s="291" t="n">
        <f aca="false">BE31*AN$52</f>
        <v>0</v>
      </c>
      <c r="BP31" s="291" t="n">
        <f aca="false">BF31*AO$52</f>
        <v>0</v>
      </c>
      <c r="BQ31" s="291" t="n">
        <f aca="false">BG31*AP$52</f>
        <v>0</v>
      </c>
      <c r="BR31" s="291" t="n">
        <f aca="false">BH31*AQ$52</f>
        <v>0</v>
      </c>
      <c r="BS31" s="291" t="n">
        <f aca="false">BI31*AR$52</f>
        <v>0</v>
      </c>
      <c r="BT31" s="291" t="n">
        <f aca="false">BJ31*AS$52</f>
        <v>0</v>
      </c>
      <c r="BU31" s="291" t="n">
        <f aca="false">BK31*AT$52</f>
        <v>0</v>
      </c>
      <c r="BV31" s="916" t="str">
        <f aca="false">IF(BL31="","",BL31*AR$45)</f>
        <v/>
      </c>
      <c r="BW31" s="915" t="n">
        <f aca="false">AT31*Pricing!F$3*IF($T$41="N",(1+$V$41),1)</f>
        <v>0</v>
      </c>
      <c r="BX31" s="291" t="n">
        <f aca="false">AU31*Pricing!G$3*IF($T$41="N",(1+$V$41),1)</f>
        <v>0</v>
      </c>
      <c r="BY31" s="291" t="n">
        <f aca="false">AV31*Pricing!H$3*IF($T$41="N",(1+$V$41),1)</f>
        <v>0</v>
      </c>
      <c r="BZ31" s="291" t="n">
        <f aca="false">AW31*Pricing!I$3*IF($T$41="N",(1+$V$41),1)</f>
        <v>0</v>
      </c>
      <c r="CA31" s="291" t="n">
        <f aca="false">AX31*Pricing!J$3*IF($T$41="N",(1+$V$41),1)</f>
        <v>0</v>
      </c>
      <c r="CB31" s="291" t="n">
        <f aca="false">AY31*Pricing!K$3*IF($T$41="N",(1+$V$41),1)</f>
        <v>0</v>
      </c>
      <c r="CC31" s="291" t="n">
        <f aca="false">AZ31*Pricing!L$3*IF($T$41="N",(1+$V$41),1)</f>
        <v>0</v>
      </c>
      <c r="CD31" s="291" t="n">
        <f aca="false">BA31*Pricing!M$3*IF($T$41="N",(1+$V$41),1)</f>
        <v>0</v>
      </c>
      <c r="CE31" s="291" t="n">
        <f aca="false">BB31*Pricing!N$3*IF($T$41="N",(1+$V$41),1)</f>
        <v>0</v>
      </c>
      <c r="CF31" s="916" t="n">
        <f aca="false">BC31*Pricing!O$3*IF($T$41="N",(1+$V$41),1)</f>
        <v>0</v>
      </c>
      <c r="CG31" s="291" t="n">
        <f aca="false">IF(E31=0,0,R31*G$53*IF($T$41="n",(1+$V$41),1))</f>
        <v>0</v>
      </c>
      <c r="CH31" s="915" t="n">
        <f aca="false">E31*H$57</f>
        <v>0</v>
      </c>
      <c r="CI31" s="291" t="n">
        <f aca="false">Z31*E$60</f>
        <v>0</v>
      </c>
      <c r="CJ31" s="291" t="str">
        <f aca="false">IF(E31="","",R31/2000*E$61)</f>
        <v/>
      </c>
      <c r="CK31" s="291" t="n">
        <f aca="false">O$62/I$57*E31</f>
        <v>0</v>
      </c>
      <c r="CL31" s="917" t="n">
        <f aca="false">O$63/I$57*E31</f>
        <v>0</v>
      </c>
      <c r="CM31" s="918" t="n">
        <f aca="false">IF(E31="",0,(W$85)/E$39*E31)</f>
        <v>0</v>
      </c>
      <c r="CN31" s="916" t="n">
        <f aca="false">IF(E31="",0,SUM(O$66:P$69)/E$39*E31)</f>
        <v>0</v>
      </c>
      <c r="CO31" s="918" t="n">
        <f aca="false">IF(E31="",0,SUM(O$71:P$76)/E$39*E31)</f>
        <v>0</v>
      </c>
      <c r="CP31" s="291" t="n">
        <f aca="false">IF(E31="",0,SUM(O$78:P$83)/E$39*E31)</f>
        <v>0</v>
      </c>
      <c r="CQ31" s="55" t="n">
        <f aca="false">O$84/I$57*E31</f>
        <v>0</v>
      </c>
      <c r="CR31" s="919" t="n">
        <f aca="false">IF(E31="",0,T31*E31)</f>
        <v>0</v>
      </c>
    </row>
    <row r="32" customFormat="false" ht="19.5" hidden="false" customHeight="true" outlineLevel="0" collapsed="false">
      <c r="B32" s="894"/>
      <c r="C32" s="566"/>
      <c r="D32" s="895"/>
      <c r="E32" s="896"/>
      <c r="F32" s="897"/>
      <c r="G32" s="897"/>
      <c r="H32" s="78"/>
      <c r="I32" s="898"/>
      <c r="J32" s="899" t="n">
        <f aca="false">G32+H32</f>
        <v>0</v>
      </c>
      <c r="K32" s="920"/>
      <c r="L32" s="900"/>
      <c r="M32" s="78"/>
      <c r="N32" s="900"/>
      <c r="O32" s="901"/>
      <c r="P32" s="78"/>
      <c r="Q32" s="898"/>
      <c r="R32" s="902" t="n">
        <f aca="false">IF(E32="",0,IF(N32=0,(L32/16*L32/16*K32*10.680159*E32*J32)+(O32*P32/16*P32/16*10.680159*E32*Q32),(L32/16*L32/16*K32*10.680159*E32*J32)+(O32*P32/16*P32/16*10.680159*E32*Q32)+(M32/16*M32/16*10.680159*((F32-3)*3.1412)*E32*J32/N32)))*(1+K$53)</f>
        <v>0</v>
      </c>
      <c r="S32" s="902" t="n">
        <f aca="false">(IF(E32="",0,(((F32*F32/576)*J32*3.1412/27)+0.5*((3.1412*(I32*I32/576)*I32/12)/27-((F32*F32/576)*I32/12*3.1412/27)))*E32)*(1+K$49))</f>
        <v>0</v>
      </c>
      <c r="T32" s="903" t="n">
        <f aca="false">(IF(E32="",0,IF(J$54="",SUM(BN32:CP32)/E32,(SUM(BW32:CP32)+BM32)/E32)))*(1+M$42+Summary!P$57)</f>
        <v>0</v>
      </c>
      <c r="U32" s="904" t="n">
        <f aca="false">IF(E32=0,0,SUM(AO32:AS32)*(1+W$39))</f>
        <v>0</v>
      </c>
      <c r="V32" s="905" t="n">
        <f aca="false">AM32+AR32</f>
        <v>0</v>
      </c>
      <c r="W32" s="906" t="n">
        <f aca="false">IF(E32=0,0,(AN32+(AL32)+(AP32-0.5)+(AK32))*(1+W$39))</f>
        <v>0</v>
      </c>
      <c r="X32" s="907" t="n">
        <f aca="false">E32</f>
        <v>0</v>
      </c>
      <c r="Y32" s="908" t="n">
        <f aca="false">R32</f>
        <v>0</v>
      </c>
      <c r="Z32" s="908" t="n">
        <f aca="false">S32</f>
        <v>0</v>
      </c>
      <c r="AA32" s="909" t="n">
        <f aca="false">E32</f>
        <v>0</v>
      </c>
      <c r="AB32" s="910" t="n">
        <f aca="false">E32*T32</f>
        <v>0</v>
      </c>
      <c r="AG32" s="0" t="str">
        <f aca="false">IF(E32="","",J32*E32)</f>
        <v/>
      </c>
      <c r="AH32" s="0" t="n">
        <f aca="false">IF(E32=0,0,(((F32+3)*0.5)*((F32+3)*0.5)*3.145/144*(1+K$49)/27)-AI32)</f>
        <v>0</v>
      </c>
      <c r="AI32" s="0" t="n">
        <f aca="false">(F32*0.5)*(F32*0.5)*3.145/144*(1+K$49)/27</f>
        <v>0</v>
      </c>
      <c r="AJ32" s="0" t="str">
        <f aca="false">IF(E32="","",R32/E32/J32)</f>
        <v/>
      </c>
      <c r="AK32" s="0" t="n">
        <f aca="false">AH32*1.4*4</f>
        <v>0</v>
      </c>
      <c r="AL32" s="0" t="n">
        <f aca="false">IF(SUM(AT32:BC32)=0,0,(SUM(BW32:CF32)/SUM(AT32:BC32)*AH32))</f>
        <v>0</v>
      </c>
      <c r="AM32" s="0" t="n">
        <f aca="false">IF(F32=$AM$50,$AM$56,IF(F32=$AN$50,$AN$56,IF(F32=AO$50,AO$56,IF(F32=AP$50,AP$56,IF(F32=AQ$50,AQ$56,IF(F32=AR$50,AR$56,IF(F32=AS$50,AS$56,IF(F32=AT$50,AT$56,0))))))))</f>
        <v>0</v>
      </c>
      <c r="AN32" s="0" t="n">
        <f aca="false">IF(BD32&gt;0,AM$54,0)+IF(BE32&gt;0,AN$54,0)+IF(BF32&gt;0,AO$54,0)+IF(BG32&gt;0,AP$54,0)+IF(BH32&gt;0,AQ$54,0)+IF(BI32&gt;0,AR$54,0)+IF(BJ32&gt;0,AS$54,0)+IF(BK32&gt;0,AT$54,0)</f>
        <v>0</v>
      </c>
      <c r="AO32" s="0" t="str">
        <f aca="false">IF(E32="","",SUM(BN32:BU32)/(E32*J32))</f>
        <v/>
      </c>
      <c r="AP32" s="0" t="n">
        <v>3</v>
      </c>
      <c r="AQ32" s="0" t="str">
        <f aca="false">IF(E32="","",R32/(E32*J32)*G$53)</f>
        <v/>
      </c>
      <c r="AR32" s="0" t="n">
        <f aca="false">IF(SUM(AT32:BC32)=0,0,SUM(BW32:CF32)/SUM(AT32:BC32)*AI32)</f>
        <v>0</v>
      </c>
      <c r="AS32" s="0" t="n">
        <f aca="false">AI32*1.3*4</f>
        <v>0</v>
      </c>
      <c r="AT32" s="0" t="n">
        <f aca="false">IF($D32=1,S32,0)</f>
        <v>0</v>
      </c>
      <c r="AU32" s="0" t="n">
        <f aca="false">IF($D32=2,S32,0)</f>
        <v>0</v>
      </c>
      <c r="AV32" s="0" t="n">
        <f aca="false">IF($D32=3,S32,0)</f>
        <v>0</v>
      </c>
      <c r="AW32" s="0" t="n">
        <f aca="false">IF($D32=4,S32,0)</f>
        <v>0</v>
      </c>
      <c r="AX32" s="0" t="n">
        <f aca="false">IF($D32=5,S32,0)</f>
        <v>0</v>
      </c>
      <c r="AY32" s="0" t="n">
        <f aca="false">IF($D32=6,S32,0)</f>
        <v>0</v>
      </c>
      <c r="AZ32" s="0" t="n">
        <f aca="false">IF($D32=7,S32,0)</f>
        <v>0</v>
      </c>
      <c r="BA32" s="0" t="n">
        <f aca="false">IF($D32=8,S32,0)</f>
        <v>0</v>
      </c>
      <c r="BB32" s="0" t="n">
        <f aca="false">IF($D32=9,S32,0)</f>
        <v>0</v>
      </c>
      <c r="BC32" s="0" t="n">
        <f aca="false">IF($D32=10,S32,0)</f>
        <v>0</v>
      </c>
      <c r="BD32" s="0" t="n">
        <f aca="false">IF(F32&gt;0,IF(F32&lt;=BD$10,E32*$J32,0),0)</f>
        <v>0</v>
      </c>
      <c r="BE32" s="0" t="n">
        <f aca="false">IF($F32&gt;BD$10,IF($F32&lt;=BE$10,$E32*$J32,0),0)</f>
        <v>0</v>
      </c>
      <c r="BF32" s="0" t="n">
        <f aca="false">IF($F32&gt;BE$10,IF($F32&lt;=BF$10,$E32*$J32,0),0)</f>
        <v>0</v>
      </c>
      <c r="BG32" s="0" t="n">
        <f aca="false">IF($F32&gt;BF$10,IF($F32&lt;=BG$10,$E32*$J32,0),0)</f>
        <v>0</v>
      </c>
      <c r="BH32" s="0" t="n">
        <f aca="false">IF($F32&gt;BG$10,IF($F32&lt;=BH$10,$E32*$J32,0),0)</f>
        <v>0</v>
      </c>
      <c r="BI32" s="0" t="n">
        <f aca="false">IF($F32&gt;BH$10,IF($F32&lt;=BI$10,$E32*$J32,0),0)</f>
        <v>0</v>
      </c>
      <c r="BJ32" s="0" t="n">
        <f aca="false">IF($F32&gt;BI$10,IF($F32&lt;=BJ$10,$E32*$J32,0),0)</f>
        <v>0</v>
      </c>
      <c r="BK32" s="0" t="n">
        <f aca="false">IF($F32&gt;BJ$10,IF($F32&lt;=BK$10,$E32*$J32,0),0)</f>
        <v>0</v>
      </c>
      <c r="BL32" s="0" t="str">
        <f aca="false">IF(I32="","",I32*E32)</f>
        <v/>
      </c>
      <c r="BM32" s="911" t="n">
        <f aca="false">IF(SUM(BN32:BV32)="","",SUM(BN32:BV32)/SUM(BN$39:BV$39))*J$54</f>
        <v>0</v>
      </c>
      <c r="BN32" s="915" t="n">
        <f aca="false">BD32*AM$52</f>
        <v>0</v>
      </c>
      <c r="BO32" s="291" t="n">
        <f aca="false">BE32*AN$52</f>
        <v>0</v>
      </c>
      <c r="BP32" s="291" t="n">
        <f aca="false">BF32*AO$52</f>
        <v>0</v>
      </c>
      <c r="BQ32" s="291" t="n">
        <f aca="false">BG32*AP$52</f>
        <v>0</v>
      </c>
      <c r="BR32" s="291" t="n">
        <f aca="false">BH32*AQ$52</f>
        <v>0</v>
      </c>
      <c r="BS32" s="291" t="n">
        <f aca="false">BI32*AR$52</f>
        <v>0</v>
      </c>
      <c r="BT32" s="291" t="n">
        <f aca="false">BJ32*AS$52</f>
        <v>0</v>
      </c>
      <c r="BU32" s="291" t="n">
        <f aca="false">BK32*AT$52</f>
        <v>0</v>
      </c>
      <c r="BV32" s="916" t="str">
        <f aca="false">IF(BL32="","",BL32*AR$45)</f>
        <v/>
      </c>
      <c r="BW32" s="915" t="n">
        <f aca="false">AT32*Pricing!F$3*IF($T$41="N",(1+$V$41),1)</f>
        <v>0</v>
      </c>
      <c r="BX32" s="291" t="n">
        <f aca="false">AU32*Pricing!G$3*IF($T$41="N",(1+$V$41),1)</f>
        <v>0</v>
      </c>
      <c r="BY32" s="291" t="n">
        <f aca="false">AV32*Pricing!H$3*IF($T$41="N",(1+$V$41),1)</f>
        <v>0</v>
      </c>
      <c r="BZ32" s="291" t="n">
        <f aca="false">AW32*Pricing!I$3*IF($T$41="N",(1+$V$41),1)</f>
        <v>0</v>
      </c>
      <c r="CA32" s="291" t="n">
        <f aca="false">AX32*Pricing!J$3*IF($T$41="N",(1+$V$41),1)</f>
        <v>0</v>
      </c>
      <c r="CB32" s="291" t="n">
        <f aca="false">AY32*Pricing!K$3*IF($T$41="N",(1+$V$41),1)</f>
        <v>0</v>
      </c>
      <c r="CC32" s="291" t="n">
        <f aca="false">AZ32*Pricing!L$3*IF($T$41="N",(1+$V$41),1)</f>
        <v>0</v>
      </c>
      <c r="CD32" s="291" t="n">
        <f aca="false">BA32*Pricing!M$3*IF($T$41="N",(1+$V$41),1)</f>
        <v>0</v>
      </c>
      <c r="CE32" s="291" t="n">
        <f aca="false">BB32*Pricing!N$3*IF($T$41="N",(1+$V$41),1)</f>
        <v>0</v>
      </c>
      <c r="CF32" s="916" t="n">
        <f aca="false">BC32*Pricing!O$3*IF($T$41="N",(1+$V$41),1)</f>
        <v>0</v>
      </c>
      <c r="CG32" s="291" t="n">
        <f aca="false">IF(E32=0,0,R32*G$53*IF($T$41="n",(1+$V$41),1))</f>
        <v>0</v>
      </c>
      <c r="CH32" s="915" t="n">
        <f aca="false">E32*H$57</f>
        <v>0</v>
      </c>
      <c r="CI32" s="291" t="n">
        <f aca="false">Z32*E$60</f>
        <v>0</v>
      </c>
      <c r="CJ32" s="291" t="str">
        <f aca="false">IF(E32="","",R32/2000*E$61)</f>
        <v/>
      </c>
      <c r="CK32" s="291" t="n">
        <f aca="false">O$62/I$57*E32</f>
        <v>0</v>
      </c>
      <c r="CL32" s="917" t="n">
        <f aca="false">O$63/I$57*E32</f>
        <v>0</v>
      </c>
      <c r="CM32" s="918" t="n">
        <f aca="false">IF(E32="",0,(W$85)/E$39*E32)</f>
        <v>0</v>
      </c>
      <c r="CN32" s="916" t="n">
        <f aca="false">IF(E32="",0,SUM(O$66:P$69)/E$39*E32)</f>
        <v>0</v>
      </c>
      <c r="CO32" s="918" t="n">
        <f aca="false">IF(E32="",0,SUM(O$71:P$76)/E$39*E32)</f>
        <v>0</v>
      </c>
      <c r="CP32" s="291" t="n">
        <f aca="false">IF(E32="",0,SUM(O$78:P$83)/E$39*E32)</f>
        <v>0</v>
      </c>
      <c r="CQ32" s="55" t="n">
        <f aca="false">O$84/I$57*E32</f>
        <v>0</v>
      </c>
      <c r="CR32" s="919" t="n">
        <f aca="false">IF(E32="",0,T32*E32)</f>
        <v>0</v>
      </c>
    </row>
    <row r="33" customFormat="false" ht="19.5" hidden="false" customHeight="true" outlineLevel="0" collapsed="false">
      <c r="B33" s="894"/>
      <c r="C33" s="566"/>
      <c r="D33" s="895"/>
      <c r="E33" s="896"/>
      <c r="F33" s="897"/>
      <c r="G33" s="897"/>
      <c r="H33" s="78"/>
      <c r="I33" s="898"/>
      <c r="J33" s="899" t="n">
        <f aca="false">G33+H33</f>
        <v>0</v>
      </c>
      <c r="K33" s="920"/>
      <c r="L33" s="900"/>
      <c r="M33" s="78"/>
      <c r="N33" s="900"/>
      <c r="O33" s="901"/>
      <c r="P33" s="78"/>
      <c r="Q33" s="898"/>
      <c r="R33" s="902" t="n">
        <f aca="false">IF(E33="",0,IF(N33=0,(L33/16*L33/16*K33*10.680159*E33*J33)+(O33*P33/16*P33/16*10.680159*E33*Q33),(L33/16*L33/16*K33*10.680159*E33*J33)+(O33*P33/16*P33/16*10.680159*E33*Q33)+(M33/16*M33/16*10.680159*((F33-3)*3.1412)*E33*J33/N33)))*(1+K$53)</f>
        <v>0</v>
      </c>
      <c r="S33" s="902" t="n">
        <f aca="false">(IF(E33="",0,(((F33*F33/576)*J33*3.1412/27)+0.5*((3.1412*(I33*I33/576)*I33/12)/27-((F33*F33/576)*I33/12*3.1412/27)))*E33)*(1+K$49))</f>
        <v>0</v>
      </c>
      <c r="T33" s="903" t="n">
        <f aca="false">(IF(E33="",0,IF(J$54="",SUM(BN33:CP33)/E33,(SUM(BW33:CP33)+BM33)/E33)))*(1+M$42+Summary!P$57)</f>
        <v>0</v>
      </c>
      <c r="U33" s="904" t="n">
        <f aca="false">IF(E33=0,0,SUM(AO33:AS33)*(1+W$39))</f>
        <v>0</v>
      </c>
      <c r="V33" s="905" t="n">
        <f aca="false">AM33+AR33</f>
        <v>0</v>
      </c>
      <c r="W33" s="906" t="n">
        <f aca="false">IF(E33=0,0,(AN33+(AL33)+(AP33-0.5)+(AK33))*(1+W$39))</f>
        <v>0</v>
      </c>
      <c r="X33" s="907" t="n">
        <f aca="false">E33</f>
        <v>0</v>
      </c>
      <c r="Y33" s="908" t="n">
        <f aca="false">R33</f>
        <v>0</v>
      </c>
      <c r="Z33" s="908" t="n">
        <f aca="false">S33</f>
        <v>0</v>
      </c>
      <c r="AA33" s="909" t="n">
        <f aca="false">E33</f>
        <v>0</v>
      </c>
      <c r="AB33" s="910" t="n">
        <f aca="false">E33*T33</f>
        <v>0</v>
      </c>
      <c r="AG33" s="0" t="str">
        <f aca="false">IF(E33="","",J33*E33)</f>
        <v/>
      </c>
      <c r="AH33" s="0" t="n">
        <f aca="false">IF(E33=0,0,(((F33+3)*0.5)*((F33+3)*0.5)*3.145/144*(1+K$49)/27)-AI33)</f>
        <v>0</v>
      </c>
      <c r="AI33" s="0" t="n">
        <f aca="false">(F33*0.5)*(F33*0.5)*3.145/144*(1+K$49)/27</f>
        <v>0</v>
      </c>
      <c r="AJ33" s="0" t="str">
        <f aca="false">IF(E33="","",R33/E33/J33)</f>
        <v/>
      </c>
      <c r="AK33" s="0" t="n">
        <f aca="false">AH33*1.4*4</f>
        <v>0</v>
      </c>
      <c r="AL33" s="0" t="n">
        <f aca="false">IF(SUM(AT33:BC33)=0,0,(SUM(BW33:CF33)/SUM(AT33:BC33)*AH33))</f>
        <v>0</v>
      </c>
      <c r="AM33" s="0" t="n">
        <f aca="false">IF(F33=$AM$50,$AM$56,IF(F33=$AN$50,$AN$56,IF(F33=AO$50,AO$56,IF(F33=AP$50,AP$56,IF(F33=AQ$50,AQ$56,IF(F33=AR$50,AR$56,IF(F33=AS$50,AS$56,IF(F33=AT$50,AT$56,0))))))))</f>
        <v>0</v>
      </c>
      <c r="AN33" s="0" t="n">
        <f aca="false">IF(BD33&gt;0,AM$54,0)+IF(BE33&gt;0,AN$54,0)+IF(BF33&gt;0,AO$54,0)+IF(BG33&gt;0,AP$54,0)+IF(BH33&gt;0,AQ$54,0)+IF(BI33&gt;0,AR$54,0)+IF(BJ33&gt;0,AS$54,0)+IF(BK33&gt;0,AT$54,0)</f>
        <v>0</v>
      </c>
      <c r="AO33" s="0" t="str">
        <f aca="false">IF(E33="","",SUM(BN33:BU33)/(E33*J33))</f>
        <v/>
      </c>
      <c r="AP33" s="0" t="n">
        <v>3</v>
      </c>
      <c r="AQ33" s="0" t="str">
        <f aca="false">IF(E33="","",R33/(E33*J33)*G$53)</f>
        <v/>
      </c>
      <c r="AR33" s="0" t="n">
        <f aca="false">IF(SUM(AT33:BC33)=0,0,SUM(BW33:CF33)/SUM(AT33:BC33)*AI33)</f>
        <v>0</v>
      </c>
      <c r="AS33" s="0" t="n">
        <f aca="false">AI33*1.3*4</f>
        <v>0</v>
      </c>
      <c r="AT33" s="0" t="n">
        <f aca="false">IF($D33=1,S33,0)</f>
        <v>0</v>
      </c>
      <c r="AU33" s="0" t="n">
        <f aca="false">IF($D33=2,S33,0)</f>
        <v>0</v>
      </c>
      <c r="AV33" s="0" t="n">
        <f aca="false">IF($D33=3,S33,0)</f>
        <v>0</v>
      </c>
      <c r="AW33" s="0" t="n">
        <f aca="false">IF($D33=4,S33,0)</f>
        <v>0</v>
      </c>
      <c r="AX33" s="0" t="n">
        <f aca="false">IF($D33=5,S33,0)</f>
        <v>0</v>
      </c>
      <c r="AY33" s="0" t="n">
        <f aca="false">IF($D33=6,S33,0)</f>
        <v>0</v>
      </c>
      <c r="AZ33" s="0" t="n">
        <f aca="false">IF($D33=7,S33,0)</f>
        <v>0</v>
      </c>
      <c r="BA33" s="0" t="n">
        <f aca="false">IF($D33=8,S33,0)</f>
        <v>0</v>
      </c>
      <c r="BB33" s="0" t="n">
        <f aca="false">IF($D33=9,S33,0)</f>
        <v>0</v>
      </c>
      <c r="BC33" s="0" t="n">
        <f aca="false">IF($D33=10,S33,0)</f>
        <v>0</v>
      </c>
      <c r="BD33" s="0" t="n">
        <f aca="false">IF(F33&gt;0,IF(F33&lt;=BD$10,E33*$J33,0),0)</f>
        <v>0</v>
      </c>
      <c r="BE33" s="0" t="n">
        <f aca="false">IF($F33&gt;BD$10,IF($F33&lt;=BE$10,$E33*$J33,0),0)</f>
        <v>0</v>
      </c>
      <c r="BF33" s="0" t="n">
        <f aca="false">IF($F33&gt;BE$10,IF($F33&lt;=BF$10,$E33*$J33,0),0)</f>
        <v>0</v>
      </c>
      <c r="BG33" s="0" t="n">
        <f aca="false">IF($F33&gt;BF$10,IF($F33&lt;=BG$10,$E33*$J33,0),0)</f>
        <v>0</v>
      </c>
      <c r="BH33" s="0" t="n">
        <f aca="false">IF($F33&gt;BG$10,IF($F33&lt;=BH$10,$E33*$J33,0),0)</f>
        <v>0</v>
      </c>
      <c r="BI33" s="0" t="n">
        <f aca="false">IF($F33&gt;BH$10,IF($F33&lt;=BI$10,$E33*$J33,0),0)</f>
        <v>0</v>
      </c>
      <c r="BJ33" s="0" t="n">
        <f aca="false">IF($F33&gt;BI$10,IF($F33&lt;=BJ$10,$E33*$J33,0),0)</f>
        <v>0</v>
      </c>
      <c r="BK33" s="0" t="n">
        <f aca="false">IF($F33&gt;BJ$10,IF($F33&lt;=BK$10,$E33*$J33,0),0)</f>
        <v>0</v>
      </c>
      <c r="BL33" s="0" t="str">
        <f aca="false">IF(I33="","",I33*E33)</f>
        <v/>
      </c>
      <c r="BM33" s="911" t="n">
        <f aca="false">IF(SUM(BN33:BV33)="","",SUM(BN33:BV33)/SUM(BN$39:BV$39))*J$54</f>
        <v>0</v>
      </c>
      <c r="BN33" s="915" t="n">
        <f aca="false">BD33*AM$52</f>
        <v>0</v>
      </c>
      <c r="BO33" s="291" t="n">
        <f aca="false">BE33*AN$52</f>
        <v>0</v>
      </c>
      <c r="BP33" s="291" t="n">
        <f aca="false">BF33*AO$52</f>
        <v>0</v>
      </c>
      <c r="BQ33" s="291" t="n">
        <f aca="false">BG33*AP$52</f>
        <v>0</v>
      </c>
      <c r="BR33" s="291" t="n">
        <f aca="false">BH33*AQ$52</f>
        <v>0</v>
      </c>
      <c r="BS33" s="291" t="n">
        <f aca="false">BI33*AR$52</f>
        <v>0</v>
      </c>
      <c r="BT33" s="291" t="n">
        <f aca="false">BJ33*AS$52</f>
        <v>0</v>
      </c>
      <c r="BU33" s="291" t="n">
        <f aca="false">BK33*AT$52</f>
        <v>0</v>
      </c>
      <c r="BV33" s="916" t="str">
        <f aca="false">IF(BL33="","",BL33*AR$45)</f>
        <v/>
      </c>
      <c r="BW33" s="915" t="n">
        <f aca="false">AT33*Pricing!F$3*IF($T$41="N",(1+$V$41),1)</f>
        <v>0</v>
      </c>
      <c r="BX33" s="291" t="n">
        <f aca="false">AU33*Pricing!G$3*IF($T$41="N",(1+$V$41),1)</f>
        <v>0</v>
      </c>
      <c r="BY33" s="291" t="n">
        <f aca="false">AV33*Pricing!H$3*IF($T$41="N",(1+$V$41),1)</f>
        <v>0</v>
      </c>
      <c r="BZ33" s="291" t="n">
        <f aca="false">AW33*Pricing!I$3*IF($T$41="N",(1+$V$41),1)</f>
        <v>0</v>
      </c>
      <c r="CA33" s="291" t="n">
        <f aca="false">AX33*Pricing!J$3*IF($T$41="N",(1+$V$41),1)</f>
        <v>0</v>
      </c>
      <c r="CB33" s="291" t="n">
        <f aca="false">AY33*Pricing!K$3*IF($T$41="N",(1+$V$41),1)</f>
        <v>0</v>
      </c>
      <c r="CC33" s="291" t="n">
        <f aca="false">AZ33*Pricing!L$3*IF($T$41="N",(1+$V$41),1)</f>
        <v>0</v>
      </c>
      <c r="CD33" s="291" t="n">
        <f aca="false">BA33*Pricing!M$3*IF($T$41="N",(1+$V$41),1)</f>
        <v>0</v>
      </c>
      <c r="CE33" s="291" t="n">
        <f aca="false">BB33*Pricing!N$3*IF($T$41="N",(1+$V$41),1)</f>
        <v>0</v>
      </c>
      <c r="CF33" s="916" t="n">
        <f aca="false">BC33*Pricing!O$3*IF($T$41="N",(1+$V$41),1)</f>
        <v>0</v>
      </c>
      <c r="CG33" s="291" t="n">
        <f aca="false">IF(E33=0,0,R33*G$53*IF($T$41="n",(1+$V$41),1))</f>
        <v>0</v>
      </c>
      <c r="CH33" s="915" t="n">
        <f aca="false">E33*H$57</f>
        <v>0</v>
      </c>
      <c r="CI33" s="291" t="n">
        <f aca="false">Z33*E$60</f>
        <v>0</v>
      </c>
      <c r="CJ33" s="291" t="str">
        <f aca="false">IF(E33="","",R33/2000*E$61)</f>
        <v/>
      </c>
      <c r="CK33" s="291" t="n">
        <f aca="false">O$62/I$57*E33</f>
        <v>0</v>
      </c>
      <c r="CL33" s="917" t="n">
        <f aca="false">O$63/I$57*E33</f>
        <v>0</v>
      </c>
      <c r="CM33" s="918" t="n">
        <f aca="false">IF(E33="",0,(W$85)/E$39*E33)</f>
        <v>0</v>
      </c>
      <c r="CN33" s="916" t="n">
        <f aca="false">IF(E33="",0,SUM(O$66:P$69)/E$39*E33)</f>
        <v>0</v>
      </c>
      <c r="CO33" s="918" t="n">
        <f aca="false">IF(E33="",0,SUM(O$71:P$76)/E$39*E33)</f>
        <v>0</v>
      </c>
      <c r="CP33" s="291" t="n">
        <f aca="false">IF(E33="",0,SUM(O$78:P$83)/E$39*E33)</f>
        <v>0</v>
      </c>
      <c r="CQ33" s="55" t="n">
        <f aca="false">O$84/I$57*E33</f>
        <v>0</v>
      </c>
      <c r="CR33" s="919" t="n">
        <f aca="false">IF(E33="",0,T33*E33)</f>
        <v>0</v>
      </c>
    </row>
    <row r="34" customFormat="false" ht="19.5" hidden="false" customHeight="true" outlineLevel="0" collapsed="false">
      <c r="B34" s="894"/>
      <c r="C34" s="566"/>
      <c r="D34" s="895"/>
      <c r="E34" s="896"/>
      <c r="F34" s="897"/>
      <c r="G34" s="897"/>
      <c r="H34" s="78"/>
      <c r="I34" s="898"/>
      <c r="J34" s="899" t="n">
        <f aca="false">G34+H34</f>
        <v>0</v>
      </c>
      <c r="K34" s="920"/>
      <c r="L34" s="900"/>
      <c r="M34" s="78"/>
      <c r="N34" s="900"/>
      <c r="O34" s="901"/>
      <c r="P34" s="78"/>
      <c r="Q34" s="898"/>
      <c r="R34" s="902" t="n">
        <f aca="false">IF(E34="",0,IF(N34=0,(L34/16*L34/16*K34*10.680159*E34*J34)+(O34*P34/16*P34/16*10.680159*E34*Q34),(L34/16*L34/16*K34*10.680159*E34*J34)+(O34*P34/16*P34/16*10.680159*E34*Q34)+(M34/16*M34/16*10.680159*((F34-3)*3.1412)*E34*J34/N34)))*(1+K$53)</f>
        <v>0</v>
      </c>
      <c r="S34" s="902" t="n">
        <f aca="false">(IF(E34="",0,(((F34*F34/576)*J34*3.1412/27)+0.5*((3.1412*(I34*I34/576)*I34/12)/27-((F34*F34/576)*I34/12*3.1412/27)))*E34)*(1+K$49))</f>
        <v>0</v>
      </c>
      <c r="T34" s="903" t="n">
        <f aca="false">(IF(E34="",0,IF(J$54="",SUM(BN34:CP34)/E34,(SUM(BW34:CP34)+BM34)/E34)))*(1+M$42+Summary!P$57)</f>
        <v>0</v>
      </c>
      <c r="U34" s="904" t="n">
        <f aca="false">IF(E34=0,0,SUM(AO34:AS34)*(1+W$39))</f>
        <v>0</v>
      </c>
      <c r="V34" s="905" t="n">
        <f aca="false">AM34+AR34</f>
        <v>0</v>
      </c>
      <c r="W34" s="906" t="n">
        <f aca="false">IF(E34=0,0,(AN34+(AL34)+(AP34-0.5)+(AK34))*(1+W$39))</f>
        <v>0</v>
      </c>
      <c r="X34" s="907" t="n">
        <f aca="false">E34</f>
        <v>0</v>
      </c>
      <c r="Y34" s="908" t="n">
        <f aca="false">R34</f>
        <v>0</v>
      </c>
      <c r="Z34" s="908" t="n">
        <f aca="false">S34</f>
        <v>0</v>
      </c>
      <c r="AA34" s="909" t="n">
        <f aca="false">E34</f>
        <v>0</v>
      </c>
      <c r="AB34" s="910" t="n">
        <f aca="false">E34*T34</f>
        <v>0</v>
      </c>
      <c r="AG34" s="0" t="str">
        <f aca="false">IF(E34="","",J34*E34)</f>
        <v/>
      </c>
      <c r="AH34" s="0" t="n">
        <f aca="false">IF(E34=0,0,(((F34+3)*0.5)*((F34+3)*0.5)*3.145/144*(1+K$49)/27)-AI34)</f>
        <v>0</v>
      </c>
      <c r="AI34" s="0" t="n">
        <f aca="false">(F34*0.5)*(F34*0.5)*3.145/144*(1+K$49)/27</f>
        <v>0</v>
      </c>
      <c r="AJ34" s="0" t="str">
        <f aca="false">IF(E34="","",R34/E34/J34)</f>
        <v/>
      </c>
      <c r="AK34" s="0" t="n">
        <f aca="false">AH34*1.4*4</f>
        <v>0</v>
      </c>
      <c r="AL34" s="0" t="n">
        <f aca="false">IF(SUM(AT34:BC34)=0,0,(SUM(BW34:CF34)/SUM(AT34:BC34)*AH34))</f>
        <v>0</v>
      </c>
      <c r="AM34" s="0" t="n">
        <f aca="false">IF(F34=$AM$50,$AM$56,IF(F34=$AN$50,$AN$56,IF(F34=AO$50,AO$56,IF(F34=AP$50,AP$56,IF(F34=AQ$50,AQ$56,IF(F34=AR$50,AR$56,IF(F34=AS$50,AS$56,IF(F34=AT$50,AT$56,0))))))))</f>
        <v>0</v>
      </c>
      <c r="AN34" s="0" t="n">
        <f aca="false">IF(BD34&gt;0,AM$54,0)+IF(BE34&gt;0,AN$54,0)+IF(BF34&gt;0,AO$54,0)+IF(BG34&gt;0,AP$54,0)+IF(BH34&gt;0,AQ$54,0)+IF(BI34&gt;0,AR$54,0)+IF(BJ34&gt;0,AS$54,0)+IF(BK34&gt;0,AT$54,0)</f>
        <v>0</v>
      </c>
      <c r="AO34" s="0" t="str">
        <f aca="false">IF(E34="","",SUM(BN34:BU34)/(E34*J34))</f>
        <v/>
      </c>
      <c r="AP34" s="0" t="n">
        <v>3</v>
      </c>
      <c r="AQ34" s="0" t="str">
        <f aca="false">IF(E34="","",R34/(E34*J34)*G$53)</f>
        <v/>
      </c>
      <c r="AR34" s="0" t="n">
        <f aca="false">IF(SUM(AT34:BC34)=0,0,SUM(BW34:CF34)/SUM(AT34:BC34)*AI34)</f>
        <v>0</v>
      </c>
      <c r="AS34" s="0" t="n">
        <f aca="false">AI34*1.3*4</f>
        <v>0</v>
      </c>
      <c r="AT34" s="0" t="n">
        <f aca="false">IF($D34=1,S34,0)</f>
        <v>0</v>
      </c>
      <c r="AU34" s="0" t="n">
        <f aca="false">IF($D34=2,S34,0)</f>
        <v>0</v>
      </c>
      <c r="AV34" s="0" t="n">
        <f aca="false">IF($D34=3,S34,0)</f>
        <v>0</v>
      </c>
      <c r="AW34" s="0" t="n">
        <f aca="false">IF($D34=4,S34,0)</f>
        <v>0</v>
      </c>
      <c r="AX34" s="0" t="n">
        <f aca="false">IF($D34=5,S34,0)</f>
        <v>0</v>
      </c>
      <c r="AY34" s="0" t="n">
        <f aca="false">IF($D34=6,S34,0)</f>
        <v>0</v>
      </c>
      <c r="AZ34" s="0" t="n">
        <f aca="false">IF($D34=7,S34,0)</f>
        <v>0</v>
      </c>
      <c r="BA34" s="0" t="n">
        <f aca="false">IF($D34=8,S34,0)</f>
        <v>0</v>
      </c>
      <c r="BB34" s="0" t="n">
        <f aca="false">IF($D34=9,S34,0)</f>
        <v>0</v>
      </c>
      <c r="BC34" s="0" t="n">
        <f aca="false">IF($D34=10,S34,0)</f>
        <v>0</v>
      </c>
      <c r="BD34" s="0" t="n">
        <f aca="false">IF(F34&gt;0,IF(F34&lt;=BD$10,E34*$J34,0),0)</f>
        <v>0</v>
      </c>
      <c r="BE34" s="0" t="n">
        <f aca="false">IF($F34&gt;BD$10,IF($F34&lt;=BE$10,$E34*$J34,0),0)</f>
        <v>0</v>
      </c>
      <c r="BF34" s="0" t="n">
        <f aca="false">IF($F34&gt;BE$10,IF($F34&lt;=BF$10,$E34*$J34,0),0)</f>
        <v>0</v>
      </c>
      <c r="BG34" s="0" t="n">
        <f aca="false">IF($F34&gt;BF$10,IF($F34&lt;=BG$10,$E34*$J34,0),0)</f>
        <v>0</v>
      </c>
      <c r="BH34" s="0" t="n">
        <f aca="false">IF($F34&gt;BG$10,IF($F34&lt;=BH$10,$E34*$J34,0),0)</f>
        <v>0</v>
      </c>
      <c r="BI34" s="0" t="n">
        <f aca="false">IF($F34&gt;BH$10,IF($F34&lt;=BI$10,$E34*$J34,0),0)</f>
        <v>0</v>
      </c>
      <c r="BJ34" s="0" t="n">
        <f aca="false">IF($F34&gt;BI$10,IF($F34&lt;=BJ$10,$E34*$J34,0),0)</f>
        <v>0</v>
      </c>
      <c r="BK34" s="0" t="n">
        <f aca="false">IF($F34&gt;BJ$10,IF($F34&lt;=BK$10,$E34*$J34,0),0)</f>
        <v>0</v>
      </c>
      <c r="BL34" s="0" t="str">
        <f aca="false">IF(I34="","",I34*E34)</f>
        <v/>
      </c>
      <c r="BM34" s="911" t="n">
        <f aca="false">IF(SUM(BN34:BV34)="","",SUM(BN34:BV34)/SUM(BN$39:BV$39))*J$54</f>
        <v>0</v>
      </c>
      <c r="BN34" s="915" t="n">
        <f aca="false">BD34*AM$52</f>
        <v>0</v>
      </c>
      <c r="BO34" s="291" t="n">
        <f aca="false">BE34*AN$52</f>
        <v>0</v>
      </c>
      <c r="BP34" s="291" t="n">
        <f aca="false">BF34*AO$52</f>
        <v>0</v>
      </c>
      <c r="BQ34" s="291" t="n">
        <f aca="false">BG34*AP$52</f>
        <v>0</v>
      </c>
      <c r="BR34" s="291" t="n">
        <f aca="false">BH34*AQ$52</f>
        <v>0</v>
      </c>
      <c r="BS34" s="291" t="n">
        <f aca="false">BI34*AR$52</f>
        <v>0</v>
      </c>
      <c r="BT34" s="291" t="n">
        <f aca="false">BJ34*AS$52</f>
        <v>0</v>
      </c>
      <c r="BU34" s="291" t="n">
        <f aca="false">BK34*AT$52</f>
        <v>0</v>
      </c>
      <c r="BV34" s="916" t="str">
        <f aca="false">IF(BL34="","",BL34*AR$45)</f>
        <v/>
      </c>
      <c r="BW34" s="915" t="n">
        <f aca="false">AT34*Pricing!F$3*IF($T$41="N",(1+$V$41),1)</f>
        <v>0</v>
      </c>
      <c r="BX34" s="291" t="n">
        <f aca="false">AU34*Pricing!G$3*IF($T$41="N",(1+$V$41),1)</f>
        <v>0</v>
      </c>
      <c r="BY34" s="291" t="n">
        <f aca="false">AV34*Pricing!H$3*IF($T$41="N",(1+$V$41),1)</f>
        <v>0</v>
      </c>
      <c r="BZ34" s="291" t="n">
        <f aca="false">AW34*Pricing!I$3*IF($T$41="N",(1+$V$41),1)</f>
        <v>0</v>
      </c>
      <c r="CA34" s="291" t="n">
        <f aca="false">AX34*Pricing!J$3*IF($T$41="N",(1+$V$41),1)</f>
        <v>0</v>
      </c>
      <c r="CB34" s="291" t="n">
        <f aca="false">AY34*Pricing!K$3*IF($T$41="N",(1+$V$41),1)</f>
        <v>0</v>
      </c>
      <c r="CC34" s="291" t="n">
        <f aca="false">AZ34*Pricing!L$3*IF($T$41="N",(1+$V$41),1)</f>
        <v>0</v>
      </c>
      <c r="CD34" s="291" t="n">
        <f aca="false">BA34*Pricing!M$3*IF($T$41="N",(1+$V$41),1)</f>
        <v>0</v>
      </c>
      <c r="CE34" s="291" t="n">
        <f aca="false">BB34*Pricing!N$3*IF($T$41="N",(1+$V$41),1)</f>
        <v>0</v>
      </c>
      <c r="CF34" s="916" t="n">
        <f aca="false">BC34*Pricing!O$3*IF($T$41="N",(1+$V$41),1)</f>
        <v>0</v>
      </c>
      <c r="CG34" s="291" t="n">
        <f aca="false">IF(E34=0,0,R34*G$53*IF($T$41="n",(1+$V$41),1))</f>
        <v>0</v>
      </c>
      <c r="CH34" s="915" t="n">
        <f aca="false">E34*H$57</f>
        <v>0</v>
      </c>
      <c r="CI34" s="291" t="n">
        <f aca="false">Z34*E$60</f>
        <v>0</v>
      </c>
      <c r="CJ34" s="291" t="str">
        <f aca="false">IF(E34="","",R34/2000*E$61)</f>
        <v/>
      </c>
      <c r="CK34" s="291" t="n">
        <f aca="false">O$62/I$57*E34</f>
        <v>0</v>
      </c>
      <c r="CL34" s="917" t="n">
        <f aca="false">O$63/I$57*E34</f>
        <v>0</v>
      </c>
      <c r="CM34" s="918" t="n">
        <f aca="false">IF(E34="",0,(W$85)/E$39*E34)</f>
        <v>0</v>
      </c>
      <c r="CN34" s="916" t="n">
        <f aca="false">IF(E34="",0,SUM(O$66:P$69)/E$39*E34)</f>
        <v>0</v>
      </c>
      <c r="CO34" s="918" t="n">
        <f aca="false">IF(E34="",0,SUM(O$71:P$76)/E$39*E34)</f>
        <v>0</v>
      </c>
      <c r="CP34" s="291" t="n">
        <f aca="false">IF(E34="",0,SUM(O$78:P$83)/E$39*E34)</f>
        <v>0</v>
      </c>
      <c r="CQ34" s="55" t="n">
        <f aca="false">O$84/I$57*E34</f>
        <v>0</v>
      </c>
      <c r="CR34" s="919" t="n">
        <f aca="false">IF(E34="",0,T34*E34)</f>
        <v>0</v>
      </c>
    </row>
    <row r="35" customFormat="false" ht="19.5" hidden="false" customHeight="true" outlineLevel="0" collapsed="false">
      <c r="B35" s="894"/>
      <c r="C35" s="566"/>
      <c r="D35" s="895"/>
      <c r="E35" s="896"/>
      <c r="F35" s="897"/>
      <c r="G35" s="897"/>
      <c r="H35" s="78"/>
      <c r="I35" s="898"/>
      <c r="J35" s="899" t="n">
        <f aca="false">G35+H35</f>
        <v>0</v>
      </c>
      <c r="K35" s="920"/>
      <c r="L35" s="900"/>
      <c r="M35" s="78"/>
      <c r="N35" s="900"/>
      <c r="O35" s="901"/>
      <c r="P35" s="78"/>
      <c r="Q35" s="898"/>
      <c r="R35" s="902" t="n">
        <f aca="false">IF(E35="",0,IF(N35=0,(L35/16*L35/16*K35*10.680159*E35*J35)+(O35*P35/16*P35/16*10.680159*E35*Q35),(L35/16*L35/16*K35*10.680159*E35*J35)+(O35*P35/16*P35/16*10.680159*E35*Q35)+(M35/16*M35/16*10.680159*((F35-3)*3.1412)*E35*J35/N35)))*(1+K$53)</f>
        <v>0</v>
      </c>
      <c r="S35" s="902" t="n">
        <f aca="false">(IF(E35="",0,(((F35*F35/576)*J35*3.1412/27)+0.5*((3.1412*(I35*I35/576)*I35/12)/27-((F35*F35/576)*I35/12*3.1412/27)))*E35)*(1+K$49))</f>
        <v>0</v>
      </c>
      <c r="T35" s="903" t="n">
        <f aca="false">(IF(E35="",0,IF(J$54="",SUM(BN35:CP35)/E35,(SUM(BW35:CP35)+BM35)/E35)))*(1+M$42+Summary!P$57)</f>
        <v>0</v>
      </c>
      <c r="U35" s="904" t="n">
        <f aca="false">IF(E35=0,0,SUM(AO35:AS35)*(1+W$39))</f>
        <v>0</v>
      </c>
      <c r="V35" s="905" t="n">
        <f aca="false">AM35+AR35</f>
        <v>0</v>
      </c>
      <c r="W35" s="906" t="n">
        <f aca="false">IF(E35=0,0,(AN35+(AL35)+(AP35-0.5)+(AK35))*(1+W$39))</f>
        <v>0</v>
      </c>
      <c r="X35" s="907" t="n">
        <f aca="false">E35</f>
        <v>0</v>
      </c>
      <c r="Y35" s="908" t="n">
        <f aca="false">R35</f>
        <v>0</v>
      </c>
      <c r="Z35" s="908" t="n">
        <f aca="false">S35</f>
        <v>0</v>
      </c>
      <c r="AA35" s="909" t="n">
        <f aca="false">E35</f>
        <v>0</v>
      </c>
      <c r="AB35" s="910" t="n">
        <f aca="false">E35*T35</f>
        <v>0</v>
      </c>
      <c r="AG35" s="0" t="str">
        <f aca="false">IF(E35="","",J35*E35)</f>
        <v/>
      </c>
      <c r="AH35" s="0" t="n">
        <f aca="false">IF(E35=0,0,(((F35+3)*0.5)*((F35+3)*0.5)*3.145/144*(1+K$49)/27)-AI35)</f>
        <v>0</v>
      </c>
      <c r="AI35" s="0" t="n">
        <f aca="false">(F35*0.5)*(F35*0.5)*3.145/144*(1+K$49)/27</f>
        <v>0</v>
      </c>
      <c r="AJ35" s="0" t="str">
        <f aca="false">IF(E35="","",R35/E35/J35)</f>
        <v/>
      </c>
      <c r="AK35" s="0" t="n">
        <f aca="false">AH35*1.4*4</f>
        <v>0</v>
      </c>
      <c r="AL35" s="0" t="n">
        <f aca="false">IF(SUM(AT35:BC35)=0,0,(SUM(BW35:CF35)/SUM(AT35:BC35)*AH35))</f>
        <v>0</v>
      </c>
      <c r="AM35" s="0" t="n">
        <f aca="false">IF(F35=$AM$50,$AM$56,IF(F35=$AN$50,$AN$56,IF(F35=AO$50,AO$56,IF(F35=AP$50,AP$56,IF(F35=AQ$50,AQ$56,IF(F35=AR$50,AR$56,IF(F35=AS$50,AS$56,IF(F35=AT$50,AT$56,0))))))))</f>
        <v>0</v>
      </c>
      <c r="AN35" s="0" t="n">
        <f aca="false">IF(BD35&gt;0,AM$54,0)+IF(BE35&gt;0,AN$54,0)+IF(BF35&gt;0,AO$54,0)+IF(BG35&gt;0,AP$54,0)+IF(BH35&gt;0,AQ$54,0)+IF(BI35&gt;0,AR$54,0)+IF(BJ35&gt;0,AS$54,0)+IF(BK35&gt;0,AT$54,0)</f>
        <v>0</v>
      </c>
      <c r="AO35" s="0" t="str">
        <f aca="false">IF(E35="","",SUM(BN35:BU35)/(E35*J35))</f>
        <v/>
      </c>
      <c r="AP35" s="0" t="n">
        <v>3</v>
      </c>
      <c r="AQ35" s="0" t="str">
        <f aca="false">IF(E35="","",R35/(E35*J35)*G$53)</f>
        <v/>
      </c>
      <c r="AR35" s="0" t="n">
        <f aca="false">IF(SUM(AT35:BC35)=0,0,SUM(BW35:CF35)/SUM(AT35:BC35)*AI35)</f>
        <v>0</v>
      </c>
      <c r="AS35" s="0" t="n">
        <f aca="false">AI35*1.3*4</f>
        <v>0</v>
      </c>
      <c r="AT35" s="0" t="n">
        <f aca="false">IF($D35=1,S35,0)</f>
        <v>0</v>
      </c>
      <c r="AU35" s="0" t="n">
        <f aca="false">IF($D35=2,S35,0)</f>
        <v>0</v>
      </c>
      <c r="AV35" s="0" t="n">
        <f aca="false">IF($D35=3,S35,0)</f>
        <v>0</v>
      </c>
      <c r="AW35" s="0" t="n">
        <f aca="false">IF($D35=4,S35,0)</f>
        <v>0</v>
      </c>
      <c r="AX35" s="0" t="n">
        <f aca="false">IF($D35=5,S35,0)</f>
        <v>0</v>
      </c>
      <c r="AY35" s="0" t="n">
        <f aca="false">IF($D35=6,S35,0)</f>
        <v>0</v>
      </c>
      <c r="AZ35" s="0" t="n">
        <f aca="false">IF($D35=7,S35,0)</f>
        <v>0</v>
      </c>
      <c r="BA35" s="0" t="n">
        <f aca="false">IF($D35=8,S35,0)</f>
        <v>0</v>
      </c>
      <c r="BB35" s="0" t="n">
        <f aca="false">IF($D35=9,S35,0)</f>
        <v>0</v>
      </c>
      <c r="BC35" s="0" t="n">
        <f aca="false">IF($D35=10,S35,0)</f>
        <v>0</v>
      </c>
      <c r="BD35" s="0" t="n">
        <f aca="false">IF(F35&gt;0,IF(F35&lt;=BD$10,E35*$J35,0),0)</f>
        <v>0</v>
      </c>
      <c r="BE35" s="0" t="n">
        <f aca="false">IF($F35&gt;BD$10,IF($F35&lt;=BE$10,$E35*$J35,0),0)</f>
        <v>0</v>
      </c>
      <c r="BF35" s="0" t="n">
        <f aca="false">IF($F35&gt;BE$10,IF($F35&lt;=BF$10,$E35*$J35,0),0)</f>
        <v>0</v>
      </c>
      <c r="BG35" s="0" t="n">
        <f aca="false">IF($F35&gt;BF$10,IF($F35&lt;=BG$10,$E35*$J35,0),0)</f>
        <v>0</v>
      </c>
      <c r="BH35" s="0" t="n">
        <f aca="false">IF($F35&gt;BG$10,IF($F35&lt;=BH$10,$E35*$J35,0),0)</f>
        <v>0</v>
      </c>
      <c r="BI35" s="0" t="n">
        <f aca="false">IF($F35&gt;BH$10,IF($F35&lt;=BI$10,$E35*$J35,0),0)</f>
        <v>0</v>
      </c>
      <c r="BJ35" s="0" t="n">
        <f aca="false">IF($F35&gt;BI$10,IF($F35&lt;=BJ$10,$E35*$J35,0),0)</f>
        <v>0</v>
      </c>
      <c r="BK35" s="0" t="n">
        <f aca="false">IF($F35&gt;BJ$10,IF($F35&lt;=BK$10,$E35*$J35,0),0)</f>
        <v>0</v>
      </c>
      <c r="BL35" s="0" t="str">
        <f aca="false">IF(I35="","",I35*E35)</f>
        <v/>
      </c>
      <c r="BM35" s="911" t="n">
        <f aca="false">IF(SUM(BN35:BV35)="","",SUM(BN35:BV35)/SUM(BN$39:BV$39))*J$54</f>
        <v>0</v>
      </c>
      <c r="BN35" s="915" t="n">
        <f aca="false">BD35*AM$52</f>
        <v>0</v>
      </c>
      <c r="BO35" s="291" t="n">
        <f aca="false">BE35*AN$52</f>
        <v>0</v>
      </c>
      <c r="BP35" s="291" t="n">
        <f aca="false">BF35*AO$52</f>
        <v>0</v>
      </c>
      <c r="BQ35" s="291" t="n">
        <f aca="false">BG35*AP$52</f>
        <v>0</v>
      </c>
      <c r="BR35" s="291" t="n">
        <f aca="false">BH35*AQ$52</f>
        <v>0</v>
      </c>
      <c r="BS35" s="291" t="n">
        <f aca="false">BI35*AR$52</f>
        <v>0</v>
      </c>
      <c r="BT35" s="291" t="n">
        <f aca="false">BJ35*AS$52</f>
        <v>0</v>
      </c>
      <c r="BU35" s="291" t="n">
        <f aca="false">BK35*AT$52</f>
        <v>0</v>
      </c>
      <c r="BV35" s="916" t="str">
        <f aca="false">IF(BL35="","",BL35*AR$45)</f>
        <v/>
      </c>
      <c r="BW35" s="915" t="n">
        <f aca="false">AT35*Pricing!F$3*IF($T$41="N",(1+$V$41),1)</f>
        <v>0</v>
      </c>
      <c r="BX35" s="291" t="n">
        <f aca="false">AU35*Pricing!G$3*IF($T$41="N",(1+$V$41),1)</f>
        <v>0</v>
      </c>
      <c r="BY35" s="291" t="n">
        <f aca="false">AV35*Pricing!H$3*IF($T$41="N",(1+$V$41),1)</f>
        <v>0</v>
      </c>
      <c r="BZ35" s="291" t="n">
        <f aca="false">AW35*Pricing!I$3*IF($T$41="N",(1+$V$41),1)</f>
        <v>0</v>
      </c>
      <c r="CA35" s="291" t="n">
        <f aca="false">AX35*Pricing!J$3*IF($T$41="N",(1+$V$41),1)</f>
        <v>0</v>
      </c>
      <c r="CB35" s="291" t="n">
        <f aca="false">AY35*Pricing!K$3*IF($T$41="N",(1+$V$41),1)</f>
        <v>0</v>
      </c>
      <c r="CC35" s="291" t="n">
        <f aca="false">AZ35*Pricing!L$3*IF($T$41="N",(1+$V$41),1)</f>
        <v>0</v>
      </c>
      <c r="CD35" s="291" t="n">
        <f aca="false">BA35*Pricing!M$3*IF($T$41="N",(1+$V$41),1)</f>
        <v>0</v>
      </c>
      <c r="CE35" s="291" t="n">
        <f aca="false">BB35*Pricing!N$3*IF($T$41="N",(1+$V$41),1)</f>
        <v>0</v>
      </c>
      <c r="CF35" s="916" t="n">
        <f aca="false">BC35*Pricing!O$3*IF($T$41="N",(1+$V$41),1)</f>
        <v>0</v>
      </c>
      <c r="CG35" s="291" t="n">
        <f aca="false">IF(E35=0,0,R35*G$53*IF($T$41="n",(1+$V$41),1))</f>
        <v>0</v>
      </c>
      <c r="CH35" s="915" t="n">
        <f aca="false">E35*H$57</f>
        <v>0</v>
      </c>
      <c r="CI35" s="291" t="n">
        <f aca="false">Z35*E$60</f>
        <v>0</v>
      </c>
      <c r="CJ35" s="291" t="str">
        <f aca="false">IF(E35="","",R35/2000*E$61)</f>
        <v/>
      </c>
      <c r="CK35" s="291" t="n">
        <f aca="false">O$62/I$57*E35</f>
        <v>0</v>
      </c>
      <c r="CL35" s="917" t="n">
        <f aca="false">O$63/I$57*E35</f>
        <v>0</v>
      </c>
      <c r="CM35" s="918" t="n">
        <f aca="false">IF(E35="",0,(W$85)/E$39*E35)</f>
        <v>0</v>
      </c>
      <c r="CN35" s="916" t="n">
        <f aca="false">IF(E35="",0,SUM(O$66:P$69)/E$39*E35)</f>
        <v>0</v>
      </c>
      <c r="CO35" s="918" t="n">
        <f aca="false">IF(E35="",0,SUM(O$71:P$76)/E$39*E35)</f>
        <v>0</v>
      </c>
      <c r="CP35" s="291" t="n">
        <f aca="false">IF(E35="",0,SUM(O$78:P$83)/E$39*E35)</f>
        <v>0</v>
      </c>
      <c r="CQ35" s="55" t="n">
        <f aca="false">O$84/I$57*E35</f>
        <v>0</v>
      </c>
      <c r="CR35" s="919" t="n">
        <f aca="false">IF(E35="",0,T35*E35)</f>
        <v>0</v>
      </c>
    </row>
    <row r="36" customFormat="false" ht="19.5" hidden="false" customHeight="true" outlineLevel="0" collapsed="false">
      <c r="B36" s="894"/>
      <c r="C36" s="566"/>
      <c r="D36" s="895"/>
      <c r="E36" s="896"/>
      <c r="F36" s="897"/>
      <c r="G36" s="897"/>
      <c r="H36" s="78"/>
      <c r="I36" s="898"/>
      <c r="J36" s="899" t="n">
        <f aca="false">G36+H36</f>
        <v>0</v>
      </c>
      <c r="K36" s="920"/>
      <c r="L36" s="900"/>
      <c r="M36" s="78"/>
      <c r="N36" s="900"/>
      <c r="O36" s="901"/>
      <c r="P36" s="78"/>
      <c r="Q36" s="898"/>
      <c r="R36" s="902" t="n">
        <f aca="false">IF(E36="",0,IF(N36=0,(L36/16*L36/16*K36*10.680159*E36*J36)+(O36*P36/16*P36/16*10.680159*E36*Q36),(L36/16*L36/16*K36*10.680159*E36*J36)+(O36*P36/16*P36/16*10.680159*E36*Q36)+(M36/16*M36/16*10.680159*((F36-3)*3.1412)*E36*J36/N36)))*(1+K$53)</f>
        <v>0</v>
      </c>
      <c r="S36" s="902" t="n">
        <f aca="false">(IF(E36="",0,(((F36*F36/576)*J36*3.1412/27)+0.5*((3.1412*(I36*I36/576)*I36/12)/27-((F36*F36/576)*I36/12*3.1412/27)))*E36)*(1+K$49))</f>
        <v>0</v>
      </c>
      <c r="T36" s="903" t="n">
        <f aca="false">(IF(E36="",0,IF(J$54="",SUM(BN36:CP36)/E36,(SUM(BW36:CP36)+BM36)/E36)))*(1+M$42+Summary!P$57)</f>
        <v>0</v>
      </c>
      <c r="U36" s="904" t="n">
        <f aca="false">IF(E36=0,0,SUM(AO36:AS36)*(1+W$39))</f>
        <v>0</v>
      </c>
      <c r="V36" s="905" t="n">
        <f aca="false">AM36+AR36</f>
        <v>0</v>
      </c>
      <c r="W36" s="906" t="n">
        <f aca="false">IF(E36=0,0,(AN36+(AL36)+(AP36-0.5)+(AK36))*(1+W$39))</f>
        <v>0</v>
      </c>
      <c r="X36" s="907" t="n">
        <f aca="false">E36</f>
        <v>0</v>
      </c>
      <c r="Y36" s="908" t="n">
        <f aca="false">R36</f>
        <v>0</v>
      </c>
      <c r="Z36" s="908" t="n">
        <f aca="false">S36</f>
        <v>0</v>
      </c>
      <c r="AA36" s="909" t="n">
        <f aca="false">E36</f>
        <v>0</v>
      </c>
      <c r="AB36" s="910" t="n">
        <f aca="false">E36*T36</f>
        <v>0</v>
      </c>
      <c r="AG36" s="0" t="str">
        <f aca="false">IF(E36="","",J36*E36)</f>
        <v/>
      </c>
      <c r="AH36" s="0" t="n">
        <f aca="false">IF(E36=0,0,(((F36+3)*0.5)*((F36+3)*0.5)*3.145/144*(1+K$49)/27)-AI36)</f>
        <v>0</v>
      </c>
      <c r="AI36" s="0" t="n">
        <f aca="false">(F36*0.5)*(F36*0.5)*3.145/144*(1+K$49)/27</f>
        <v>0</v>
      </c>
      <c r="AJ36" s="0" t="str">
        <f aca="false">IF(E36="","",R36/E36/J36)</f>
        <v/>
      </c>
      <c r="AK36" s="0" t="n">
        <f aca="false">AH36*1.4*4</f>
        <v>0</v>
      </c>
      <c r="AL36" s="0" t="n">
        <f aca="false">IF(SUM(AT36:BC36)=0,0,(SUM(BW36:CF36)/SUM(AT36:BC36)*AH36))</f>
        <v>0</v>
      </c>
      <c r="AM36" s="0" t="n">
        <f aca="false">IF(F36=$AM$50,$AM$56,IF(F36=$AN$50,$AN$56,IF(F36=AO$50,AO$56,IF(F36=AP$50,AP$56,IF(F36=AQ$50,AQ$56,IF(F36=AR$50,AR$56,IF(F36=AS$50,AS$56,IF(F36=AT$50,AT$56,0))))))))</f>
        <v>0</v>
      </c>
      <c r="AN36" s="0" t="n">
        <f aca="false">IF(BD36&gt;0,AM$54,0)+IF(BE36&gt;0,AN$54,0)+IF(BF36&gt;0,AO$54,0)+IF(BG36&gt;0,AP$54,0)+IF(BH36&gt;0,AQ$54,0)+IF(BI36&gt;0,AR$54,0)+IF(BJ36&gt;0,AS$54,0)+IF(BK36&gt;0,AT$54,0)</f>
        <v>0</v>
      </c>
      <c r="AO36" s="0" t="str">
        <f aca="false">IF(E36="","",SUM(BN36:BU36)/(E36*J36))</f>
        <v/>
      </c>
      <c r="AP36" s="0" t="n">
        <v>3</v>
      </c>
      <c r="AQ36" s="0" t="str">
        <f aca="false">IF(E36="","",R36/(E36*J36)*G$53)</f>
        <v/>
      </c>
      <c r="AR36" s="0" t="n">
        <f aca="false">IF(SUM(AT36:BC36)=0,0,SUM(BW36:CF36)/SUM(AT36:BC36)*AI36)</f>
        <v>0</v>
      </c>
      <c r="AS36" s="0" t="n">
        <f aca="false">AI36*1.3*4</f>
        <v>0</v>
      </c>
      <c r="AT36" s="0" t="n">
        <f aca="false">IF($D36=1,S36,0)</f>
        <v>0</v>
      </c>
      <c r="AU36" s="0" t="n">
        <f aca="false">IF($D36=2,S36,0)</f>
        <v>0</v>
      </c>
      <c r="AV36" s="0" t="n">
        <f aca="false">IF($D36=3,S36,0)</f>
        <v>0</v>
      </c>
      <c r="AW36" s="0" t="n">
        <f aca="false">IF($D36=4,S36,0)</f>
        <v>0</v>
      </c>
      <c r="AX36" s="0" t="n">
        <f aca="false">IF($D36=5,S36,0)</f>
        <v>0</v>
      </c>
      <c r="AY36" s="0" t="n">
        <f aca="false">IF($D36=6,S36,0)</f>
        <v>0</v>
      </c>
      <c r="AZ36" s="0" t="n">
        <f aca="false">IF($D36=7,S36,0)</f>
        <v>0</v>
      </c>
      <c r="BA36" s="0" t="n">
        <f aca="false">IF($D36=8,S36,0)</f>
        <v>0</v>
      </c>
      <c r="BB36" s="0" t="n">
        <f aca="false">IF($D36=9,S36,0)</f>
        <v>0</v>
      </c>
      <c r="BC36" s="0" t="n">
        <f aca="false">IF($D36=10,S36,0)</f>
        <v>0</v>
      </c>
      <c r="BD36" s="0" t="n">
        <f aca="false">IF(F36&gt;0,IF(F36&lt;=BD$10,E36*$J36,0),0)</f>
        <v>0</v>
      </c>
      <c r="BE36" s="0" t="n">
        <f aca="false">IF($F36&gt;BD$10,IF($F36&lt;=BE$10,$E36*$J36,0),0)</f>
        <v>0</v>
      </c>
      <c r="BF36" s="0" t="n">
        <f aca="false">IF($F36&gt;BE$10,IF($F36&lt;=BF$10,$E36*$J36,0),0)</f>
        <v>0</v>
      </c>
      <c r="BG36" s="0" t="n">
        <f aca="false">IF($F36&gt;BF$10,IF($F36&lt;=BG$10,$E36*$J36,0),0)</f>
        <v>0</v>
      </c>
      <c r="BH36" s="0" t="n">
        <f aca="false">IF($F36&gt;BG$10,IF($F36&lt;=BH$10,$E36*$J36,0),0)</f>
        <v>0</v>
      </c>
      <c r="BI36" s="0" t="n">
        <f aca="false">IF($F36&gt;BH$10,IF($F36&lt;=BI$10,$E36*$J36,0),0)</f>
        <v>0</v>
      </c>
      <c r="BJ36" s="0" t="n">
        <f aca="false">IF($F36&gt;BI$10,IF($F36&lt;=BJ$10,$E36*$J36,0),0)</f>
        <v>0</v>
      </c>
      <c r="BK36" s="0" t="n">
        <f aca="false">IF($F36&gt;BJ$10,IF($F36&lt;=BK$10,$E36*$J36,0),0)</f>
        <v>0</v>
      </c>
      <c r="BL36" s="0" t="str">
        <f aca="false">IF(I36="","",I36*E36)</f>
        <v/>
      </c>
      <c r="BM36" s="911" t="n">
        <f aca="false">IF(SUM(BN36:BV36)="","",SUM(BN36:BV36)/SUM(BN$39:BV$39))*J$54</f>
        <v>0</v>
      </c>
      <c r="BN36" s="915" t="n">
        <f aca="false">BD36*AM$52</f>
        <v>0</v>
      </c>
      <c r="BO36" s="291" t="n">
        <f aca="false">BE36*AN$52</f>
        <v>0</v>
      </c>
      <c r="BP36" s="291" t="n">
        <f aca="false">BF36*AO$52</f>
        <v>0</v>
      </c>
      <c r="BQ36" s="291" t="n">
        <f aca="false">BG36*AP$52</f>
        <v>0</v>
      </c>
      <c r="BR36" s="291" t="n">
        <f aca="false">BH36*AQ$52</f>
        <v>0</v>
      </c>
      <c r="BS36" s="291" t="n">
        <f aca="false">BI36*AR$52</f>
        <v>0</v>
      </c>
      <c r="BT36" s="291" t="n">
        <f aca="false">BJ36*AS$52</f>
        <v>0</v>
      </c>
      <c r="BU36" s="291" t="n">
        <f aca="false">BK36*AT$52</f>
        <v>0</v>
      </c>
      <c r="BV36" s="916" t="str">
        <f aca="false">IF(BL36="","",BL36*AR$45)</f>
        <v/>
      </c>
      <c r="BW36" s="915" t="n">
        <f aca="false">AT36*Pricing!F$3*IF($T$41="N",(1+$V$41),1)</f>
        <v>0</v>
      </c>
      <c r="BX36" s="291" t="n">
        <f aca="false">AU36*Pricing!G$3*IF($T$41="N",(1+$V$41),1)</f>
        <v>0</v>
      </c>
      <c r="BY36" s="291" t="n">
        <f aca="false">AV36*Pricing!H$3*IF($T$41="N",(1+$V$41),1)</f>
        <v>0</v>
      </c>
      <c r="BZ36" s="291" t="n">
        <f aca="false">AW36*Pricing!I$3*IF($T$41="N",(1+$V$41),1)</f>
        <v>0</v>
      </c>
      <c r="CA36" s="291" t="n">
        <f aca="false">AX36*Pricing!J$3*IF($T$41="N",(1+$V$41),1)</f>
        <v>0</v>
      </c>
      <c r="CB36" s="291" t="n">
        <f aca="false">AY36*Pricing!K$3*IF($T$41="N",(1+$V$41),1)</f>
        <v>0</v>
      </c>
      <c r="CC36" s="291" t="n">
        <f aca="false">AZ36*Pricing!L$3*IF($T$41="N",(1+$V$41),1)</f>
        <v>0</v>
      </c>
      <c r="CD36" s="291" t="n">
        <f aca="false">BA36*Pricing!M$3*IF($T$41="N",(1+$V$41),1)</f>
        <v>0</v>
      </c>
      <c r="CE36" s="291" t="n">
        <f aca="false">BB36*Pricing!N$3*IF($T$41="N",(1+$V$41),1)</f>
        <v>0</v>
      </c>
      <c r="CF36" s="916" t="n">
        <f aca="false">BC36*Pricing!O$3*IF($T$41="N",(1+$V$41),1)</f>
        <v>0</v>
      </c>
      <c r="CG36" s="291" t="n">
        <f aca="false">IF(E36=0,0,R36*G$53*IF($T$41="n",(1+$V$41),1))</f>
        <v>0</v>
      </c>
      <c r="CH36" s="915" t="n">
        <f aca="false">E36*H$57</f>
        <v>0</v>
      </c>
      <c r="CI36" s="291" t="n">
        <f aca="false">Z36*E$60</f>
        <v>0</v>
      </c>
      <c r="CJ36" s="291" t="str">
        <f aca="false">IF(E36="","",R36/2000*E$61)</f>
        <v/>
      </c>
      <c r="CK36" s="291" t="n">
        <f aca="false">O$62/I$57*E36</f>
        <v>0</v>
      </c>
      <c r="CL36" s="917" t="n">
        <f aca="false">O$63/I$57*E36</f>
        <v>0</v>
      </c>
      <c r="CM36" s="918" t="n">
        <f aca="false">IF(E36="",0,(W$85)/E$39*E36)</f>
        <v>0</v>
      </c>
      <c r="CN36" s="916" t="n">
        <f aca="false">IF(E36="",0,SUM(O$66:P$69)/E$39*E36)</f>
        <v>0</v>
      </c>
      <c r="CO36" s="918" t="n">
        <f aca="false">IF(E36="",0,SUM(O$71:P$76)/E$39*E36)</f>
        <v>0</v>
      </c>
      <c r="CP36" s="291" t="n">
        <f aca="false">IF(E36="",0,SUM(O$78:P$83)/E$39*E36)</f>
        <v>0</v>
      </c>
      <c r="CQ36" s="55" t="n">
        <f aca="false">O$84/I$57*E36</f>
        <v>0</v>
      </c>
      <c r="CR36" s="919" t="n">
        <f aca="false">IF(E36="",0,T36*E36)</f>
        <v>0</v>
      </c>
    </row>
    <row r="37" customFormat="false" ht="19.5" hidden="false" customHeight="true" outlineLevel="0" collapsed="false">
      <c r="B37" s="894"/>
      <c r="C37" s="566"/>
      <c r="D37" s="895"/>
      <c r="E37" s="896"/>
      <c r="F37" s="897"/>
      <c r="G37" s="897"/>
      <c r="H37" s="78"/>
      <c r="I37" s="898"/>
      <c r="J37" s="899" t="n">
        <f aca="false">G37+H37</f>
        <v>0</v>
      </c>
      <c r="K37" s="920"/>
      <c r="L37" s="900"/>
      <c r="M37" s="78"/>
      <c r="N37" s="900"/>
      <c r="O37" s="901"/>
      <c r="P37" s="78"/>
      <c r="Q37" s="898"/>
      <c r="R37" s="902" t="n">
        <f aca="false">IF(E37="",0,IF(N37=0,(L37/16*L37/16*K37*10.680159*E37*J37)+(O37*P37/16*P37/16*10.680159*E37*Q37),(L37/16*L37/16*K37*10.680159*E37*J37)+(O37*P37/16*P37/16*10.680159*E37*Q37)+(M37/16*M37/16*10.680159*((F37-3)*3.1412)*E37*J37/N37)))*(1+K$53)</f>
        <v>0</v>
      </c>
      <c r="S37" s="902" t="n">
        <f aca="false">(IF(E37="",0,(((F37*F37/576)*J37*3.1412/27)+0.5*((3.1412*(I37*I37/576)*I37/12)/27-((F37*F37/576)*I37/12*3.1412/27)))*E37)*(1+K$49))</f>
        <v>0</v>
      </c>
      <c r="T37" s="903" t="n">
        <f aca="false">(IF(E37="",0,IF(J$54="",SUM(BN37:CP37)/E37,(SUM(BW37:CP37)+BM37)/E37)))*(1+M$42+Summary!P$57)</f>
        <v>0</v>
      </c>
      <c r="U37" s="904" t="n">
        <f aca="false">IF(E37=0,0,SUM(AO37:AS37)*(1+W$39))</f>
        <v>0</v>
      </c>
      <c r="V37" s="905" t="n">
        <f aca="false">AM37+AR37</f>
        <v>0</v>
      </c>
      <c r="W37" s="906" t="n">
        <f aca="false">IF(E37=0,0,(AN37+(AL37)+(AP37-0.5)+(AK37))*(1+W$39))</f>
        <v>0</v>
      </c>
      <c r="X37" s="907" t="n">
        <f aca="false">E37</f>
        <v>0</v>
      </c>
      <c r="Y37" s="908" t="n">
        <f aca="false">R37</f>
        <v>0</v>
      </c>
      <c r="Z37" s="908" t="n">
        <f aca="false">S37</f>
        <v>0</v>
      </c>
      <c r="AA37" s="909" t="n">
        <f aca="false">E37</f>
        <v>0</v>
      </c>
      <c r="AB37" s="910" t="n">
        <f aca="false">E37*T37</f>
        <v>0</v>
      </c>
      <c r="AG37" s="0" t="str">
        <f aca="false">IF(E37="","",J37*E37)</f>
        <v/>
      </c>
      <c r="AH37" s="0" t="n">
        <f aca="false">IF(E37=0,0,(((F37+3)*0.5)*((F37+3)*0.5)*3.145/144*(1+K$49)/27)-AI37)</f>
        <v>0</v>
      </c>
      <c r="AI37" s="0" t="n">
        <f aca="false">(F37*0.5)*(F37*0.5)*3.145/144*(1+K$49)/27</f>
        <v>0</v>
      </c>
      <c r="AJ37" s="0" t="str">
        <f aca="false">IF(E37="","",R37/E37/J37)</f>
        <v/>
      </c>
      <c r="AK37" s="0" t="n">
        <f aca="false">AH37*1.4*4</f>
        <v>0</v>
      </c>
      <c r="AL37" s="0" t="n">
        <f aca="false">IF(SUM(AT37:BC37)=0,0,(SUM(BW37:CF37)/SUM(AT37:BC37)*AH37))</f>
        <v>0</v>
      </c>
      <c r="AM37" s="0" t="n">
        <f aca="false">IF(F37=$AM$50,$AM$56,IF(F37=$AN$50,$AN$56,IF(F37=AO$50,AO$56,IF(F37=AP$50,AP$56,IF(F37=AQ$50,AQ$56,IF(F37=AR$50,AR$56,IF(F37=AS$50,AS$56,IF(F37=AT$50,AT$56,0))))))))</f>
        <v>0</v>
      </c>
      <c r="AN37" s="0" t="n">
        <f aca="false">IF(BD37&gt;0,AM$54,0)+IF(BE37&gt;0,AN$54,0)+IF(BF37&gt;0,AO$54,0)+IF(BG37&gt;0,AP$54,0)+IF(BH37&gt;0,AQ$54,0)+IF(BI37&gt;0,AR$54,0)+IF(BJ37&gt;0,AS$54,0)+IF(BK37&gt;0,AT$54,0)</f>
        <v>0</v>
      </c>
      <c r="AO37" s="0" t="str">
        <f aca="false">IF(E37="","",SUM(BN37:BU37)/(E37*J37))</f>
        <v/>
      </c>
      <c r="AP37" s="0" t="n">
        <v>3</v>
      </c>
      <c r="AQ37" s="0" t="str">
        <f aca="false">IF(E37="","",R37/(E37*J37)*G$53)</f>
        <v/>
      </c>
      <c r="AR37" s="0" t="n">
        <f aca="false">IF(SUM(AT37:BC37)=0,0,SUM(BW37:CF37)/SUM(AT37:BC37)*AI37)</f>
        <v>0</v>
      </c>
      <c r="AS37" s="0" t="n">
        <f aca="false">AI37*1.3*4</f>
        <v>0</v>
      </c>
      <c r="AT37" s="0" t="n">
        <f aca="false">IF($D37=1,S37,0)</f>
        <v>0</v>
      </c>
      <c r="AU37" s="0" t="n">
        <f aca="false">IF($D37=2,S37,0)</f>
        <v>0</v>
      </c>
      <c r="AV37" s="0" t="n">
        <f aca="false">IF($D37=3,S37,0)</f>
        <v>0</v>
      </c>
      <c r="AW37" s="0" t="n">
        <f aca="false">IF($D37=4,S37,0)</f>
        <v>0</v>
      </c>
      <c r="AX37" s="0" t="n">
        <f aca="false">IF($D37=5,S37,0)</f>
        <v>0</v>
      </c>
      <c r="AY37" s="0" t="n">
        <f aca="false">IF($D37=6,S37,0)</f>
        <v>0</v>
      </c>
      <c r="AZ37" s="0" t="n">
        <f aca="false">IF($D37=7,S37,0)</f>
        <v>0</v>
      </c>
      <c r="BA37" s="0" t="n">
        <f aca="false">IF($D37=8,S37,0)</f>
        <v>0</v>
      </c>
      <c r="BB37" s="0" t="n">
        <f aca="false">IF($D37=9,S37,0)</f>
        <v>0</v>
      </c>
      <c r="BC37" s="0" t="n">
        <f aca="false">IF($D37=10,S37,0)</f>
        <v>0</v>
      </c>
      <c r="BD37" s="0" t="n">
        <f aca="false">IF(F37&gt;0,IF(F37&lt;=BD$10,E37*$J37,0),0)</f>
        <v>0</v>
      </c>
      <c r="BE37" s="0" t="n">
        <f aca="false">IF($F37&gt;BD$10,IF($F37&lt;=BE$10,$E37*$J37,0),0)</f>
        <v>0</v>
      </c>
      <c r="BF37" s="0" t="n">
        <f aca="false">IF($F37&gt;BE$10,IF($F37&lt;=BF$10,$E37*$J37,0),0)</f>
        <v>0</v>
      </c>
      <c r="BG37" s="0" t="n">
        <f aca="false">IF($F37&gt;BF$10,IF($F37&lt;=BG$10,$E37*$J37,0),0)</f>
        <v>0</v>
      </c>
      <c r="BH37" s="0" t="n">
        <f aca="false">IF($F37&gt;BG$10,IF($F37&lt;=BH$10,$E37*$J37,0),0)</f>
        <v>0</v>
      </c>
      <c r="BI37" s="0" t="n">
        <f aca="false">IF($F37&gt;BH$10,IF($F37&lt;=BI$10,$E37*$J37,0),0)</f>
        <v>0</v>
      </c>
      <c r="BJ37" s="0" t="n">
        <f aca="false">IF($F37&gt;BI$10,IF($F37&lt;=BJ$10,$E37*$J37,0),0)</f>
        <v>0</v>
      </c>
      <c r="BK37" s="0" t="n">
        <f aca="false">IF($F37&gt;BJ$10,IF($F37&lt;=BK$10,$E37*$J37,0),0)</f>
        <v>0</v>
      </c>
      <c r="BL37" s="0" t="str">
        <f aca="false">IF(I37="","",I37*E37)</f>
        <v/>
      </c>
      <c r="BM37" s="911" t="n">
        <f aca="false">IF(SUM(BN37:BV37)="","",SUM(BN37:BV37)/SUM(BN$39:BV$39))*J$54</f>
        <v>0</v>
      </c>
      <c r="BN37" s="915" t="n">
        <f aca="false">BD37*AM$52</f>
        <v>0</v>
      </c>
      <c r="BO37" s="291" t="n">
        <f aca="false">BE37*AN$52</f>
        <v>0</v>
      </c>
      <c r="BP37" s="291" t="n">
        <f aca="false">BF37*AO$52</f>
        <v>0</v>
      </c>
      <c r="BQ37" s="291" t="n">
        <f aca="false">BG37*AP$52</f>
        <v>0</v>
      </c>
      <c r="BR37" s="291" t="n">
        <f aca="false">BH37*AQ$52</f>
        <v>0</v>
      </c>
      <c r="BS37" s="291" t="n">
        <f aca="false">BI37*AR$52</f>
        <v>0</v>
      </c>
      <c r="BT37" s="291" t="n">
        <f aca="false">BJ37*AS$52</f>
        <v>0</v>
      </c>
      <c r="BU37" s="291" t="n">
        <f aca="false">BK37*AT$52</f>
        <v>0</v>
      </c>
      <c r="BV37" s="916" t="str">
        <f aca="false">IF(BL37="","",BL37*AR$45)</f>
        <v/>
      </c>
      <c r="BW37" s="915" t="n">
        <f aca="false">AT37*Pricing!F$3*IF($T$41="N",(1+$V$41),1)</f>
        <v>0</v>
      </c>
      <c r="BX37" s="291" t="n">
        <f aca="false">AU37*Pricing!G$3*IF($T$41="N",(1+$V$41),1)</f>
        <v>0</v>
      </c>
      <c r="BY37" s="291" t="n">
        <f aca="false">AV37*Pricing!H$3*IF($T$41="N",(1+$V$41),1)</f>
        <v>0</v>
      </c>
      <c r="BZ37" s="291" t="n">
        <f aca="false">AW37*Pricing!I$3*IF($T$41="N",(1+$V$41),1)</f>
        <v>0</v>
      </c>
      <c r="CA37" s="291" t="n">
        <f aca="false">AX37*Pricing!J$3*IF($T$41="N",(1+$V$41),1)</f>
        <v>0</v>
      </c>
      <c r="CB37" s="291" t="n">
        <f aca="false">AY37*Pricing!K$3*IF($T$41="N",(1+$V$41),1)</f>
        <v>0</v>
      </c>
      <c r="CC37" s="291" t="n">
        <f aca="false">AZ37*Pricing!L$3*IF($T$41="N",(1+$V$41),1)</f>
        <v>0</v>
      </c>
      <c r="CD37" s="291" t="n">
        <f aca="false">BA37*Pricing!M$3*IF($T$41="N",(1+$V$41),1)</f>
        <v>0</v>
      </c>
      <c r="CE37" s="291" t="n">
        <f aca="false">BB37*Pricing!N$3*IF($T$41="N",(1+$V$41),1)</f>
        <v>0</v>
      </c>
      <c r="CF37" s="916" t="n">
        <f aca="false">BC37*Pricing!O$3*IF($T$41="N",(1+$V$41),1)</f>
        <v>0</v>
      </c>
      <c r="CG37" s="291" t="n">
        <f aca="false">IF(E37=0,0,R37*G$53*IF($T$41="n",(1+$V$41),1))</f>
        <v>0</v>
      </c>
      <c r="CH37" s="915" t="n">
        <f aca="false">E37*H$57</f>
        <v>0</v>
      </c>
      <c r="CI37" s="291" t="n">
        <f aca="false">Z37*E$60</f>
        <v>0</v>
      </c>
      <c r="CJ37" s="291" t="str">
        <f aca="false">IF(E37="","",R37/2000*E$61)</f>
        <v/>
      </c>
      <c r="CK37" s="291" t="n">
        <f aca="false">O$62/I$57*E37</f>
        <v>0</v>
      </c>
      <c r="CL37" s="917" t="n">
        <f aca="false">O$63/I$57*E37</f>
        <v>0</v>
      </c>
      <c r="CM37" s="918" t="n">
        <f aca="false">IF(E37="",0,(W$85)/E$39*E37)</f>
        <v>0</v>
      </c>
      <c r="CN37" s="916" t="n">
        <f aca="false">IF(E37="",0,SUM(O$66:P$69)/E$39*E37)</f>
        <v>0</v>
      </c>
      <c r="CO37" s="918" t="n">
        <f aca="false">IF(E37="",0,SUM(O$71:P$76)/E$39*E37)</f>
        <v>0</v>
      </c>
      <c r="CP37" s="291" t="n">
        <f aca="false">IF(E37="",0,SUM(O$78:P$83)/E$39*E37)</f>
        <v>0</v>
      </c>
      <c r="CQ37" s="55" t="n">
        <f aca="false">O$84/I$57*E37</f>
        <v>0</v>
      </c>
      <c r="CR37" s="919" t="n">
        <f aca="false">IF(E37="",0,T37*E37)</f>
        <v>0</v>
      </c>
    </row>
    <row r="38" customFormat="false" ht="19.5" hidden="false" customHeight="true" outlineLevel="0" collapsed="false">
      <c r="B38" s="894"/>
      <c r="C38" s="566"/>
      <c r="D38" s="895"/>
      <c r="E38" s="896"/>
      <c r="F38" s="897"/>
      <c r="G38" s="897"/>
      <c r="H38" s="78"/>
      <c r="I38" s="898"/>
      <c r="J38" s="899" t="n">
        <f aca="false">G38+H38</f>
        <v>0</v>
      </c>
      <c r="K38" s="920"/>
      <c r="L38" s="900"/>
      <c r="M38" s="78"/>
      <c r="N38" s="900"/>
      <c r="O38" s="901"/>
      <c r="P38" s="78"/>
      <c r="Q38" s="898"/>
      <c r="R38" s="902" t="n">
        <f aca="false">IF(E38="",0,IF(N38=0,(L38/16*L38/16*K38*10.680159*E38*J38)+(O38*P38/16*P38/16*10.680159*E38*Q38),(L38/16*L38/16*K38*10.680159*E38*J38)+(O38*P38/16*P38/16*10.680159*E38*Q38)+(M38/16*M38/16*10.680159*((F38-3)*3.1412)*E38*J38/N38)))*(1+K$53)</f>
        <v>0</v>
      </c>
      <c r="S38" s="902" t="n">
        <f aca="false">(IF(E38="",0,(((F38*F38/576)*J38*3.1412/27)+0.5*((3.1412*(I38*I38/576)*I38/12)/27-((F38*F38/576)*I38/12*3.1412/27)))*E38)*(1+K$49))</f>
        <v>0</v>
      </c>
      <c r="T38" s="921" t="n">
        <f aca="false">(IF(E38="",0,IF(J$54="",SUM(BN38:CP38)/E38,(SUM(BW38:CP38)+BM38)/E38)))*(1+M$42+Summary!P$57)</f>
        <v>0</v>
      </c>
      <c r="U38" s="922" t="n">
        <f aca="false">IF(E38=0,0,SUM(AO38:AS38)*(1+W$39))</f>
        <v>0</v>
      </c>
      <c r="V38" s="905" t="n">
        <f aca="false">AM38+AR38</f>
        <v>0</v>
      </c>
      <c r="W38" s="906" t="n">
        <f aca="false">IF(E38=0,0,(AN38+(AL38)+(AP38-0.5)+(AK38))*(1+W$39))</f>
        <v>0</v>
      </c>
      <c r="X38" s="923" t="n">
        <f aca="false">E38</f>
        <v>0</v>
      </c>
      <c r="Y38" s="924" t="n">
        <f aca="false">R38</f>
        <v>0</v>
      </c>
      <c r="Z38" s="924" t="n">
        <f aca="false">S38</f>
        <v>0</v>
      </c>
      <c r="AA38" s="925" t="n">
        <f aca="false">E38</f>
        <v>0</v>
      </c>
      <c r="AB38" s="910" t="n">
        <f aca="false">E38*T38</f>
        <v>0</v>
      </c>
      <c r="AG38" s="0" t="str">
        <f aca="false">IF(E38="","",J38*E38)</f>
        <v/>
      </c>
      <c r="AH38" s="0" t="n">
        <f aca="false">IF(E38=0,0,(((F38+3)*0.5)*((F38+3)*0.5)*3.145/144*(1+K$49)/27)-AI38)</f>
        <v>0</v>
      </c>
      <c r="AI38" s="0" t="n">
        <f aca="false">(F38*0.5)*(F38*0.5)*3.145/144*(1+K$49)/27</f>
        <v>0</v>
      </c>
      <c r="AJ38" s="0" t="str">
        <f aca="false">IF(E38="","",R38/E38/J38)</f>
        <v/>
      </c>
      <c r="AK38" s="0" t="n">
        <f aca="false">AH38*1.4*4</f>
        <v>0</v>
      </c>
      <c r="AL38" s="0" t="n">
        <f aca="false">IF(SUM(AT38:BC38)=0,0,(SUM(BW38:CF38)/SUM(AT38:BC38)*AH38))</f>
        <v>0</v>
      </c>
      <c r="AM38" s="0" t="n">
        <f aca="false">IF(F38=$AM$50,$AM$56,IF(F38=$AN$50,$AN$56,IF(F38=AO$50,AO$56,IF(F38=AP$50,AP$56,IF(F38=AQ$50,AQ$56,IF(F38=AR$50,AR$56,IF(F38=AS$50,AS$56,IF(F38=AT$50,AT$56,0))))))))</f>
        <v>0</v>
      </c>
      <c r="AN38" s="0" t="n">
        <f aca="false">IF(BD38&gt;0,AM$54,0)+IF(BE38&gt;0,AN$54,0)+IF(BF38&gt;0,AO$54,0)+IF(BG38&gt;0,AP$54,0)+IF(BH38&gt;0,AQ$54,0)+IF(BI38&gt;0,AR$54,0)+IF(BJ38&gt;0,AS$54,0)+IF(BK38&gt;0,AT$54,0)</f>
        <v>0</v>
      </c>
      <c r="AO38" s="0" t="str">
        <f aca="false">IF(E38="","",SUM(BN38:BU38)/(E38*J38))</f>
        <v/>
      </c>
      <c r="AP38" s="0" t="n">
        <v>3</v>
      </c>
      <c r="AQ38" s="0" t="str">
        <f aca="false">IF(E38="","",R38/(E38*J38)*G$53)</f>
        <v/>
      </c>
      <c r="AR38" s="0" t="n">
        <f aca="false">IF(SUM(AT38:BC38)=0,0,SUM(BW38:CF38)/SUM(AT38:BC38)*AI38)</f>
        <v>0</v>
      </c>
      <c r="AS38" s="0" t="n">
        <f aca="false">AI38*1.3*4</f>
        <v>0</v>
      </c>
      <c r="AT38" s="0" t="n">
        <f aca="false">IF($D38=1,S38,0)</f>
        <v>0</v>
      </c>
      <c r="AU38" s="0" t="n">
        <f aca="false">IF($D38=2,S38,0)</f>
        <v>0</v>
      </c>
      <c r="AV38" s="0" t="n">
        <f aca="false">IF($D38=3,S38,0)</f>
        <v>0</v>
      </c>
      <c r="AW38" s="0" t="n">
        <f aca="false">IF($D38=4,S38,0)</f>
        <v>0</v>
      </c>
      <c r="AX38" s="0" t="n">
        <f aca="false">IF($D38=5,S38,0)</f>
        <v>0</v>
      </c>
      <c r="AY38" s="0" t="n">
        <f aca="false">IF($D38=6,S38,0)</f>
        <v>0</v>
      </c>
      <c r="AZ38" s="0" t="n">
        <f aca="false">IF($D38=7,S38,0)</f>
        <v>0</v>
      </c>
      <c r="BA38" s="0" t="n">
        <f aca="false">IF($D38=8,S38,0)</f>
        <v>0</v>
      </c>
      <c r="BB38" s="0" t="n">
        <f aca="false">IF($D38=9,S38,0)</f>
        <v>0</v>
      </c>
      <c r="BC38" s="0" t="n">
        <f aca="false">IF($D38=10,S38,0)</f>
        <v>0</v>
      </c>
      <c r="BD38" s="0" t="n">
        <f aca="false">IF(F38&gt;0,IF(F38&lt;=BD$10,E38*$J38,0),0)</f>
        <v>0</v>
      </c>
      <c r="BE38" s="0" t="n">
        <f aca="false">IF($F38&gt;BD$10,IF($F38&lt;=BE$10,$E38*$J38,0),0)</f>
        <v>0</v>
      </c>
      <c r="BF38" s="0" t="n">
        <f aca="false">IF($F38&gt;BE$10,IF($F38&lt;=BF$10,$E38*$J38,0),0)</f>
        <v>0</v>
      </c>
      <c r="BG38" s="0" t="n">
        <f aca="false">IF($F38&gt;BF$10,IF($F38&lt;=BG$10,$E38*$J38,0),0)</f>
        <v>0</v>
      </c>
      <c r="BH38" s="0" t="n">
        <f aca="false">IF($F38&gt;BG$10,IF($F38&lt;=BH$10,$E38*$J38,0),0)</f>
        <v>0</v>
      </c>
      <c r="BI38" s="0" t="n">
        <f aca="false">IF($F38&gt;BH$10,IF($F38&lt;=BI$10,$E38*$J38,0),0)</f>
        <v>0</v>
      </c>
      <c r="BJ38" s="0" t="n">
        <f aca="false">IF($F38&gt;BI$10,IF($F38&lt;=BJ$10,$E38*$J38,0),0)</f>
        <v>0</v>
      </c>
      <c r="BK38" s="0" t="n">
        <f aca="false">IF($F38&gt;BJ$10,IF($F38&lt;=BK$10,$E38*$J38,0),0)</f>
        <v>0</v>
      </c>
      <c r="BL38" s="0" t="str">
        <f aca="false">IF(I38="","",I38*E38)</f>
        <v/>
      </c>
      <c r="BM38" s="926" t="n">
        <f aca="false">IF(SUM(BN38:BV38)="","",SUM(BN38:BV38)/SUM(BN$39:BV$39))*J$54</f>
        <v>0</v>
      </c>
      <c r="BN38" s="927" t="n">
        <f aca="false">BD38*AM$52</f>
        <v>0</v>
      </c>
      <c r="BO38" s="928" t="n">
        <f aca="false">BE38*AN$52</f>
        <v>0</v>
      </c>
      <c r="BP38" s="928" t="n">
        <f aca="false">BF38*AO$52</f>
        <v>0</v>
      </c>
      <c r="BQ38" s="928" t="n">
        <f aca="false">BG38*AP$52</f>
        <v>0</v>
      </c>
      <c r="BR38" s="928" t="n">
        <f aca="false">BH38*AQ$52</f>
        <v>0</v>
      </c>
      <c r="BS38" s="928" t="n">
        <f aca="false">BI38*AR$52</f>
        <v>0</v>
      </c>
      <c r="BT38" s="928" t="n">
        <f aca="false">BJ38*AS$52</f>
        <v>0</v>
      </c>
      <c r="BU38" s="928" t="n">
        <f aca="false">BK38*AT$52</f>
        <v>0</v>
      </c>
      <c r="BV38" s="929" t="str">
        <f aca="false">IF(BL38="","",BL38*AR$45)</f>
        <v/>
      </c>
      <c r="BW38" s="927" t="n">
        <f aca="false">AT38*Pricing!F$3*IF($T$41="N",(1+$V$41),1)</f>
        <v>0</v>
      </c>
      <c r="BX38" s="928" t="n">
        <f aca="false">AU38*Pricing!G$3*IF($T$41="N",(1+$V$41),1)</f>
        <v>0</v>
      </c>
      <c r="BY38" s="928" t="n">
        <f aca="false">AV38*Pricing!H$3*IF($T$41="N",(1+$V$41),1)</f>
        <v>0</v>
      </c>
      <c r="BZ38" s="928" t="n">
        <f aca="false">AW38*Pricing!I$3*IF($T$41="N",(1+$V$41),1)</f>
        <v>0</v>
      </c>
      <c r="CA38" s="928" t="n">
        <f aca="false">AX38*Pricing!J$3*IF($T$41="N",(1+$V$41),1)</f>
        <v>0</v>
      </c>
      <c r="CB38" s="928" t="n">
        <f aca="false">AY38*Pricing!K$3*IF($T$41="N",(1+$V$41),1)</f>
        <v>0</v>
      </c>
      <c r="CC38" s="928" t="n">
        <f aca="false">AZ38*Pricing!L$3*IF($T$41="N",(1+$V$41),1)</f>
        <v>0</v>
      </c>
      <c r="CD38" s="928" t="n">
        <f aca="false">BA38*Pricing!M$3*IF($T$41="N",(1+$V$41),1)</f>
        <v>0</v>
      </c>
      <c r="CE38" s="928" t="n">
        <f aca="false">BB38*Pricing!N$3*IF($T$41="N",(1+$V$41),1)</f>
        <v>0</v>
      </c>
      <c r="CF38" s="929" t="n">
        <f aca="false">BC38*Pricing!O$3*IF($T$41="N",(1+$V$41),1)</f>
        <v>0</v>
      </c>
      <c r="CG38" s="291" t="n">
        <f aca="false">IF(E38=0,0,R38*G$53*IF($T$41="n",(1+$V$41),1))</f>
        <v>0</v>
      </c>
      <c r="CH38" s="915" t="n">
        <f aca="false">E38*H$57</f>
        <v>0</v>
      </c>
      <c r="CI38" s="291" t="n">
        <f aca="false">Z38*E$60</f>
        <v>0</v>
      </c>
      <c r="CJ38" s="291" t="str">
        <f aca="false">IF(E38="","",R38/2000*E$61)</f>
        <v/>
      </c>
      <c r="CK38" s="291" t="n">
        <f aca="false">O$62/I$57*E38</f>
        <v>0</v>
      </c>
      <c r="CL38" s="917" t="n">
        <f aca="false">O$63/I$57*E38</f>
        <v>0</v>
      </c>
      <c r="CM38" s="918" t="n">
        <f aca="false">IF(E38="",0,(W$85)/E$39*E38)</f>
        <v>0</v>
      </c>
      <c r="CN38" s="916" t="n">
        <f aca="false">IF(E38="",0,SUM(O$66:P$69)/E$39*E38)</f>
        <v>0</v>
      </c>
      <c r="CO38" s="918" t="n">
        <f aca="false">IF(E38="",0,SUM(O$71:P$76)/E$39*E38)</f>
        <v>0</v>
      </c>
      <c r="CP38" s="291" t="n">
        <f aca="false">IF(E38="",0,SUM(O$78:P$83)/E$39*E38)</f>
        <v>0</v>
      </c>
      <c r="CQ38" s="55" t="n">
        <f aca="false">O$84/I$57*E38</f>
        <v>0</v>
      </c>
      <c r="CR38" s="919" t="n">
        <f aca="false">IF(E38="",0,T38*E38)</f>
        <v>0</v>
      </c>
    </row>
    <row r="39" customFormat="false" ht="24.75" hidden="false" customHeight="true" outlineLevel="0" collapsed="false">
      <c r="B39" s="930" t="s">
        <v>1258</v>
      </c>
      <c r="C39" s="592"/>
      <c r="D39" s="931"/>
      <c r="E39" s="932" t="n">
        <f aca="false">SUM(E11:E38)</f>
        <v>106</v>
      </c>
      <c r="F39" s="933" t="s">
        <v>544</v>
      </c>
      <c r="G39" s="934"/>
      <c r="H39" s="934"/>
      <c r="I39" s="935"/>
      <c r="J39" s="936" t="n">
        <f aca="false">AG39</f>
        <v>2348</v>
      </c>
      <c r="K39" s="593" t="s">
        <v>1259</v>
      </c>
      <c r="L39" s="937"/>
      <c r="M39" s="931"/>
      <c r="N39" s="937"/>
      <c r="O39" s="938"/>
      <c r="P39" s="593" t="s">
        <v>1260</v>
      </c>
      <c r="Q39" s="594"/>
      <c r="R39" s="939" t="n">
        <f aca="false">SUM(R11:R38)</f>
        <v>71736.4795908932</v>
      </c>
      <c r="S39" s="940" t="n">
        <f aca="false">SUM(S11:S38)</f>
        <v>632.699340592593</v>
      </c>
      <c r="T39" s="941"/>
      <c r="U39" s="942"/>
      <c r="V39" s="943"/>
      <c r="W39" s="944" t="n">
        <v>0.2</v>
      </c>
      <c r="AB39" s="910" t="n">
        <f aca="false">SUM(AB11:AB38)</f>
        <v>348809.432670982</v>
      </c>
      <c r="AG39" s="0" t="n">
        <f aca="false">SUM(AG11:AG38)</f>
        <v>2348</v>
      </c>
      <c r="AT39" s="0" t="n">
        <f aca="false">SUM(AT11:AT38)</f>
        <v>0</v>
      </c>
      <c r="AU39" s="0" t="n">
        <f aca="false">SUM(AU11:AU38)</f>
        <v>0</v>
      </c>
      <c r="AV39" s="0" t="n">
        <f aca="false">SUM(AV11:AV38)</f>
        <v>0</v>
      </c>
      <c r="AW39" s="0" t="n">
        <f aca="false">SUM(AW11:AW38)</f>
        <v>0</v>
      </c>
      <c r="AX39" s="0" t="n">
        <f aca="false">SUM(AX11:AX38)</f>
        <v>632.699340592593</v>
      </c>
      <c r="AY39" s="0" t="n">
        <f aca="false">SUM(AY11:AY38)</f>
        <v>0</v>
      </c>
      <c r="AZ39" s="0" t="n">
        <f aca="false">SUM(AZ11:AZ38)</f>
        <v>0</v>
      </c>
      <c r="BA39" s="0" t="n">
        <f aca="false">SUM(BA11:BA38)</f>
        <v>0</v>
      </c>
      <c r="BB39" s="0" t="n">
        <f aca="false">SUM(BB11:BB38)</f>
        <v>0</v>
      </c>
      <c r="BC39" s="0" t="n">
        <f aca="false">SUM(BC11:BC38)</f>
        <v>0</v>
      </c>
      <c r="BM39" s="945" t="n">
        <f aca="false">SUM(BM11:BM38)</f>
        <v>0</v>
      </c>
      <c r="BN39" s="927" t="n">
        <f aca="false">SUM(BN11:BN38)</f>
        <v>0</v>
      </c>
      <c r="BO39" s="928" t="n">
        <f aca="false">SUM(BO11:BO38)</f>
        <v>0</v>
      </c>
      <c r="BP39" s="928" t="n">
        <f aca="false">SUM(BP11:BP38)</f>
        <v>4512</v>
      </c>
      <c r="BQ39" s="928" t="n">
        <f aca="false">SUM(BQ11:BQ38)</f>
        <v>0</v>
      </c>
      <c r="BR39" s="928" t="n">
        <f aca="false">SUM(BR11:BR38)</f>
        <v>33120</v>
      </c>
      <c r="BS39" s="928" t="n">
        <f aca="false">SUM(BS11:BS38)</f>
        <v>20400</v>
      </c>
      <c r="BT39" s="928" t="n">
        <f aca="false">SUM(BT11:BT38)</f>
        <v>0</v>
      </c>
      <c r="BU39" s="928" t="n">
        <f aca="false">SUM(BU11:BU38)</f>
        <v>0</v>
      </c>
      <c r="BV39" s="929" t="n">
        <f aca="false">SUM(BV11:BV38)</f>
        <v>0</v>
      </c>
      <c r="BW39" s="927" t="n">
        <f aca="false">SUM(BW11:BW38)</f>
        <v>0</v>
      </c>
      <c r="BX39" s="928" t="n">
        <f aca="false">SUM(BX11:BX38)</f>
        <v>0</v>
      </c>
      <c r="BY39" s="928" t="n">
        <f aca="false">SUM(BY11:BY38)</f>
        <v>0</v>
      </c>
      <c r="BZ39" s="928" t="n">
        <f aca="false">SUM(BZ11:BZ38)</f>
        <v>0</v>
      </c>
      <c r="CA39" s="928" t="n">
        <f aca="false">SUM(CA11:CA38)</f>
        <v>99310.0702477648</v>
      </c>
      <c r="CB39" s="928" t="n">
        <f aca="false">SUM(CB11:CB38)</f>
        <v>0</v>
      </c>
      <c r="CC39" s="928" t="n">
        <f aca="false">SUM(CC11:CC38)</f>
        <v>0</v>
      </c>
      <c r="CD39" s="928" t="n">
        <f aca="false">SUM(CD11:CD38)</f>
        <v>0</v>
      </c>
      <c r="CE39" s="928" t="n">
        <f aca="false">SUM(CE11:CE38)</f>
        <v>0</v>
      </c>
      <c r="CF39" s="929" t="n">
        <f aca="false">SUM(CF11:CF38)</f>
        <v>0</v>
      </c>
      <c r="CG39" s="946" t="n">
        <f aca="false">SUM(CG11:CG38)</f>
        <v>58241.0543678564</v>
      </c>
      <c r="CH39" s="927" t="n">
        <f aca="false">SUM(CH11:CH38)</f>
        <v>15900</v>
      </c>
      <c r="CI39" s="928" t="n">
        <f aca="false">SUM(CI11:CI38)</f>
        <v>0</v>
      </c>
      <c r="CJ39" s="928" t="n">
        <f aca="false">SUM(CJ11:CJ38)</f>
        <v>16140.707907951</v>
      </c>
      <c r="CK39" s="928" t="n">
        <f aca="false">SUM(CK11:CK38)</f>
        <v>0</v>
      </c>
      <c r="CL39" s="929" t="n">
        <f aca="false">SUM(CL11:CL38)</f>
        <v>0</v>
      </c>
      <c r="CM39" s="947" t="n">
        <f aca="false">SUM(CM11:CM38)</f>
        <v>11270.2957214452</v>
      </c>
      <c r="CN39" s="929" t="n">
        <f aca="false">SUM(CN11:CN38)</f>
        <v>10875</v>
      </c>
      <c r="CO39" s="947" t="n">
        <f aca="false">SUM(CO11:CO38)</f>
        <v>7238.0625</v>
      </c>
      <c r="CP39" s="946" t="n">
        <f aca="false">SUM(CP11:CP38)</f>
        <v>18594.0233829333</v>
      </c>
      <c r="CQ39" s="946" t="n">
        <f aca="false">SUM(CQ11:CQ38)</f>
        <v>0</v>
      </c>
      <c r="CR39" s="948" t="n">
        <f aca="false">SUM(CR11:CR38)</f>
        <v>348809.432670982</v>
      </c>
    </row>
    <row r="40" customFormat="false" ht="16.5" hidden="false" customHeight="true" outlineLevel="0" collapsed="false">
      <c r="B40" s="949"/>
      <c r="C40" s="950"/>
      <c r="D40" s="951" t="s">
        <v>1261</v>
      </c>
      <c r="E40" s="952" t="n">
        <v>0</v>
      </c>
      <c r="F40" s="952"/>
      <c r="G40" s="950"/>
      <c r="H40" s="953" t="n">
        <f aca="false">959820-H42</f>
        <v>906611.781456969</v>
      </c>
      <c r="I40" s="953"/>
      <c r="J40" s="950"/>
      <c r="K40" s="950"/>
      <c r="L40" s="954"/>
      <c r="M40" s="955"/>
      <c r="N40" s="955"/>
      <c r="O40" s="955"/>
      <c r="P40" s="950"/>
      <c r="Q40" s="950"/>
      <c r="R40" s="950"/>
      <c r="S40" s="950"/>
      <c r="T40" s="956" t="n">
        <f aca="false">IF(J54=0,SUM(BN39:CQ39),SUM(BW39:CQ39)+O54)</f>
        <v>295601.214127951</v>
      </c>
      <c r="U40" s="950"/>
      <c r="V40" s="950"/>
      <c r="W40" s="957"/>
      <c r="AB40" s="910" t="n">
        <f aca="false">AB39-E42</f>
        <v>0</v>
      </c>
      <c r="BM40" s="911" t="n">
        <f aca="false">SUM(BN40:CR40)</f>
        <v>644410.646798933</v>
      </c>
      <c r="BR40" s="373" t="n">
        <f aca="false">SUM(BN39:BV39)</f>
        <v>58032</v>
      </c>
      <c r="BY40" s="373" t="n">
        <f aca="false">SUM(BW39:CF39)</f>
        <v>99310.0702477648</v>
      </c>
      <c r="CG40" s="373" t="n">
        <f aca="false">O53</f>
        <v>58241.0543678564</v>
      </c>
      <c r="CH40" s="374" t="n">
        <f aca="false">SUM(O57:P59)</f>
        <v>15900</v>
      </c>
      <c r="CI40" s="373" t="n">
        <f aca="false">O60</f>
        <v>0</v>
      </c>
      <c r="CJ40" s="373" t="n">
        <f aca="false">O61</f>
        <v>16140.707907951</v>
      </c>
      <c r="CK40" s="373" t="n">
        <f aca="false">O62</f>
        <v>0</v>
      </c>
      <c r="CL40" s="373" t="n">
        <f aca="false">O63</f>
        <v>0</v>
      </c>
      <c r="CM40" s="373" t="n">
        <f aca="false">W85</f>
        <v>11270.2957214452</v>
      </c>
      <c r="CN40" s="373" t="n">
        <f aca="false">M67+O69</f>
        <v>10875</v>
      </c>
      <c r="CO40" s="373" t="n">
        <f aca="false">M73</f>
        <v>7238.0625</v>
      </c>
      <c r="CP40" s="373" t="n">
        <f aca="false">SUM(O78:P83)</f>
        <v>18594.0233829333</v>
      </c>
      <c r="CQ40" s="373" t="n">
        <f aca="false">O84</f>
        <v>0</v>
      </c>
      <c r="CR40" s="373" t="n">
        <f aca="false">E42</f>
        <v>348809.432670982</v>
      </c>
    </row>
    <row r="41" customFormat="false" ht="16.5" hidden="false" customHeight="true" outlineLevel="0" collapsed="false">
      <c r="B41" s="958" t="s">
        <v>1262</v>
      </c>
      <c r="C41" s="958"/>
      <c r="D41" s="958"/>
      <c r="E41" s="958" t="s">
        <v>982</v>
      </c>
      <c r="F41" s="958"/>
      <c r="G41" s="958" t="s">
        <v>1263</v>
      </c>
      <c r="H41" s="958"/>
      <c r="I41" s="958"/>
      <c r="J41" s="959" t="s">
        <v>1264</v>
      </c>
      <c r="K41" s="959"/>
      <c r="L41" s="959"/>
      <c r="M41" s="960" t="s">
        <v>1265</v>
      </c>
      <c r="N41" s="960"/>
      <c r="O41" s="960"/>
      <c r="P41" s="961"/>
      <c r="Q41" s="599" t="s">
        <v>1266</v>
      </c>
      <c r="S41" s="16" t="s">
        <v>1267</v>
      </c>
      <c r="T41" s="962" t="str">
        <f aca="false">Summary!P62</f>
        <v>N</v>
      </c>
      <c r="U41" s="833" t="s">
        <v>1268</v>
      </c>
      <c r="V41" s="963" t="n">
        <f aca="false">Summary!R62</f>
        <v>0.0825</v>
      </c>
      <c r="W41" s="964"/>
      <c r="BM41" s="373" t="n">
        <f aca="false">T42</f>
        <v>295601.214127951</v>
      </c>
      <c r="BY41" s="373"/>
      <c r="BZ41" s="373"/>
      <c r="CA41" s="373"/>
      <c r="CB41" s="373"/>
      <c r="CC41" s="373"/>
      <c r="CD41" s="373"/>
      <c r="CE41" s="373"/>
      <c r="CF41" s="373"/>
      <c r="CG41" s="373"/>
      <c r="CH41" s="373" t="n">
        <f aca="false">CH39-CH40</f>
        <v>0</v>
      </c>
      <c r="CI41" s="373" t="n">
        <f aca="false">CI39-CI40</f>
        <v>0</v>
      </c>
      <c r="CJ41" s="373" t="n">
        <f aca="false">CJ39-CJ40</f>
        <v>0</v>
      </c>
      <c r="CK41" s="373" t="n">
        <f aca="false">CK39-CK40</f>
        <v>0</v>
      </c>
      <c r="CL41" s="373" t="n">
        <f aca="false">CL39-CL40</f>
        <v>0</v>
      </c>
      <c r="CM41" s="373" t="n">
        <f aca="false">CM39-CM40</f>
        <v>0</v>
      </c>
      <c r="CN41" s="373" t="n">
        <f aca="false">CN39-CN40</f>
        <v>0</v>
      </c>
      <c r="CO41" s="373" t="n">
        <f aca="false">CO39-CO40</f>
        <v>0</v>
      </c>
      <c r="CP41" s="373" t="n">
        <f aca="false">CP39-CP40</f>
        <v>0</v>
      </c>
      <c r="CQ41" s="373" t="n">
        <f aca="false">CQ39-CQ40</f>
        <v>0</v>
      </c>
      <c r="CR41" s="373" t="n">
        <f aca="false">CR39-CR40</f>
        <v>0</v>
      </c>
    </row>
    <row r="42" customFormat="false" ht="16.5" hidden="false" customHeight="true" outlineLevel="0" collapsed="false">
      <c r="B42" s="965" t="s">
        <v>1269</v>
      </c>
      <c r="C42" s="966" t="n">
        <f aca="false">IF(J39=0,0,E42/J39)</f>
        <v>148.555976435682</v>
      </c>
      <c r="D42" s="966"/>
      <c r="E42" s="967" t="n">
        <f aca="false">(T42-O84)*((1+M42))</f>
        <v>348809.432670982</v>
      </c>
      <c r="F42" s="967"/>
      <c r="G42" s="968" t="n">
        <f aca="false">IF(H42=0,0,H42/E42)</f>
        <v>0.152542372881356</v>
      </c>
      <c r="H42" s="736" t="n">
        <f aca="false">(E42-T42)</f>
        <v>53208.2185430311</v>
      </c>
      <c r="I42" s="736"/>
      <c r="J42" s="967" t="n">
        <f aca="false">IF(C42=0,0,T42/E39)</f>
        <v>2788.69069932029</v>
      </c>
      <c r="K42" s="967"/>
      <c r="L42" s="967"/>
      <c r="M42" s="969" t="n">
        <f aca="false">Summary!P59</f>
        <v>0.18</v>
      </c>
      <c r="N42" s="969"/>
      <c r="O42" s="969"/>
      <c r="P42" s="961"/>
      <c r="Q42" s="970" t="s">
        <v>980</v>
      </c>
      <c r="T42" s="971" t="n">
        <f aca="false">SUM(O49:P55)+SUM(O57:P63)+SUM(O66:P68)+SUM(O71:P76)+SUM(O78:P84)+W85+SUM(L57:M63)+O69</f>
        <v>295601.214127951</v>
      </c>
      <c r="U42" s="971"/>
      <c r="W42" s="964"/>
    </row>
    <row r="43" customFormat="false" ht="16.5" hidden="false" customHeight="true" outlineLevel="0" collapsed="false">
      <c r="B43" s="972"/>
      <c r="C43" s="973"/>
      <c r="D43" s="974" t="str">
        <f aca="false">IF(ROUND(E43,0)=0,"BINGO!!",IF(ROUND(E43,0)&lt;0,"To Low","T0 High"))</f>
        <v>T0 High</v>
      </c>
      <c r="E43" s="975" t="n">
        <f aca="false">E42-E40</f>
        <v>348809.432670982</v>
      </c>
      <c r="F43" s="975"/>
      <c r="G43" s="973"/>
      <c r="H43" s="973"/>
      <c r="I43" s="976" t="s">
        <v>1270</v>
      </c>
      <c r="J43" s="977"/>
      <c r="K43" s="978"/>
      <c r="L43" s="978"/>
      <c r="M43" s="979"/>
      <c r="N43" s="980" t="n">
        <f aca="false">IF(K43&gt;0,(K43-E42)/(1+M42),0)</f>
        <v>0</v>
      </c>
      <c r="O43" s="980"/>
      <c r="P43" s="981"/>
      <c r="Q43" s="982"/>
      <c r="R43" s="973"/>
      <c r="S43" s="973"/>
      <c r="T43" s="983" t="n">
        <f aca="false">E93</f>
        <v>295601.214127951</v>
      </c>
      <c r="U43" s="983"/>
      <c r="V43" s="973"/>
      <c r="W43" s="984"/>
    </row>
    <row r="44" customFormat="false" ht="16.5" hidden="false" customHeight="true" outlineLevel="0" collapsed="false">
      <c r="B44" s="829" t="s">
        <v>1271</v>
      </c>
      <c r="C44" s="985" t="s">
        <v>826</v>
      </c>
      <c r="D44" s="986"/>
      <c r="E44" s="986"/>
      <c r="F44" s="987"/>
      <c r="G44" s="987"/>
      <c r="H44" s="988"/>
      <c r="I44" s="988"/>
      <c r="J44" s="989"/>
      <c r="K44" s="989"/>
      <c r="L44" s="988"/>
      <c r="M44" s="988"/>
      <c r="N44" s="990" t="s">
        <v>721</v>
      </c>
      <c r="O44" s="990"/>
      <c r="P44" s="991" t="s">
        <v>1272</v>
      </c>
      <c r="Q44" s="992"/>
      <c r="R44" s="654"/>
      <c r="S44" s="654"/>
      <c r="T44" s="654"/>
      <c r="U44" s="993" t="n">
        <f aca="false">T42-T43</f>
        <v>0</v>
      </c>
      <c r="V44" s="654"/>
      <c r="W44" s="654"/>
    </row>
    <row r="45" customFormat="false" ht="16.5" hidden="false" customHeight="true" outlineLevel="0" collapsed="false">
      <c r="B45" s="654"/>
      <c r="C45" s="994" t="s">
        <v>1273</v>
      </c>
      <c r="D45" s="995"/>
      <c r="E45" s="995"/>
      <c r="F45" s="996"/>
      <c r="G45" s="997"/>
      <c r="H45" s="996"/>
      <c r="I45" s="996"/>
      <c r="J45" s="998"/>
      <c r="K45" s="998"/>
      <c r="L45" s="999"/>
      <c r="M45" s="996"/>
      <c r="N45" s="1000" t="s">
        <v>1274</v>
      </c>
      <c r="O45" s="1001"/>
      <c r="P45" s="1002"/>
      <c r="Q45" s="1003"/>
      <c r="R45" s="1004" t="s">
        <v>1275</v>
      </c>
      <c r="S45" s="1005" t="n">
        <f aca="false">IF(L53=0,0,L53/(S39*13231.64))</f>
        <v>0.00856897749218362</v>
      </c>
      <c r="T45" s="654"/>
      <c r="U45" s="654"/>
      <c r="V45" s="654"/>
      <c r="W45" s="654"/>
      <c r="AN45" s="0" t="s">
        <v>545</v>
      </c>
      <c r="AR45" s="1006" t="n">
        <f aca="false">Pricing!E10</f>
        <v>4.5</v>
      </c>
      <c r="AS45" s="0" t="n">
        <f aca="false">SUM(BN39:BV39)</f>
        <v>58032</v>
      </c>
    </row>
    <row r="46" customFormat="false" ht="16.5" hidden="false" customHeight="true" outlineLevel="0" collapsed="false">
      <c r="B46" s="654"/>
      <c r="C46" s="994"/>
      <c r="D46" s="997"/>
      <c r="E46" s="997"/>
      <c r="F46" s="1007"/>
      <c r="G46" s="997"/>
      <c r="H46" s="996"/>
      <c r="I46" s="996"/>
      <c r="J46" s="996"/>
      <c r="K46" s="996"/>
      <c r="L46" s="996"/>
      <c r="M46" s="996"/>
      <c r="N46" s="1008" t="s">
        <v>1276</v>
      </c>
      <c r="O46" s="1009" t="n">
        <f aca="false">L53</f>
        <v>71736.4795908932</v>
      </c>
      <c r="P46" s="1010" t="n">
        <f aca="false">O53</f>
        <v>58241.0543678564</v>
      </c>
      <c r="Q46" s="1003"/>
      <c r="R46" s="654"/>
      <c r="S46" s="1011" t="str">
        <f aca="false">IF(S45&gt;0.92,"GOOD","BAD")</f>
        <v>BAD</v>
      </c>
      <c r="T46" s="654"/>
      <c r="U46" s="654"/>
      <c r="V46" s="654"/>
      <c r="W46" s="654"/>
      <c r="AN46" s="0" t="s">
        <v>1277</v>
      </c>
      <c r="AR46" s="0" t="n">
        <f aca="false">SUM(BL11:BL38)</f>
        <v>0</v>
      </c>
    </row>
    <row r="47" customFormat="false" ht="16.5" hidden="false" customHeight="true" outlineLevel="0" collapsed="false">
      <c r="B47" s="654"/>
      <c r="C47" s="994"/>
      <c r="D47" s="1007"/>
      <c r="E47" s="1012"/>
      <c r="F47" s="1007"/>
      <c r="G47" s="1007"/>
      <c r="H47" s="1007"/>
      <c r="I47" s="998"/>
      <c r="J47" s="1007"/>
      <c r="K47" s="998"/>
      <c r="L47" s="1013"/>
      <c r="M47" s="998"/>
      <c r="N47" s="1007"/>
      <c r="O47" s="998"/>
      <c r="P47" s="1014"/>
      <c r="Q47" s="1015"/>
      <c r="R47" s="1015" t="s">
        <v>1278</v>
      </c>
      <c r="S47" s="1016" t="n">
        <f aca="false">IF(E42=0,0,(W85-W75-W74-W73)/E42)</f>
        <v>0.0116146019522384</v>
      </c>
      <c r="T47" s="654"/>
      <c r="U47" s="654" t="n">
        <f aca="false">IF(E42=0,"",1)</f>
        <v>1</v>
      </c>
      <c r="V47" s="656"/>
      <c r="W47" s="654"/>
      <c r="AN47" s="0" t="s">
        <v>1279</v>
      </c>
      <c r="AR47" s="0" t="n">
        <f aca="false">AR45*AR46</f>
        <v>0</v>
      </c>
    </row>
    <row r="48" customFormat="false" ht="34.5" hidden="false" customHeight="true" outlineLevel="0" collapsed="false">
      <c r="B48" s="1017" t="s">
        <v>1280</v>
      </c>
      <c r="C48" s="1018" t="s">
        <v>1281</v>
      </c>
      <c r="D48" s="1019"/>
      <c r="E48" s="1019"/>
      <c r="F48" s="1019"/>
      <c r="G48" s="1019"/>
      <c r="H48" s="1019"/>
      <c r="I48" s="1019"/>
      <c r="J48" s="1019"/>
      <c r="K48" s="1019" t="s">
        <v>1282</v>
      </c>
      <c r="L48" s="1020" t="str">
        <f aca="false">IF(SUM(L49:L52)=S39,"Good","Missing Concrete!!!")</f>
        <v>Good</v>
      </c>
      <c r="M48" s="1019"/>
      <c r="N48" s="1019"/>
      <c r="O48" s="1019"/>
      <c r="P48" s="1021"/>
      <c r="Q48" s="1022" t="s">
        <v>1283</v>
      </c>
      <c r="R48" s="1022"/>
      <c r="S48" s="879" t="s">
        <v>835</v>
      </c>
      <c r="T48" s="1023"/>
      <c r="U48" s="1024" t="s">
        <v>518</v>
      </c>
      <c r="V48" s="1023"/>
      <c r="W48" s="1025"/>
      <c r="X48" s="1026" t="s">
        <v>1284</v>
      </c>
    </row>
    <row r="49" customFormat="false" ht="18.75" hidden="false" customHeight="true" outlineLevel="0" collapsed="false">
      <c r="B49" s="1027" t="n">
        <v>1</v>
      </c>
      <c r="C49" s="1028" t="str">
        <f aca="false">IF(B49=1,Pricing!F$2,IF(B49=2,Pricing!G$2,IF(B49=3,Pricing!H$2,IF(B49=4,Pricing!I$2,IF(B49=5,Pricing!J$2,IF(B49=6,Pricing!K$2,IF(B49=7,Pricing!L$2,IF(B49=8,Pricing!M$2,IF(B49=9,Pricing!N$2,IF(B49=10,Pricing!O$2,0))))))))))</f>
        <v>3,000 PSI 5sk /Ash and Air</v>
      </c>
      <c r="G49" s="1029" t="n">
        <f aca="false">IF(B49=1,Pricing!F$3,IF(B49=2,Pricing!G$3,IF(B49=3,Pricing!H$3,IF(B49=4,Pricing!I$3,IF(B49=5,Pricing!J$3,IF(B49=6,Pricing!K$3,IF(B49=7,Pricing!L$3,IF(B49=8,Pricing!M$3,IF(B49=9,Pricing!N$3,IF(B49=10,Pricing!O$3,0))))))))))</f>
        <v>134</v>
      </c>
      <c r="H49" s="16" t="s">
        <v>1285</v>
      </c>
      <c r="I49" s="1030"/>
      <c r="J49" s="1030"/>
      <c r="K49" s="1031" t="n">
        <v>0.06</v>
      </c>
      <c r="L49" s="1032" t="n">
        <f aca="false">IF(B49=1,AT$39,IF(B49=2,AU$39,IF(B49=3,AV$39,IF(B49=4,AW$39,IF(B49=5,AX$39,IF(B49=6,AY$39,IF(B49=7,AZ$39,IF(B49=8,BA$39,IF(B49=9,BB$39,IF(B49=10,BC$39))))))))))</f>
        <v>0</v>
      </c>
      <c r="M49" s="1033"/>
      <c r="N49" s="1034" t="s">
        <v>1286</v>
      </c>
      <c r="O49" s="1035" t="n">
        <f aca="false">L49*G49*(IF(T$41="N",1+V$41,1))</f>
        <v>0</v>
      </c>
      <c r="P49" s="1035"/>
      <c r="Q49" s="1036" t="s">
        <v>526</v>
      </c>
      <c r="R49" s="1036"/>
      <c r="S49" s="1037" t="n">
        <f aca="false">E39*8</f>
        <v>848</v>
      </c>
      <c r="T49" s="16" t="s">
        <v>1259</v>
      </c>
      <c r="U49" s="922" t="n">
        <f aca="false">Pricing!Q4</f>
        <v>0.859375</v>
      </c>
      <c r="V49" s="78" t="s">
        <v>527</v>
      </c>
      <c r="W49" s="1038" t="n">
        <f aca="false">IF(T$41="Y",S49*U49,S49*U49*(1+V$41))</f>
        <v>788.871875</v>
      </c>
      <c r="X49" s="1039" t="s">
        <v>1069</v>
      </c>
      <c r="AM49" s="0" t="str">
        <f aca="false">Pricing!A11</f>
        <v>DIA. PIERS IN INCHES</v>
      </c>
    </row>
    <row r="50" customFormat="false" ht="18.75" hidden="false" customHeight="true" outlineLevel="0" collapsed="false">
      <c r="B50" s="1040" t="n">
        <v>2</v>
      </c>
      <c r="C50" s="599" t="str">
        <f aca="false">IF(B50=1,Pricing!F$2,IF(B50=2,Pricing!G$2,IF(B50=3,Pricing!H$2,IF(B50=4,Pricing!I$2,IF(B50=5,Pricing!J$2,IF(B50=6,Pricing!K$2,IF(B50=7,Pricing!L$2,IF(B50=8,Pricing!M$2,IF(B50=9,Pricing!N$2,IF(B50=10,Pricing!O$2,0))))))))))</f>
        <v>3,000 PSI / Ash no Air</v>
      </c>
      <c r="G50" s="1029" t="n">
        <f aca="false">IF(B50=1,Pricing!F$3,IF(B50=2,Pricing!G$3,IF(B50=3,Pricing!H$3,IF(B50=4,Pricing!I$3,IF(B50=5,Pricing!J$3,IF(B50=6,Pricing!K$3,IF(B50=7,Pricing!L$3,IF(B50=8,Pricing!M$3,IF(B50=9,Pricing!N$3,IF(B50=10,Pricing!O$3,0))))))))))</f>
        <v>145</v>
      </c>
      <c r="H50" s="16" t="s">
        <v>1285</v>
      </c>
      <c r="I50" s="1030"/>
      <c r="J50" s="1030"/>
      <c r="K50" s="1031"/>
      <c r="L50" s="1032" t="n">
        <f aca="false">IF(B50=1,AT$39,IF(B50=2,AU$39,IF(B50=3,AV$39,IF(B50=4,AW$39,IF(B50=5,AX$39,IF(B50=6,AY$39,IF(B50=7,AZ$39,IF(B50=8,BA$39,IF(B50=9,BB$39,IF(B50=10,BC$39))))))))))</f>
        <v>0</v>
      </c>
      <c r="M50" s="1033"/>
      <c r="N50" s="15" t="s">
        <v>1286</v>
      </c>
      <c r="O50" s="1035" t="n">
        <f aca="false">L50*G50*(IF(T$41="N",1+V$41,1))</f>
        <v>0</v>
      </c>
      <c r="P50" s="1035"/>
      <c r="Q50" s="1041" t="s">
        <v>534</v>
      </c>
      <c r="R50" s="1041"/>
      <c r="S50" s="1037" t="n">
        <f aca="false">S49</f>
        <v>848</v>
      </c>
      <c r="T50" s="16" t="s">
        <v>1259</v>
      </c>
      <c r="U50" s="922" t="n">
        <f aca="false">Pricing!Q5</f>
        <v>1.4453125</v>
      </c>
      <c r="V50" s="78" t="s">
        <v>527</v>
      </c>
      <c r="W50" s="1038" t="n">
        <f aca="false">IF(T$41="Y",S50*U50,S50*U50*(1+V$41))</f>
        <v>1326.7390625</v>
      </c>
      <c r="X50" s="1039" t="s">
        <v>1069</v>
      </c>
      <c r="AM50" s="0" t="n">
        <f aca="false">Pricing!A12</f>
        <v>16</v>
      </c>
      <c r="AN50" s="0" t="n">
        <f aca="false">Pricing!B12</f>
        <v>18</v>
      </c>
      <c r="AO50" s="0" t="n">
        <f aca="false">Pricing!C12</f>
        <v>24</v>
      </c>
      <c r="AP50" s="0" t="n">
        <f aca="false">Pricing!D12</f>
        <v>30</v>
      </c>
      <c r="AQ50" s="0" t="n">
        <f aca="false">Pricing!E12</f>
        <v>36</v>
      </c>
      <c r="AR50" s="0" t="n">
        <f aca="false">Pricing!F12</f>
        <v>42</v>
      </c>
      <c r="AS50" s="0" t="n">
        <f aca="false">Pricing!G12</f>
        <v>48</v>
      </c>
      <c r="AT50" s="0" t="n">
        <f aca="false">Pricing!H12</f>
        <v>54</v>
      </c>
    </row>
    <row r="51" customFormat="false" ht="18.75" hidden="false" customHeight="true" outlineLevel="0" collapsed="false">
      <c r="B51" s="1040" t="n">
        <v>5</v>
      </c>
      <c r="C51" s="599" t="str">
        <f aca="false">IF(B51=1,Pricing!F$2,IF(B51=2,Pricing!G$2,IF(B51=3,Pricing!H$2,IF(B51=4,Pricing!I$2,IF(B51=5,Pricing!J$2,IF(B51=6,Pricing!K$2,IF(B51=7,Pricing!L$2,IF(B51=8,Pricing!M$2,IF(B51=9,Pricing!N$2,IF(B51=10,Pricing!O$2,0))))))))))</f>
        <v>4,000 PSI /Ash and Air</v>
      </c>
      <c r="G51" s="1029" t="n">
        <f aca="false">IF(B51=1,Pricing!F$3,IF(B51=2,Pricing!G$3,IF(B51=3,Pricing!H$3,IF(B51=4,Pricing!I$3,IF(B51=5,Pricing!J$3,IF(B51=6,Pricing!K$3,IF(B51=7,Pricing!L$3,IF(B51=8,Pricing!M$3,IF(B51=9,Pricing!N$3,IF(B51=10,Pricing!O$3,0))))))))))</f>
        <v>145</v>
      </c>
      <c r="H51" s="16" t="s">
        <v>1285</v>
      </c>
      <c r="I51" s="1030"/>
      <c r="J51" s="1030"/>
      <c r="K51" s="1031"/>
      <c r="L51" s="1032" t="n">
        <f aca="false">IF(B51=1,AT$39,IF(B51=2,AU$39,IF(B51=3,AV$39,IF(B51=4,AW$39,IF(B51=5,AX$39,IF(B51=6,AY$39,IF(B51=7,AZ$39,IF(B51=8,BA$39,IF(B51=9,BB$39,IF(B51=10,BC$39))))))))))</f>
        <v>632.699340592593</v>
      </c>
      <c r="M51" s="1042"/>
      <c r="N51" s="15" t="s">
        <v>1286</v>
      </c>
      <c r="O51" s="1035" t="n">
        <f aca="false">L51*G51*(IF(T$41="N",1+V$41,1))</f>
        <v>99310.0702477648</v>
      </c>
      <c r="P51" s="1035"/>
      <c r="Q51" s="1041"/>
      <c r="R51" s="15"/>
      <c r="S51" s="1037"/>
      <c r="U51" s="922"/>
      <c r="V51" s="78"/>
      <c r="W51" s="1038"/>
      <c r="X51" s="1039"/>
    </row>
    <row r="52" customFormat="false" ht="18.75" hidden="false" customHeight="true" outlineLevel="0" collapsed="false">
      <c r="B52" s="1043" t="n">
        <v>6</v>
      </c>
      <c r="C52" s="1044" t="str">
        <f aca="false">IF(B52=1,Pricing!F$2,IF(B52=2,Pricing!G$2,IF(B52=3,Pricing!H$2,IF(B52=4,Pricing!I$2,IF(B52=5,Pricing!J$2,IF(B52=6,Pricing!K$2,IF(B52=7,Pricing!L$2,IF(B52=8,Pricing!M$2,IF(B52=9,Pricing!N$2,IF(B52=10,Pricing!O$2,0))))))))))</f>
        <v>4,000 PSI /Ash no Air</v>
      </c>
      <c r="D52" s="397"/>
      <c r="E52" s="397"/>
      <c r="F52" s="397"/>
      <c r="G52" s="1045" t="n">
        <f aca="false">IF(B52=1,Pricing!F$3,IF(B52=2,Pricing!G$3,IF(B52=3,Pricing!H$3,IF(B52=4,Pricing!I$3,IF(B52=5,Pricing!J$3,IF(B52=6,Pricing!K$3,IF(B52=7,Pricing!L$3,IF(B52=8,Pricing!M$3,IF(B52=9,Pricing!N$3,IF(B52=10,Pricing!O$3,0))))))))))</f>
        <v>145</v>
      </c>
      <c r="H52" s="397" t="s">
        <v>1285</v>
      </c>
      <c r="I52" s="1030"/>
      <c r="J52" s="1030"/>
      <c r="K52" s="1031"/>
      <c r="L52" s="1032" t="n">
        <f aca="false">IF(B52=1,AT$39,IF(B52=2,AU$39,IF(B52=3,AV$39,IF(B52=4,AW$39,IF(B52=5,AX$39,IF(B52=6,AY$39,IF(B52=7,AZ$39,IF(B52=8,BA$39,IF(B52=9,BB$39,IF(B52=10,BC$39))))))))))</f>
        <v>0</v>
      </c>
      <c r="M52" s="1033"/>
      <c r="N52" s="1046" t="s">
        <v>1286</v>
      </c>
      <c r="O52" s="1035" t="n">
        <f aca="false">L52*G52*(IF(T$41="N",1+V$41,1))</f>
        <v>0</v>
      </c>
      <c r="P52" s="1035"/>
      <c r="Q52" s="1041" t="s">
        <v>536</v>
      </c>
      <c r="R52" s="1041"/>
      <c r="S52" s="1037" t="n">
        <f aca="false">CB75+AQ68</f>
        <v>0</v>
      </c>
      <c r="T52" s="16" t="s">
        <v>1259</v>
      </c>
      <c r="U52" s="922" t="n">
        <f aca="false">Pricing!Q6</f>
        <v>1.171875</v>
      </c>
      <c r="V52" s="78" t="s">
        <v>527</v>
      </c>
      <c r="W52" s="1038" t="n">
        <f aca="false">IF(T$41="Y",S52*U52,S52*U52*(1+V$41))</f>
        <v>0</v>
      </c>
      <c r="X52" s="1039" t="s">
        <v>1069</v>
      </c>
      <c r="AM52" s="0" t="n">
        <f aca="false">Pricing!A13</f>
        <v>10</v>
      </c>
      <c r="AN52" s="0" t="n">
        <f aca="false">Pricing!B13</f>
        <v>8</v>
      </c>
      <c r="AO52" s="0" t="n">
        <f aca="false">Pricing!C13</f>
        <v>8</v>
      </c>
      <c r="AP52" s="0" t="n">
        <f aca="false">Pricing!D13</f>
        <v>24</v>
      </c>
      <c r="AQ52" s="0" t="n">
        <f aca="false">Pricing!E13</f>
        <v>30</v>
      </c>
      <c r="AR52" s="0" t="n">
        <f aca="false">Pricing!F13</f>
        <v>30</v>
      </c>
      <c r="AS52" s="0" t="n">
        <f aca="false">Pricing!G13</f>
        <v>35</v>
      </c>
      <c r="AT52" s="0" t="n">
        <f aca="false">Pricing!H13</f>
        <v>36</v>
      </c>
    </row>
    <row r="53" customFormat="false" ht="18.75" hidden="false" customHeight="true" outlineLevel="0" collapsed="false">
      <c r="B53" s="1047" t="str">
        <f aca="false">Summary!V60</f>
        <v>Import</v>
      </c>
      <c r="C53" s="15" t="s">
        <v>1287</v>
      </c>
      <c r="G53" s="1048" t="n">
        <v>0.75</v>
      </c>
      <c r="H53" s="16" t="s">
        <v>555</v>
      </c>
      <c r="I53" s="1049"/>
      <c r="J53" s="1049"/>
      <c r="K53" s="1050" t="n">
        <v>0.1</v>
      </c>
      <c r="L53" s="1051" t="n">
        <f aca="false">R39</f>
        <v>71736.4795908932</v>
      </c>
      <c r="M53" s="1051"/>
      <c r="N53" s="16" t="s">
        <v>1288</v>
      </c>
      <c r="O53" s="1052" t="n">
        <f aca="false">G53*L53*(IF(T$41="N",1+V$41,1))</f>
        <v>58241.0543678564</v>
      </c>
      <c r="P53" s="1052"/>
      <c r="Q53" s="599" t="s">
        <v>538</v>
      </c>
      <c r="S53" s="1037" t="n">
        <v>0</v>
      </c>
      <c r="T53" s="16" t="s">
        <v>1259</v>
      </c>
      <c r="U53" s="922" t="n">
        <f aca="false">Pricing!Q7</f>
        <v>1.09375</v>
      </c>
      <c r="V53" s="78" t="s">
        <v>527</v>
      </c>
      <c r="W53" s="1038" t="n">
        <f aca="false">IF(T$41="Y",S53*U53,S53*U53*(1+V$41))</f>
        <v>0</v>
      </c>
      <c r="X53" s="1039" t="s">
        <v>1069</v>
      </c>
      <c r="AM53" s="0" t="str">
        <f aca="false">Pricing!A14</f>
        <v>CASING</v>
      </c>
    </row>
    <row r="54" customFormat="false" ht="18.75" hidden="false" customHeight="true" outlineLevel="0" collapsed="false">
      <c r="B54" s="1047"/>
      <c r="C54" s="1044" t="s">
        <v>1289</v>
      </c>
      <c r="D54" s="397"/>
      <c r="E54" s="397" t="s">
        <v>1290</v>
      </c>
      <c r="F54" s="1053"/>
      <c r="G54" s="1053"/>
      <c r="H54" s="1053"/>
      <c r="I54" s="397" t="s">
        <v>1291</v>
      </c>
      <c r="J54" s="1054"/>
      <c r="K54" s="1054"/>
      <c r="L54" s="1055"/>
      <c r="M54" s="1055"/>
      <c r="N54" s="397"/>
      <c r="O54" s="1056" t="n">
        <f aca="false">IF(J54="",AS45,J54)</f>
        <v>58032</v>
      </c>
      <c r="P54" s="1056"/>
      <c r="Q54" s="599" t="s">
        <v>1292</v>
      </c>
      <c r="S54" s="1037" t="n">
        <v>0</v>
      </c>
      <c r="T54" s="16" t="s">
        <v>1293</v>
      </c>
      <c r="U54" s="922" t="n">
        <f aca="false">Pricing!Q9</f>
        <v>20</v>
      </c>
      <c r="V54" s="16" t="s">
        <v>541</v>
      </c>
      <c r="W54" s="1038" t="n">
        <f aca="false">IF(T$41="Y",S54*U54,S54*U54*(1+V$41))</f>
        <v>0</v>
      </c>
      <c r="X54" s="1039" t="s">
        <v>1069</v>
      </c>
      <c r="AM54" s="0" t="n">
        <f aca="false">Pricing!A15</f>
        <v>6</v>
      </c>
      <c r="AN54" s="0" t="n">
        <f aca="false">Pricing!B15</f>
        <v>24</v>
      </c>
      <c r="AO54" s="0" t="n">
        <f aca="false">Pricing!C15</f>
        <v>30</v>
      </c>
      <c r="AP54" s="0" t="n">
        <f aca="false">Pricing!D15</f>
        <v>35</v>
      </c>
      <c r="AQ54" s="0" t="n">
        <f aca="false">Pricing!E15</f>
        <v>45</v>
      </c>
      <c r="AR54" s="0" t="n">
        <f aca="false">Pricing!F15</f>
        <v>60</v>
      </c>
      <c r="AS54" s="0" t="n">
        <f aca="false">Pricing!G15</f>
        <v>80</v>
      </c>
      <c r="AT54" s="0" t="n">
        <f aca="false">Pricing!H15</f>
        <v>100</v>
      </c>
    </row>
    <row r="55" customFormat="false" ht="18.75" hidden="false" customHeight="true" outlineLevel="0" collapsed="false">
      <c r="B55" s="1057"/>
      <c r="C55" s="1058" t="s">
        <v>1294</v>
      </c>
      <c r="D55" s="1058"/>
      <c r="E55" s="1058"/>
      <c r="F55" s="1058"/>
      <c r="G55" s="1059" t="n">
        <v>25</v>
      </c>
      <c r="H55" s="1058" t="s">
        <v>1285</v>
      </c>
      <c r="I55" s="1058"/>
      <c r="J55" s="1058"/>
      <c r="K55" s="1060" t="n">
        <v>0</v>
      </c>
      <c r="L55" s="1061"/>
      <c r="M55" s="1061"/>
      <c r="N55" s="1058" t="s">
        <v>998</v>
      </c>
      <c r="O55" s="736" t="n">
        <f aca="false">G55*L55*(IF(T$41="N",1+V$41,1))</f>
        <v>0</v>
      </c>
      <c r="P55" s="736"/>
      <c r="Q55" s="599" t="s">
        <v>540</v>
      </c>
      <c r="S55" s="1037" t="n">
        <f aca="false">CU56*0.35</f>
        <v>0</v>
      </c>
      <c r="T55" s="16" t="s">
        <v>1293</v>
      </c>
      <c r="U55" s="922" t="n">
        <f aca="false">Pricing!Q8</f>
        <v>74.75</v>
      </c>
      <c r="V55" s="16" t="s">
        <v>541</v>
      </c>
      <c r="W55" s="1038" t="n">
        <f aca="false">IF(T$41="Y",S55*U55,S55*U55*(1+V$41))</f>
        <v>0</v>
      </c>
      <c r="X55" s="1039" t="s">
        <v>1069</v>
      </c>
      <c r="AM55" s="0" t="str">
        <f aca="false">Pricing!A16</f>
        <v>DEDUCT</v>
      </c>
    </row>
    <row r="56" customFormat="false" ht="18.75" hidden="false" customHeight="true" outlineLevel="0" collapsed="false">
      <c r="B56" s="1062" t="s">
        <v>1295</v>
      </c>
      <c r="C56" s="1063"/>
      <c r="D56" s="1064" t="s">
        <v>1296</v>
      </c>
      <c r="E56" s="1063"/>
      <c r="F56" s="1063"/>
      <c r="G56" s="1063"/>
      <c r="H56" s="1063"/>
      <c r="I56" s="1063"/>
      <c r="J56" s="1063"/>
      <c r="K56" s="1063"/>
      <c r="L56" s="1065" t="s">
        <v>973</v>
      </c>
      <c r="M56" s="1065"/>
      <c r="N56" s="1065" t="s">
        <v>1297</v>
      </c>
      <c r="O56" s="1065"/>
      <c r="P56" s="1065"/>
      <c r="Q56" s="599" t="s">
        <v>1298</v>
      </c>
      <c r="S56" s="1037" t="n">
        <f aca="false">ROUNDUP(E39/12.5,0)</f>
        <v>9</v>
      </c>
      <c r="T56" s="16" t="s">
        <v>1299</v>
      </c>
      <c r="U56" s="922" t="n">
        <f aca="false">Pricing!Q15</f>
        <v>24</v>
      </c>
      <c r="V56" s="16" t="s">
        <v>1300</v>
      </c>
      <c r="W56" s="1038" t="n">
        <f aca="false">IF(T$41="Y",S56*U56,S56*U56*(1+V$41))</f>
        <v>233.82</v>
      </c>
      <c r="X56" s="1039" t="s">
        <v>1069</v>
      </c>
      <c r="AM56" s="0" t="n">
        <f aca="false">Pricing!A17</f>
        <v>0</v>
      </c>
      <c r="AN56" s="0" t="n">
        <f aca="false">Pricing!B17</f>
        <v>0</v>
      </c>
      <c r="AO56" s="0" t="n">
        <f aca="false">Pricing!C17</f>
        <v>0</v>
      </c>
      <c r="AP56" s="0" t="n">
        <f aca="false">Pricing!D17</f>
        <v>0</v>
      </c>
      <c r="AQ56" s="0" t="n">
        <f aca="false">Pricing!E17</f>
        <v>0</v>
      </c>
      <c r="AR56" s="0" t="n">
        <f aca="false">Pricing!F17</f>
        <v>0</v>
      </c>
      <c r="AS56" s="0" t="n">
        <f aca="false">Pricing!G17</f>
        <v>0</v>
      </c>
      <c r="AT56" s="0" t="n">
        <f aca="false">Pricing!H17</f>
        <v>0</v>
      </c>
    </row>
    <row r="57" customFormat="false" ht="18.75" hidden="false" customHeight="true" outlineLevel="0" collapsed="false">
      <c r="B57" s="836" t="s">
        <v>1301</v>
      </c>
      <c r="C57" s="695"/>
      <c r="D57" s="1066" t="s">
        <v>1302</v>
      </c>
      <c r="E57" s="1067" t="n">
        <v>50</v>
      </c>
      <c r="F57" s="1067"/>
      <c r="G57" s="1068" t="s">
        <v>595</v>
      </c>
      <c r="H57" s="1069" t="n">
        <f aca="false">SUM(E57:F59)</f>
        <v>150</v>
      </c>
      <c r="I57" s="1070" t="n">
        <f aca="false">E39</f>
        <v>106</v>
      </c>
      <c r="J57" s="1070"/>
      <c r="K57" s="1071" t="s">
        <v>544</v>
      </c>
      <c r="L57" s="1072" t="n">
        <f aca="false">IF(D57="N",E57*I57,0)</f>
        <v>0</v>
      </c>
      <c r="M57" s="1072"/>
      <c r="N57" s="175"/>
      <c r="O57" s="1073" t="n">
        <f aca="false">IF(D57="y",I$57*E57,0)</f>
        <v>5300</v>
      </c>
      <c r="P57" s="1073"/>
      <c r="Q57" s="599" t="s">
        <v>561</v>
      </c>
      <c r="S57" s="1037" t="n">
        <f aca="false">ROUNDUP(R39/15000,0)</f>
        <v>5</v>
      </c>
      <c r="T57" s="16" t="s">
        <v>1303</v>
      </c>
      <c r="U57" s="922" t="n">
        <f aca="false">Pricing!Q16</f>
        <v>68.2</v>
      </c>
      <c r="V57" s="16" t="s">
        <v>562</v>
      </c>
      <c r="W57" s="1038" t="n">
        <f aca="false">IF(T$41="Y",S57*U57,S57*U57*(1+V$41))</f>
        <v>369.1325</v>
      </c>
      <c r="X57" s="1039" t="s">
        <v>1069</v>
      </c>
    </row>
    <row r="58" customFormat="false" ht="18.75" hidden="false" customHeight="true" outlineLevel="0" collapsed="false">
      <c r="B58" s="1041" t="s">
        <v>1304</v>
      </c>
      <c r="C58" s="405"/>
      <c r="D58" s="1074" t="s">
        <v>1302</v>
      </c>
      <c r="E58" s="1075" t="n">
        <v>50</v>
      </c>
      <c r="F58" s="1075"/>
      <c r="G58" s="16" t="s">
        <v>595</v>
      </c>
      <c r="H58" s="1069"/>
      <c r="I58" s="1070"/>
      <c r="J58" s="1070"/>
      <c r="K58" s="1071"/>
      <c r="L58" s="1076" t="n">
        <f aca="false">IF(D58="N",E58*I58,0)</f>
        <v>0</v>
      </c>
      <c r="M58" s="1076"/>
      <c r="O58" s="1077" t="n">
        <f aca="false">IF(D58="y",I$57*E58,0)</f>
        <v>5300</v>
      </c>
      <c r="P58" s="1077"/>
      <c r="Q58" s="599" t="s">
        <v>563</v>
      </c>
      <c r="S58" s="1037" t="n">
        <f aca="false">ROUNDUP(E39/1600,0)</f>
        <v>1</v>
      </c>
      <c r="T58" s="16" t="s">
        <v>1303</v>
      </c>
      <c r="U58" s="922" t="n">
        <f aca="false">Pricing!Q17</f>
        <v>68.2</v>
      </c>
      <c r="V58" s="16" t="s">
        <v>562</v>
      </c>
      <c r="W58" s="1038" t="n">
        <f aca="false">IF(T$41="Y",S58*U58,S58*U58*(1+V$41))</f>
        <v>73.8265</v>
      </c>
      <c r="X58" s="1039" t="s">
        <v>1069</v>
      </c>
    </row>
    <row r="59" customFormat="false" ht="18.75" hidden="false" customHeight="true" outlineLevel="0" collapsed="false">
      <c r="B59" s="1041" t="s">
        <v>1305</v>
      </c>
      <c r="C59" s="405"/>
      <c r="D59" s="1074" t="s">
        <v>1302</v>
      </c>
      <c r="E59" s="1075" t="n">
        <v>50</v>
      </c>
      <c r="F59" s="1075"/>
      <c r="G59" s="16" t="s">
        <v>595</v>
      </c>
      <c r="H59" s="1069"/>
      <c r="I59" s="1070"/>
      <c r="J59" s="1070"/>
      <c r="K59" s="1071"/>
      <c r="L59" s="1076" t="n">
        <f aca="false">IF(D59="N",E59*I59,0)</f>
        <v>0</v>
      </c>
      <c r="M59" s="1076"/>
      <c r="O59" s="1077" t="n">
        <f aca="false">IF(D59="y",I$57*E59,0)</f>
        <v>5300</v>
      </c>
      <c r="P59" s="1077"/>
      <c r="Q59" s="599" t="s">
        <v>564</v>
      </c>
      <c r="S59" s="1037" t="n">
        <f aca="false">S58</f>
        <v>1</v>
      </c>
      <c r="T59" s="16" t="s">
        <v>1303</v>
      </c>
      <c r="U59" s="922" t="n">
        <f aca="false">Pricing!Q18</f>
        <v>68.2</v>
      </c>
      <c r="V59" s="16" t="s">
        <v>562</v>
      </c>
      <c r="W59" s="1038" t="n">
        <f aca="false">IF(T$41="Y",S59*U59,S59*U59*(1+V$41))</f>
        <v>73.8265</v>
      </c>
      <c r="X59" s="1039" t="s">
        <v>1069</v>
      </c>
    </row>
    <row r="60" customFormat="false" ht="18.75" hidden="false" customHeight="true" outlineLevel="0" collapsed="false">
      <c r="B60" s="1041" t="s">
        <v>1224</v>
      </c>
      <c r="C60" s="405"/>
      <c r="D60" s="1074" t="s">
        <v>1306</v>
      </c>
      <c r="E60" s="1075" t="n">
        <v>0</v>
      </c>
      <c r="F60" s="1075"/>
      <c r="G60" s="16" t="s">
        <v>1285</v>
      </c>
      <c r="H60" s="1078"/>
      <c r="I60" s="1079" t="n">
        <f aca="false">SUM(L49:M52)</f>
        <v>632.699340592593</v>
      </c>
      <c r="J60" s="1079"/>
      <c r="K60" s="1080" t="s">
        <v>998</v>
      </c>
      <c r="L60" s="1076" t="n">
        <f aca="false">IF(D60="N",E60*I60,0)</f>
        <v>0</v>
      </c>
      <c r="M60" s="1076"/>
      <c r="O60" s="1077" t="n">
        <f aca="false">IF(D60="y",I$60*E60,0)</f>
        <v>0</v>
      </c>
      <c r="P60" s="1077"/>
      <c r="Q60" s="599"/>
      <c r="S60" s="1037"/>
      <c r="U60" s="922"/>
      <c r="W60" s="1038" t="n">
        <f aca="false">IF(T$41="Y",S60*U60,S60*U60*(1+V$41))</f>
        <v>0</v>
      </c>
      <c r="X60" s="1039" t="s">
        <v>1069</v>
      </c>
    </row>
    <row r="61" customFormat="false" ht="18.75" hidden="false" customHeight="true" outlineLevel="0" collapsed="false">
      <c r="B61" s="1041" t="s">
        <v>1307</v>
      </c>
      <c r="C61" s="405"/>
      <c r="D61" s="1074" t="s">
        <v>1302</v>
      </c>
      <c r="E61" s="1075" t="n">
        <v>450</v>
      </c>
      <c r="F61" s="1075"/>
      <c r="G61" s="16" t="s">
        <v>1308</v>
      </c>
      <c r="I61" s="1042" t="n">
        <f aca="false">R39/2000</f>
        <v>35.8682397954466</v>
      </c>
      <c r="J61" s="1042"/>
      <c r="K61" s="16" t="s">
        <v>1309</v>
      </c>
      <c r="L61" s="1076" t="n">
        <f aca="false">IF(D61="N",E61*I61,0)</f>
        <v>0</v>
      </c>
      <c r="M61" s="1076"/>
      <c r="O61" s="1077" t="n">
        <f aca="false">IF(D61="y",I61*E61,0)</f>
        <v>16140.707907951</v>
      </c>
      <c r="P61" s="1077"/>
      <c r="Q61" s="599" t="s">
        <v>1310</v>
      </c>
      <c r="S61" s="1037" t="n">
        <v>0</v>
      </c>
      <c r="T61" s="16" t="s">
        <v>1303</v>
      </c>
      <c r="U61" s="922" t="n">
        <f aca="false">Pricing!Q34</f>
        <v>45.24</v>
      </c>
      <c r="V61" s="16" t="s">
        <v>562</v>
      </c>
      <c r="W61" s="1038" t="n">
        <f aca="false">IF(T$41="Y",S61*U61,S61*U61*(1+V$41))</f>
        <v>0</v>
      </c>
      <c r="X61" s="1039" t="s">
        <v>1069</v>
      </c>
    </row>
    <row r="62" customFormat="false" ht="18.75" hidden="false" customHeight="true" outlineLevel="0" collapsed="false">
      <c r="B62" s="1041" t="s">
        <v>1311</v>
      </c>
      <c r="C62" s="405"/>
      <c r="D62" s="1074" t="s">
        <v>1302</v>
      </c>
      <c r="E62" s="1075" t="n">
        <v>60</v>
      </c>
      <c r="F62" s="1075"/>
      <c r="G62" s="16" t="s">
        <v>1312</v>
      </c>
      <c r="I62" s="1042"/>
      <c r="J62" s="1042"/>
      <c r="K62" s="16" t="s">
        <v>1312</v>
      </c>
      <c r="L62" s="1076" t="n">
        <f aca="false">IF(D62="N",E62*I62,0)</f>
        <v>0</v>
      </c>
      <c r="M62" s="1076"/>
      <c r="O62" s="1077" t="n">
        <f aca="false">IF(D62="y",I62*E62,0)</f>
        <v>0</v>
      </c>
      <c r="P62" s="1077"/>
      <c r="Q62" s="599" t="s">
        <v>571</v>
      </c>
      <c r="S62" s="1037" t="n">
        <f aca="false">CA81+AP84</f>
        <v>0</v>
      </c>
      <c r="T62" s="16" t="s">
        <v>1259</v>
      </c>
      <c r="U62" s="922" t="n">
        <f aca="false">Pricing!Q19</f>
        <v>0.95</v>
      </c>
      <c r="V62" s="78" t="s">
        <v>527</v>
      </c>
      <c r="W62" s="1038" t="n">
        <f aca="false">IF(T$41="Y",S62*U62,S62*U62*(1+V$41))</f>
        <v>0</v>
      </c>
      <c r="X62" s="1039" t="s">
        <v>1069</v>
      </c>
    </row>
    <row r="63" customFormat="false" ht="18.75" hidden="false" customHeight="true" outlineLevel="0" collapsed="false">
      <c r="B63" s="1081" t="s">
        <v>1313</v>
      </c>
      <c r="C63" s="1082"/>
      <c r="D63" s="1083" t="s">
        <v>1302</v>
      </c>
      <c r="E63" s="1084" t="n">
        <v>0</v>
      </c>
      <c r="F63" s="1084"/>
      <c r="G63" s="397"/>
      <c r="H63" s="397"/>
      <c r="I63" s="1055"/>
      <c r="J63" s="1055"/>
      <c r="K63" s="397"/>
      <c r="L63" s="1085"/>
      <c r="M63" s="1085"/>
      <c r="N63" s="265"/>
      <c r="O63" s="1086" t="n">
        <f aca="false">IF(D63="y",E63,0)</f>
        <v>0</v>
      </c>
      <c r="P63" s="1086"/>
      <c r="Q63" s="599"/>
      <c r="S63" s="1037"/>
      <c r="U63" s="922"/>
      <c r="V63" s="78"/>
      <c r="W63" s="1038" t="n">
        <f aca="false">IF(T$41="Y",S63*U63,S63*U63*(1+V$41))</f>
        <v>0</v>
      </c>
      <c r="X63" s="1039" t="s">
        <v>1069</v>
      </c>
    </row>
    <row r="64" customFormat="false" ht="18.75" hidden="false" customHeight="true" outlineLevel="0" collapsed="false">
      <c r="B64" s="1087" t="s">
        <v>1314</v>
      </c>
      <c r="C64" s="1088"/>
      <c r="D64" s="1089"/>
      <c r="E64" s="1090" t="n">
        <f aca="false">IF(I57=0,0,(O64-O63)/I57)</f>
        <v>302.270829320292</v>
      </c>
      <c r="F64" s="1090"/>
      <c r="G64" s="855"/>
      <c r="H64" s="1058"/>
      <c r="I64" s="1088" t="s">
        <v>980</v>
      </c>
      <c r="J64" s="1088"/>
      <c r="K64" s="1088"/>
      <c r="L64" s="1091" t="n">
        <f aca="false">SUM(L57:M62)</f>
        <v>0</v>
      </c>
      <c r="M64" s="1091"/>
      <c r="N64" s="246"/>
      <c r="O64" s="1092" t="n">
        <f aca="false">SUM(O57:P63)</f>
        <v>32040.707907951</v>
      </c>
      <c r="P64" s="1092"/>
      <c r="Q64" s="599" t="s">
        <v>576</v>
      </c>
      <c r="S64" s="1037" t="n">
        <v>0</v>
      </c>
      <c r="T64" s="16" t="s">
        <v>1259</v>
      </c>
      <c r="U64" s="922" t="n">
        <f aca="false">Pricing!Q20</f>
        <v>0.25</v>
      </c>
      <c r="V64" s="78" t="s">
        <v>527</v>
      </c>
      <c r="W64" s="1038" t="n">
        <f aca="false">IF(T$41="Y",S64*U64,S64*U64*(1+V$41))</f>
        <v>0</v>
      </c>
      <c r="X64" s="1039" t="s">
        <v>1069</v>
      </c>
    </row>
    <row r="65" customFormat="false" ht="18.75" hidden="false" customHeight="true" outlineLevel="0" collapsed="false">
      <c r="B65" s="1093" t="s">
        <v>1315</v>
      </c>
      <c r="C65" s="1094"/>
      <c r="D65" s="1094"/>
      <c r="E65" s="1094"/>
      <c r="F65" s="1094"/>
      <c r="G65" s="1094"/>
      <c r="H65" s="1094"/>
      <c r="I65" s="1094"/>
      <c r="J65" s="1094"/>
      <c r="K65" s="1094"/>
      <c r="L65" s="1094"/>
      <c r="M65" s="1094"/>
      <c r="N65" s="1094"/>
      <c r="O65" s="1094"/>
      <c r="P65" s="1095"/>
      <c r="Q65" s="599" t="s">
        <v>551</v>
      </c>
      <c r="S65" s="1037" t="n">
        <v>0</v>
      </c>
      <c r="T65" s="16" t="s">
        <v>1259</v>
      </c>
      <c r="U65" s="922" t="n">
        <f aca="false">Pricing!Q12</f>
        <v>1.063125</v>
      </c>
      <c r="V65" s="16" t="s">
        <v>562</v>
      </c>
      <c r="W65" s="1038" t="n">
        <f aca="false">IF(T$41="Y",S65*U65,S65*U65*(1+V$41))</f>
        <v>0</v>
      </c>
      <c r="X65" s="1039" t="s">
        <v>1069</v>
      </c>
    </row>
    <row r="66" customFormat="false" ht="18.75" hidden="false" customHeight="true" outlineLevel="0" collapsed="false">
      <c r="B66" s="1096" t="s">
        <v>1316</v>
      </c>
      <c r="C66" s="1068"/>
      <c r="D66" s="1097"/>
      <c r="E66" s="1098" t="n">
        <v>15</v>
      </c>
      <c r="F66" s="1068" t="s">
        <v>1317</v>
      </c>
      <c r="G66" s="1099" t="n">
        <v>425</v>
      </c>
      <c r="H66" s="1100" t="s">
        <v>620</v>
      </c>
      <c r="I66" s="1068"/>
      <c r="J66" s="1068"/>
      <c r="K66" s="1068"/>
      <c r="L66" s="1068"/>
      <c r="M66" s="1101" t="n">
        <f aca="false">IF(E42=0,0,M67/E42)</f>
        <v>0.0254436926548699</v>
      </c>
      <c r="N66" s="1101"/>
      <c r="O66" s="1102" t="n">
        <f aca="false">E66*G66</f>
        <v>6375</v>
      </c>
      <c r="P66" s="1102"/>
      <c r="Q66" s="599" t="s">
        <v>552</v>
      </c>
      <c r="S66" s="1037" t="n">
        <v>0</v>
      </c>
      <c r="T66" s="16" t="s">
        <v>1259</v>
      </c>
      <c r="U66" s="922" t="n">
        <f aca="false">Pricing!Q13</f>
        <v>1.494375</v>
      </c>
      <c r="V66" s="78" t="s">
        <v>527</v>
      </c>
      <c r="W66" s="1038" t="n">
        <f aca="false">IF(T$41="Y",S66*U66,S66*U66*(1+V$41))</f>
        <v>0</v>
      </c>
      <c r="X66" s="1039" t="s">
        <v>1069</v>
      </c>
    </row>
    <row r="67" customFormat="false" ht="18.75" hidden="false" customHeight="true" outlineLevel="0" collapsed="false">
      <c r="B67" s="1041" t="s">
        <v>1318</v>
      </c>
      <c r="E67" s="1103" t="n">
        <v>10</v>
      </c>
      <c r="F67" s="1104" t="s">
        <v>1317</v>
      </c>
      <c r="G67" s="1105" t="n">
        <v>250</v>
      </c>
      <c r="H67" s="781" t="s">
        <v>620</v>
      </c>
      <c r="M67" s="1106" t="n">
        <f aca="false">SUM(O66:P68)</f>
        <v>8875</v>
      </c>
      <c r="N67" s="1106"/>
      <c r="O67" s="1038" t="n">
        <f aca="false">E67*G67</f>
        <v>2500</v>
      </c>
      <c r="P67" s="1038"/>
      <c r="Q67" s="599" t="s">
        <v>1319</v>
      </c>
      <c r="S67" s="1037" t="n">
        <v>0</v>
      </c>
      <c r="T67" s="16" t="s">
        <v>1259</v>
      </c>
      <c r="U67" s="922" t="n">
        <f aca="false">Pricing!Q10</f>
        <v>0.70875</v>
      </c>
      <c r="V67" s="78" t="s">
        <v>527</v>
      </c>
      <c r="W67" s="1038" t="n">
        <f aca="false">IF(T$41="Y",S67*U67,S67*U67*(1+V$41))</f>
        <v>0</v>
      </c>
      <c r="X67" s="1039" t="s">
        <v>1069</v>
      </c>
    </row>
    <row r="68" customFormat="false" ht="18.75" hidden="false" customHeight="true" outlineLevel="0" collapsed="false">
      <c r="B68" s="1041" t="s">
        <v>1320</v>
      </c>
      <c r="E68" s="1103" t="n">
        <v>0</v>
      </c>
      <c r="F68" s="16" t="s">
        <v>1317</v>
      </c>
      <c r="G68" s="1105" t="n">
        <v>100</v>
      </c>
      <c r="H68" s="16" t="s">
        <v>620</v>
      </c>
      <c r="O68" s="1038" t="n">
        <f aca="false">E68*G68</f>
        <v>0</v>
      </c>
      <c r="P68" s="1038"/>
      <c r="Q68" s="1044"/>
      <c r="R68" s="397"/>
      <c r="S68" s="1107"/>
      <c r="T68" s="397"/>
      <c r="U68" s="1108"/>
      <c r="V68" s="397"/>
      <c r="W68" s="1056" t="n">
        <f aca="false">IF(T$41="Y",S68*U68,S68*U68*(1+V$41))</f>
        <v>0</v>
      </c>
      <c r="X68" s="1039" t="s">
        <v>1069</v>
      </c>
    </row>
    <row r="69" customFormat="false" ht="18.75" hidden="false" customHeight="true" outlineLevel="0" collapsed="false">
      <c r="B69" s="1109" t="s">
        <v>1321</v>
      </c>
      <c r="C69" s="1058"/>
      <c r="D69" s="1058"/>
      <c r="E69" s="1110" t="n">
        <f aca="false">E67</f>
        <v>10</v>
      </c>
      <c r="F69" s="1111" t="s">
        <v>1317</v>
      </c>
      <c r="G69" s="1112" t="n">
        <v>200</v>
      </c>
      <c r="H69" s="1058"/>
      <c r="I69" s="1058"/>
      <c r="J69" s="1058"/>
      <c r="K69" s="1058"/>
      <c r="L69" s="1058"/>
      <c r="M69" s="1113" t="n">
        <f aca="false">IF(E42=0,0,O69/E42)</f>
        <v>0.00573378989405519</v>
      </c>
      <c r="N69" s="1113"/>
      <c r="O69" s="1038" t="n">
        <f aca="false">E69*G69</f>
        <v>2000</v>
      </c>
      <c r="P69" s="1038"/>
      <c r="Q69" s="599" t="s">
        <v>1322</v>
      </c>
      <c r="S69" s="1037" t="n">
        <f aca="false">SUM(L49:L52)/300</f>
        <v>2.10899780197531</v>
      </c>
      <c r="T69" s="16" t="s">
        <v>1323</v>
      </c>
      <c r="U69" s="922" t="n">
        <v>250</v>
      </c>
      <c r="V69" s="16" t="s">
        <v>1324</v>
      </c>
      <c r="W69" s="1038" t="n">
        <f aca="false">IF(T$41="Y",S69*U69,S69*U69*(1+V$41))</f>
        <v>570.747530159568</v>
      </c>
      <c r="X69" s="1039"/>
    </row>
    <row r="70" customFormat="false" ht="18.75" hidden="false" customHeight="true" outlineLevel="0" collapsed="false">
      <c r="B70" s="1093" t="s">
        <v>1325</v>
      </c>
      <c r="C70" s="1094"/>
      <c r="D70" s="1094"/>
      <c r="E70" s="1094"/>
      <c r="F70" s="1094"/>
      <c r="G70" s="1094"/>
      <c r="H70" s="1094"/>
      <c r="I70" s="1094"/>
      <c r="J70" s="1094"/>
      <c r="K70" s="1094"/>
      <c r="L70" s="1094"/>
      <c r="M70" s="1094"/>
      <c r="N70" s="1094"/>
      <c r="O70" s="1094"/>
      <c r="P70" s="1095"/>
      <c r="Q70" s="599" t="s">
        <v>1105</v>
      </c>
      <c r="S70" s="1037"/>
      <c r="U70" s="922"/>
      <c r="W70" s="1038" t="n">
        <f aca="false">IF(T$41="Y",S70*U70,S70*U70*(1+V$41))</f>
        <v>0</v>
      </c>
      <c r="X70" s="1039" t="s">
        <v>1078</v>
      </c>
    </row>
    <row r="71" customFormat="false" ht="18.75" hidden="false" customHeight="true" outlineLevel="0" collapsed="false">
      <c r="B71" s="836" t="s">
        <v>1326</v>
      </c>
      <c r="C71" s="1068"/>
      <c r="D71" s="1114"/>
      <c r="E71" s="1115"/>
      <c r="F71" s="1068" t="s">
        <v>1327</v>
      </c>
      <c r="G71" s="1099" t="n">
        <f aca="false">Pricing!D32</f>
        <v>425</v>
      </c>
      <c r="H71" s="1068" t="s">
        <v>620</v>
      </c>
      <c r="I71" s="1068"/>
      <c r="J71" s="1068"/>
      <c r="K71" s="1068"/>
      <c r="L71" s="1068"/>
      <c r="M71" s="1068"/>
      <c r="N71" s="1068"/>
      <c r="O71" s="1102" t="n">
        <f aca="false">(IF(AND(E71&gt;0,E71&lt;4),E71*G71,0)+IF(AND(E71&gt;3,E71&lt;8),G71*3,0)+IF(AND(E71&gt;7,E71&lt;21),E71/7*G71*3,0)+IF(AND(E71&gt;20,E71&lt;30),G71*9,0)+IF(E71&gt;29,E71/30*G71*9,0))*(1+V$41+J$73)</f>
        <v>0</v>
      </c>
      <c r="P71" s="1102"/>
      <c r="Q71" s="599" t="s">
        <v>1105</v>
      </c>
      <c r="S71" s="1037"/>
      <c r="U71" s="922"/>
      <c r="W71" s="1038" t="n">
        <f aca="false">IF(T$41="Y",S71*U71,S71*U71*(1+V$41))</f>
        <v>0</v>
      </c>
      <c r="X71" s="1039" t="s">
        <v>1328</v>
      </c>
    </row>
    <row r="72" customFormat="false" ht="18.75" hidden="false" customHeight="true" outlineLevel="0" collapsed="false">
      <c r="B72" s="599" t="s">
        <v>622</v>
      </c>
      <c r="D72" s="1116"/>
      <c r="E72" s="1115"/>
      <c r="F72" s="16" t="s">
        <v>1327</v>
      </c>
      <c r="G72" s="1117" t="n">
        <f aca="false">Pricing!D33</f>
        <v>475</v>
      </c>
      <c r="H72" s="16" t="s">
        <v>620</v>
      </c>
      <c r="J72" s="1118" t="s">
        <v>1329</v>
      </c>
      <c r="K72" s="1118"/>
      <c r="M72" s="1119" t="n">
        <f aca="false">IF(E42=0,0,M73/E42)</f>
        <v>0.0207507648075199</v>
      </c>
      <c r="N72" s="1119"/>
      <c r="O72" s="1038" t="n">
        <f aca="false">(IF(AND(E72&gt;0,E72&lt;4),E72*G72,0)+IF(AND(E72&gt;3,E72&lt;8),G72*3,0)+IF(AND(E72&gt;7,E72&lt;21),E72/7*G72*3,0)+IF(AND(E72&gt;20,E72&lt;30),G72*9,0)+IF(E72&gt;29,E72/30*G72*9,0))*(1+V$41+J$73)</f>
        <v>0</v>
      </c>
      <c r="P72" s="1038"/>
      <c r="Q72" s="1120" t="s">
        <v>1108</v>
      </c>
      <c r="R72" s="265"/>
      <c r="S72" s="265"/>
      <c r="T72" s="265"/>
      <c r="U72" s="265"/>
      <c r="V72" s="265"/>
      <c r="W72" s="1121" t="n">
        <f aca="false">IF(T$41="Y",S72*U72,S72*U72*(1+V$41))</f>
        <v>0</v>
      </c>
      <c r="X72" s="1039" t="s">
        <v>1330</v>
      </c>
    </row>
    <row r="73" customFormat="false" ht="18.75" hidden="false" customHeight="true" outlineLevel="0" collapsed="false">
      <c r="B73" s="599" t="s">
        <v>626</v>
      </c>
      <c r="D73" s="1116"/>
      <c r="E73" s="1115" t="n">
        <f aca="false">IF(E$66&gt;0,IF(E$66&lt;=3,E$66,7),0)+IF(E$66&gt;5,IF(E$66&lt;=10,7,0),0)+IF(E$66&gt;10,IF(E$66&lt;=15,14,0),0)+IF(E$66&gt;15,IF(E$66&lt;=20,23,0),0)+IF(E$66&gt;20,IF(E$66&lt;=40,53,0),0)+IF(E$66&gt;40,IF(E$66&lt;=60,83,0),0)+IF(E$66&gt;60,IF(E$66&lt;=80,113,0),0)+IF(E$66&gt;80,IF(E$66&lt;=100,143,0),0)+IF(E$66&gt;100,IF(E$66&lt;=120,163,0),0)+IF(E$66&gt;120,IF(E$66&lt;=140,193,0),0)+IF(E$66&gt;140,IF(E$66&lt;=160,223,0),0)</f>
        <v>21</v>
      </c>
      <c r="F73" s="78" t="s">
        <v>1327</v>
      </c>
      <c r="G73" s="1105" t="n">
        <f aca="false">Pricing!D35</f>
        <v>325</v>
      </c>
      <c r="H73" s="16" t="s">
        <v>620</v>
      </c>
      <c r="J73" s="1122" t="n">
        <v>0.5</v>
      </c>
      <c r="K73" s="1122"/>
      <c r="M73" s="1106" t="n">
        <f aca="false">SUM(O71:P76)</f>
        <v>7238.0625</v>
      </c>
      <c r="N73" s="1106"/>
      <c r="O73" s="1038" t="n">
        <f aca="false">(IF(AND(E73&gt;0,E73&lt;4),E73*G73,0)+IF(AND(E73&gt;3,E73&lt;8),G73*3,0)+IF(AND(E73&gt;7,E73&lt;21),E73/7*G73*3,0)+IF(AND(E73&gt;20,E73&lt;30),G73*9,0)+IF(E73&gt;29,E73/30*G73*9,0))*(1+V$41+J$73)</f>
        <v>4628.8125</v>
      </c>
      <c r="P73" s="1038"/>
      <c r="Q73" s="599" t="s">
        <v>613</v>
      </c>
      <c r="S73" s="1037" t="n">
        <f aca="false">J39/8*3</f>
        <v>880.5</v>
      </c>
      <c r="T73" s="16" t="s">
        <v>1312</v>
      </c>
      <c r="U73" s="922" t="n">
        <v>2.75</v>
      </c>
      <c r="V73" s="16" t="s">
        <v>595</v>
      </c>
      <c r="W73" s="1123" t="n">
        <f aca="false">IF(T$41="Y",S73*U73,S73*U73*(1+V$41))</f>
        <v>2621.1384375</v>
      </c>
      <c r="X73" s="1039" t="s">
        <v>1331</v>
      </c>
    </row>
    <row r="74" customFormat="false" ht="18.75" hidden="false" customHeight="true" outlineLevel="0" collapsed="false">
      <c r="B74" s="599" t="s">
        <v>1332</v>
      </c>
      <c r="D74" s="1116"/>
      <c r="E74" s="1115" t="n">
        <f aca="false">E73</f>
        <v>21</v>
      </c>
      <c r="F74" s="16" t="s">
        <v>1327</v>
      </c>
      <c r="G74" s="1105" t="n">
        <f aca="false">Pricing!D39</f>
        <v>100</v>
      </c>
      <c r="H74" s="16" t="s">
        <v>620</v>
      </c>
      <c r="J74" s="1122"/>
      <c r="K74" s="1122"/>
      <c r="O74" s="1038" t="n">
        <f aca="false">(IF(AND(E74&gt;0,E74&lt;4),E74*G74,0)+IF(AND(E74&gt;3,E74&lt;8),G74*3,0)+IF(AND(E74&gt;7,E74&lt;21),E74/7*G74*3,0)+IF(AND(E74&gt;20,E74&lt;30),G74*9,0)+IF(E74&gt;29,E74/30*G74*9,0))*(1+V$41+J$73)</f>
        <v>1424.25</v>
      </c>
      <c r="P74" s="1038"/>
      <c r="Q74" s="599" t="s">
        <v>615</v>
      </c>
      <c r="S74" s="1037" t="n">
        <f aca="false">E39*4</f>
        <v>424</v>
      </c>
      <c r="T74" s="16" t="s">
        <v>1312</v>
      </c>
      <c r="U74" s="922" t="n">
        <v>3.25</v>
      </c>
      <c r="V74" s="16" t="s">
        <v>595</v>
      </c>
      <c r="W74" s="1123" t="n">
        <f aca="false">IF(T$41="Y",S74*U74,S74*U74*(1+V$41))</f>
        <v>1491.685</v>
      </c>
      <c r="X74" s="1039" t="s">
        <v>1331</v>
      </c>
    </row>
    <row r="75" customFormat="false" ht="18.75" hidden="false" customHeight="true" outlineLevel="0" collapsed="false">
      <c r="B75" s="599" t="s">
        <v>1333</v>
      </c>
      <c r="D75" s="1116"/>
      <c r="E75" s="1115" t="n">
        <f aca="false">E74</f>
        <v>21</v>
      </c>
      <c r="F75" s="16" t="s">
        <v>1327</v>
      </c>
      <c r="G75" s="1105" t="n">
        <v>50</v>
      </c>
      <c r="H75" s="16" t="s">
        <v>620</v>
      </c>
      <c r="O75" s="1038" t="n">
        <f aca="false">(IF(AND(E75&gt;0,E75&lt;4),E75*G75,0)+IF(AND(E75&gt;3,E75&lt;8),G75*3,0)+IF(AND(E75&gt;7,E75&lt;21),E75/7*G75*3,0)+IF(AND(E75&gt;20,E75&lt;30),G75*9,0)+IF(E75&gt;29,E75/30*G75*9,0))</f>
        <v>450</v>
      </c>
      <c r="P75" s="1038"/>
      <c r="Q75" s="1044" t="s">
        <v>554</v>
      </c>
      <c r="R75" s="397"/>
      <c r="S75" s="1107" t="n">
        <f aca="false">L53</f>
        <v>71736.4795908932</v>
      </c>
      <c r="T75" s="397" t="s">
        <v>1288</v>
      </c>
      <c r="U75" s="1108" t="n">
        <f aca="false">Pricing!Q14</f>
        <v>0.04</v>
      </c>
      <c r="V75" s="397" t="s">
        <v>555</v>
      </c>
      <c r="W75" s="1124" t="n">
        <f aca="false">IF(T$41="Y",S75*U75,S75*U75*(1+V$41))</f>
        <v>3106.18956628568</v>
      </c>
      <c r="X75" s="1039" t="s">
        <v>1331</v>
      </c>
    </row>
    <row r="76" customFormat="false" ht="18.75" hidden="false" customHeight="true" outlineLevel="0" collapsed="false">
      <c r="B76" s="602" t="s">
        <v>1067</v>
      </c>
      <c r="C76" s="1058"/>
      <c r="D76" s="1125"/>
      <c r="E76" s="1110" t="n">
        <f aca="false">E75</f>
        <v>21</v>
      </c>
      <c r="F76" s="1058" t="s">
        <v>1327</v>
      </c>
      <c r="G76" s="1126" t="n">
        <v>35</v>
      </c>
      <c r="H76" s="1058" t="s">
        <v>620</v>
      </c>
      <c r="I76" s="1058"/>
      <c r="J76" s="1058"/>
      <c r="K76" s="1058"/>
      <c r="L76" s="1058"/>
      <c r="M76" s="1127"/>
      <c r="N76" s="1058"/>
      <c r="O76" s="736" t="n">
        <f aca="false">E76*G76</f>
        <v>735</v>
      </c>
      <c r="P76" s="736"/>
      <c r="Q76" s="599" t="s">
        <v>1334</v>
      </c>
      <c r="S76" s="1037"/>
      <c r="T76" s="16" t="s">
        <v>1312</v>
      </c>
      <c r="U76" s="922"/>
      <c r="V76" s="16" t="s">
        <v>595</v>
      </c>
      <c r="W76" s="1123" t="n">
        <f aca="false">IF(T$41="Y",S76*U76,S76*U76*(1+V$41))</f>
        <v>0</v>
      </c>
      <c r="X76" s="1039" t="s">
        <v>1335</v>
      </c>
    </row>
    <row r="77" customFormat="false" ht="18.75" hidden="false" customHeight="true" outlineLevel="0" collapsed="false">
      <c r="B77" s="1128" t="s">
        <v>1336</v>
      </c>
      <c r="C77" s="1129"/>
      <c r="D77" s="1129"/>
      <c r="E77" s="1129"/>
      <c r="F77" s="1129"/>
      <c r="G77" s="1129"/>
      <c r="H77" s="1129"/>
      <c r="I77" s="1129"/>
      <c r="J77" s="1129"/>
      <c r="K77" s="1129"/>
      <c r="L77" s="1129"/>
      <c r="M77" s="1129"/>
      <c r="N77" s="1129"/>
      <c r="O77" s="1129"/>
      <c r="P77" s="1130"/>
      <c r="Q77" s="599" t="s">
        <v>1337</v>
      </c>
      <c r="S77" s="1037"/>
      <c r="T77" s="16" t="s">
        <v>1312</v>
      </c>
      <c r="U77" s="922"/>
      <c r="V77" s="16" t="s">
        <v>1338</v>
      </c>
      <c r="W77" s="1123" t="n">
        <f aca="false">IF(T$41="Y",S77*U77,S77*U77*(1+V$41))</f>
        <v>0</v>
      </c>
      <c r="X77" s="1039" t="s">
        <v>1335</v>
      </c>
    </row>
    <row r="78" customFormat="false" ht="18.75" hidden="false" customHeight="true" outlineLevel="0" collapsed="false">
      <c r="B78" s="1096" t="s">
        <v>1339</v>
      </c>
      <c r="C78" s="1096"/>
      <c r="D78" s="1131" t="s">
        <v>1306</v>
      </c>
      <c r="E78" s="1132" t="n">
        <v>25</v>
      </c>
      <c r="F78" s="1133" t="s">
        <v>1312</v>
      </c>
      <c r="G78" s="1134" t="n">
        <f aca="false">IF(D78="Y",E39,0)</f>
        <v>106</v>
      </c>
      <c r="H78" s="1134"/>
      <c r="I78" s="1068" t="s">
        <v>595</v>
      </c>
      <c r="J78" s="1068"/>
      <c r="K78" s="1068"/>
      <c r="L78" s="1068"/>
      <c r="M78" s="1068"/>
      <c r="N78" s="1135"/>
      <c r="O78" s="1102" t="n">
        <f aca="false">E78*G78</f>
        <v>2650</v>
      </c>
      <c r="P78" s="1102"/>
      <c r="Q78" s="1044" t="s">
        <v>1334</v>
      </c>
      <c r="R78" s="397"/>
      <c r="S78" s="1107"/>
      <c r="T78" s="397" t="s">
        <v>1312</v>
      </c>
      <c r="U78" s="1108"/>
      <c r="V78" s="397" t="s">
        <v>595</v>
      </c>
      <c r="W78" s="1123" t="n">
        <f aca="false">IF(T$41="Y",S78*U78,S78*U78*(1+V$41))</f>
        <v>0</v>
      </c>
      <c r="X78" s="1039" t="s">
        <v>1335</v>
      </c>
    </row>
    <row r="79" customFormat="false" ht="18.75" hidden="false" customHeight="true" outlineLevel="0" collapsed="false">
      <c r="B79" s="1041" t="s">
        <v>1340</v>
      </c>
      <c r="C79" s="1041"/>
      <c r="D79" s="1116"/>
      <c r="E79" s="1136"/>
      <c r="F79" s="16" t="s">
        <v>1341</v>
      </c>
      <c r="G79" s="1137"/>
      <c r="H79" s="1137"/>
      <c r="I79" s="16" t="s">
        <v>1259</v>
      </c>
      <c r="J79" s="16" t="s">
        <v>788</v>
      </c>
      <c r="N79" s="1138"/>
      <c r="O79" s="1038" t="n">
        <f aca="false">E79*G79</f>
        <v>0</v>
      </c>
      <c r="P79" s="1038"/>
      <c r="Q79" s="599"/>
      <c r="S79" s="1037"/>
      <c r="U79" s="922"/>
      <c r="W79" s="1139" t="n">
        <f aca="false">IF(T$41="Y",S79*U79,S79*U79*(1+V$41))</f>
        <v>0</v>
      </c>
      <c r="X79" s="1039" t="s">
        <v>1342</v>
      </c>
    </row>
    <row r="80" customFormat="false" ht="18.75" hidden="false" customHeight="true" outlineLevel="0" collapsed="false">
      <c r="B80" s="1041" t="s">
        <v>1343</v>
      </c>
      <c r="C80" s="1041"/>
      <c r="D80" s="1140" t="s">
        <v>1306</v>
      </c>
      <c r="E80" s="1141" t="n">
        <v>20</v>
      </c>
      <c r="F80" s="1142" t="s">
        <v>1285</v>
      </c>
      <c r="G80" s="1137" t="n">
        <f aca="false">IF(D80="Y",SUM(L49:L52),0)</f>
        <v>632.699340592593</v>
      </c>
      <c r="H80" s="1137"/>
      <c r="I80" s="16" t="s">
        <v>998</v>
      </c>
      <c r="N80" s="1138"/>
      <c r="O80" s="1038" t="n">
        <f aca="false">E80*G80</f>
        <v>12653.9868118519</v>
      </c>
      <c r="P80" s="1038"/>
      <c r="Q80" s="599" t="s">
        <v>646</v>
      </c>
      <c r="S80" s="1037" t="n">
        <f aca="false">ROUNDUP(I57/300/55,0)</f>
        <v>1</v>
      </c>
      <c r="T80" s="16" t="s">
        <v>1344</v>
      </c>
      <c r="U80" s="922" t="n">
        <f aca="false">Pricing!Q44</f>
        <v>567.5</v>
      </c>
      <c r="V80" s="16" t="s">
        <v>647</v>
      </c>
      <c r="W80" s="1056" t="n">
        <f aca="false">IF(T$41="Y",S80*U80,S80*U80*(1+V$41))</f>
        <v>614.31875</v>
      </c>
      <c r="X80" s="1039" t="s">
        <v>1342</v>
      </c>
    </row>
    <row r="81" customFormat="false" ht="18.75" hidden="false" customHeight="true" outlineLevel="0" collapsed="false">
      <c r="B81" s="1041" t="s">
        <v>1345</v>
      </c>
      <c r="C81" s="1041"/>
      <c r="D81" s="1140" t="s">
        <v>1306</v>
      </c>
      <c r="E81" s="1141" t="n">
        <v>4</v>
      </c>
      <c r="F81" s="922" t="s">
        <v>1285</v>
      </c>
      <c r="G81" s="1143" t="n">
        <f aca="false">IF(D81="Y",IF(S39=0,0,S39*1.3),0)</f>
        <v>822.509142770371</v>
      </c>
      <c r="H81" s="1143"/>
      <c r="I81" s="16" t="s">
        <v>998</v>
      </c>
      <c r="N81" s="1138"/>
      <c r="O81" s="1038" t="n">
        <f aca="false">E81*G81</f>
        <v>3290.03657108148</v>
      </c>
      <c r="P81" s="1038"/>
      <c r="Q81" s="1044" t="s">
        <v>649</v>
      </c>
      <c r="R81" s="397"/>
      <c r="S81" s="1107" t="n">
        <f aca="false">CB94</f>
        <v>0</v>
      </c>
      <c r="T81" s="397" t="s">
        <v>1344</v>
      </c>
      <c r="U81" s="1108" t="n">
        <f aca="false">Pricing!Q45</f>
        <v>542</v>
      </c>
      <c r="V81" s="397" t="s">
        <v>647</v>
      </c>
      <c r="W81" s="1056" t="n">
        <f aca="false">IF(T$41="Y",S81*U81,S81*U81*(1+V$41))</f>
        <v>0</v>
      </c>
      <c r="X81" s="1039" t="s">
        <v>1342</v>
      </c>
    </row>
    <row r="82" customFormat="false" ht="18.75" hidden="false" customHeight="true" outlineLevel="0" collapsed="false">
      <c r="B82" s="1041" t="s">
        <v>1346</v>
      </c>
      <c r="C82" s="1041"/>
      <c r="E82" s="1144"/>
      <c r="F82" s="922" t="s">
        <v>1347</v>
      </c>
      <c r="G82" s="1145" t="n">
        <v>250</v>
      </c>
      <c r="H82" s="1145"/>
      <c r="I82" s="16" t="s">
        <v>620</v>
      </c>
      <c r="N82" s="809"/>
      <c r="O82" s="1038" t="n">
        <f aca="false">E82*G82</f>
        <v>0</v>
      </c>
      <c r="P82" s="1038"/>
      <c r="Q82" s="599"/>
      <c r="W82" s="1146"/>
      <c r="X82" s="1147"/>
    </row>
    <row r="83" customFormat="false" ht="18.75" hidden="false" customHeight="true" outlineLevel="0" collapsed="false">
      <c r="B83" s="1081" t="s">
        <v>1067</v>
      </c>
      <c r="C83" s="1081"/>
      <c r="D83" s="1046"/>
      <c r="E83" s="1148"/>
      <c r="F83" s="397"/>
      <c r="G83" s="1149" t="n">
        <v>1000</v>
      </c>
      <c r="H83" s="1149"/>
      <c r="I83" s="397" t="s">
        <v>1348</v>
      </c>
      <c r="J83" s="397"/>
      <c r="K83" s="397"/>
      <c r="L83" s="397"/>
      <c r="M83" s="397"/>
      <c r="N83" s="1150"/>
      <c r="O83" s="1056" t="n">
        <f aca="false">E83*G83</f>
        <v>0</v>
      </c>
      <c r="P83" s="1056"/>
      <c r="Q83" s="1151" t="s">
        <v>1349</v>
      </c>
      <c r="R83" s="1151"/>
      <c r="S83" s="994" t="n">
        <v>18</v>
      </c>
      <c r="T83" s="16" t="s">
        <v>1350</v>
      </c>
      <c r="W83" s="1152"/>
      <c r="X83" s="1147"/>
    </row>
    <row r="84" customFormat="false" ht="18.75" hidden="false" customHeight="true" outlineLevel="0" collapsed="false">
      <c r="B84" s="1153" t="s">
        <v>1351</v>
      </c>
      <c r="C84" s="1154"/>
      <c r="D84" s="1155"/>
      <c r="E84" s="1156" t="n">
        <f aca="false">Summary!P60</f>
        <v>0</v>
      </c>
      <c r="F84" s="1157" t="s">
        <v>1352</v>
      </c>
      <c r="G84" s="1158" t="n">
        <f aca="false">(SUM(O78:P83)+SUM(O71:P76)+SUM(O66:P68)+SUM(O57:P63)+SUM(O49:P55)+W85+SUM(L57:M63))*E84</f>
        <v>0</v>
      </c>
      <c r="H84" s="1158"/>
      <c r="I84" s="1159" t="s">
        <v>1255</v>
      </c>
      <c r="J84" s="1159"/>
      <c r="K84" s="1159"/>
      <c r="L84" s="1159"/>
      <c r="M84" s="1159"/>
      <c r="N84" s="1160"/>
      <c r="O84" s="1161" t="n">
        <f aca="false">G84</f>
        <v>0</v>
      </c>
      <c r="P84" s="1161"/>
      <c r="Q84" s="602" t="s">
        <v>1353</v>
      </c>
      <c r="R84" s="1058"/>
      <c r="S84" s="1058" t="n">
        <f aca="false">ROUNDUP((S62+S66+S66)*12/S83,0)</f>
        <v>0</v>
      </c>
      <c r="T84" s="1058" t="s">
        <v>1354</v>
      </c>
      <c r="U84" s="1162" t="n">
        <f aca="false">Pricing!D30</f>
        <v>1</v>
      </c>
      <c r="V84" s="1162"/>
      <c r="W84" s="736" t="n">
        <f aca="false">U84*S84</f>
        <v>0</v>
      </c>
      <c r="X84" s="1039" t="s">
        <v>1072</v>
      </c>
    </row>
    <row r="85" customFormat="false" ht="18.75" hidden="false" customHeight="true" outlineLevel="0" collapsed="false">
      <c r="B85" s="421"/>
      <c r="C85" s="654"/>
      <c r="D85" s="654"/>
      <c r="E85" s="1163" t="n">
        <f aca="false">IF(G84=0,0,G84/T42)</f>
        <v>0</v>
      </c>
      <c r="F85" s="654"/>
      <c r="G85" s="654"/>
      <c r="H85" s="654"/>
      <c r="I85" s="654"/>
      <c r="J85" s="654"/>
      <c r="K85" s="654"/>
      <c r="L85" s="654"/>
      <c r="M85" s="654"/>
      <c r="N85" s="654"/>
      <c r="O85" s="654"/>
      <c r="P85" s="654"/>
      <c r="Q85" s="654"/>
      <c r="R85" s="654"/>
      <c r="S85" s="654"/>
      <c r="T85" s="654"/>
      <c r="U85" s="654"/>
      <c r="V85" s="654"/>
      <c r="W85" s="1164" t="n">
        <f aca="false">SUM(W49:W84)</f>
        <v>11270.2957214452</v>
      </c>
    </row>
    <row r="86" customFormat="false" ht="15" hidden="false" customHeight="false" outlineLevel="0" collapsed="false">
      <c r="B86" s="949"/>
      <c r="C86" s="950"/>
      <c r="D86" s="950"/>
      <c r="E86" s="950"/>
      <c r="F86" s="950"/>
      <c r="G86" s="950"/>
      <c r="H86" s="950"/>
      <c r="I86" s="950"/>
      <c r="J86" s="950"/>
      <c r="K86" s="950"/>
      <c r="L86" s="954"/>
      <c r="M86" s="950"/>
      <c r="N86" s="950"/>
      <c r="O86" s="950"/>
      <c r="P86" s="950"/>
      <c r="Q86" s="950"/>
      <c r="R86" s="950"/>
      <c r="S86" s="950"/>
      <c r="T86" s="950"/>
      <c r="U86" s="950"/>
      <c r="V86" s="950"/>
      <c r="W86" s="1165"/>
    </row>
    <row r="87" customFormat="false" ht="15" hidden="false" customHeight="false" outlineLevel="0" collapsed="false">
      <c r="B87" s="1166" t="s">
        <v>1262</v>
      </c>
      <c r="C87" s="1166"/>
      <c r="D87" s="1166"/>
      <c r="E87" s="1166" t="s">
        <v>982</v>
      </c>
      <c r="F87" s="1166"/>
      <c r="G87" s="1166" t="s">
        <v>1263</v>
      </c>
      <c r="H87" s="1166"/>
      <c r="I87" s="1166"/>
      <c r="J87" s="1167" t="s">
        <v>1264</v>
      </c>
      <c r="K87" s="1168"/>
      <c r="L87" s="1169"/>
      <c r="M87" s="1170" t="s">
        <v>1265</v>
      </c>
      <c r="N87" s="1170"/>
      <c r="O87" s="1171"/>
      <c r="P87" s="1172"/>
      <c r="Q87" s="961"/>
      <c r="R87" s="599" t="s">
        <v>1266</v>
      </c>
      <c r="T87" s="16" t="s">
        <v>1267</v>
      </c>
      <c r="U87" s="1173" t="str">
        <f aca="false">T41</f>
        <v>N</v>
      </c>
      <c r="V87" s="833" t="s">
        <v>1268</v>
      </c>
      <c r="W87" s="1174" t="n">
        <f aca="false">V41</f>
        <v>0.0825</v>
      </c>
    </row>
    <row r="88" customFormat="false" ht="15" hidden="false" customHeight="false" outlineLevel="0" collapsed="false">
      <c r="B88" s="1175" t="s">
        <v>1269</v>
      </c>
      <c r="C88" s="1176" t="n">
        <f aca="false">C42</f>
        <v>148.555976435682</v>
      </c>
      <c r="D88" s="1176"/>
      <c r="E88" s="1177" t="n">
        <f aca="false">E42</f>
        <v>348809.432670982</v>
      </c>
      <c r="F88" s="1177"/>
      <c r="G88" s="968" t="n">
        <f aca="false">G42</f>
        <v>0.152542372881356</v>
      </c>
      <c r="H88" s="736" t="n">
        <f aca="false">H42</f>
        <v>53208.2185430311</v>
      </c>
      <c r="I88" s="736"/>
      <c r="J88" s="1178" t="n">
        <f aca="false">J42</f>
        <v>2788.69069932029</v>
      </c>
      <c r="K88" s="1178"/>
      <c r="L88" s="1178"/>
      <c r="M88" s="1179" t="n">
        <f aca="false">M42</f>
        <v>0.18</v>
      </c>
      <c r="N88" s="1180"/>
      <c r="O88" s="1180"/>
      <c r="P88" s="1181"/>
      <c r="Q88" s="1182"/>
      <c r="R88" s="970" t="s">
        <v>980</v>
      </c>
      <c r="U88" s="971" t="n">
        <f aca="false">T42</f>
        <v>295601.214127951</v>
      </c>
      <c r="V88" s="971"/>
      <c r="W88" s="843"/>
    </row>
    <row r="89" customFormat="false" ht="15" hidden="false" customHeight="false" outlineLevel="0" collapsed="false">
      <c r="B89" s="972"/>
      <c r="C89" s="973"/>
      <c r="D89" s="973"/>
      <c r="E89" s="973"/>
      <c r="F89" s="973"/>
      <c r="G89" s="973"/>
      <c r="H89" s="973"/>
      <c r="I89" s="973"/>
      <c r="J89" s="973"/>
      <c r="K89" s="973"/>
      <c r="L89" s="973"/>
      <c r="M89" s="973"/>
      <c r="N89" s="973"/>
      <c r="O89" s="973"/>
      <c r="P89" s="973"/>
      <c r="Q89" s="973"/>
      <c r="R89" s="973"/>
      <c r="S89" s="973"/>
      <c r="T89" s="973"/>
      <c r="U89" s="973"/>
      <c r="V89" s="973"/>
      <c r="W89" s="984"/>
    </row>
    <row r="90" customFormat="false" ht="15" hidden="false" customHeight="false" outlineLevel="0" collapsed="false">
      <c r="B90" s="654"/>
      <c r="C90" s="654"/>
      <c r="D90" s="654"/>
      <c r="E90" s="654"/>
      <c r="F90" s="654"/>
      <c r="G90" s="654"/>
      <c r="H90" s="654"/>
      <c r="I90" s="654"/>
      <c r="J90" s="654"/>
      <c r="K90" s="654"/>
      <c r="L90" s="654"/>
      <c r="M90" s="654"/>
      <c r="N90" s="654"/>
      <c r="O90" s="654"/>
      <c r="P90" s="654"/>
      <c r="Q90" s="654"/>
      <c r="R90" s="654"/>
      <c r="S90" s="654"/>
      <c r="T90" s="654"/>
      <c r="U90" s="654"/>
      <c r="V90" s="654"/>
      <c r="W90" s="654"/>
    </row>
    <row r="91" customFormat="false" ht="15" hidden="false" customHeight="false" outlineLevel="0" collapsed="false">
      <c r="B91" s="654"/>
      <c r="C91" s="654"/>
      <c r="D91" s="654"/>
      <c r="E91" s="654"/>
      <c r="F91" s="654"/>
      <c r="G91" s="654"/>
      <c r="H91" s="654"/>
      <c r="I91" s="654"/>
      <c r="J91" s="654"/>
      <c r="K91" s="654"/>
      <c r="L91" s="654"/>
      <c r="M91" s="654"/>
      <c r="N91" s="654"/>
      <c r="O91" s="654"/>
      <c r="P91" s="654"/>
      <c r="Q91" s="654"/>
      <c r="R91" s="654"/>
      <c r="S91" s="654"/>
      <c r="T91" s="654"/>
      <c r="U91" s="654"/>
      <c r="V91" s="654"/>
      <c r="W91" s="654"/>
    </row>
    <row r="92" customFormat="false" ht="15" hidden="false" customHeight="false" outlineLevel="0" collapsed="false">
      <c r="B92" s="710" t="s">
        <v>1055</v>
      </c>
      <c r="C92" s="1068" t="s">
        <v>834</v>
      </c>
      <c r="D92" s="1068"/>
      <c r="E92" s="1183" t="n">
        <f aca="false">E93-U88</f>
        <v>0</v>
      </c>
      <c r="F92" s="654"/>
      <c r="G92" s="654"/>
      <c r="H92" s="654"/>
      <c r="I92" s="654"/>
      <c r="J92" s="654"/>
      <c r="K92" s="654"/>
      <c r="L92" s="654"/>
      <c r="M92" s="654"/>
      <c r="N92" s="654"/>
      <c r="O92" s="654"/>
      <c r="P92" s="654"/>
      <c r="Q92" s="654"/>
      <c r="R92" s="654"/>
      <c r="S92" s="654"/>
      <c r="T92" s="654"/>
      <c r="U92" s="654"/>
      <c r="V92" s="654"/>
      <c r="W92" s="654"/>
    </row>
    <row r="93" customFormat="false" ht="15" hidden="false" customHeight="false" outlineLevel="0" collapsed="false">
      <c r="B93" s="1184" t="s">
        <v>1068</v>
      </c>
      <c r="D93" s="1058"/>
      <c r="E93" s="1185" t="n">
        <f aca="false">SUM(E94:E152)-E127-E137</f>
        <v>295601.214127951</v>
      </c>
      <c r="F93" s="654"/>
      <c r="G93" s="654"/>
      <c r="H93" s="654"/>
      <c r="I93" s="654"/>
      <c r="J93" s="654"/>
      <c r="K93" s="654"/>
      <c r="L93" s="654"/>
      <c r="M93" s="654"/>
      <c r="N93" s="654"/>
      <c r="O93" s="654"/>
      <c r="P93" s="654"/>
      <c r="Q93" s="654"/>
      <c r="R93" s="654"/>
      <c r="S93" s="654"/>
      <c r="T93" s="654"/>
      <c r="U93" s="654"/>
      <c r="V93" s="654"/>
      <c r="W93" s="654"/>
    </row>
    <row r="94" customFormat="false" ht="15" hidden="false" customHeight="false" outlineLevel="0" collapsed="false">
      <c r="B94" s="1186" t="n">
        <f aca="false">Summary!H74</f>
        <v>10001</v>
      </c>
      <c r="C94" s="786" t="str">
        <f aca="false">Summary!D74</f>
        <v>General Requirements</v>
      </c>
      <c r="D94" s="782"/>
      <c r="E94" s="1187"/>
    </row>
    <row r="95" customFormat="false" ht="15" hidden="false" customHeight="false" outlineLevel="0" collapsed="false">
      <c r="B95" s="1186" t="n">
        <f aca="false">Summary!H75</f>
        <v>10002</v>
      </c>
      <c r="C95" s="786" t="str">
        <f aca="false">Summary!D75</f>
        <v>Lumber</v>
      </c>
      <c r="D95" s="782"/>
      <c r="E95" s="1188" t="n">
        <f aca="false">SUM(W49:W67)</f>
        <v>2866.2164375</v>
      </c>
    </row>
    <row r="96" customFormat="false" ht="15" hidden="false" customHeight="true" outlineLevel="0" collapsed="false">
      <c r="B96" s="1186" t="n">
        <f aca="false">Summary!H76</f>
        <v>10003</v>
      </c>
      <c r="C96" s="786" t="str">
        <f aca="false">Summary!D76</f>
        <v>Sand Material</v>
      </c>
      <c r="D96" s="782"/>
      <c r="E96" s="1188"/>
    </row>
    <row r="97" customFormat="false" ht="15" hidden="false" customHeight="true" outlineLevel="0" collapsed="false">
      <c r="B97" s="1186" t="n">
        <f aca="false">Summary!H77</f>
        <v>10004</v>
      </c>
      <c r="C97" s="786" t="str">
        <f aca="false">Summary!D77</f>
        <v>Rock Material</v>
      </c>
      <c r="D97" s="782"/>
      <c r="E97" s="1188" t="n">
        <f aca="false">O55</f>
        <v>0</v>
      </c>
    </row>
    <row r="98" customFormat="false" ht="15" hidden="false" customHeight="true" outlineLevel="0" collapsed="false">
      <c r="B98" s="1186" t="n">
        <f aca="false">Summary!H78</f>
        <v>10005</v>
      </c>
      <c r="C98" s="786" t="str">
        <f aca="false">Summary!D78</f>
        <v>Reinforcement Material</v>
      </c>
      <c r="D98" s="782"/>
      <c r="E98" s="1188" t="n">
        <f aca="false">O53</f>
        <v>58241.0543678564</v>
      </c>
    </row>
    <row r="99" customFormat="false" ht="15" hidden="false" customHeight="true" outlineLevel="0" collapsed="false">
      <c r="B99" s="1186" t="n">
        <f aca="false">Summary!H79</f>
        <v>10006</v>
      </c>
      <c r="C99" s="786" t="str">
        <f aca="false">Summary!D79</f>
        <v>Reinforcement Accessories</v>
      </c>
      <c r="D99" s="782"/>
      <c r="E99" s="1188" t="n">
        <f aca="false">SUM(W73:W75)</f>
        <v>7219.01300378568</v>
      </c>
    </row>
    <row r="100" customFormat="false" ht="15" hidden="false" customHeight="true" outlineLevel="0" collapsed="false">
      <c r="B100" s="1186" t="n">
        <f aca="false">Summary!H80</f>
        <v>10007</v>
      </c>
      <c r="C100" s="786" t="str">
        <f aca="false">Summary!D80</f>
        <v>PT Cables</v>
      </c>
      <c r="D100" s="782"/>
      <c r="E100" s="1188"/>
    </row>
    <row r="101" customFormat="false" ht="15" hidden="false" customHeight="true" outlineLevel="0" collapsed="false">
      <c r="B101" s="1186" t="n">
        <f aca="false">Summary!H81</f>
        <v>10008</v>
      </c>
      <c r="C101" s="786" t="str">
        <f aca="false">Summary!D81</f>
        <v>Concrete Material</v>
      </c>
      <c r="D101" s="782"/>
      <c r="E101" s="1188" t="n">
        <f aca="false">SUM(O49:P52)</f>
        <v>99310.0702477648</v>
      </c>
    </row>
    <row r="102" customFormat="false" ht="15" hidden="false" customHeight="true" outlineLevel="0" collapsed="false">
      <c r="B102" s="1186" t="n">
        <f aca="false">Summary!H82</f>
        <v>10009</v>
      </c>
      <c r="C102" s="786" t="str">
        <f aca="false">Summary!D82</f>
        <v>Carton Forms</v>
      </c>
      <c r="D102" s="782"/>
      <c r="E102" s="1188" t="n">
        <f aca="false">SUM(W76:W78)</f>
        <v>0</v>
      </c>
    </row>
    <row r="103" customFormat="false" ht="15" hidden="false" customHeight="true" outlineLevel="0" collapsed="false">
      <c r="B103" s="1186" t="n">
        <f aca="false">Summary!H83</f>
        <v>10010</v>
      </c>
      <c r="C103" s="786" t="str">
        <f aca="false">Summary!D83</f>
        <v>Cure/Sealers</v>
      </c>
      <c r="D103" s="782"/>
      <c r="E103" s="1188" t="n">
        <f aca="false">SUM(W79:W81)</f>
        <v>614.31875</v>
      </c>
    </row>
    <row r="104" customFormat="false" ht="15" hidden="false" customHeight="true" outlineLevel="0" collapsed="false">
      <c r="B104" s="1186" t="n">
        <f aca="false">Summary!H84</f>
        <v>10011</v>
      </c>
      <c r="C104" s="786" t="str">
        <f aca="false">Summary!D84</f>
        <v>Patch/Grout</v>
      </c>
      <c r="D104" s="782"/>
      <c r="E104" s="1188"/>
    </row>
    <row r="105" customFormat="false" ht="15" hidden="false" customHeight="true" outlineLevel="0" collapsed="false">
      <c r="B105" s="1186" t="n">
        <f aca="false">Summary!H85</f>
        <v>10012</v>
      </c>
      <c r="C105" s="786" t="str">
        <f aca="false">Summary!D85</f>
        <v>Poly/Vapor Barrier</v>
      </c>
      <c r="D105" s="782"/>
      <c r="E105" s="1188"/>
    </row>
    <row r="106" customFormat="false" ht="15" hidden="false" customHeight="true" outlineLevel="0" collapsed="false">
      <c r="B106" s="1186" t="n">
        <f aca="false">Summary!H86</f>
        <v>10013</v>
      </c>
      <c r="C106" s="786" t="str">
        <f aca="false">Summary!D86</f>
        <v>Special Material</v>
      </c>
      <c r="D106" s="782"/>
      <c r="E106" s="1188" t="n">
        <f aca="false">W70</f>
        <v>0</v>
      </c>
    </row>
    <row r="107" customFormat="false" ht="15" hidden="false" customHeight="true" outlineLevel="0" collapsed="false">
      <c r="B107" s="1186" t="n">
        <f aca="false">Summary!H87</f>
        <v>10014</v>
      </c>
      <c r="C107" s="786" t="str">
        <f aca="false">Summary!D87</f>
        <v>Special Material</v>
      </c>
      <c r="D107" s="782"/>
      <c r="E107" s="1188" t="n">
        <f aca="false">W71</f>
        <v>0</v>
      </c>
    </row>
    <row r="108" customFormat="false" ht="15" hidden="false" customHeight="true" outlineLevel="0" collapsed="false">
      <c r="B108" s="1186" t="n">
        <f aca="false">Summary!H88</f>
        <v>10015</v>
      </c>
      <c r="C108" s="786" t="str">
        <f aca="false">Summary!D88</f>
        <v>PPE/Safety</v>
      </c>
      <c r="D108" s="782"/>
      <c r="E108" s="1188" t="n">
        <f aca="false">W72</f>
        <v>0</v>
      </c>
    </row>
    <row r="109" customFormat="false" ht="15" hidden="false" customHeight="true" outlineLevel="0" collapsed="false">
      <c r="B109" s="1186" t="n">
        <f aca="false">Summary!H89</f>
        <v>10020</v>
      </c>
      <c r="C109" s="786" t="str">
        <f aca="false">Summary!D89</f>
        <v>Supervision</v>
      </c>
      <c r="D109" s="782"/>
      <c r="E109" s="1188" t="n">
        <f aca="false">SUM(O66:P67)</f>
        <v>8875</v>
      </c>
    </row>
    <row r="110" customFormat="false" ht="15" hidden="false" customHeight="true" outlineLevel="0" collapsed="false">
      <c r="B110" s="1186" t="n">
        <f aca="false">Summary!H90</f>
        <v>10021</v>
      </c>
      <c r="C110" s="786" t="str">
        <f aca="false">Summary!D90</f>
        <v>Supervision Expense</v>
      </c>
      <c r="D110" s="782"/>
      <c r="E110" s="1188" t="n">
        <f aca="false">O68</f>
        <v>0</v>
      </c>
    </row>
    <row r="111" customFormat="false" ht="15" hidden="false" customHeight="true" outlineLevel="0" collapsed="false">
      <c r="B111" s="1186" t="n">
        <f aca="false">Summary!H91</f>
        <v>10022</v>
      </c>
      <c r="C111" s="786" t="str">
        <f aca="false">Summary!D91</f>
        <v>Project Management</v>
      </c>
      <c r="D111" s="782"/>
      <c r="E111" s="1188" t="n">
        <f aca="false">O69</f>
        <v>2000</v>
      </c>
    </row>
    <row r="112" customFormat="false" ht="15" hidden="false" customHeight="true" outlineLevel="0" collapsed="false">
      <c r="B112" s="1186" t="n">
        <f aca="false">Summary!H92</f>
        <v>10023</v>
      </c>
      <c r="C112" s="786" t="str">
        <f aca="false">Summary!D92</f>
        <v>Labor Grade, Poly, Reinf.</v>
      </c>
      <c r="D112" s="782"/>
      <c r="E112" s="1188"/>
    </row>
    <row r="113" customFormat="false" ht="15" hidden="false" customHeight="true" outlineLevel="0" collapsed="false">
      <c r="B113" s="1186" t="n">
        <f aca="false">Summary!H93</f>
        <v>10024</v>
      </c>
      <c r="C113" s="786" t="str">
        <f aca="false">Summary!D93</f>
        <v>Labor Place &amp; Finish</v>
      </c>
      <c r="D113" s="782"/>
      <c r="E113" s="1188" t="n">
        <f aca="false">L58</f>
        <v>0</v>
      </c>
    </row>
    <row r="114" customFormat="false" ht="15" hidden="false" customHeight="true" outlineLevel="0" collapsed="false">
      <c r="B114" s="1186" t="n">
        <f aca="false">Summary!H94</f>
        <v>10025</v>
      </c>
      <c r="C114" s="786" t="str">
        <f aca="false">Summary!D94</f>
        <v>Labor Drops</v>
      </c>
      <c r="D114" s="782"/>
      <c r="E114" s="1188" t="n">
        <f aca="false">L59</f>
        <v>0</v>
      </c>
    </row>
    <row r="115" customFormat="false" ht="15" hidden="false" customHeight="true" outlineLevel="0" collapsed="false">
      <c r="B115" s="1186" t="n">
        <f aca="false">Summary!H95</f>
        <v>10026</v>
      </c>
      <c r="C115" s="786" t="str">
        <f aca="false">Summary!D95</f>
        <v>Labor Strip Forms</v>
      </c>
      <c r="D115" s="782"/>
      <c r="E115" s="1188" t="n">
        <f aca="false">L62</f>
        <v>0</v>
      </c>
    </row>
    <row r="116" customFormat="false" ht="15" hidden="false" customHeight="true" outlineLevel="0" collapsed="false">
      <c r="B116" s="1186" t="n">
        <f aca="false">Summary!H96</f>
        <v>10027</v>
      </c>
      <c r="C116" s="786" t="str">
        <f aca="false">Summary!D96</f>
        <v>Labor Burden</v>
      </c>
      <c r="D116" s="782"/>
      <c r="E116" s="1188"/>
    </row>
    <row r="117" customFormat="false" ht="15" hidden="false" customHeight="true" outlineLevel="0" collapsed="false">
      <c r="B117" s="1186" t="n">
        <f aca="false">Summary!H97</f>
        <v>10028</v>
      </c>
      <c r="C117" s="786" t="str">
        <f aca="false">Summary!D97</f>
        <v>Surveying</v>
      </c>
      <c r="D117" s="782"/>
      <c r="E117" s="1188" t="n">
        <f aca="false">O78</f>
        <v>2650</v>
      </c>
    </row>
    <row r="118" customFormat="false" ht="15" hidden="false" customHeight="true" outlineLevel="0" collapsed="false">
      <c r="B118" s="1186" t="n">
        <f aca="false">Summary!H98</f>
        <v>10030</v>
      </c>
      <c r="C118" s="786" t="str">
        <f aca="false">Summary!D98</f>
        <v>Pumping</v>
      </c>
      <c r="D118" s="782"/>
      <c r="E118" s="1188" t="n">
        <f aca="false">O80</f>
        <v>12653.9868118519</v>
      </c>
    </row>
    <row r="119" customFormat="false" ht="15" hidden="false" customHeight="true" outlineLevel="0" collapsed="false">
      <c r="B119" s="1186" t="n">
        <f aca="false">Summary!H99</f>
        <v>10031</v>
      </c>
      <c r="C119" s="786" t="str">
        <f aca="false">Summary!D99</f>
        <v>Earth Work/Excavation</v>
      </c>
      <c r="D119" s="782"/>
      <c r="E119" s="1188"/>
    </row>
    <row r="120" customFormat="false" ht="15" hidden="false" customHeight="true" outlineLevel="0" collapsed="false">
      <c r="B120" s="1186" t="n">
        <f aca="false">Summary!H100</f>
        <v>10032</v>
      </c>
      <c r="C120" s="786" t="str">
        <f aca="false">Summary!D100</f>
        <v>Drilling</v>
      </c>
      <c r="D120" s="782"/>
      <c r="E120" s="1188" t="n">
        <f aca="false">O54</f>
        <v>58032</v>
      </c>
    </row>
    <row r="121" customFormat="false" ht="15" hidden="false" customHeight="true" outlineLevel="0" collapsed="false">
      <c r="B121" s="1186" t="n">
        <f aca="false">Summary!H101</f>
        <v>10033</v>
      </c>
      <c r="C121" s="786" t="str">
        <f aca="false">Summary!D101</f>
        <v>Haul off</v>
      </c>
      <c r="D121" s="782"/>
      <c r="E121" s="1188" t="n">
        <f aca="false">O81+W69</f>
        <v>3860.78410124105</v>
      </c>
    </row>
    <row r="122" customFormat="false" ht="15" hidden="false" customHeight="true" outlineLevel="0" collapsed="false">
      <c r="B122" s="1186" t="n">
        <f aca="false">Summary!H102</f>
        <v>10034</v>
      </c>
      <c r="C122" s="786" t="str">
        <f aca="false">Summary!D102</f>
        <v>Saw Cutting/Sealing</v>
      </c>
      <c r="D122" s="782"/>
      <c r="E122" s="1188"/>
    </row>
    <row r="123" customFormat="false" ht="15" hidden="false" customHeight="true" outlineLevel="0" collapsed="false">
      <c r="B123" s="1186" t="n">
        <f aca="false">Summary!H103</f>
        <v>10035</v>
      </c>
      <c r="C123" s="786" t="str">
        <f aca="false">Summary!D103</f>
        <v>Demolition</v>
      </c>
      <c r="D123" s="782"/>
      <c r="E123" s="1188" t="n">
        <f aca="false">O79</f>
        <v>0</v>
      </c>
    </row>
    <row r="124" customFormat="false" ht="15" hidden="false" customHeight="true" outlineLevel="0" collapsed="false">
      <c r="B124" s="1186" t="n">
        <f aca="false">Summary!H104</f>
        <v>10037</v>
      </c>
      <c r="C124" s="786" t="str">
        <f aca="false">Summary!D104</f>
        <v>Waterproofing</v>
      </c>
      <c r="D124" s="782"/>
      <c r="E124" s="1188"/>
    </row>
    <row r="125" customFormat="false" ht="15" hidden="false" customHeight="true" outlineLevel="0" collapsed="false">
      <c r="B125" s="1186" t="n">
        <f aca="false">Summary!H105</f>
        <v>10038</v>
      </c>
      <c r="C125" s="786" t="str">
        <f aca="false">Summary!D105</f>
        <v>Crain/Hoisting</v>
      </c>
      <c r="D125" s="782"/>
      <c r="E125" s="1188"/>
    </row>
    <row r="126" customFormat="false" ht="15" hidden="false" customHeight="true" outlineLevel="0" collapsed="false">
      <c r="B126" s="1189" t="n">
        <f aca="false">Summary!H106</f>
        <v>10039</v>
      </c>
      <c r="C126" s="1190" t="str">
        <f aca="false">Summary!D106</f>
        <v>Forming Systems</v>
      </c>
      <c r="D126" s="1191"/>
      <c r="E126" s="1192"/>
    </row>
    <row r="127" customFormat="false" ht="15" hidden="false" customHeight="true" outlineLevel="0" collapsed="false">
      <c r="B127" s="1193" t="n">
        <f aca="false">Summary!H107</f>
        <v>10040</v>
      </c>
      <c r="C127" s="1194" t="str">
        <f aca="false">Summary!D107</f>
        <v>Total Sub Labor</v>
      </c>
      <c r="D127" s="1150"/>
      <c r="E127" s="1195" t="n">
        <f aca="false">SUM(E128:E135)</f>
        <v>32040.707907951</v>
      </c>
    </row>
    <row r="128" customFormat="false" ht="15" hidden="false" customHeight="true" outlineLevel="0" collapsed="false">
      <c r="B128" s="1196" t="n">
        <f aca="false">Summary!H108</f>
        <v>10041</v>
      </c>
      <c r="C128" s="781" t="str">
        <f aca="false">Summary!D108</f>
        <v>Labor Forming</v>
      </c>
      <c r="D128" s="782"/>
      <c r="E128" s="1187" t="n">
        <f aca="false">O57</f>
        <v>5300</v>
      </c>
    </row>
    <row r="129" customFormat="false" ht="15" hidden="false" customHeight="true" outlineLevel="0" collapsed="false">
      <c r="B129" s="1186" t="n">
        <f aca="false">Summary!H109</f>
        <v>10042</v>
      </c>
      <c r="C129" s="786" t="str">
        <f aca="false">Summary!D109</f>
        <v>Labor Grade, Poly, Reinf.</v>
      </c>
      <c r="D129" s="782"/>
      <c r="E129" s="1188" t="n">
        <f aca="false">O58</f>
        <v>5300</v>
      </c>
    </row>
    <row r="130" customFormat="false" ht="15" hidden="false" customHeight="true" outlineLevel="0" collapsed="false">
      <c r="B130" s="1186" t="n">
        <f aca="false">Summary!H110</f>
        <v>10043</v>
      </c>
      <c r="C130" s="786" t="str">
        <f aca="false">Summary!D110</f>
        <v>Labor Place &amp; Finish</v>
      </c>
      <c r="D130" s="782"/>
      <c r="E130" s="1188" t="n">
        <f aca="false">O59</f>
        <v>5300</v>
      </c>
    </row>
    <row r="131" customFormat="false" ht="15" hidden="false" customHeight="true" outlineLevel="0" collapsed="false">
      <c r="B131" s="1186" t="n">
        <f aca="false">Summary!H111</f>
        <v>10044</v>
      </c>
      <c r="C131" s="786" t="str">
        <f aca="false">Summary!D111</f>
        <v>Labor Drops</v>
      </c>
      <c r="D131" s="782"/>
      <c r="E131" s="1188" t="n">
        <f aca="false">O62</f>
        <v>0</v>
      </c>
    </row>
    <row r="132" customFormat="false" ht="15" hidden="false" customHeight="true" outlineLevel="0" collapsed="false">
      <c r="B132" s="1186" t="n">
        <f aca="false">Summary!H112</f>
        <v>10045</v>
      </c>
      <c r="C132" s="786" t="str">
        <f aca="false">Summary!D112</f>
        <v>Labor Strip Forms</v>
      </c>
      <c r="D132" s="782"/>
      <c r="E132" s="1188"/>
    </row>
    <row r="133" customFormat="false" ht="15" hidden="false" customHeight="true" outlineLevel="0" collapsed="false">
      <c r="B133" s="1186" t="n">
        <f aca="false">Summary!H113</f>
        <v>10046</v>
      </c>
      <c r="C133" s="786" t="str">
        <f aca="false">Summary!D113</f>
        <v>Labor Burden</v>
      </c>
      <c r="D133" s="782"/>
      <c r="E133" s="1188" t="n">
        <f aca="false">O61+L61+O60+L60</f>
        <v>16140.707907951</v>
      </c>
    </row>
    <row r="134" customFormat="false" ht="15" hidden="false" customHeight="true" outlineLevel="0" collapsed="false">
      <c r="B134" s="1186" t="n">
        <f aca="false">Summary!H114</f>
        <v>10047</v>
      </c>
      <c r="C134" s="786" t="str">
        <f aca="false">Summary!D114</f>
        <v>Rebar</v>
      </c>
      <c r="D134" s="782"/>
      <c r="E134" s="1188"/>
    </row>
    <row r="135" customFormat="false" ht="15" hidden="false" customHeight="true" outlineLevel="0" collapsed="false">
      <c r="B135" s="1189" t="n">
        <f aca="false">Summary!H115</f>
        <v>10048</v>
      </c>
      <c r="C135" s="1190" t="str">
        <f aca="false">Summary!D115</f>
        <v>PT Installation</v>
      </c>
      <c r="D135" s="1191"/>
      <c r="E135" s="1192"/>
    </row>
    <row r="136" customFormat="false" ht="15" hidden="false" customHeight="true" outlineLevel="0" collapsed="false">
      <c r="B136" s="1189" t="n">
        <f aca="false">Summary!H116</f>
        <v>10049</v>
      </c>
      <c r="C136" s="1190" t="s">
        <v>1159</v>
      </c>
      <c r="D136" s="1191"/>
      <c r="E136" s="1192" t="n">
        <f aca="false">O63</f>
        <v>0</v>
      </c>
    </row>
    <row r="137" customFormat="false" ht="15" hidden="false" customHeight="true" outlineLevel="0" collapsed="false">
      <c r="B137" s="1193" t="n">
        <f aca="false">Summary!H117</f>
        <v>10060</v>
      </c>
      <c r="C137" s="1194" t="str">
        <f aca="false">Summary!D117</f>
        <v>Total Equipment Rental</v>
      </c>
      <c r="D137" s="1150"/>
      <c r="E137" s="1195" t="n">
        <f aca="false">SUM(E138:E143)</f>
        <v>7238.0625</v>
      </c>
    </row>
    <row r="138" customFormat="false" ht="15" hidden="false" customHeight="true" outlineLevel="0" collapsed="false">
      <c r="B138" s="1196" t="n">
        <f aca="false">Summary!H118</f>
        <v>10061</v>
      </c>
      <c r="C138" s="781" t="str">
        <f aca="false">Summary!D118</f>
        <v>SkyTrack</v>
      </c>
      <c r="D138" s="782"/>
      <c r="E138" s="1187" t="n">
        <f aca="false">O71/(1+$V$41+$J$73)</f>
        <v>0</v>
      </c>
    </row>
    <row r="139" customFormat="false" ht="15" hidden="false" customHeight="true" outlineLevel="0" collapsed="false">
      <c r="B139" s="1186" t="n">
        <f aca="false">Summary!H119</f>
        <v>10062</v>
      </c>
      <c r="C139" s="786" t="str">
        <f aca="false">Summary!D119</f>
        <v>Mini Excavator</v>
      </c>
      <c r="D139" s="782"/>
      <c r="E139" s="1187" t="n">
        <f aca="false">O72/(1+$V$41+$J$73)</f>
        <v>0</v>
      </c>
    </row>
    <row r="140" customFormat="false" ht="15" hidden="false" customHeight="true" outlineLevel="0" collapsed="false">
      <c r="B140" s="1186" t="n">
        <f aca="false">Summary!H120</f>
        <v>10063</v>
      </c>
      <c r="C140" s="786" t="str">
        <f aca="false">Summary!D120</f>
        <v>Trencher</v>
      </c>
      <c r="D140" s="782"/>
      <c r="E140" s="1187" t="n">
        <f aca="false">O73/(1+$V$41+$J$73)</f>
        <v>2925</v>
      </c>
    </row>
    <row r="141" customFormat="false" ht="15" hidden="false" customHeight="true" outlineLevel="0" collapsed="false">
      <c r="B141" s="1186" t="n">
        <f aca="false">Summary!H121</f>
        <v>10064</v>
      </c>
      <c r="C141" s="786" t="str">
        <f aca="false">Summary!D121</f>
        <v>Skid Steer</v>
      </c>
      <c r="D141" s="782"/>
      <c r="E141" s="1187" t="n">
        <f aca="false">O74/(1+$V$41+$J$73)</f>
        <v>900</v>
      </c>
    </row>
    <row r="142" customFormat="false" ht="15" hidden="false" customHeight="true" outlineLevel="0" collapsed="false">
      <c r="B142" s="1186" t="n">
        <f aca="false">Summary!H122</f>
        <v>10065</v>
      </c>
      <c r="C142" s="786" t="str">
        <f aca="false">Summary!D122</f>
        <v>General Equipment Rental</v>
      </c>
      <c r="D142" s="782"/>
      <c r="E142" s="1187" t="n">
        <f aca="false">(O75+O76)/(1+$V$41+$J$73)</f>
        <v>748.815165876777</v>
      </c>
    </row>
    <row r="143" customFormat="false" ht="15" hidden="false" customHeight="true" outlineLevel="0" collapsed="false">
      <c r="B143" s="1186" t="n">
        <f aca="false">Summary!H123</f>
        <v>10066</v>
      </c>
      <c r="C143" s="786" t="str">
        <f aca="false">Summary!D123</f>
        <v>Fuel</v>
      </c>
      <c r="D143" s="782"/>
      <c r="E143" s="1188" t="n">
        <f aca="false">M73-SUM(E138:E142)</f>
        <v>2664.24733412322</v>
      </c>
    </row>
    <row r="144" customFormat="false" ht="15" hidden="false" customHeight="true" outlineLevel="0" collapsed="false">
      <c r="B144" s="1186" t="n">
        <f aca="false">Summary!H124</f>
        <v>10067</v>
      </c>
      <c r="C144" s="786" t="str">
        <f aca="false">Summary!D124</f>
        <v>Purchased Tools</v>
      </c>
      <c r="D144" s="782"/>
      <c r="E144" s="1188"/>
    </row>
    <row r="145" customFormat="false" ht="15" hidden="false" customHeight="true" outlineLevel="0" collapsed="false">
      <c r="B145" s="1186" t="n">
        <f aca="false">Summary!H125</f>
        <v>10068</v>
      </c>
      <c r="C145" s="786" t="str">
        <f aca="false">Summary!D125</f>
        <v>Stolen/Damaged</v>
      </c>
      <c r="D145" s="782"/>
      <c r="E145" s="1188"/>
    </row>
    <row r="146" customFormat="false" ht="15" hidden="false" customHeight="true" outlineLevel="0" collapsed="false">
      <c r="B146" s="1186" t="n">
        <f aca="false">Summary!H126</f>
        <v>10070</v>
      </c>
      <c r="C146" s="786" t="str">
        <f aca="false">Summary!D126</f>
        <v>Out of Town Expense</v>
      </c>
      <c r="D146" s="782"/>
      <c r="E146" s="1188" t="n">
        <f aca="false">O82</f>
        <v>0</v>
      </c>
    </row>
    <row r="147" customFormat="false" ht="15" hidden="false" customHeight="true" outlineLevel="0" collapsed="false">
      <c r="B147" s="1186" t="n">
        <f aca="false">Summary!H127</f>
        <v>10071</v>
      </c>
      <c r="C147" s="786" t="str">
        <f aca="false">Summary!D127</f>
        <v>Miscellaneous</v>
      </c>
      <c r="D147" s="782"/>
      <c r="E147" s="1188" t="n">
        <f aca="false">O83</f>
        <v>0</v>
      </c>
    </row>
    <row r="148" customFormat="false" ht="15" hidden="false" customHeight="true" outlineLevel="0" collapsed="false">
      <c r="B148" s="1186" t="n">
        <f aca="false">Summary!H128</f>
        <v>10072</v>
      </c>
      <c r="C148" s="786" t="str">
        <f aca="false">Summary!D128</f>
        <v>Repairs</v>
      </c>
      <c r="D148" s="782"/>
      <c r="E148" s="1188"/>
    </row>
    <row r="149" customFormat="false" ht="15" hidden="false" customHeight="true" outlineLevel="0" collapsed="false">
      <c r="B149" s="1186" t="n">
        <f aca="false">Summary!H129</f>
        <v>10073</v>
      </c>
      <c r="C149" s="786" t="str">
        <f aca="false">Summary!D129</f>
        <v>Engineering</v>
      </c>
      <c r="D149" s="782"/>
      <c r="E149" s="1188"/>
    </row>
    <row r="150" customFormat="false" ht="15" hidden="false" customHeight="true" outlineLevel="0" collapsed="false">
      <c r="B150" s="1186" t="n">
        <f aca="false">Summary!H130</f>
        <v>10090</v>
      </c>
      <c r="C150" s="786" t="str">
        <f aca="false">Summary!D130</f>
        <v>Not Used</v>
      </c>
      <c r="D150" s="782"/>
      <c r="E150" s="1188"/>
    </row>
    <row r="151" customFormat="false" ht="15" hidden="false" customHeight="true" outlineLevel="0" collapsed="false">
      <c r="B151" s="1186" t="n">
        <f aca="false">Summary!H131</f>
        <v>10091</v>
      </c>
      <c r="C151" s="786" t="str">
        <f aca="false">Summary!D131</f>
        <v>Margin Contingency</v>
      </c>
      <c r="D151" s="782"/>
      <c r="E151" s="1188" t="n">
        <f aca="false">O84</f>
        <v>0</v>
      </c>
    </row>
  </sheetData>
  <mergeCells count="156">
    <mergeCell ref="V1:W1"/>
    <mergeCell ref="B2:F2"/>
    <mergeCell ref="O2:P2"/>
    <mergeCell ref="Q2:R2"/>
    <mergeCell ref="B3:F3"/>
    <mergeCell ref="J3:N3"/>
    <mergeCell ref="O3:P3"/>
    <mergeCell ref="Q3:R3"/>
    <mergeCell ref="B4:F4"/>
    <mergeCell ref="J4:N4"/>
    <mergeCell ref="O4:P4"/>
    <mergeCell ref="Q4:R4"/>
    <mergeCell ref="J5:N5"/>
    <mergeCell ref="O5:P5"/>
    <mergeCell ref="Q5:R5"/>
    <mergeCell ref="D6:E6"/>
    <mergeCell ref="J6:N6"/>
    <mergeCell ref="O6:P6"/>
    <mergeCell ref="Q6:R6"/>
    <mergeCell ref="D7:E7"/>
    <mergeCell ref="J7:N7"/>
    <mergeCell ref="B9:J9"/>
    <mergeCell ref="K9:L9"/>
    <mergeCell ref="M9:N9"/>
    <mergeCell ref="O9:Q9"/>
    <mergeCell ref="R9:T9"/>
    <mergeCell ref="U9:W9"/>
    <mergeCell ref="X9:AA9"/>
    <mergeCell ref="BW9:CF9"/>
    <mergeCell ref="CH9:CL9"/>
    <mergeCell ref="B10:C10"/>
    <mergeCell ref="E40:F40"/>
    <mergeCell ref="H40:I40"/>
    <mergeCell ref="B41:D41"/>
    <mergeCell ref="E41:F41"/>
    <mergeCell ref="G41:I41"/>
    <mergeCell ref="J41:L41"/>
    <mergeCell ref="M41:O41"/>
    <mergeCell ref="C42:D42"/>
    <mergeCell ref="E42:F42"/>
    <mergeCell ref="H42:I42"/>
    <mergeCell ref="J42:L42"/>
    <mergeCell ref="M42:O42"/>
    <mergeCell ref="T42:U42"/>
    <mergeCell ref="E43:F43"/>
    <mergeCell ref="K43:L43"/>
    <mergeCell ref="N43:O43"/>
    <mergeCell ref="T43:U43"/>
    <mergeCell ref="D44:E44"/>
    <mergeCell ref="F44:G44"/>
    <mergeCell ref="J44:K44"/>
    <mergeCell ref="N44:O44"/>
    <mergeCell ref="D45:E45"/>
    <mergeCell ref="J45:K45"/>
    <mergeCell ref="D46:E46"/>
    <mergeCell ref="Q48:R48"/>
    <mergeCell ref="I49:J52"/>
    <mergeCell ref="K49:K52"/>
    <mergeCell ref="O49:P49"/>
    <mergeCell ref="Q49:R49"/>
    <mergeCell ref="O50:P50"/>
    <mergeCell ref="Q50:R50"/>
    <mergeCell ref="O51:P51"/>
    <mergeCell ref="O52:P52"/>
    <mergeCell ref="Q52:R52"/>
    <mergeCell ref="I53:J53"/>
    <mergeCell ref="L53:M53"/>
    <mergeCell ref="O53:P53"/>
    <mergeCell ref="F54:H54"/>
    <mergeCell ref="J54:K54"/>
    <mergeCell ref="L54:M54"/>
    <mergeCell ref="O54:P54"/>
    <mergeCell ref="L55:M55"/>
    <mergeCell ref="O55:P55"/>
    <mergeCell ref="L56:M56"/>
    <mergeCell ref="N56:P56"/>
    <mergeCell ref="E57:F57"/>
    <mergeCell ref="H57:H59"/>
    <mergeCell ref="I57:J59"/>
    <mergeCell ref="K57:K59"/>
    <mergeCell ref="L57:M57"/>
    <mergeCell ref="O57:P57"/>
    <mergeCell ref="E58:F58"/>
    <mergeCell ref="L58:M58"/>
    <mergeCell ref="O58:P58"/>
    <mergeCell ref="E59:F59"/>
    <mergeCell ref="L59:M59"/>
    <mergeCell ref="O59:P59"/>
    <mergeCell ref="E60:F60"/>
    <mergeCell ref="I60:J60"/>
    <mergeCell ref="L60:M60"/>
    <mergeCell ref="O60:P60"/>
    <mergeCell ref="E61:F61"/>
    <mergeCell ref="I61:J61"/>
    <mergeCell ref="L61:M61"/>
    <mergeCell ref="O61:P61"/>
    <mergeCell ref="E62:F62"/>
    <mergeCell ref="I62:J62"/>
    <mergeCell ref="L62:M62"/>
    <mergeCell ref="O62:P62"/>
    <mergeCell ref="E63:F63"/>
    <mergeCell ref="I63:J63"/>
    <mergeCell ref="L63:M63"/>
    <mergeCell ref="O63:P63"/>
    <mergeCell ref="E64:F64"/>
    <mergeCell ref="I64:K64"/>
    <mergeCell ref="L64:M64"/>
    <mergeCell ref="O64:P64"/>
    <mergeCell ref="M66:N66"/>
    <mergeCell ref="O66:P66"/>
    <mergeCell ref="M67:N67"/>
    <mergeCell ref="O67:P67"/>
    <mergeCell ref="O68:P68"/>
    <mergeCell ref="M69:N69"/>
    <mergeCell ref="O69:P69"/>
    <mergeCell ref="O71:P71"/>
    <mergeCell ref="J72:K72"/>
    <mergeCell ref="M72:N72"/>
    <mergeCell ref="O72:P72"/>
    <mergeCell ref="J73:K74"/>
    <mergeCell ref="M73:N73"/>
    <mergeCell ref="O73:P73"/>
    <mergeCell ref="O74:P74"/>
    <mergeCell ref="O75:P75"/>
    <mergeCell ref="O76:P76"/>
    <mergeCell ref="B78:C78"/>
    <mergeCell ref="G78:H78"/>
    <mergeCell ref="O78:P78"/>
    <mergeCell ref="B79:C79"/>
    <mergeCell ref="G79:H79"/>
    <mergeCell ref="O79:P79"/>
    <mergeCell ref="B80:C80"/>
    <mergeCell ref="G80:H80"/>
    <mergeCell ref="O80:P80"/>
    <mergeCell ref="B81:C81"/>
    <mergeCell ref="G81:H81"/>
    <mergeCell ref="O81:P81"/>
    <mergeCell ref="B82:C82"/>
    <mergeCell ref="G82:H82"/>
    <mergeCell ref="O82:P82"/>
    <mergeCell ref="B83:C83"/>
    <mergeCell ref="G83:H83"/>
    <mergeCell ref="O83:P83"/>
    <mergeCell ref="Q83:R83"/>
    <mergeCell ref="G84:H84"/>
    <mergeCell ref="O84:P84"/>
    <mergeCell ref="U84:V84"/>
    <mergeCell ref="B87:D87"/>
    <mergeCell ref="E87:F87"/>
    <mergeCell ref="G87:I87"/>
    <mergeCell ref="M87:N87"/>
    <mergeCell ref="C88:D88"/>
    <mergeCell ref="E88:F88"/>
    <mergeCell ref="H88:I88"/>
    <mergeCell ref="J88:L88"/>
    <mergeCell ref="U88:V88"/>
  </mergeCells>
  <conditionalFormatting sqref="L48">
    <cfRule type="containsText" priority="2" operator="containsText" aboveAverage="0" equalAverage="0" bottom="0" percent="0" rank="0" text="Missing" dxfId="0">
      <formula>NOT(ISERROR(SEARCH("Missing",L48)))</formula>
    </cfRule>
  </conditionalFormatting>
  <hyperlinks>
    <hyperlink ref="F69" r:id="rId1" display="DAYS@"/>
  </hyperlink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3" man="true" max="16383" min="0"/>
  </rowBreaks>
  <colBreaks count="1" manualBreakCount="1">
    <brk id="23" man="true" max="65535" min="0"/>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B1:FW158"/>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L34" activeCellId="0" sqref="L34"/>
    </sheetView>
  </sheetViews>
  <sheetFormatPr defaultColWidth="9.18359375" defaultRowHeight="15" customHeight="false" zeroHeight="false" outlineLevelRow="0" outlineLevelCol="0"/>
  <cols>
    <col collapsed="false" customWidth="true" hidden="false" outlineLevel="0" max="1" min="1" style="16" width="4.18"/>
    <col collapsed="false" customWidth="true" hidden="false" outlineLevel="0" max="2" min="2" style="16" width="10.18"/>
    <col collapsed="false" customWidth="true" hidden="false" outlineLevel="0" max="3" min="3" style="16" width="10.45"/>
    <col collapsed="false" customWidth="true" hidden="false" outlineLevel="0" max="4" min="4" style="16" width="22.82"/>
    <col collapsed="false" customWidth="true" hidden="false" outlineLevel="0" max="5" min="5" style="16" width="14.18"/>
    <col collapsed="false" customWidth="true" hidden="false" outlineLevel="0" max="7" min="6" style="16" width="15"/>
    <col collapsed="false" customWidth="true" hidden="false" outlineLevel="0" max="13" min="8" style="16" width="10.82"/>
    <col collapsed="false" customWidth="true" hidden="false" outlineLevel="0" max="14" min="14" style="16" width="11.18"/>
    <col collapsed="false" customWidth="true" hidden="false" outlineLevel="0" max="15" min="15" style="16" width="14.18"/>
    <col collapsed="false" customWidth="true" hidden="false" outlineLevel="0" max="16" min="16" style="16" width="12.45"/>
    <col collapsed="false" customWidth="true" hidden="false" outlineLevel="0" max="17" min="17" style="16" width="16.82"/>
    <col collapsed="false" customWidth="true" hidden="false" outlineLevel="0" max="22" min="18" style="16" width="10.82"/>
    <col collapsed="false" customWidth="true" hidden="false" outlineLevel="0" max="24" min="23" style="16" width="20.82"/>
    <col collapsed="false" customWidth="true" hidden="false" outlineLevel="0" max="25" min="25" style="4" width="14.45"/>
    <col collapsed="false" customWidth="false" hidden="true" outlineLevel="0" max="31" min="26" style="0" width="9.18"/>
    <col collapsed="false" customWidth="true" hidden="true" outlineLevel="0" max="32" min="32" style="0" width="14.18"/>
    <col collapsed="false" customWidth="false" hidden="true" outlineLevel="0" max="50" min="33" style="0" width="9.18"/>
    <col collapsed="false" customWidth="true" hidden="true" outlineLevel="0" max="51" min="51" style="0" width="21.18"/>
    <col collapsed="false" customWidth="false" hidden="true" outlineLevel="0" max="53" min="52" style="0" width="9.18"/>
    <col collapsed="false" customWidth="true" hidden="true" outlineLevel="0" max="54" min="54" style="0" width="10.18"/>
    <col collapsed="false" customWidth="false" hidden="true" outlineLevel="0" max="57" min="55" style="0" width="9.18"/>
    <col collapsed="false" customWidth="true" hidden="true" outlineLevel="0" max="58" min="58" style="0" width="11.54"/>
    <col collapsed="false" customWidth="true" hidden="true" outlineLevel="0" max="59" min="59" style="0" width="20.82"/>
    <col collapsed="false" customWidth="true" hidden="true" outlineLevel="0" max="60" min="60" style="0" width="19"/>
    <col collapsed="false" customWidth="true" hidden="true" outlineLevel="0" max="61" min="61" style="0" width="20.82"/>
    <col collapsed="false" customWidth="true" hidden="true" outlineLevel="0" max="62" min="62" style="0" width="16.82"/>
    <col collapsed="false" customWidth="false" hidden="true" outlineLevel="0" max="63" min="63" style="0" width="9.18"/>
    <col collapsed="false" customWidth="true" hidden="true" outlineLevel="0" max="64" min="64" style="0" width="26.54"/>
    <col collapsed="false" customWidth="false" hidden="true" outlineLevel="0" max="172" min="65" style="0" width="9.18"/>
    <col collapsed="false" customWidth="true" hidden="false" outlineLevel="0" max="173" min="173" style="0" width="9.82"/>
    <col collapsed="false" customWidth="true" hidden="false" outlineLevel="0" max="174" min="174" style="0" width="14"/>
    <col collapsed="false" customWidth="true" hidden="false" outlineLevel="0" max="176" min="176" style="0" width="11.54"/>
    <col collapsed="false" customWidth="false" hidden="false" outlineLevel="0" max="16384" min="261" style="16" width="9.18"/>
  </cols>
  <sheetData>
    <row r="1" customFormat="false" ht="15.75" hidden="false" customHeight="true" outlineLevel="0" collapsed="false">
      <c r="B1" s="710" t="s">
        <v>1355</v>
      </c>
      <c r="C1" s="1068"/>
      <c r="D1" s="614"/>
      <c r="E1" s="614"/>
      <c r="F1" s="614"/>
      <c r="G1" s="614"/>
      <c r="H1" s="614"/>
      <c r="I1" s="614"/>
      <c r="J1" s="614"/>
      <c r="K1" s="614"/>
      <c r="L1" s="614"/>
      <c r="M1" s="614"/>
      <c r="N1" s="614"/>
      <c r="O1" s="614"/>
      <c r="P1" s="614"/>
      <c r="Q1" s="614"/>
      <c r="R1" s="614"/>
      <c r="S1" s="614"/>
      <c r="T1" s="614"/>
      <c r="U1" s="1197" t="s">
        <v>1193</v>
      </c>
      <c r="V1" s="1197"/>
      <c r="W1" s="1198" t="n">
        <v>37456</v>
      </c>
      <c r="X1" s="1198"/>
      <c r="Y1" s="1199"/>
    </row>
    <row r="2" customFormat="false" ht="26.25" hidden="false" customHeight="true" outlineLevel="0" collapsed="false">
      <c r="B2" s="1200" t="str">
        <f aca="false">Summary!C1</f>
        <v>Trammell Crow – LBJ</v>
      </c>
      <c r="C2" s="1200"/>
      <c r="D2" s="1200"/>
      <c r="E2" s="1200"/>
      <c r="F2" s="654"/>
      <c r="G2" s="654"/>
      <c r="H2" s="1201" t="s">
        <v>56</v>
      </c>
      <c r="I2" s="614"/>
      <c r="J2" s="1068"/>
      <c r="K2" s="1202" t="s">
        <v>57</v>
      </c>
      <c r="L2" s="614"/>
      <c r="M2" s="614"/>
      <c r="N2" s="614"/>
      <c r="O2" s="1202" t="s">
        <v>1</v>
      </c>
      <c r="P2" s="1202"/>
      <c r="Q2" s="1203" t="s">
        <v>1194</v>
      </c>
      <c r="R2" s="1203"/>
      <c r="S2" s="654"/>
      <c r="T2" s="654"/>
      <c r="U2" s="836" t="s">
        <v>957</v>
      </c>
      <c r="V2" s="695"/>
      <c r="W2" s="837" t="n">
        <f aca="false">Information!C7</f>
        <v>0</v>
      </c>
      <c r="X2" s="838"/>
      <c r="Y2" s="1199"/>
      <c r="AA2" s="16"/>
      <c r="AB2" s="16"/>
      <c r="AC2" s="16"/>
      <c r="AD2" s="16"/>
      <c r="AE2" s="16"/>
      <c r="AF2" s="16"/>
    </row>
    <row r="3" customFormat="false" ht="18" hidden="false" customHeight="true" outlineLevel="0" collapsed="false">
      <c r="B3" s="1204" t="n">
        <f aca="false">Summary!C2</f>
        <v>0</v>
      </c>
      <c r="C3" s="1204"/>
      <c r="D3" s="1204"/>
      <c r="E3" s="1204"/>
      <c r="F3" s="654"/>
      <c r="G3" s="654"/>
      <c r="H3" s="1205"/>
      <c r="I3" s="1206" t="s">
        <v>955</v>
      </c>
      <c r="J3" s="840" t="n">
        <f aca="false">Summary!K2</f>
        <v>0</v>
      </c>
      <c r="K3" s="840"/>
      <c r="L3" s="840"/>
      <c r="M3" s="840"/>
      <c r="N3" s="840"/>
      <c r="O3" s="841" t="n">
        <f aca="false">Summary!O2</f>
        <v>0</v>
      </c>
      <c r="P3" s="841"/>
      <c r="Q3" s="1207"/>
      <c r="R3" s="1207"/>
      <c r="S3" s="654"/>
      <c r="T3" s="654"/>
      <c r="U3" s="599"/>
      <c r="X3" s="843"/>
      <c r="Y3" s="1199"/>
    </row>
    <row r="4" customFormat="false" ht="18" hidden="false" customHeight="true" outlineLevel="0" collapsed="false">
      <c r="B4" s="1208" t="str">
        <f aca="false">Summary!C3</f>
        <v>Dallas, TX</v>
      </c>
      <c r="C4" s="1208"/>
      <c r="D4" s="1208"/>
      <c r="E4" s="1208"/>
      <c r="F4" s="654"/>
      <c r="G4" s="654"/>
      <c r="H4" s="421"/>
      <c r="I4" s="1004" t="s">
        <v>71</v>
      </c>
      <c r="J4" s="845" t="n">
        <f aca="false">Summary!K3</f>
        <v>0</v>
      </c>
      <c r="K4" s="845"/>
      <c r="L4" s="845"/>
      <c r="M4" s="845"/>
      <c r="N4" s="845"/>
      <c r="O4" s="846" t="n">
        <f aca="false">Summary!O3</f>
        <v>0</v>
      </c>
      <c r="P4" s="846"/>
      <c r="Q4" s="1209"/>
      <c r="R4" s="1209"/>
      <c r="S4" s="654"/>
      <c r="T4" s="654"/>
      <c r="U4" s="599" t="s">
        <v>958</v>
      </c>
      <c r="W4" s="848"/>
      <c r="X4" s="849"/>
      <c r="Y4" s="1199"/>
    </row>
    <row r="5" customFormat="false" ht="18" hidden="false" customHeight="true" outlineLevel="0" collapsed="false">
      <c r="B5" s="1184" t="s">
        <v>0</v>
      </c>
      <c r="C5" s="654"/>
      <c r="D5" s="405" t="s">
        <v>1</v>
      </c>
      <c r="F5" s="654"/>
      <c r="G5" s="654"/>
      <c r="H5" s="421"/>
      <c r="I5" s="1004" t="s">
        <v>79</v>
      </c>
      <c r="J5" s="845" t="n">
        <f aca="false">Summary!K4</f>
        <v>0</v>
      </c>
      <c r="K5" s="845"/>
      <c r="L5" s="845"/>
      <c r="M5" s="845"/>
      <c r="N5" s="845"/>
      <c r="O5" s="846" t="n">
        <f aca="false">Summary!O4</f>
        <v>0</v>
      </c>
      <c r="P5" s="846"/>
      <c r="Q5" s="1210"/>
      <c r="R5" s="1210"/>
      <c r="S5" s="654"/>
      <c r="T5" s="654"/>
      <c r="U5" s="599"/>
      <c r="X5" s="843"/>
      <c r="Y5" s="1199"/>
    </row>
    <row r="6" customFormat="false" ht="18" hidden="false" customHeight="true" outlineLevel="0" collapsed="false">
      <c r="B6" s="1211" t="n">
        <f aca="false">Summary!C5</f>
        <v>0</v>
      </c>
      <c r="C6" s="654"/>
      <c r="D6" s="851" t="n">
        <f aca="false">Summary!E5</f>
        <v>0</v>
      </c>
      <c r="E6" s="851"/>
      <c r="F6" s="654"/>
      <c r="G6" s="654"/>
      <c r="H6" s="685"/>
      <c r="I6" s="1212" t="s">
        <v>87</v>
      </c>
      <c r="J6" s="852" t="n">
        <f aca="false">Summary!K5</f>
        <v>0</v>
      </c>
      <c r="K6" s="852"/>
      <c r="L6" s="852"/>
      <c r="M6" s="852"/>
      <c r="N6" s="852"/>
      <c r="O6" s="853" t="n">
        <f aca="false">Summary!O5</f>
        <v>0</v>
      </c>
      <c r="P6" s="853"/>
      <c r="Q6" s="1213"/>
      <c r="R6" s="1213"/>
      <c r="S6" s="654"/>
      <c r="T6" s="654"/>
      <c r="U6" s="602" t="s">
        <v>958</v>
      </c>
      <c r="V6" s="855"/>
      <c r="W6" s="855"/>
      <c r="X6" s="856"/>
      <c r="Y6" s="1199"/>
    </row>
    <row r="7" customFormat="false" ht="18" hidden="false" customHeight="true" outlineLevel="0" collapsed="false">
      <c r="B7" s="1214" t="n">
        <f aca="false">Summary!C6</f>
        <v>0</v>
      </c>
      <c r="C7" s="654"/>
      <c r="D7" s="1215" t="n">
        <f aca="false">Summary!E6</f>
        <v>0</v>
      </c>
      <c r="E7" s="1215"/>
      <c r="F7" s="654"/>
      <c r="G7" s="1216" t="s">
        <v>1196</v>
      </c>
      <c r="H7" s="1216"/>
      <c r="I7" s="1216"/>
      <c r="J7" s="1217" t="str">
        <f aca="false">Pricing!A3</f>
        <v>SRM</v>
      </c>
      <c r="K7" s="1217"/>
      <c r="L7" s="1217"/>
      <c r="M7" s="1217"/>
      <c r="N7" s="1217"/>
      <c r="O7" s="654"/>
      <c r="P7" s="654"/>
      <c r="Q7" s="654"/>
      <c r="R7" s="654"/>
      <c r="S7" s="654"/>
      <c r="T7" s="654"/>
      <c r="V7" s="654"/>
      <c r="W7" s="654"/>
      <c r="X7" s="1218"/>
      <c r="Y7" s="1199"/>
    </row>
    <row r="8" customFormat="false" ht="18" hidden="false" customHeight="true" outlineLevel="0" collapsed="false">
      <c r="B8" s="1219"/>
      <c r="C8" s="1220"/>
      <c r="D8" s="1220"/>
      <c r="E8" s="1221" t="s">
        <v>1209</v>
      </c>
      <c r="F8" s="1222" t="s">
        <v>1356</v>
      </c>
      <c r="G8" s="1222"/>
      <c r="H8" s="1222"/>
      <c r="I8" s="1222" t="s">
        <v>1357</v>
      </c>
      <c r="J8" s="1222"/>
      <c r="K8" s="1222" t="s">
        <v>1358</v>
      </c>
      <c r="L8" s="1222"/>
      <c r="M8" s="1222" t="s">
        <v>1359</v>
      </c>
      <c r="N8" s="1222"/>
      <c r="O8" s="1222" t="s">
        <v>1360</v>
      </c>
      <c r="P8" s="1222"/>
      <c r="Q8" s="1222" t="s">
        <v>1361</v>
      </c>
      <c r="R8" s="1222"/>
      <c r="S8" s="1222"/>
      <c r="T8" s="1222" t="s">
        <v>1362</v>
      </c>
      <c r="U8" s="1222"/>
      <c r="V8" s="1222"/>
      <c r="W8" s="1223" t="s">
        <v>1363</v>
      </c>
      <c r="X8" s="880" t="s">
        <v>1219</v>
      </c>
      <c r="Y8" s="1199"/>
      <c r="AP8" s="0" t="s">
        <v>1364</v>
      </c>
      <c r="FT8" s="867" t="s">
        <v>1021</v>
      </c>
      <c r="FU8" s="867"/>
      <c r="FV8" s="867"/>
      <c r="FW8" s="867"/>
    </row>
    <row r="9" customFormat="false" ht="29.25" hidden="false" customHeight="true" outlineLevel="0" collapsed="false">
      <c r="B9" s="1224" t="s">
        <v>1365</v>
      </c>
      <c r="C9" s="1224"/>
      <c r="D9" s="1224"/>
      <c r="E9" s="1221"/>
      <c r="F9" s="1225" t="s">
        <v>1366</v>
      </c>
      <c r="G9" s="1226" t="s">
        <v>1367</v>
      </c>
      <c r="H9" s="1225" t="s">
        <v>1368</v>
      </c>
      <c r="I9" s="1226" t="s">
        <v>1369</v>
      </c>
      <c r="J9" s="1225" t="s">
        <v>1215</v>
      </c>
      <c r="K9" s="1226" t="s">
        <v>1369</v>
      </c>
      <c r="L9" s="1225" t="s">
        <v>1215</v>
      </c>
      <c r="M9" s="1226" t="s">
        <v>1369</v>
      </c>
      <c r="N9" s="1225" t="s">
        <v>1215</v>
      </c>
      <c r="O9" s="1226" t="s">
        <v>1215</v>
      </c>
      <c r="P9" s="1225" t="s">
        <v>1216</v>
      </c>
      <c r="Q9" s="1226" t="s">
        <v>1215</v>
      </c>
      <c r="R9" s="1227" t="s">
        <v>1216</v>
      </c>
      <c r="S9" s="1228" t="s">
        <v>1370</v>
      </c>
      <c r="T9" s="1229" t="s">
        <v>835</v>
      </c>
      <c r="U9" s="1230" t="s">
        <v>1371</v>
      </c>
      <c r="V9" s="1228" t="s">
        <v>1372</v>
      </c>
      <c r="W9" s="1223"/>
      <c r="X9" s="880"/>
      <c r="Y9" s="1231" t="s">
        <v>1373</v>
      </c>
      <c r="AO9" s="0" t="s">
        <v>1374</v>
      </c>
      <c r="AP9" s="0" t="s">
        <v>1375</v>
      </c>
      <c r="AQ9" s="0" t="s">
        <v>1376</v>
      </c>
      <c r="AR9" s="0" t="s">
        <v>1377</v>
      </c>
      <c r="AS9" s="0" t="s">
        <v>1378</v>
      </c>
      <c r="AT9" s="0" t="s">
        <v>1379</v>
      </c>
      <c r="AU9" s="0" t="s">
        <v>1380</v>
      </c>
      <c r="AV9" s="0" t="s">
        <v>1381</v>
      </c>
      <c r="AW9" s="0" t="s">
        <v>1382</v>
      </c>
      <c r="AX9" s="0" t="s">
        <v>1383</v>
      </c>
      <c r="AY9" s="0" t="s">
        <v>1384</v>
      </c>
      <c r="AZ9" s="0" t="s">
        <v>1385</v>
      </c>
      <c r="BA9" s="0" t="s">
        <v>1386</v>
      </c>
      <c r="BB9" s="0" t="s">
        <v>1387</v>
      </c>
      <c r="BC9" s="0" t="s">
        <v>1362</v>
      </c>
      <c r="BF9" s="0" t="s">
        <v>577</v>
      </c>
      <c r="BG9" s="0" t="s">
        <v>1388</v>
      </c>
      <c r="BH9" s="0" t="s">
        <v>1389</v>
      </c>
      <c r="BI9" s="0" t="s">
        <v>1390</v>
      </c>
      <c r="BJ9" s="0" t="s">
        <v>1391</v>
      </c>
      <c r="BK9" s="0" t="s">
        <v>1392</v>
      </c>
      <c r="BL9" s="0" t="s">
        <v>1393</v>
      </c>
      <c r="FQ9" s="10" t="s">
        <v>1394</v>
      </c>
      <c r="FR9" s="10" t="s">
        <v>1395</v>
      </c>
      <c r="FT9" s="127" t="s">
        <v>1250</v>
      </c>
      <c r="FU9" s="10" t="s">
        <v>1396</v>
      </c>
      <c r="FV9" s="10" t="s">
        <v>1397</v>
      </c>
      <c r="FW9" s="128" t="s">
        <v>611</v>
      </c>
    </row>
    <row r="10" customFormat="false" ht="18" hidden="false" customHeight="true" outlineLevel="0" collapsed="false">
      <c r="B10" s="920"/>
      <c r="C10" s="78"/>
      <c r="D10" s="900"/>
      <c r="E10" s="1232"/>
      <c r="F10" s="1233"/>
      <c r="G10" s="1234"/>
      <c r="H10" s="1235"/>
      <c r="I10" s="1236"/>
      <c r="J10" s="1235"/>
      <c r="K10" s="1236"/>
      <c r="L10" s="1235"/>
      <c r="M10" s="1236"/>
      <c r="N10" s="1235"/>
      <c r="O10" s="1236"/>
      <c r="P10" s="1235"/>
      <c r="Q10" s="1236"/>
      <c r="R10" s="1237"/>
      <c r="S10" s="1235"/>
      <c r="T10" s="1238"/>
      <c r="U10" s="1239"/>
      <c r="V10" s="900"/>
      <c r="W10" s="1240" t="n">
        <f aca="false">IF(P10=0,0,(F10*I10*J10/16*J10/16*10.680159)+((F10*K10*L10/16*L10/16*10.680159)+(M10*2*N10/16*N10/16*10.680159*F10)+((O10/16*O10/16)*3.145*0.2836*((((G10*2)+(H10*2))*F10*12/P10))))+(Q10/16*Q10/16*10.680159*(F10*12/IF(R10=0,1,R10))*S10))*(1+K$52)+(T10*U10*V10*H10*0.2836*0.03*(1+K$53))</f>
        <v>0</v>
      </c>
      <c r="X10" s="1240" t="n">
        <f aca="false">((F10*G10/12*H10/324)+ROUNDUP(T10*U10*V10*H10/46656,0))*(1+K$48)</f>
        <v>0</v>
      </c>
      <c r="Y10" s="1241" t="n">
        <f aca="false">IF(X10=0,0,E$40/X$36*X10)</f>
        <v>0</v>
      </c>
      <c r="AO10" s="1242" t="n">
        <f aca="false">IF($E10=1,$X10,0)</f>
        <v>0</v>
      </c>
      <c r="AP10" s="1242" t="n">
        <f aca="false">IF($E10=2,X10,0)</f>
        <v>0</v>
      </c>
      <c r="AQ10" s="1242" t="n">
        <f aca="false">IF($E10=3,X10,0)</f>
        <v>0</v>
      </c>
      <c r="AR10" s="1242" t="n">
        <f aca="false">IF($E10=4,X10,0)</f>
        <v>0</v>
      </c>
      <c r="AS10" s="1242" t="n">
        <f aca="false">IF($E10=5,X10,0)</f>
        <v>0</v>
      </c>
      <c r="AT10" s="1242" t="n">
        <f aca="false">IF($E10=6,X10,0)</f>
        <v>0</v>
      </c>
      <c r="AU10" s="1242" t="n">
        <f aca="false">IF($E10=7,X10,0)</f>
        <v>0</v>
      </c>
      <c r="AV10" s="1242" t="n">
        <f aca="false">IF($E10=8,X10,0)</f>
        <v>0</v>
      </c>
      <c r="AW10" s="1242" t="n">
        <f aca="false">IF($E10=9,X10,0)</f>
        <v>0</v>
      </c>
      <c r="AX10" s="1242" t="n">
        <f aca="false">IF($E10=10,X10,0)</f>
        <v>0</v>
      </c>
      <c r="AY10" s="1242" t="n">
        <f aca="false">SUM(AO10:AX10)</f>
        <v>0</v>
      </c>
      <c r="AZ10" s="908" t="n">
        <f aca="false">W10</f>
        <v>0</v>
      </c>
      <c r="BA10" s="0" t="n">
        <f aca="false">F10*H10/12*2</f>
        <v>0</v>
      </c>
      <c r="BB10" s="0" t="n">
        <f aca="false">F10*H10/12</f>
        <v>0</v>
      </c>
      <c r="BC10" s="0" t="n">
        <f aca="false">(V10+U10)*H10/144*T10</f>
        <v>0</v>
      </c>
      <c r="BF10" s="1242" t="n">
        <f aca="false">W10*G$52*IF(U$39="N",(1+W$39),1)</f>
        <v>0</v>
      </c>
      <c r="BG10" s="1242" t="n">
        <f aca="false">(AO10*Pricing!F$3+'02-Gd Beams'!AP10*Pricing!G$3+'02-Gd Beams'!AQ10*Pricing!H$3+'02-Gd Beams'!AR10*Pricing!I$3+'02-Gd Beams'!AS10*Pricing!J$3+'02-Gd Beams'!AT10*Pricing!K$3)*IF(U$39="N",(1+W$39),1)</f>
        <v>0</v>
      </c>
      <c r="BH10" s="1242" t="n">
        <f aca="false">BB10*H$63+E$73</f>
        <v>0</v>
      </c>
      <c r="BI10" s="1242" t="n">
        <f aca="false">T10*E$62</f>
        <v>0</v>
      </c>
      <c r="BJ10" s="1242" t="n">
        <f aca="false">W10/2000*E$67</f>
        <v>0</v>
      </c>
      <c r="BK10" s="1242" t="n">
        <f aca="false">FT10+FV10</f>
        <v>0</v>
      </c>
      <c r="BL10" s="1242" t="n">
        <f aca="false">SUM(O73:P75)+SUM(O78:P83)+SUM(O85:P90)</f>
        <v>0</v>
      </c>
      <c r="FQ10" s="291" t="e">
        <f aca="false">E$40/I$63*F10*H10/12</f>
        <v>#DIV/0!</v>
      </c>
      <c r="FR10" s="291" t="e">
        <f aca="false">(Y10+FQ10)/2</f>
        <v>#DIV/0!</v>
      </c>
      <c r="FT10" s="179" t="n">
        <f aca="false">ROUND(F10*H10/324*H10/12+X10,0)</f>
        <v>0</v>
      </c>
      <c r="FU10" s="908" t="n">
        <f aca="false">ROUND(W10,0)</f>
        <v>0</v>
      </c>
      <c r="FV10" s="356" t="n">
        <f aca="false">ROUND(F10*H10/324*H10/12,0)</f>
        <v>0</v>
      </c>
      <c r="FW10" s="264" t="n">
        <f aca="false">ROUND(F10*H10/12+(U10+V10*H10/144*T10),0)</f>
        <v>0</v>
      </c>
    </row>
    <row r="11" customFormat="false" ht="18" hidden="false" customHeight="true" outlineLevel="0" collapsed="false">
      <c r="B11" s="920"/>
      <c r="C11" s="78"/>
      <c r="D11" s="900"/>
      <c r="E11" s="1232"/>
      <c r="F11" s="1233"/>
      <c r="G11" s="1234"/>
      <c r="H11" s="1235"/>
      <c r="I11" s="1236"/>
      <c r="J11" s="1235"/>
      <c r="K11" s="1236"/>
      <c r="L11" s="1235"/>
      <c r="M11" s="1236"/>
      <c r="N11" s="1235"/>
      <c r="O11" s="1236"/>
      <c r="P11" s="1235"/>
      <c r="Q11" s="1236"/>
      <c r="R11" s="1237"/>
      <c r="S11" s="1235"/>
      <c r="T11" s="1238"/>
      <c r="U11" s="1239"/>
      <c r="V11" s="900"/>
      <c r="W11" s="1240" t="n">
        <f aca="false">IF(P11=0,0,(F11*I11*J11/16*J11/16*10.680159)+((F11*K11*L11/16*L11/16*10.680159)+(M11*2*N11/16*N11/16*10.680159*F11)+((O11/16*O11/16)*3.145*0.2836*((((G11*2)+(H11*2))*F11*12/P11))))+(Q11/16*Q11/16*10.680159*(F11*12/IF(R11=0,1,R11))*S11))*(1+K$52)+(T11*U11*V11*H11*0.2836*0.03*(1+K$53))</f>
        <v>0</v>
      </c>
      <c r="X11" s="1240" t="n">
        <f aca="false">((F11*G11/12*H11/324)+ROUNDUP(T11*U11*V11*H11/46656,0))*(1+K$48)</f>
        <v>0</v>
      </c>
      <c r="Y11" s="1241" t="n">
        <f aca="false">IF(X11=0,0,E$40/X$36*X11)</f>
        <v>0</v>
      </c>
      <c r="AO11" s="1242" t="n">
        <f aca="false">IF(E11=1,X11,0)</f>
        <v>0</v>
      </c>
      <c r="AP11" s="1242" t="n">
        <f aca="false">IF($E11=2,X11,0)</f>
        <v>0</v>
      </c>
      <c r="AQ11" s="1242" t="n">
        <f aca="false">IF($E11=3,X11,0)</f>
        <v>0</v>
      </c>
      <c r="AR11" s="1242" t="n">
        <f aca="false">IF($E11=4,X11,0)</f>
        <v>0</v>
      </c>
      <c r="AS11" s="1242" t="n">
        <f aca="false">IF($E11=5,X11,0)</f>
        <v>0</v>
      </c>
      <c r="AT11" s="1242" t="n">
        <f aca="false">IF($E11=6,X11,0)</f>
        <v>0</v>
      </c>
      <c r="AU11" s="1242" t="n">
        <f aca="false">IF($E11=7,X11,0)</f>
        <v>0</v>
      </c>
      <c r="AV11" s="1242" t="n">
        <f aca="false">IF($E11=8,X11,0)</f>
        <v>0</v>
      </c>
      <c r="AW11" s="1242" t="n">
        <f aca="false">IF($E11=9,X11,0)</f>
        <v>0</v>
      </c>
      <c r="AX11" s="1242" t="n">
        <f aca="false">IF($E11=10,X11,0)</f>
        <v>0</v>
      </c>
      <c r="AY11" s="1242" t="n">
        <f aca="false">SUM(AO11:AX11)</f>
        <v>0</v>
      </c>
      <c r="AZ11" s="908" t="n">
        <f aca="false">W11</f>
        <v>0</v>
      </c>
      <c r="BA11" s="0" t="n">
        <f aca="false">F11*H11/12*2</f>
        <v>0</v>
      </c>
      <c r="BB11" s="0" t="n">
        <f aca="false">F11*H11/12</f>
        <v>0</v>
      </c>
      <c r="BC11" s="0" t="n">
        <f aca="false">(V11+U11)*H11/144*T11</f>
        <v>0</v>
      </c>
      <c r="BF11" s="1242" t="n">
        <f aca="false">W11*G$52*IF(U$39="N",(1+W$39),1)</f>
        <v>0</v>
      </c>
      <c r="BG11" s="1242" t="n">
        <f aca="false">(AO11*Pricing!F$3+'02-Gd Beams'!AP11*Pricing!G$3+'02-Gd Beams'!AQ11*Pricing!H$3+'02-Gd Beams'!AR11*Pricing!I$3+'02-Gd Beams'!AS11*Pricing!J$3+'02-Gd Beams'!AT11*Pricing!K$3)*IF(U$39="N",(1+W$39),1)</f>
        <v>0</v>
      </c>
      <c r="BH11" s="1242" t="n">
        <f aca="false">BB11*H$63+E$73</f>
        <v>0</v>
      </c>
      <c r="BI11" s="1242" t="n">
        <f aca="false">T11*E$62</f>
        <v>0</v>
      </c>
      <c r="BJ11" s="1242" t="n">
        <f aca="false">W11/2000*E$67</f>
        <v>0</v>
      </c>
      <c r="BK11" s="1242" t="n">
        <f aca="false">FT11+FV11</f>
        <v>0</v>
      </c>
      <c r="BL11" s="1242"/>
      <c r="FQ11" s="291" t="e">
        <f aca="false">E$40/I$63*F11*H11/12</f>
        <v>#DIV/0!</v>
      </c>
      <c r="FR11" s="291" t="e">
        <f aca="false">(Y11+FQ11)/2</f>
        <v>#DIV/0!</v>
      </c>
      <c r="FT11" s="179" t="n">
        <f aca="false">ROUND(F11*H11/324*H11/12+X11,0)</f>
        <v>0</v>
      </c>
      <c r="FU11" s="908" t="n">
        <f aca="false">ROUND(W11,0)</f>
        <v>0</v>
      </c>
      <c r="FV11" s="356" t="n">
        <f aca="false">ROUND(F11*H11/324*H11/12,0)</f>
        <v>0</v>
      </c>
      <c r="FW11" s="264" t="n">
        <f aca="false">ROUND(F11*H11/12+(U11+V11*H11/144*T11),0)</f>
        <v>0</v>
      </c>
    </row>
    <row r="12" customFormat="false" ht="18" hidden="false" customHeight="true" outlineLevel="0" collapsed="false">
      <c r="B12" s="920"/>
      <c r="C12" s="78"/>
      <c r="D12" s="900"/>
      <c r="E12" s="1232"/>
      <c r="F12" s="1233"/>
      <c r="G12" s="1234"/>
      <c r="H12" s="1235"/>
      <c r="I12" s="1236"/>
      <c r="J12" s="1235"/>
      <c r="K12" s="1236"/>
      <c r="L12" s="1235"/>
      <c r="M12" s="1236"/>
      <c r="N12" s="1235"/>
      <c r="O12" s="1236"/>
      <c r="P12" s="1235"/>
      <c r="Q12" s="1236"/>
      <c r="R12" s="1237"/>
      <c r="S12" s="1235"/>
      <c r="T12" s="1238"/>
      <c r="U12" s="1239"/>
      <c r="V12" s="900"/>
      <c r="W12" s="1240" t="n">
        <f aca="false">IF(P12=0,0,(F12*I12*J12/16*J12/16*10.680159)+((F12*K12*L12/16*L12/16*10.680159)+(M12*2*N12/16*N12/16*10.680159*F12)+((O12/16*O12/16)*3.145*0.2836*((((G12*2)+(H12*2))*F12*12/P12))))+(Q12/16*Q12/16*10.680159*(F12*12/IF(R12=0,1,R12))*S12))*(1+K$52)+(T12*U12*V12*H12*0.2836*0.03*(1+K$53))</f>
        <v>0</v>
      </c>
      <c r="X12" s="1240" t="n">
        <f aca="false">((F12*G12/12*H12/324)+ROUNDUP(T12*U12*V12*H12/46656,0))*(1+K$48)</f>
        <v>0</v>
      </c>
      <c r="Y12" s="1241" t="n">
        <f aca="false">IF(X12=0,0,E$40/X$36*X12)</f>
        <v>0</v>
      </c>
      <c r="AO12" s="1242" t="n">
        <f aca="false">IF(E12=1,X12,0)</f>
        <v>0</v>
      </c>
      <c r="AP12" s="1242" t="n">
        <f aca="false">IF($E12=2,X12,0)</f>
        <v>0</v>
      </c>
      <c r="AQ12" s="1242" t="n">
        <f aca="false">IF($E12=3,X12,0)</f>
        <v>0</v>
      </c>
      <c r="AR12" s="1242" t="n">
        <f aca="false">IF($E12=4,X12,0)</f>
        <v>0</v>
      </c>
      <c r="AS12" s="1242" t="n">
        <f aca="false">IF($E12=5,X12,0)</f>
        <v>0</v>
      </c>
      <c r="AT12" s="1242" t="n">
        <f aca="false">IF($E12=6,X12,0)</f>
        <v>0</v>
      </c>
      <c r="AU12" s="1242" t="n">
        <f aca="false">IF($E12=7,X12,0)</f>
        <v>0</v>
      </c>
      <c r="AV12" s="1242" t="n">
        <f aca="false">IF($E12=8,X12,0)</f>
        <v>0</v>
      </c>
      <c r="AW12" s="1242" t="n">
        <f aca="false">IF($E12=9,X12,0)</f>
        <v>0</v>
      </c>
      <c r="AX12" s="1242" t="n">
        <f aca="false">IF($E12=10,X12,0)</f>
        <v>0</v>
      </c>
      <c r="AY12" s="1242" t="n">
        <f aca="false">SUM(AO12:AX12)</f>
        <v>0</v>
      </c>
      <c r="AZ12" s="908" t="n">
        <f aca="false">W12</f>
        <v>0</v>
      </c>
      <c r="BA12" s="0" t="n">
        <f aca="false">F12*H12/12*2</f>
        <v>0</v>
      </c>
      <c r="BB12" s="0" t="n">
        <f aca="false">F12*H12/12</f>
        <v>0</v>
      </c>
      <c r="BC12" s="0" t="n">
        <f aca="false">(V12+U12)*H12/144*T12</f>
        <v>0</v>
      </c>
      <c r="BF12" s="1242" t="n">
        <f aca="false">W12*G$52*IF(U$39="N",(1+W$39),1)</f>
        <v>0</v>
      </c>
      <c r="BG12" s="1242" t="n">
        <f aca="false">(AO12*Pricing!F$3+'02-Gd Beams'!AP12*Pricing!G$3+'02-Gd Beams'!AQ12*Pricing!H$3+'02-Gd Beams'!AR12*Pricing!I$3+'02-Gd Beams'!AS12*Pricing!J$3+'02-Gd Beams'!AT12*Pricing!K$3)*IF(U$39="N",(1+W$39),1)</f>
        <v>0</v>
      </c>
      <c r="BH12" s="1242" t="n">
        <f aca="false">BB12*H$63+E$73</f>
        <v>0</v>
      </c>
      <c r="BI12" s="1242" t="n">
        <f aca="false">T12*E$62</f>
        <v>0</v>
      </c>
      <c r="BJ12" s="1242" t="n">
        <f aca="false">W12/2000*E$67</f>
        <v>0</v>
      </c>
      <c r="BK12" s="1242" t="n">
        <f aca="false">FT12+FV12</f>
        <v>0</v>
      </c>
      <c r="BL12" s="1242"/>
      <c r="FQ12" s="291" t="e">
        <f aca="false">E$40/I$63*F12*H12/12</f>
        <v>#DIV/0!</v>
      </c>
      <c r="FR12" s="291" t="e">
        <f aca="false">(Y12+FQ12)/2</f>
        <v>#DIV/0!</v>
      </c>
      <c r="FT12" s="179" t="n">
        <f aca="false">ROUND(F12*H12/324*H12/12+X12,0)</f>
        <v>0</v>
      </c>
      <c r="FU12" s="908" t="n">
        <f aca="false">ROUND(W12,0)</f>
        <v>0</v>
      </c>
      <c r="FV12" s="356" t="n">
        <f aca="false">ROUND(F12*H12/324*H12/12,0)</f>
        <v>0</v>
      </c>
      <c r="FW12" s="264" t="n">
        <f aca="false">ROUND(F12*H12/12+(U12+V12*H12/144*T12),0)</f>
        <v>0</v>
      </c>
    </row>
    <row r="13" customFormat="false" ht="18" hidden="false" customHeight="true" outlineLevel="0" collapsed="false">
      <c r="B13" s="920"/>
      <c r="C13" s="78"/>
      <c r="D13" s="900"/>
      <c r="E13" s="1232"/>
      <c r="F13" s="1233"/>
      <c r="G13" s="1234"/>
      <c r="H13" s="1235"/>
      <c r="I13" s="1236"/>
      <c r="J13" s="1235"/>
      <c r="K13" s="1236"/>
      <c r="L13" s="1235"/>
      <c r="M13" s="1236"/>
      <c r="N13" s="1235"/>
      <c r="O13" s="1236"/>
      <c r="P13" s="1235"/>
      <c r="Q13" s="1236"/>
      <c r="R13" s="1237"/>
      <c r="S13" s="1235"/>
      <c r="T13" s="1238"/>
      <c r="U13" s="1239"/>
      <c r="V13" s="900"/>
      <c r="W13" s="1240" t="n">
        <f aca="false">IF(P13=0,0,(F13*I13*J13/16*J13/16*10.680159)+((F13*K13*L13/16*L13/16*10.680159)+(M13*2*N13/16*N13/16*10.680159*F13)+((O13/16*O13/16)*3.145*0.2836*((((G13*2)+(H13*2))*F13*12/P13))))+(Q13/16*Q13/16*10.680159*(F13*12/IF(R13=0,1,R13))*S13))*(1+K$52)+(T13*U13*V13*H13*0.2836*0.03*(1+K$53))</f>
        <v>0</v>
      </c>
      <c r="X13" s="1240" t="n">
        <f aca="false">((F13*G13/12*H13/324)+ROUNDUP(T13*U13*V13*H13/46656,0))*(1+K$48)</f>
        <v>0</v>
      </c>
      <c r="Y13" s="1241" t="n">
        <f aca="false">IF(X13=0,0,E$40/X$36*X13)</f>
        <v>0</v>
      </c>
      <c r="AO13" s="1242" t="n">
        <f aca="false">IF(E13=1,X13,0)</f>
        <v>0</v>
      </c>
      <c r="AP13" s="1242" t="n">
        <f aca="false">IF($E13=2,X13,0)</f>
        <v>0</v>
      </c>
      <c r="AQ13" s="1242" t="n">
        <f aca="false">IF($E13=3,X13,0)</f>
        <v>0</v>
      </c>
      <c r="AR13" s="1242" t="n">
        <f aca="false">IF($E13=4,X13,0)</f>
        <v>0</v>
      </c>
      <c r="AS13" s="1242" t="n">
        <f aca="false">IF($E13=5,X13,0)</f>
        <v>0</v>
      </c>
      <c r="AT13" s="1242" t="n">
        <f aca="false">IF($E13=6,X13,0)</f>
        <v>0</v>
      </c>
      <c r="AU13" s="1242" t="n">
        <f aca="false">IF($E13=7,X13,0)</f>
        <v>0</v>
      </c>
      <c r="AV13" s="1242" t="n">
        <f aca="false">IF($E13=8,X13,0)</f>
        <v>0</v>
      </c>
      <c r="AW13" s="1242" t="n">
        <f aca="false">IF($E13=9,X13,0)</f>
        <v>0</v>
      </c>
      <c r="AX13" s="1242" t="n">
        <f aca="false">IF($E13=10,X13,0)</f>
        <v>0</v>
      </c>
      <c r="AY13" s="1242" t="n">
        <f aca="false">SUM(AO13:AX13)</f>
        <v>0</v>
      </c>
      <c r="AZ13" s="908" t="n">
        <f aca="false">W13</f>
        <v>0</v>
      </c>
      <c r="BA13" s="0" t="n">
        <f aca="false">F13*H13/12*2</f>
        <v>0</v>
      </c>
      <c r="BB13" s="0" t="n">
        <f aca="false">F13*H13/12</f>
        <v>0</v>
      </c>
      <c r="BC13" s="0" t="n">
        <f aca="false">(V13+U13)*H13/144*T13</f>
        <v>0</v>
      </c>
      <c r="BF13" s="1242" t="n">
        <f aca="false">W13*G$52*IF(U$39="N",(1+W$39),1)</f>
        <v>0</v>
      </c>
      <c r="BG13" s="1242" t="n">
        <f aca="false">(AO13*Pricing!F$3+'02-Gd Beams'!AP13*Pricing!G$3+'02-Gd Beams'!AQ13*Pricing!H$3+'02-Gd Beams'!AR13*Pricing!I$3+'02-Gd Beams'!AS13*Pricing!J$3+'02-Gd Beams'!AT13*Pricing!K$3)*IF(U$39="N",(1+W$39),1)</f>
        <v>0</v>
      </c>
      <c r="BH13" s="1242" t="n">
        <f aca="false">BB13*H$63+E$73</f>
        <v>0</v>
      </c>
      <c r="BI13" s="1242" t="n">
        <f aca="false">T13*E$62</f>
        <v>0</v>
      </c>
      <c r="BJ13" s="1242" t="n">
        <f aca="false">W13/2000*E$67</f>
        <v>0</v>
      </c>
      <c r="BK13" s="1242" t="n">
        <f aca="false">FT13+FV13</f>
        <v>0</v>
      </c>
      <c r="BL13" s="1242"/>
      <c r="FQ13" s="291" t="e">
        <f aca="false">E$40/I$63*F13*H13/12</f>
        <v>#DIV/0!</v>
      </c>
      <c r="FR13" s="291" t="e">
        <f aca="false">(Y13+FQ13)/2</f>
        <v>#DIV/0!</v>
      </c>
      <c r="FT13" s="179" t="n">
        <f aca="false">ROUND(F13*H13/324*H13/12+X13,0)</f>
        <v>0</v>
      </c>
      <c r="FU13" s="908" t="n">
        <f aca="false">ROUND(W13,0)</f>
        <v>0</v>
      </c>
      <c r="FV13" s="356" t="n">
        <f aca="false">ROUND(F13*H13/324*H13/12,0)</f>
        <v>0</v>
      </c>
      <c r="FW13" s="264" t="n">
        <f aca="false">ROUND(F13*H13/12+(U13+V13*H13/144*T13),0)</f>
        <v>0</v>
      </c>
    </row>
    <row r="14" customFormat="false" ht="18" hidden="false" customHeight="true" outlineLevel="0" collapsed="false">
      <c r="B14" s="920"/>
      <c r="C14" s="78"/>
      <c r="D14" s="900"/>
      <c r="E14" s="1232"/>
      <c r="F14" s="1233"/>
      <c r="G14" s="1234"/>
      <c r="H14" s="1235"/>
      <c r="I14" s="1236"/>
      <c r="J14" s="1235"/>
      <c r="K14" s="1236"/>
      <c r="L14" s="1235"/>
      <c r="M14" s="1236"/>
      <c r="N14" s="1235"/>
      <c r="O14" s="1236"/>
      <c r="P14" s="1235"/>
      <c r="Q14" s="1236"/>
      <c r="R14" s="1237"/>
      <c r="S14" s="1235"/>
      <c r="T14" s="1238"/>
      <c r="U14" s="1239"/>
      <c r="V14" s="900"/>
      <c r="W14" s="1240" t="n">
        <f aca="false">IF(P14=0,0,(F14*I14*J14/16*J14/16*10.680159)+((F14*K14*L14/16*L14/16*10.680159)+(M14*2*N14/16*N14/16*10.680159*F14)+((O14/16*O14/16)*3.145*0.2836*((((G14*2)+(H14*2))*F14*12/P14))))+(Q14/16*Q14/16*10.680159*(F14*12/IF(R14=0,1,R14))*S14))*(1+K$52)+(T14*U14*V14*H14*0.2836*0.03*(1+K$53))</f>
        <v>0</v>
      </c>
      <c r="X14" s="1240" t="n">
        <f aca="false">((F14*G14/12*H14/324)+ROUNDUP(T14*U14*V14*H14/46656,0))*(1+K$48)</f>
        <v>0</v>
      </c>
      <c r="Y14" s="1241" t="n">
        <f aca="false">IF(X14=0,0,E$40/X$36*X14)</f>
        <v>0</v>
      </c>
      <c r="AO14" s="1242" t="n">
        <f aca="false">IF(E14=1,X14,0)</f>
        <v>0</v>
      </c>
      <c r="AP14" s="1242" t="n">
        <f aca="false">IF($E14=2,X14,0)</f>
        <v>0</v>
      </c>
      <c r="AQ14" s="1242" t="n">
        <f aca="false">IF($E14=3,X14,0)</f>
        <v>0</v>
      </c>
      <c r="AR14" s="1242" t="n">
        <f aca="false">IF($E14=4,X14,0)</f>
        <v>0</v>
      </c>
      <c r="AS14" s="1242" t="n">
        <f aca="false">IF($E14=5,X14,0)</f>
        <v>0</v>
      </c>
      <c r="AT14" s="1242" t="n">
        <f aca="false">IF($E14=6,X14,0)</f>
        <v>0</v>
      </c>
      <c r="AU14" s="1242" t="n">
        <f aca="false">IF($E14=7,X14,0)</f>
        <v>0</v>
      </c>
      <c r="AV14" s="1242" t="n">
        <f aca="false">IF($E14=8,X14,0)</f>
        <v>0</v>
      </c>
      <c r="AW14" s="1242" t="n">
        <f aca="false">IF($E14=9,X14,0)</f>
        <v>0</v>
      </c>
      <c r="AX14" s="1242" t="n">
        <f aca="false">IF($E14=10,X14,0)</f>
        <v>0</v>
      </c>
      <c r="AY14" s="1242" t="n">
        <f aca="false">SUM(AO14:AX14)</f>
        <v>0</v>
      </c>
      <c r="AZ14" s="908" t="n">
        <f aca="false">W14</f>
        <v>0</v>
      </c>
      <c r="BA14" s="0" t="n">
        <f aca="false">F14*H14/12*2</f>
        <v>0</v>
      </c>
      <c r="BB14" s="0" t="n">
        <f aca="false">F14*H14/12</f>
        <v>0</v>
      </c>
      <c r="BC14" s="0" t="n">
        <f aca="false">(V14+U14)*H14/144*T14</f>
        <v>0</v>
      </c>
      <c r="BF14" s="1242" t="n">
        <f aca="false">W14*G$52*IF(U$39="N",(1+W$39),1)</f>
        <v>0</v>
      </c>
      <c r="BG14" s="1242" t="n">
        <f aca="false">(AO14*Pricing!F$3+'02-Gd Beams'!AP14*Pricing!G$3+'02-Gd Beams'!AQ14*Pricing!H$3+'02-Gd Beams'!AR14*Pricing!I$3+'02-Gd Beams'!AS14*Pricing!J$3+'02-Gd Beams'!AT14*Pricing!K$3)*IF(U$39="N",(1+W$39),1)</f>
        <v>0</v>
      </c>
      <c r="BH14" s="1242" t="n">
        <f aca="false">BB14*H$63+E$73</f>
        <v>0</v>
      </c>
      <c r="BI14" s="1242" t="n">
        <f aca="false">T14*E$62</f>
        <v>0</v>
      </c>
      <c r="BJ14" s="1242" t="n">
        <f aca="false">W14/2000*E$67</f>
        <v>0</v>
      </c>
      <c r="BK14" s="1242" t="n">
        <f aca="false">FT14+FV14</f>
        <v>0</v>
      </c>
      <c r="BL14" s="1242"/>
      <c r="FQ14" s="291" t="e">
        <f aca="false">E$40/I$63*F14*H14/12</f>
        <v>#DIV/0!</v>
      </c>
      <c r="FR14" s="291" t="e">
        <f aca="false">(Y14+FQ14)/2</f>
        <v>#DIV/0!</v>
      </c>
      <c r="FT14" s="179" t="n">
        <f aca="false">ROUND(F14*H14/324*H14/12+X14,0)</f>
        <v>0</v>
      </c>
      <c r="FU14" s="908" t="n">
        <f aca="false">ROUND(W14,0)</f>
        <v>0</v>
      </c>
      <c r="FV14" s="356" t="n">
        <f aca="false">ROUND(F14*H14/324*H14/12,0)</f>
        <v>0</v>
      </c>
      <c r="FW14" s="264" t="n">
        <f aca="false">ROUND(F14*H14/12+(U14+V14*H14/144*T14),0)</f>
        <v>0</v>
      </c>
    </row>
    <row r="15" customFormat="false" ht="18" hidden="false" customHeight="true" outlineLevel="0" collapsed="false">
      <c r="B15" s="920"/>
      <c r="C15" s="78"/>
      <c r="D15" s="900"/>
      <c r="E15" s="1232"/>
      <c r="F15" s="1233"/>
      <c r="G15" s="1234"/>
      <c r="H15" s="1235"/>
      <c r="I15" s="1236"/>
      <c r="J15" s="1235"/>
      <c r="K15" s="1236"/>
      <c r="L15" s="1235"/>
      <c r="M15" s="1236"/>
      <c r="N15" s="1235"/>
      <c r="O15" s="1236"/>
      <c r="P15" s="1235"/>
      <c r="Q15" s="1236"/>
      <c r="R15" s="1237"/>
      <c r="S15" s="1235"/>
      <c r="T15" s="1238"/>
      <c r="U15" s="1239"/>
      <c r="V15" s="900"/>
      <c r="W15" s="1240" t="n">
        <f aca="false">IF(P15=0,0,(F15*I15*J15/16*J15/16*10.680159)+((F15*K15*L15/16*L15/16*10.680159)+(M15*2*N15/16*N15/16*10.680159*F15)+((O15/16*O15/16)*3.145*0.2836*((((G15*2)+(H15*2))*F15*12/P15))))+(Q15/16*Q15/16*10.680159*(F15*12/IF(R15=0,1,R15))*S15))*(1+K$52)+(T15*U15*V15*H15*0.2836*0.03*(1+K$53))</f>
        <v>0</v>
      </c>
      <c r="X15" s="1240" t="n">
        <f aca="false">((F15*G15/12*H15/324)+ROUNDUP(T15*U15*V15*H15/46656,0))*(1+K$48)</f>
        <v>0</v>
      </c>
      <c r="Y15" s="1241" t="n">
        <f aca="false">IF(X15=0,0,E$40/X$36*X15)</f>
        <v>0</v>
      </c>
      <c r="AO15" s="1242" t="n">
        <f aca="false">IF(E15=1,X15,0)</f>
        <v>0</v>
      </c>
      <c r="AP15" s="1242" t="n">
        <f aca="false">IF($E15=2,X15,0)</f>
        <v>0</v>
      </c>
      <c r="AQ15" s="1242" t="n">
        <f aca="false">IF($E15=3,X15,0)</f>
        <v>0</v>
      </c>
      <c r="AR15" s="1242" t="n">
        <f aca="false">IF($E15=4,X15,0)</f>
        <v>0</v>
      </c>
      <c r="AS15" s="1242" t="n">
        <f aca="false">IF($E15=5,X15,0)</f>
        <v>0</v>
      </c>
      <c r="AT15" s="1242" t="n">
        <f aca="false">IF($E15=6,X15,0)</f>
        <v>0</v>
      </c>
      <c r="AU15" s="1242" t="n">
        <f aca="false">IF($E15=7,X15,0)</f>
        <v>0</v>
      </c>
      <c r="AV15" s="1242" t="n">
        <f aca="false">IF($E15=8,X15,0)</f>
        <v>0</v>
      </c>
      <c r="AW15" s="1242" t="n">
        <f aca="false">IF($E15=9,X15,0)</f>
        <v>0</v>
      </c>
      <c r="AX15" s="1242" t="n">
        <f aca="false">IF($E15=10,X15,0)</f>
        <v>0</v>
      </c>
      <c r="AY15" s="1242" t="n">
        <f aca="false">SUM(AO15:AX15)</f>
        <v>0</v>
      </c>
      <c r="AZ15" s="908" t="n">
        <f aca="false">W15</f>
        <v>0</v>
      </c>
      <c r="BA15" s="0" t="n">
        <f aca="false">F15*H15/12*2</f>
        <v>0</v>
      </c>
      <c r="BB15" s="0" t="n">
        <f aca="false">F15*H15/12</f>
        <v>0</v>
      </c>
      <c r="BC15" s="0" t="n">
        <f aca="false">(V15+U15)*H15/144*T15</f>
        <v>0</v>
      </c>
      <c r="BF15" s="1242" t="n">
        <f aca="false">W15*G$52*IF(U$39="N",(1+W$39),1)</f>
        <v>0</v>
      </c>
      <c r="BG15" s="1242" t="n">
        <f aca="false">(AO15*Pricing!F$3+'02-Gd Beams'!AP15*Pricing!G$3+'02-Gd Beams'!AQ15*Pricing!H$3+'02-Gd Beams'!AR15*Pricing!I$3+'02-Gd Beams'!AS15*Pricing!J$3+'02-Gd Beams'!AT15*Pricing!K$3)*IF(U$39="N",(1+W$39),1)</f>
        <v>0</v>
      </c>
      <c r="BH15" s="1242" t="n">
        <f aca="false">BB15*H$63+E$73</f>
        <v>0</v>
      </c>
      <c r="BI15" s="1242" t="n">
        <f aca="false">T15*E$62</f>
        <v>0</v>
      </c>
      <c r="BJ15" s="1242" t="n">
        <f aca="false">W15/2000*E$67</f>
        <v>0</v>
      </c>
      <c r="BK15" s="1242" t="n">
        <f aca="false">FT15+FV15</f>
        <v>0</v>
      </c>
      <c r="BL15" s="1242"/>
      <c r="FQ15" s="291" t="e">
        <f aca="false">E$40/I$63*F15*H15/12</f>
        <v>#DIV/0!</v>
      </c>
      <c r="FR15" s="291" t="e">
        <f aca="false">(Y15+FQ15)/2</f>
        <v>#DIV/0!</v>
      </c>
      <c r="FT15" s="179" t="n">
        <f aca="false">ROUND(F15*H15/324*H15/12+X15,0)</f>
        <v>0</v>
      </c>
      <c r="FU15" s="908" t="n">
        <f aca="false">ROUND(W15,0)</f>
        <v>0</v>
      </c>
      <c r="FV15" s="356" t="n">
        <f aca="false">ROUND(F15*H15/324*H15/12,0)</f>
        <v>0</v>
      </c>
      <c r="FW15" s="264" t="n">
        <f aca="false">ROUND(F15*H15/12+(U15+V15*H15/144*T15),0)</f>
        <v>0</v>
      </c>
    </row>
    <row r="16" customFormat="false" ht="18" hidden="false" customHeight="true" outlineLevel="0" collapsed="false">
      <c r="B16" s="920"/>
      <c r="C16" s="78"/>
      <c r="D16" s="900"/>
      <c r="E16" s="1232"/>
      <c r="F16" s="1233"/>
      <c r="G16" s="1234"/>
      <c r="H16" s="1235"/>
      <c r="I16" s="1236"/>
      <c r="J16" s="1235"/>
      <c r="K16" s="1236"/>
      <c r="L16" s="1235"/>
      <c r="M16" s="1236"/>
      <c r="N16" s="1235"/>
      <c r="O16" s="1236"/>
      <c r="P16" s="1235"/>
      <c r="Q16" s="1236"/>
      <c r="R16" s="1237"/>
      <c r="S16" s="1235"/>
      <c r="T16" s="1238"/>
      <c r="U16" s="1239"/>
      <c r="V16" s="900"/>
      <c r="W16" s="1240" t="n">
        <f aca="false">IF(P16=0,0,(F16*I16*J16/16*J16/16*10.680159)+((F16*K16*L16/16*L16/16*10.680159)+(M16*2*N16/16*N16/16*10.680159*F16)+((O16/16*O16/16)*3.145*0.2836*((((G16*2)+(H16*2))*F16*12/P16))))+(Q16/16*Q16/16*10.680159*(F16*12/IF(R16=0,1,R16))*S16))*(1+K$52)+(T16*U16*V16*H16*0.2836*0.03*(1+K$53))</f>
        <v>0</v>
      </c>
      <c r="X16" s="1240" t="n">
        <f aca="false">((F16*G16/12*H16/324)+ROUNDUP(T16*U16*V16*H16/46656,0))*(1+K$48)</f>
        <v>0</v>
      </c>
      <c r="Y16" s="1241" t="n">
        <f aca="false">IF(X16=0,0,E$40/X$36*X16)</f>
        <v>0</v>
      </c>
      <c r="AO16" s="1242" t="n">
        <f aca="false">IF(E16=1,X16,0)</f>
        <v>0</v>
      </c>
      <c r="AP16" s="1242" t="n">
        <f aca="false">IF($E16=2,X16,0)</f>
        <v>0</v>
      </c>
      <c r="AQ16" s="1242" t="n">
        <f aca="false">IF($E16=3,X16,0)</f>
        <v>0</v>
      </c>
      <c r="AR16" s="1242" t="n">
        <f aca="false">IF($E16=4,X16,0)</f>
        <v>0</v>
      </c>
      <c r="AS16" s="1242" t="n">
        <f aca="false">IF($E16=5,X16,0)</f>
        <v>0</v>
      </c>
      <c r="AT16" s="1242" t="n">
        <f aca="false">IF($E16=6,X16,0)</f>
        <v>0</v>
      </c>
      <c r="AU16" s="1242" t="n">
        <f aca="false">IF($E16=7,X16,0)</f>
        <v>0</v>
      </c>
      <c r="AV16" s="1242" t="n">
        <f aca="false">IF($E16=8,X16,0)</f>
        <v>0</v>
      </c>
      <c r="AW16" s="1242" t="n">
        <f aca="false">IF($E16=9,X16,0)</f>
        <v>0</v>
      </c>
      <c r="AX16" s="1242" t="n">
        <f aca="false">IF($E16=10,X16,0)</f>
        <v>0</v>
      </c>
      <c r="AY16" s="1242" t="n">
        <f aca="false">SUM(AO16:AX16)</f>
        <v>0</v>
      </c>
      <c r="AZ16" s="908" t="n">
        <f aca="false">W16</f>
        <v>0</v>
      </c>
      <c r="BA16" s="0" t="n">
        <f aca="false">F16*H16/12*2</f>
        <v>0</v>
      </c>
      <c r="BB16" s="0" t="n">
        <f aca="false">F16*H16/12</f>
        <v>0</v>
      </c>
      <c r="BC16" s="0" t="n">
        <f aca="false">(V16+U16)*H16/144*T16</f>
        <v>0</v>
      </c>
      <c r="BF16" s="1242" t="n">
        <f aca="false">W16*G$52*IF(U$39="N",(1+W$39),1)</f>
        <v>0</v>
      </c>
      <c r="BG16" s="1242" t="n">
        <f aca="false">(AO16*Pricing!F$3+'02-Gd Beams'!AP16*Pricing!G$3+'02-Gd Beams'!AQ16*Pricing!H$3+'02-Gd Beams'!AR16*Pricing!I$3+'02-Gd Beams'!AS16*Pricing!J$3+'02-Gd Beams'!AT16*Pricing!K$3)*IF(U$39="N",(1+W$39),1)</f>
        <v>0</v>
      </c>
      <c r="BH16" s="1242" t="n">
        <f aca="false">BB16*H$63+E$73</f>
        <v>0</v>
      </c>
      <c r="BI16" s="1242" t="n">
        <f aca="false">T16*E$62</f>
        <v>0</v>
      </c>
      <c r="BJ16" s="1242" t="n">
        <f aca="false">W16/2000*E$67</f>
        <v>0</v>
      </c>
      <c r="BK16" s="1242" t="n">
        <f aca="false">FT16+FV16</f>
        <v>0</v>
      </c>
      <c r="BL16" s="1242"/>
      <c r="FQ16" s="291" t="e">
        <f aca="false">E$40/I$63*F16*H16/12</f>
        <v>#DIV/0!</v>
      </c>
      <c r="FR16" s="291" t="e">
        <f aca="false">(Y16+FQ16)/2</f>
        <v>#DIV/0!</v>
      </c>
      <c r="FT16" s="179" t="n">
        <f aca="false">ROUND(F16*H16/324*H16/12+X16,0)</f>
        <v>0</v>
      </c>
      <c r="FU16" s="908" t="n">
        <f aca="false">ROUND(W16,0)</f>
        <v>0</v>
      </c>
      <c r="FV16" s="356" t="n">
        <f aca="false">ROUND(F16*H16/324*H16/12,0)</f>
        <v>0</v>
      </c>
      <c r="FW16" s="264" t="n">
        <f aca="false">ROUND(F16*H16/12+(U16+V16*H16/144*T16),0)</f>
        <v>0</v>
      </c>
    </row>
    <row r="17" customFormat="false" ht="18" hidden="false" customHeight="true" outlineLevel="0" collapsed="false">
      <c r="B17" s="920"/>
      <c r="C17" s="78"/>
      <c r="D17" s="900"/>
      <c r="E17" s="1232"/>
      <c r="F17" s="1233"/>
      <c r="G17" s="1234"/>
      <c r="H17" s="1235"/>
      <c r="I17" s="1236"/>
      <c r="J17" s="1235"/>
      <c r="K17" s="1236"/>
      <c r="L17" s="1235"/>
      <c r="M17" s="1236"/>
      <c r="N17" s="1235"/>
      <c r="O17" s="1236"/>
      <c r="P17" s="1235"/>
      <c r="Q17" s="1236"/>
      <c r="R17" s="1237"/>
      <c r="S17" s="1235"/>
      <c r="T17" s="1238"/>
      <c r="U17" s="1239"/>
      <c r="V17" s="900"/>
      <c r="W17" s="1240" t="n">
        <f aca="false">IF(P17=0,0,(F17*I17*J17/16*J17/16*10.680159)+((F17*K17*L17/16*L17/16*10.680159)+(M17*2*N17/16*N17/16*10.680159*F17)+((O17/16*O17/16)*3.145*0.2836*((((G17*2)+(H17*2))*F17*12/P17))))+(Q17/16*Q17/16*10.680159*(F17*12/IF(R17=0,1,R17))*S17))*(1+K$52)+(T17*U17*V17*H17*0.2836*0.03*(1+K$53))</f>
        <v>0</v>
      </c>
      <c r="X17" s="1240" t="n">
        <f aca="false">((F17*G17/12*H17/324)+ROUNDUP(T17*U17*V17*H17/46656,0))*(1+K$48)</f>
        <v>0</v>
      </c>
      <c r="Y17" s="1241" t="n">
        <f aca="false">IF(X17=0,0,E$40/X$36*X17)</f>
        <v>0</v>
      </c>
      <c r="AO17" s="1242" t="n">
        <f aca="false">IF(E17=1,X17,0)</f>
        <v>0</v>
      </c>
      <c r="AP17" s="1242" t="n">
        <f aca="false">IF($E17=2,X17,0)</f>
        <v>0</v>
      </c>
      <c r="AQ17" s="1242" t="n">
        <f aca="false">IF($E17=3,X17,0)</f>
        <v>0</v>
      </c>
      <c r="AR17" s="1242" t="n">
        <f aca="false">IF($E17=4,X17,0)</f>
        <v>0</v>
      </c>
      <c r="AS17" s="1242" t="n">
        <f aca="false">IF($E17=5,X17,0)</f>
        <v>0</v>
      </c>
      <c r="AT17" s="1242" t="n">
        <f aca="false">IF($E17=6,X17,0)</f>
        <v>0</v>
      </c>
      <c r="AU17" s="1242" t="n">
        <f aca="false">IF($E17=7,X17,0)</f>
        <v>0</v>
      </c>
      <c r="AV17" s="1242" t="n">
        <f aca="false">IF($E17=8,X17,0)</f>
        <v>0</v>
      </c>
      <c r="AW17" s="1242" t="n">
        <f aca="false">IF($E17=9,X17,0)</f>
        <v>0</v>
      </c>
      <c r="AX17" s="1242" t="n">
        <f aca="false">IF($E17=10,X17,0)</f>
        <v>0</v>
      </c>
      <c r="AY17" s="1242" t="n">
        <f aca="false">SUM(AO17:AX17)</f>
        <v>0</v>
      </c>
      <c r="AZ17" s="908" t="n">
        <f aca="false">W17</f>
        <v>0</v>
      </c>
      <c r="BA17" s="0" t="n">
        <f aca="false">F17*H17/12*2</f>
        <v>0</v>
      </c>
      <c r="BB17" s="0" t="n">
        <f aca="false">F17*H17/12</f>
        <v>0</v>
      </c>
      <c r="BC17" s="0" t="n">
        <f aca="false">(V17+U17)*H17/144*T17</f>
        <v>0</v>
      </c>
      <c r="BF17" s="1242" t="n">
        <f aca="false">W17*G$52*IF(U$39="N",(1+W$39),1)</f>
        <v>0</v>
      </c>
      <c r="BG17" s="1242" t="n">
        <f aca="false">(AO17*Pricing!F$3+'02-Gd Beams'!AP17*Pricing!G$3+'02-Gd Beams'!AQ17*Pricing!H$3+'02-Gd Beams'!AR17*Pricing!I$3+'02-Gd Beams'!AS17*Pricing!J$3+'02-Gd Beams'!AT17*Pricing!K$3)*IF(U$39="N",(1+W$39),1)</f>
        <v>0</v>
      </c>
      <c r="BH17" s="1242" t="n">
        <f aca="false">BB17*H$63+E$73</f>
        <v>0</v>
      </c>
      <c r="BI17" s="1242" t="n">
        <f aca="false">T17*E$62</f>
        <v>0</v>
      </c>
      <c r="BJ17" s="1242" t="n">
        <f aca="false">W17/2000*E$67</f>
        <v>0</v>
      </c>
      <c r="BK17" s="1242" t="n">
        <f aca="false">FT17+FV17</f>
        <v>0</v>
      </c>
      <c r="BL17" s="1242"/>
      <c r="FQ17" s="291" t="e">
        <f aca="false">E$40/I$63*F17*H17/12</f>
        <v>#DIV/0!</v>
      </c>
      <c r="FR17" s="291" t="e">
        <f aca="false">(Y17+FQ17)/2</f>
        <v>#DIV/0!</v>
      </c>
      <c r="FT17" s="179" t="n">
        <f aca="false">ROUND(F17*H17/324*H17/12+X17,0)</f>
        <v>0</v>
      </c>
      <c r="FU17" s="908" t="n">
        <f aca="false">ROUND(W17,0)</f>
        <v>0</v>
      </c>
      <c r="FV17" s="356" t="n">
        <f aca="false">ROUND(F17*H17/324*H17/12,0)</f>
        <v>0</v>
      </c>
      <c r="FW17" s="264" t="n">
        <f aca="false">ROUND(F17*H17/12+(U17+V17*H17/144*T17),0)</f>
        <v>0</v>
      </c>
    </row>
    <row r="18" customFormat="false" ht="18" hidden="false" customHeight="true" outlineLevel="0" collapsed="false">
      <c r="B18" s="920"/>
      <c r="C18" s="78"/>
      <c r="D18" s="900"/>
      <c r="E18" s="1232"/>
      <c r="F18" s="1233"/>
      <c r="G18" s="1234"/>
      <c r="H18" s="1235"/>
      <c r="I18" s="1236"/>
      <c r="J18" s="1235"/>
      <c r="K18" s="1236"/>
      <c r="L18" s="1235"/>
      <c r="M18" s="1236"/>
      <c r="N18" s="1235"/>
      <c r="O18" s="1236"/>
      <c r="P18" s="1235"/>
      <c r="Q18" s="1236"/>
      <c r="R18" s="1237"/>
      <c r="S18" s="1235"/>
      <c r="T18" s="1238"/>
      <c r="U18" s="1239"/>
      <c r="V18" s="900"/>
      <c r="W18" s="1240" t="n">
        <f aca="false">IF(P18=0,0,(F18*I18*J18/16*J18/16*10.680159)+((F18*K18*L18/16*L18/16*10.680159)+(M18*2*N18/16*N18/16*10.680159*F18)+((O18/16*O18/16)*3.145*0.2836*((((G18*2)+(H18*2))*F18*12/P18))))+(Q18/16*Q18/16*10.680159*(F18*12/IF(R18=0,1,R18))*S18))*(1+K$52)+(T18*U18*V18*H18*0.2836*0.03*(1+K$53))</f>
        <v>0</v>
      </c>
      <c r="X18" s="1240" t="n">
        <f aca="false">((F18*G18/12*H18/324)+ROUNDUP(T18*U18*V18*H18/46656,0))*(1+K$48)</f>
        <v>0</v>
      </c>
      <c r="Y18" s="1241" t="n">
        <f aca="false">IF(X18=0,0,E$40/X$36*X18)</f>
        <v>0</v>
      </c>
      <c r="AO18" s="1242" t="n">
        <f aca="false">IF(E18=1,X18,0)</f>
        <v>0</v>
      </c>
      <c r="AP18" s="1242" t="n">
        <f aca="false">IF($E18=2,X18,0)</f>
        <v>0</v>
      </c>
      <c r="AQ18" s="1242" t="n">
        <f aca="false">IF($E18=3,X18,0)</f>
        <v>0</v>
      </c>
      <c r="AR18" s="1242" t="n">
        <f aca="false">IF($E18=4,X18,0)</f>
        <v>0</v>
      </c>
      <c r="AS18" s="1242" t="n">
        <f aca="false">IF($E18=5,X18,0)</f>
        <v>0</v>
      </c>
      <c r="AT18" s="1242" t="n">
        <f aca="false">IF($E18=6,X18,0)</f>
        <v>0</v>
      </c>
      <c r="AU18" s="1242" t="n">
        <f aca="false">IF($E18=7,X18,0)</f>
        <v>0</v>
      </c>
      <c r="AV18" s="1242" t="n">
        <f aca="false">IF($E18=8,X18,0)</f>
        <v>0</v>
      </c>
      <c r="AW18" s="1242" t="n">
        <f aca="false">IF($E18=9,X18,0)</f>
        <v>0</v>
      </c>
      <c r="AX18" s="1242" t="n">
        <f aca="false">IF($E18=10,X18,0)</f>
        <v>0</v>
      </c>
      <c r="AY18" s="1242" t="n">
        <f aca="false">SUM(AO18:AX18)</f>
        <v>0</v>
      </c>
      <c r="AZ18" s="908" t="n">
        <f aca="false">W18</f>
        <v>0</v>
      </c>
      <c r="BA18" s="0" t="n">
        <f aca="false">F18*H18/12*2</f>
        <v>0</v>
      </c>
      <c r="BB18" s="0" t="n">
        <f aca="false">F18*H18/12</f>
        <v>0</v>
      </c>
      <c r="BC18" s="0" t="n">
        <f aca="false">(V18+U18)*H18/144*T18</f>
        <v>0</v>
      </c>
      <c r="BF18" s="1242" t="n">
        <f aca="false">W18*G$52*IF(U$39="N",(1+W$39),1)</f>
        <v>0</v>
      </c>
      <c r="BG18" s="1242" t="n">
        <f aca="false">(AO18*Pricing!F$3+'02-Gd Beams'!AP18*Pricing!G$3+'02-Gd Beams'!AQ18*Pricing!H$3+'02-Gd Beams'!AR18*Pricing!I$3+'02-Gd Beams'!AS18*Pricing!J$3+'02-Gd Beams'!AT18*Pricing!K$3)*IF(U$39="N",(1+W$39),1)</f>
        <v>0</v>
      </c>
      <c r="BH18" s="1242" t="n">
        <f aca="false">BB18*H$63+E$73</f>
        <v>0</v>
      </c>
      <c r="BI18" s="1242" t="n">
        <f aca="false">T18*E$62</f>
        <v>0</v>
      </c>
      <c r="BJ18" s="1242" t="n">
        <f aca="false">W18/2000*E$67</f>
        <v>0</v>
      </c>
      <c r="BK18" s="1242" t="n">
        <f aca="false">FT18+FV18</f>
        <v>0</v>
      </c>
      <c r="BL18" s="1242"/>
      <c r="FQ18" s="291" t="e">
        <f aca="false">E$40/I$63*F18*H18/12</f>
        <v>#DIV/0!</v>
      </c>
      <c r="FR18" s="291" t="e">
        <f aca="false">(Y18+FQ18)/2</f>
        <v>#DIV/0!</v>
      </c>
      <c r="FT18" s="179" t="n">
        <f aca="false">ROUND(F18*H18/324*H18/12+X18,0)</f>
        <v>0</v>
      </c>
      <c r="FU18" s="908" t="n">
        <f aca="false">ROUND(W18,0)</f>
        <v>0</v>
      </c>
      <c r="FV18" s="356" t="n">
        <f aca="false">ROUND(F18*H18/324*H18/12,0)</f>
        <v>0</v>
      </c>
      <c r="FW18" s="264" t="n">
        <f aca="false">ROUND(F18*H18/12+(U18+V18*H18/144*T18),0)</f>
        <v>0</v>
      </c>
    </row>
    <row r="19" customFormat="false" ht="18" hidden="false" customHeight="true" outlineLevel="0" collapsed="false">
      <c r="B19" s="920"/>
      <c r="C19" s="78"/>
      <c r="D19" s="900"/>
      <c r="E19" s="1232"/>
      <c r="F19" s="1233"/>
      <c r="G19" s="1234"/>
      <c r="H19" s="1235"/>
      <c r="I19" s="1236"/>
      <c r="J19" s="1235"/>
      <c r="K19" s="1236"/>
      <c r="L19" s="1235"/>
      <c r="M19" s="1236"/>
      <c r="N19" s="1235"/>
      <c r="O19" s="1236"/>
      <c r="P19" s="1235"/>
      <c r="Q19" s="1236"/>
      <c r="R19" s="1237"/>
      <c r="S19" s="1235"/>
      <c r="T19" s="1238"/>
      <c r="U19" s="1239"/>
      <c r="V19" s="900"/>
      <c r="W19" s="1240" t="n">
        <f aca="false">IF(P19=0,0,(F19*I19*J19/16*J19/16*10.680159)+((F19*K19*L19/16*L19/16*10.680159)+(M19*2*N19/16*N19/16*10.680159*F19)+((O19/16*O19/16)*3.145*0.2836*((((G19*2)+(H19*2))*F19*12/P19))))+(Q19/16*Q19/16*10.680159*(F19*12/IF(R19=0,1,R19))*S19))*(1+K$52)+(T19*U19*V19*H19*0.2836*0.03*(1+K$53))</f>
        <v>0</v>
      </c>
      <c r="X19" s="1240" t="n">
        <f aca="false">((F19*G19/12*H19/324)+ROUNDUP(T19*U19*V19*H19/46656,0))*(1+K$48)</f>
        <v>0</v>
      </c>
      <c r="Y19" s="1241" t="n">
        <f aca="false">IF(X19=0,0,E$40/X$36*X19)</f>
        <v>0</v>
      </c>
      <c r="AO19" s="1242" t="n">
        <f aca="false">IF(E19=1,X19,0)</f>
        <v>0</v>
      </c>
      <c r="AP19" s="1242" t="n">
        <f aca="false">IF($E19=2,X19,0)</f>
        <v>0</v>
      </c>
      <c r="AQ19" s="1242" t="n">
        <f aca="false">IF($E19=3,X19,0)</f>
        <v>0</v>
      </c>
      <c r="AR19" s="1242" t="n">
        <f aca="false">IF($E19=4,X19,0)</f>
        <v>0</v>
      </c>
      <c r="AS19" s="1242" t="n">
        <f aca="false">IF($E19=5,X19,0)</f>
        <v>0</v>
      </c>
      <c r="AT19" s="1242" t="n">
        <f aca="false">IF($E19=6,X19,0)</f>
        <v>0</v>
      </c>
      <c r="AU19" s="1242" t="n">
        <f aca="false">IF($E19=7,X19,0)</f>
        <v>0</v>
      </c>
      <c r="AV19" s="1242" t="n">
        <f aca="false">IF($E19=8,X19,0)</f>
        <v>0</v>
      </c>
      <c r="AW19" s="1242" t="n">
        <f aca="false">IF($E19=9,X19,0)</f>
        <v>0</v>
      </c>
      <c r="AX19" s="1242" t="n">
        <f aca="false">IF($E19=10,X19,0)</f>
        <v>0</v>
      </c>
      <c r="AY19" s="1242" t="n">
        <f aca="false">SUM(AO19:AX19)</f>
        <v>0</v>
      </c>
      <c r="AZ19" s="908" t="n">
        <f aca="false">W19</f>
        <v>0</v>
      </c>
      <c r="BA19" s="0" t="n">
        <f aca="false">F19*H19/12*2</f>
        <v>0</v>
      </c>
      <c r="BB19" s="0" t="n">
        <f aca="false">F19*H19/12</f>
        <v>0</v>
      </c>
      <c r="BC19" s="0" t="n">
        <f aca="false">(V19+U19)*H19/144*T19</f>
        <v>0</v>
      </c>
      <c r="BF19" s="1242" t="n">
        <f aca="false">W19*G$52*IF(U$39="N",(1+W$39),1)</f>
        <v>0</v>
      </c>
      <c r="BG19" s="1242" t="n">
        <f aca="false">(AO19*Pricing!F$3+'02-Gd Beams'!AP19*Pricing!G$3+'02-Gd Beams'!AQ19*Pricing!H$3+'02-Gd Beams'!AR19*Pricing!I$3+'02-Gd Beams'!AS19*Pricing!J$3+'02-Gd Beams'!AT19*Pricing!K$3)*IF(U$39="N",(1+W$39),1)</f>
        <v>0</v>
      </c>
      <c r="BH19" s="1242" t="n">
        <f aca="false">BB19*H$63+E$73</f>
        <v>0</v>
      </c>
      <c r="BI19" s="1242" t="n">
        <f aca="false">T19*E$62</f>
        <v>0</v>
      </c>
      <c r="BJ19" s="1242" t="n">
        <f aca="false">W19/2000*E$67</f>
        <v>0</v>
      </c>
      <c r="BK19" s="1242" t="n">
        <f aca="false">FT19+FV19</f>
        <v>0</v>
      </c>
      <c r="BL19" s="1242"/>
      <c r="FQ19" s="291" t="e">
        <f aca="false">E$40/I$63*F19*H19/12</f>
        <v>#DIV/0!</v>
      </c>
      <c r="FR19" s="291" t="e">
        <f aca="false">(Y19+FQ19)/2</f>
        <v>#DIV/0!</v>
      </c>
      <c r="FT19" s="179" t="n">
        <f aca="false">ROUND(F19*H19/324*H19/12+X19,0)</f>
        <v>0</v>
      </c>
      <c r="FU19" s="908" t="n">
        <f aca="false">ROUND(W19,0)</f>
        <v>0</v>
      </c>
      <c r="FV19" s="356" t="n">
        <f aca="false">ROUND(F19*H19/324*H19/12,0)</f>
        <v>0</v>
      </c>
      <c r="FW19" s="264" t="n">
        <f aca="false">ROUND(F19*H19/12+(U19+V19*H19/144*T19),0)</f>
        <v>0</v>
      </c>
    </row>
    <row r="20" customFormat="false" ht="18" hidden="false" customHeight="true" outlineLevel="0" collapsed="false">
      <c r="B20" s="920"/>
      <c r="C20" s="78"/>
      <c r="D20" s="900"/>
      <c r="E20" s="1232"/>
      <c r="F20" s="1233"/>
      <c r="G20" s="1234"/>
      <c r="H20" s="1235"/>
      <c r="I20" s="1236"/>
      <c r="J20" s="1235"/>
      <c r="K20" s="1236"/>
      <c r="L20" s="1235"/>
      <c r="M20" s="1236"/>
      <c r="N20" s="1235"/>
      <c r="O20" s="1236"/>
      <c r="P20" s="1235"/>
      <c r="Q20" s="1236"/>
      <c r="R20" s="1237"/>
      <c r="S20" s="1235"/>
      <c r="T20" s="1238"/>
      <c r="U20" s="1239"/>
      <c r="V20" s="900"/>
      <c r="W20" s="1240" t="n">
        <f aca="false">IF(P20=0,0,(F20*I20*J20/16*J20/16*10.680159)+((F20*K20*L20/16*L20/16*10.680159)+(M20*2*N20/16*N20/16*10.680159*F20)+((O20/16*O20/16)*3.145*0.2836*((((G20*2)+(H20*2))*F20*12/P20))))+(Q20/16*Q20/16*10.680159*(F20*12/IF(R20=0,1,R20))*S20))*(1+K$52)+(T20*U20*V20*H20*0.2836*0.03*(1+K$53))</f>
        <v>0</v>
      </c>
      <c r="X20" s="1240" t="n">
        <f aca="false">((F20*G20/12*H20/324)+ROUNDUP(T20*U20*V20*H20/46656,0))*(1+K$48)</f>
        <v>0</v>
      </c>
      <c r="Y20" s="1241" t="n">
        <f aca="false">IF(X20=0,0,E$40/X$36*X20)</f>
        <v>0</v>
      </c>
      <c r="AO20" s="1242" t="n">
        <f aca="false">IF(E20=1,X20,0)</f>
        <v>0</v>
      </c>
      <c r="AP20" s="1242" t="n">
        <f aca="false">IF($E20=2,X20,0)</f>
        <v>0</v>
      </c>
      <c r="AQ20" s="1242" t="n">
        <f aca="false">IF($E20=3,X20,0)</f>
        <v>0</v>
      </c>
      <c r="AR20" s="1242" t="n">
        <f aca="false">IF($E20=4,X20,0)</f>
        <v>0</v>
      </c>
      <c r="AS20" s="1242" t="n">
        <f aca="false">IF($E20=5,X20,0)</f>
        <v>0</v>
      </c>
      <c r="AT20" s="1242" t="n">
        <f aca="false">IF($E20=6,X20,0)</f>
        <v>0</v>
      </c>
      <c r="AU20" s="1242" t="n">
        <f aca="false">IF($E20=7,X20,0)</f>
        <v>0</v>
      </c>
      <c r="AV20" s="1242" t="n">
        <f aca="false">IF($E20=8,X20,0)</f>
        <v>0</v>
      </c>
      <c r="AW20" s="1242" t="n">
        <f aca="false">IF($E20=9,X20,0)</f>
        <v>0</v>
      </c>
      <c r="AX20" s="1242" t="n">
        <f aca="false">IF($E20=10,X20,0)</f>
        <v>0</v>
      </c>
      <c r="AY20" s="1242" t="n">
        <f aca="false">SUM(AO20:AX20)</f>
        <v>0</v>
      </c>
      <c r="AZ20" s="908" t="n">
        <f aca="false">W20</f>
        <v>0</v>
      </c>
      <c r="BA20" s="0" t="n">
        <f aca="false">F20*H20/12*2</f>
        <v>0</v>
      </c>
      <c r="BB20" s="0" t="n">
        <f aca="false">F20*H20/12</f>
        <v>0</v>
      </c>
      <c r="BC20" s="0" t="n">
        <f aca="false">(V20+U20)*H20/144*T20</f>
        <v>0</v>
      </c>
      <c r="BF20" s="1242" t="n">
        <f aca="false">W20*G$52*IF(U$39="N",(1+W$39),1)</f>
        <v>0</v>
      </c>
      <c r="BG20" s="1242" t="n">
        <f aca="false">(AO20*Pricing!F$3+'02-Gd Beams'!AP20*Pricing!G$3+'02-Gd Beams'!AQ20*Pricing!H$3+'02-Gd Beams'!AR20*Pricing!I$3+'02-Gd Beams'!AS20*Pricing!J$3+'02-Gd Beams'!AT20*Pricing!K$3)*IF(U$39="N",(1+W$39),1)</f>
        <v>0</v>
      </c>
      <c r="BH20" s="1242" t="n">
        <f aca="false">BB20*H$63+E$73</f>
        <v>0</v>
      </c>
      <c r="BI20" s="1242" t="n">
        <f aca="false">T20*E$62</f>
        <v>0</v>
      </c>
      <c r="BJ20" s="1242" t="n">
        <f aca="false">W20/2000*E$67</f>
        <v>0</v>
      </c>
      <c r="BK20" s="1242" t="n">
        <f aca="false">FT20+FV20</f>
        <v>0</v>
      </c>
      <c r="BL20" s="1242"/>
      <c r="FQ20" s="291" t="e">
        <f aca="false">E$40/I$63*F20*H20/12</f>
        <v>#DIV/0!</v>
      </c>
      <c r="FR20" s="291" t="e">
        <f aca="false">(Y20+FQ20)/2</f>
        <v>#DIV/0!</v>
      </c>
      <c r="FT20" s="179" t="n">
        <f aca="false">ROUND(F20*H20/324*H20/12+X20,0)</f>
        <v>0</v>
      </c>
      <c r="FU20" s="908" t="n">
        <f aca="false">ROUND(W20,0)</f>
        <v>0</v>
      </c>
      <c r="FV20" s="356" t="n">
        <f aca="false">ROUND(F20*H20/324*H20/12,0)</f>
        <v>0</v>
      </c>
      <c r="FW20" s="264" t="n">
        <f aca="false">ROUND(F20*H20/12+(U20+V20*H20/144*T20),0)</f>
        <v>0</v>
      </c>
    </row>
    <row r="21" customFormat="false" ht="18" hidden="false" customHeight="true" outlineLevel="0" collapsed="false">
      <c r="B21" s="920"/>
      <c r="C21" s="78"/>
      <c r="D21" s="900"/>
      <c r="E21" s="1232"/>
      <c r="F21" s="1233"/>
      <c r="G21" s="1234"/>
      <c r="H21" s="1235"/>
      <c r="I21" s="1236"/>
      <c r="J21" s="1235"/>
      <c r="K21" s="1236"/>
      <c r="L21" s="1235"/>
      <c r="M21" s="1236"/>
      <c r="N21" s="1235"/>
      <c r="O21" s="1236"/>
      <c r="P21" s="1235"/>
      <c r="Q21" s="1236"/>
      <c r="R21" s="1237"/>
      <c r="S21" s="1235"/>
      <c r="T21" s="1238"/>
      <c r="U21" s="1239"/>
      <c r="V21" s="900"/>
      <c r="W21" s="1240" t="n">
        <f aca="false">IF(P21=0,0,(F21*I21*J21/16*J21/16*10.680159)+((F21*K21*L21/16*L21/16*10.680159)+(M21*2*N21/16*N21/16*10.680159*F21)+((O21/16*O21/16)*3.145*0.2836*((((G21*2)+(H21*2))*F21*12/P21))))+(Q21/16*Q21/16*10.680159*(F21*12/IF(R21=0,1,R21))*S21))*(1+K$52)+(T21*U21*V21*H21*0.2836*0.03*(1+K$53))</f>
        <v>0</v>
      </c>
      <c r="X21" s="1240" t="n">
        <f aca="false">((F21*G21/12*H21/324)+ROUNDUP(T21*U21*V21*H21/46656,0))*(1+K$48)</f>
        <v>0</v>
      </c>
      <c r="Y21" s="1241" t="n">
        <f aca="false">IF(X21=0,0,E$40/X$36*X21)</f>
        <v>0</v>
      </c>
      <c r="AO21" s="1242" t="n">
        <f aca="false">IF(E21=1,X21,0)</f>
        <v>0</v>
      </c>
      <c r="AP21" s="1242" t="n">
        <f aca="false">IF($E21=2,X21,0)</f>
        <v>0</v>
      </c>
      <c r="AQ21" s="1242" t="n">
        <f aca="false">IF($E21=3,X21,0)</f>
        <v>0</v>
      </c>
      <c r="AR21" s="1242" t="n">
        <f aca="false">IF($E21=4,X21,0)</f>
        <v>0</v>
      </c>
      <c r="AS21" s="1242" t="n">
        <f aca="false">IF($E21=5,X21,0)</f>
        <v>0</v>
      </c>
      <c r="AT21" s="1242" t="n">
        <f aca="false">IF($E21=6,X21,0)</f>
        <v>0</v>
      </c>
      <c r="AU21" s="1242" t="n">
        <f aca="false">IF($E21=7,X21,0)</f>
        <v>0</v>
      </c>
      <c r="AV21" s="1242" t="n">
        <f aca="false">IF($E21=8,X21,0)</f>
        <v>0</v>
      </c>
      <c r="AW21" s="1242" t="n">
        <f aca="false">IF($E21=9,X21,0)</f>
        <v>0</v>
      </c>
      <c r="AX21" s="1242" t="n">
        <f aca="false">IF($E21=10,X21,0)</f>
        <v>0</v>
      </c>
      <c r="AY21" s="1242" t="n">
        <f aca="false">SUM(AO21:AX21)</f>
        <v>0</v>
      </c>
      <c r="AZ21" s="908" t="n">
        <f aca="false">W21</f>
        <v>0</v>
      </c>
      <c r="BA21" s="0" t="n">
        <f aca="false">F21*H21/12*2</f>
        <v>0</v>
      </c>
      <c r="BB21" s="0" t="n">
        <f aca="false">F21*H21/12</f>
        <v>0</v>
      </c>
      <c r="BC21" s="0" t="n">
        <f aca="false">(V21+U21)*H21/144*T21</f>
        <v>0</v>
      </c>
      <c r="BF21" s="1242" t="n">
        <f aca="false">W21*G$52*IF(U$39="N",(1+W$39),1)</f>
        <v>0</v>
      </c>
      <c r="BG21" s="1242" t="n">
        <f aca="false">(AO21*Pricing!F$3+'02-Gd Beams'!AP21*Pricing!G$3+'02-Gd Beams'!AQ21*Pricing!H$3+'02-Gd Beams'!AR21*Pricing!I$3+'02-Gd Beams'!AS21*Pricing!J$3+'02-Gd Beams'!AT21*Pricing!K$3)*IF(U$39="N",(1+W$39),1)</f>
        <v>0</v>
      </c>
      <c r="BH21" s="1242" t="n">
        <f aca="false">BB21*H$63+E$73</f>
        <v>0</v>
      </c>
      <c r="BI21" s="1242" t="n">
        <f aca="false">T21*E$62</f>
        <v>0</v>
      </c>
      <c r="BJ21" s="1242" t="n">
        <f aca="false">W21/2000*E$67</f>
        <v>0</v>
      </c>
      <c r="BK21" s="1242" t="n">
        <f aca="false">FT21+FV21</f>
        <v>0</v>
      </c>
      <c r="BL21" s="1242"/>
      <c r="FQ21" s="291" t="e">
        <f aca="false">E$40/I$63*F21*H21/12</f>
        <v>#DIV/0!</v>
      </c>
      <c r="FR21" s="291" t="e">
        <f aca="false">(Y21+FQ21)/2</f>
        <v>#DIV/0!</v>
      </c>
      <c r="FT21" s="179" t="n">
        <f aca="false">ROUND(F21*H21/324*H21/12+X21,0)</f>
        <v>0</v>
      </c>
      <c r="FU21" s="908" t="n">
        <f aca="false">ROUND(W21,0)</f>
        <v>0</v>
      </c>
      <c r="FV21" s="356" t="n">
        <f aca="false">ROUND(F21*H21/324*H21/12,0)</f>
        <v>0</v>
      </c>
      <c r="FW21" s="264" t="n">
        <f aca="false">ROUND(F21*H21/12+(U21+V21*H21/144*T21),0)</f>
        <v>0</v>
      </c>
    </row>
    <row r="22" customFormat="false" ht="18" hidden="false" customHeight="true" outlineLevel="0" collapsed="false">
      <c r="B22" s="920"/>
      <c r="C22" s="78"/>
      <c r="D22" s="900"/>
      <c r="E22" s="1232"/>
      <c r="F22" s="1233"/>
      <c r="G22" s="1234"/>
      <c r="H22" s="1235"/>
      <c r="I22" s="1236"/>
      <c r="J22" s="1235"/>
      <c r="K22" s="1236"/>
      <c r="L22" s="1235"/>
      <c r="M22" s="1236"/>
      <c r="N22" s="1235"/>
      <c r="O22" s="1236"/>
      <c r="P22" s="1235"/>
      <c r="Q22" s="1236"/>
      <c r="R22" s="1237"/>
      <c r="S22" s="1235"/>
      <c r="T22" s="1238"/>
      <c r="U22" s="1239"/>
      <c r="V22" s="900"/>
      <c r="W22" s="1240" t="n">
        <f aca="false">IF(P22=0,0,(F22*I22*J22/16*J22/16*10.680159)+((F22*K22*L22/16*L22/16*10.680159)+(M22*2*N22/16*N22/16*10.680159*F22)+((O22/16*O22/16)*3.145*0.2836*((((G22*2)+(H22*2))*F22*12/P22))))+(Q22/16*Q22/16*10.680159*(F22*12/IF(R22=0,1,R22))*S22))*(1+K$52)+(T22*U22*V22*H22*0.2836*0.03*(1+K$53))</f>
        <v>0</v>
      </c>
      <c r="X22" s="1240" t="n">
        <f aca="false">((F22*G22/12*H22/324)+ROUNDUP(T22*U22*V22*H22/46656,0))*(1+K$48)</f>
        <v>0</v>
      </c>
      <c r="Y22" s="1241" t="n">
        <f aca="false">IF(X22=0,0,E$40/X$36*X22)</f>
        <v>0</v>
      </c>
      <c r="AO22" s="1242" t="n">
        <f aca="false">IF(E22=1,X22,0)</f>
        <v>0</v>
      </c>
      <c r="AP22" s="1242" t="n">
        <f aca="false">IF($E22=2,X22,0)</f>
        <v>0</v>
      </c>
      <c r="AQ22" s="1242" t="n">
        <f aca="false">IF($E22=3,X22,0)</f>
        <v>0</v>
      </c>
      <c r="AR22" s="1242" t="n">
        <f aca="false">IF($E22=4,X22,0)</f>
        <v>0</v>
      </c>
      <c r="AS22" s="1242" t="n">
        <f aca="false">IF($E22=5,X22,0)</f>
        <v>0</v>
      </c>
      <c r="AT22" s="1242" t="n">
        <f aca="false">IF($E22=6,X22,0)</f>
        <v>0</v>
      </c>
      <c r="AU22" s="1242" t="n">
        <f aca="false">IF($E22=7,X22,0)</f>
        <v>0</v>
      </c>
      <c r="AV22" s="1242" t="n">
        <f aca="false">IF($E22=8,X22,0)</f>
        <v>0</v>
      </c>
      <c r="AW22" s="1242" t="n">
        <f aca="false">IF($E22=9,X22,0)</f>
        <v>0</v>
      </c>
      <c r="AX22" s="1242" t="n">
        <f aca="false">IF($E22=10,X22,0)</f>
        <v>0</v>
      </c>
      <c r="AY22" s="1242" t="n">
        <f aca="false">SUM(AO22:AX22)</f>
        <v>0</v>
      </c>
      <c r="AZ22" s="908" t="n">
        <f aca="false">W22</f>
        <v>0</v>
      </c>
      <c r="BA22" s="0" t="n">
        <f aca="false">F22*H22/12*2</f>
        <v>0</v>
      </c>
      <c r="BB22" s="0" t="n">
        <f aca="false">F22*H22/12</f>
        <v>0</v>
      </c>
      <c r="BC22" s="0" t="n">
        <f aca="false">(V22+U22)*H22/144*T22</f>
        <v>0</v>
      </c>
      <c r="BF22" s="1242" t="n">
        <f aca="false">W22*G$52*IF(U$39="N",(1+W$39),1)</f>
        <v>0</v>
      </c>
      <c r="BG22" s="1242" t="n">
        <f aca="false">(AO22*Pricing!F$3+'02-Gd Beams'!AP22*Pricing!G$3+'02-Gd Beams'!AQ22*Pricing!H$3+'02-Gd Beams'!AR22*Pricing!I$3+'02-Gd Beams'!AS22*Pricing!J$3+'02-Gd Beams'!AT22*Pricing!K$3)*IF(U$39="N",(1+W$39),1)</f>
        <v>0</v>
      </c>
      <c r="BH22" s="1242" t="n">
        <f aca="false">BB22*H$63+E$73</f>
        <v>0</v>
      </c>
      <c r="BI22" s="1242" t="n">
        <f aca="false">T22*E$62</f>
        <v>0</v>
      </c>
      <c r="BJ22" s="1242" t="n">
        <f aca="false">W22/2000*E$67</f>
        <v>0</v>
      </c>
      <c r="BK22" s="1242" t="n">
        <f aca="false">FT22+FV22</f>
        <v>0</v>
      </c>
      <c r="BL22" s="1242"/>
      <c r="FQ22" s="291" t="e">
        <f aca="false">E$40/I$63*F22*H22/12</f>
        <v>#DIV/0!</v>
      </c>
      <c r="FR22" s="291" t="e">
        <f aca="false">(Y22+FQ22)/2</f>
        <v>#DIV/0!</v>
      </c>
      <c r="FT22" s="179" t="n">
        <f aca="false">ROUND(F22*H22/324*H22/12+X22,0)</f>
        <v>0</v>
      </c>
      <c r="FU22" s="908" t="n">
        <f aca="false">ROUND(W22,0)</f>
        <v>0</v>
      </c>
      <c r="FV22" s="356" t="n">
        <f aca="false">ROUND(F22*H22/324*H22/12,0)</f>
        <v>0</v>
      </c>
      <c r="FW22" s="264" t="n">
        <f aca="false">ROUND(F22*H22/12+(U22+V22*H22/144*T22),0)</f>
        <v>0</v>
      </c>
    </row>
    <row r="23" customFormat="false" ht="18" hidden="false" customHeight="true" outlineLevel="0" collapsed="false">
      <c r="B23" s="920"/>
      <c r="C23" s="78"/>
      <c r="D23" s="900"/>
      <c r="E23" s="1232"/>
      <c r="F23" s="1233"/>
      <c r="G23" s="1234"/>
      <c r="H23" s="1235"/>
      <c r="I23" s="1236"/>
      <c r="J23" s="1235"/>
      <c r="K23" s="1236"/>
      <c r="L23" s="1235"/>
      <c r="M23" s="1236"/>
      <c r="N23" s="1235"/>
      <c r="O23" s="1236"/>
      <c r="P23" s="1235"/>
      <c r="Q23" s="1236"/>
      <c r="R23" s="1237"/>
      <c r="S23" s="1235"/>
      <c r="T23" s="1238"/>
      <c r="U23" s="1239"/>
      <c r="V23" s="900"/>
      <c r="W23" s="1240" t="n">
        <f aca="false">IF(P23=0,0,(F23*I23*J23/16*J23/16*10.680159)+((F23*K23*L23/16*L23/16*10.680159)+(M23*2*N23/16*N23/16*10.680159*F23)+((O23/16*O23/16)*3.145*0.2836*((((G23*2)+(H23*2))*F23*12/P23))))+(Q23/16*Q23/16*10.680159*(F23*12/IF(R23=0,1,R23))*S23))*(1+K$52)+(T23*U23*V23*H23*0.2836*0.03*(1+K$53))</f>
        <v>0</v>
      </c>
      <c r="X23" s="1240" t="n">
        <f aca="false">((F23*G23/12*H23/324)+ROUNDUP(T23*U23*V23*H23/46656,0))*(1+K$48)</f>
        <v>0</v>
      </c>
      <c r="Y23" s="1241" t="n">
        <f aca="false">IF(X23=0,0,E$40/X$36*X23)</f>
        <v>0</v>
      </c>
      <c r="AO23" s="1242" t="n">
        <f aca="false">IF(E23=1,X23,0)</f>
        <v>0</v>
      </c>
      <c r="AP23" s="1242" t="n">
        <f aca="false">IF($E23=2,X23,0)</f>
        <v>0</v>
      </c>
      <c r="AQ23" s="1242" t="n">
        <f aca="false">IF($E23=3,X23,0)</f>
        <v>0</v>
      </c>
      <c r="AR23" s="1242" t="n">
        <f aca="false">IF($E23=4,X23,0)</f>
        <v>0</v>
      </c>
      <c r="AS23" s="1242" t="n">
        <f aca="false">IF($E23=5,X23,0)</f>
        <v>0</v>
      </c>
      <c r="AT23" s="1242" t="n">
        <f aca="false">IF($E23=6,X23,0)</f>
        <v>0</v>
      </c>
      <c r="AU23" s="1242" t="n">
        <f aca="false">IF($E23=7,X23,0)</f>
        <v>0</v>
      </c>
      <c r="AV23" s="1242" t="n">
        <f aca="false">IF($E23=8,X23,0)</f>
        <v>0</v>
      </c>
      <c r="AW23" s="1242" t="n">
        <f aca="false">IF($E23=9,X23,0)</f>
        <v>0</v>
      </c>
      <c r="AX23" s="1242" t="n">
        <f aca="false">IF($E23=10,X23,0)</f>
        <v>0</v>
      </c>
      <c r="AY23" s="1242" t="n">
        <f aca="false">SUM(AO23:AX23)</f>
        <v>0</v>
      </c>
      <c r="AZ23" s="908" t="n">
        <f aca="false">W23</f>
        <v>0</v>
      </c>
      <c r="BA23" s="0" t="n">
        <f aca="false">F23*H23/12*2</f>
        <v>0</v>
      </c>
      <c r="BB23" s="0" t="n">
        <f aca="false">F23*H23/12</f>
        <v>0</v>
      </c>
      <c r="BC23" s="0" t="n">
        <f aca="false">(V23+U23)*H23/144*T23</f>
        <v>0</v>
      </c>
      <c r="BF23" s="1242" t="n">
        <f aca="false">W23*G$52*IF(U$39="N",(1+W$39),1)</f>
        <v>0</v>
      </c>
      <c r="BG23" s="1242" t="n">
        <f aca="false">(AO23*Pricing!F$3+'02-Gd Beams'!AP23*Pricing!G$3+'02-Gd Beams'!AQ23*Pricing!H$3+'02-Gd Beams'!AR23*Pricing!I$3+'02-Gd Beams'!AS23*Pricing!J$3+'02-Gd Beams'!AT23*Pricing!K$3)*IF(U$39="N",(1+W$39),1)</f>
        <v>0</v>
      </c>
      <c r="BH23" s="1242" t="n">
        <f aca="false">BB23*H$63+E$73</f>
        <v>0</v>
      </c>
      <c r="BI23" s="1242" t="n">
        <f aca="false">T23*E$62</f>
        <v>0</v>
      </c>
      <c r="BJ23" s="1242" t="n">
        <f aca="false">W23/2000*E$67</f>
        <v>0</v>
      </c>
      <c r="BK23" s="1242" t="n">
        <f aca="false">FT23+FV23</f>
        <v>0</v>
      </c>
      <c r="BL23" s="1242"/>
      <c r="FQ23" s="291" t="e">
        <f aca="false">E$40/I$63*F23*H23/12</f>
        <v>#DIV/0!</v>
      </c>
      <c r="FR23" s="291" t="e">
        <f aca="false">(Y23+FQ23)/2</f>
        <v>#DIV/0!</v>
      </c>
      <c r="FT23" s="179" t="n">
        <f aca="false">ROUND(F23*H23/324*H23/12+X23,0)</f>
        <v>0</v>
      </c>
      <c r="FU23" s="908" t="n">
        <f aca="false">ROUND(W23,0)</f>
        <v>0</v>
      </c>
      <c r="FV23" s="356" t="n">
        <f aca="false">ROUND(F23*H23/324*H23/12,0)</f>
        <v>0</v>
      </c>
      <c r="FW23" s="264" t="n">
        <f aca="false">ROUND(F23*H23/12+(U23+V23*H23/144*T23),0)</f>
        <v>0</v>
      </c>
    </row>
    <row r="24" customFormat="false" ht="18" hidden="false" customHeight="true" outlineLevel="0" collapsed="false">
      <c r="B24" s="920"/>
      <c r="C24" s="78"/>
      <c r="D24" s="900"/>
      <c r="E24" s="1232"/>
      <c r="F24" s="1233"/>
      <c r="G24" s="1234"/>
      <c r="H24" s="1235"/>
      <c r="I24" s="1236"/>
      <c r="J24" s="1235"/>
      <c r="K24" s="1236"/>
      <c r="L24" s="1235"/>
      <c r="M24" s="1236"/>
      <c r="N24" s="1235"/>
      <c r="O24" s="1236"/>
      <c r="P24" s="1235"/>
      <c r="Q24" s="1236"/>
      <c r="R24" s="1237"/>
      <c r="S24" s="1235"/>
      <c r="T24" s="1238"/>
      <c r="U24" s="1239"/>
      <c r="V24" s="900"/>
      <c r="W24" s="1240" t="n">
        <f aca="false">IF(P24=0,0,(F24*I24*J24/16*J24/16*10.680159)+((F24*K24*L24/16*L24/16*10.680159)+(M24*2*N24/16*N24/16*10.680159*F24)+((O24/16*O24/16)*3.145*0.2836*((((G24*2)+(H24*2))*F24*12/P24))))+(Q24/16*Q24/16*10.680159*(F24*12/IF(R24=0,1,R24))*S24))*(1+K$52)+(T24*U24*V24*H24*0.2836*0.03*(1+K$53))</f>
        <v>0</v>
      </c>
      <c r="X24" s="1240" t="n">
        <f aca="false">((F24*G24/12*H24/324)+ROUNDUP(T24*U24*V24*H24/46656,0))*(1+K$48)</f>
        <v>0</v>
      </c>
      <c r="Y24" s="1241" t="n">
        <f aca="false">IF(X24=0,0,E$40/X$36*X24)</f>
        <v>0</v>
      </c>
      <c r="AO24" s="1242" t="n">
        <f aca="false">IF(E24=1,X24,0)</f>
        <v>0</v>
      </c>
      <c r="AP24" s="1242" t="n">
        <f aca="false">IF($E24=2,X24,0)</f>
        <v>0</v>
      </c>
      <c r="AQ24" s="1242" t="n">
        <f aca="false">IF($E24=3,X24,0)</f>
        <v>0</v>
      </c>
      <c r="AR24" s="1242" t="n">
        <f aca="false">IF($E24=4,X24,0)</f>
        <v>0</v>
      </c>
      <c r="AS24" s="1242" t="n">
        <f aca="false">IF($E24=5,X24,0)</f>
        <v>0</v>
      </c>
      <c r="AT24" s="1242" t="n">
        <f aca="false">IF($E24=6,X24,0)</f>
        <v>0</v>
      </c>
      <c r="AU24" s="1242" t="n">
        <f aca="false">IF($E24=7,X24,0)</f>
        <v>0</v>
      </c>
      <c r="AV24" s="1242" t="n">
        <f aca="false">IF($E24=8,X24,0)</f>
        <v>0</v>
      </c>
      <c r="AW24" s="1242" t="n">
        <f aca="false">IF($E24=9,X24,0)</f>
        <v>0</v>
      </c>
      <c r="AX24" s="1242" t="n">
        <f aca="false">IF($E24=10,X24,0)</f>
        <v>0</v>
      </c>
      <c r="AY24" s="1242" t="n">
        <f aca="false">SUM(AO24:AX24)</f>
        <v>0</v>
      </c>
      <c r="AZ24" s="908" t="n">
        <f aca="false">W24</f>
        <v>0</v>
      </c>
      <c r="BA24" s="0" t="n">
        <f aca="false">F24*H24/12*2</f>
        <v>0</v>
      </c>
      <c r="BB24" s="0" t="n">
        <f aca="false">F24*H24/12</f>
        <v>0</v>
      </c>
      <c r="BC24" s="0" t="n">
        <f aca="false">(V24+U24)*H24/144*T24</f>
        <v>0</v>
      </c>
      <c r="BF24" s="1242" t="n">
        <f aca="false">W24*G$52*IF(U$39="N",(1+W$39),1)</f>
        <v>0</v>
      </c>
      <c r="BG24" s="1242" t="n">
        <f aca="false">(AO24*Pricing!F$3+'02-Gd Beams'!AP24*Pricing!G$3+'02-Gd Beams'!AQ24*Pricing!H$3+'02-Gd Beams'!AR24*Pricing!I$3+'02-Gd Beams'!AS24*Pricing!J$3+'02-Gd Beams'!AT24*Pricing!K$3)*IF(U$39="N",(1+W$39),1)</f>
        <v>0</v>
      </c>
      <c r="BH24" s="1242" t="n">
        <f aca="false">BB24*H$63+E$73</f>
        <v>0</v>
      </c>
      <c r="BI24" s="1242" t="n">
        <f aca="false">T24*E$62</f>
        <v>0</v>
      </c>
      <c r="BJ24" s="1242" t="n">
        <f aca="false">W24/2000*E$67</f>
        <v>0</v>
      </c>
      <c r="BK24" s="1242" t="n">
        <f aca="false">FT24+FV24</f>
        <v>0</v>
      </c>
      <c r="BL24" s="1242"/>
      <c r="FQ24" s="291" t="e">
        <f aca="false">E$40/I$63*F24*H24/12</f>
        <v>#DIV/0!</v>
      </c>
      <c r="FR24" s="291" t="e">
        <f aca="false">(Y24+FQ24)/2</f>
        <v>#DIV/0!</v>
      </c>
      <c r="FT24" s="179" t="n">
        <f aca="false">ROUND(F24*H24/324*H24/12+X24,0)</f>
        <v>0</v>
      </c>
      <c r="FU24" s="908" t="n">
        <f aca="false">ROUND(W24,0)</f>
        <v>0</v>
      </c>
      <c r="FV24" s="356" t="n">
        <f aca="false">ROUND(F24*H24/324*H24/12,0)</f>
        <v>0</v>
      </c>
      <c r="FW24" s="264" t="n">
        <f aca="false">ROUND(F24*H24/12+(U24+V24*H24/144*T24),0)</f>
        <v>0</v>
      </c>
    </row>
    <row r="25" customFormat="false" ht="18" hidden="false" customHeight="true" outlineLevel="0" collapsed="false">
      <c r="B25" s="920"/>
      <c r="C25" s="78"/>
      <c r="D25" s="900"/>
      <c r="E25" s="1232"/>
      <c r="F25" s="1233"/>
      <c r="G25" s="1234"/>
      <c r="H25" s="1235"/>
      <c r="I25" s="1236"/>
      <c r="J25" s="1235"/>
      <c r="K25" s="1236"/>
      <c r="L25" s="1235"/>
      <c r="M25" s="1236"/>
      <c r="N25" s="1235"/>
      <c r="O25" s="1236"/>
      <c r="P25" s="1235"/>
      <c r="Q25" s="1236"/>
      <c r="R25" s="1237"/>
      <c r="S25" s="1235"/>
      <c r="T25" s="1238"/>
      <c r="U25" s="1239"/>
      <c r="V25" s="900"/>
      <c r="W25" s="1240" t="n">
        <f aca="false">IF(P25=0,0,(F25*I25*J25/16*J25/16*10.680159)+((F25*K25*L25/16*L25/16*10.680159)+(M25*2*N25/16*N25/16*10.680159*F25)+((O25/16*O25/16)*3.145*0.2836*((((G25*2)+(H25*2))*F25*12/P25))))+(Q25/16*Q25/16*10.680159*(F25*12/IF(R25=0,1,R25))*S25))*(1+K$52)+(T25*U25*V25*H25*0.2836*0.03*(1+K$53))</f>
        <v>0</v>
      </c>
      <c r="X25" s="1240" t="n">
        <f aca="false">((F25*G25/12*H25/324)+ROUNDUP(T25*U25*V25*H25/46656,0))*(1+K$48)</f>
        <v>0</v>
      </c>
      <c r="Y25" s="1241" t="n">
        <f aca="false">IF(X25=0,0,E$40/X$36*X25)</f>
        <v>0</v>
      </c>
      <c r="AO25" s="1242" t="n">
        <f aca="false">IF(E25=1,X25,0)</f>
        <v>0</v>
      </c>
      <c r="AP25" s="1242" t="n">
        <f aca="false">IF($E25=2,X25,0)</f>
        <v>0</v>
      </c>
      <c r="AQ25" s="1242" t="n">
        <f aca="false">IF($E25=3,X25,0)</f>
        <v>0</v>
      </c>
      <c r="AR25" s="1242" t="n">
        <f aca="false">IF($E25=4,X25,0)</f>
        <v>0</v>
      </c>
      <c r="AS25" s="1242" t="n">
        <f aca="false">IF($E25=5,X25,0)</f>
        <v>0</v>
      </c>
      <c r="AT25" s="1242" t="n">
        <f aca="false">IF($E25=6,X25,0)</f>
        <v>0</v>
      </c>
      <c r="AU25" s="1242" t="n">
        <f aca="false">IF($E25=7,X25,0)</f>
        <v>0</v>
      </c>
      <c r="AV25" s="1242" t="n">
        <f aca="false">IF($E25=8,X25,0)</f>
        <v>0</v>
      </c>
      <c r="AW25" s="1242" t="n">
        <f aca="false">IF($E25=9,X25,0)</f>
        <v>0</v>
      </c>
      <c r="AX25" s="1242" t="n">
        <f aca="false">IF($E25=10,X25,0)</f>
        <v>0</v>
      </c>
      <c r="AY25" s="1242" t="n">
        <f aca="false">SUM(AO25:AX25)</f>
        <v>0</v>
      </c>
      <c r="AZ25" s="908" t="n">
        <f aca="false">W25</f>
        <v>0</v>
      </c>
      <c r="BA25" s="0" t="n">
        <f aca="false">F25*H25/12*2</f>
        <v>0</v>
      </c>
      <c r="BB25" s="0" t="n">
        <f aca="false">F25*H25/12</f>
        <v>0</v>
      </c>
      <c r="BC25" s="0" t="n">
        <f aca="false">(V25+U25)*H25/144*T25</f>
        <v>0</v>
      </c>
      <c r="BF25" s="1242" t="n">
        <f aca="false">W25*G$52*IF(U$39="N",(1+W$39),1)</f>
        <v>0</v>
      </c>
      <c r="BG25" s="1242" t="n">
        <f aca="false">(AO25*Pricing!F$3+'02-Gd Beams'!AP25*Pricing!G$3+'02-Gd Beams'!AQ25*Pricing!H$3+'02-Gd Beams'!AR25*Pricing!I$3+'02-Gd Beams'!AS25*Pricing!J$3+'02-Gd Beams'!AT25*Pricing!K$3)*IF(U$39="N",(1+W$39),1)</f>
        <v>0</v>
      </c>
      <c r="BH25" s="1242" t="n">
        <f aca="false">BB25*H$63+E$73</f>
        <v>0</v>
      </c>
      <c r="BI25" s="1242" t="n">
        <f aca="false">T25*E$62</f>
        <v>0</v>
      </c>
      <c r="BJ25" s="1242" t="n">
        <f aca="false">W25/2000*E$67</f>
        <v>0</v>
      </c>
      <c r="BK25" s="1242" t="n">
        <f aca="false">FT25+FV25</f>
        <v>0</v>
      </c>
      <c r="BL25" s="1242"/>
      <c r="FQ25" s="291" t="e">
        <f aca="false">E$40/I$63*F25*H25/12</f>
        <v>#DIV/0!</v>
      </c>
      <c r="FR25" s="291" t="e">
        <f aca="false">(Y25+FQ25)/2</f>
        <v>#DIV/0!</v>
      </c>
      <c r="FT25" s="179" t="n">
        <f aca="false">ROUND(F25*H25/324*H25/12+X25,0)</f>
        <v>0</v>
      </c>
      <c r="FU25" s="908" t="n">
        <f aca="false">ROUND(W25,0)</f>
        <v>0</v>
      </c>
      <c r="FV25" s="356" t="n">
        <f aca="false">ROUND(F25*H25/324*H25/12,0)</f>
        <v>0</v>
      </c>
      <c r="FW25" s="264" t="n">
        <f aca="false">ROUND(F25*H25/12+(U25+V25*H25/144*T25),0)</f>
        <v>0</v>
      </c>
    </row>
    <row r="26" customFormat="false" ht="18" hidden="false" customHeight="true" outlineLevel="0" collapsed="false">
      <c r="B26" s="920"/>
      <c r="C26" s="78"/>
      <c r="D26" s="900"/>
      <c r="E26" s="1232"/>
      <c r="F26" s="1233"/>
      <c r="G26" s="1234"/>
      <c r="H26" s="1235"/>
      <c r="I26" s="1236"/>
      <c r="J26" s="1235"/>
      <c r="K26" s="1236"/>
      <c r="L26" s="1235"/>
      <c r="M26" s="1236"/>
      <c r="N26" s="1235"/>
      <c r="O26" s="1236"/>
      <c r="P26" s="1235"/>
      <c r="Q26" s="1236"/>
      <c r="R26" s="1237"/>
      <c r="S26" s="1235"/>
      <c r="T26" s="1238"/>
      <c r="U26" s="1239"/>
      <c r="V26" s="900"/>
      <c r="W26" s="1240" t="n">
        <f aca="false">IF(P26=0,0,(F26*I26*J26/16*J26/16*10.680159)+((F26*K26*L26/16*L26/16*10.680159)+(M26*2*N26/16*N26/16*10.680159*F26)+((O26/16*O26/16)*3.145*0.2836*((((G26*2)+(H26*2))*F26*12/P26))))+(Q26/16*Q26/16*10.680159*(F26*12/IF(R26=0,1,R26))*S26))*(1+K$52)+(T26*U26*V26*H26*0.2836*0.03*(1+K$53))</f>
        <v>0</v>
      </c>
      <c r="X26" s="1240" t="n">
        <f aca="false">((F26*G26/12*H26/324)+ROUNDUP(T26*U26*V26*H26/46656,0))*(1+K$48)</f>
        <v>0</v>
      </c>
      <c r="Y26" s="1241" t="n">
        <f aca="false">IF(X26=0,0,E$40/X$36*X26)</f>
        <v>0</v>
      </c>
      <c r="AO26" s="1242" t="n">
        <f aca="false">IF(E26=1,X26,0)</f>
        <v>0</v>
      </c>
      <c r="AP26" s="1242" t="n">
        <f aca="false">IF($E26=2,X26,0)</f>
        <v>0</v>
      </c>
      <c r="AQ26" s="1242" t="n">
        <f aca="false">IF($E26=3,X26,0)</f>
        <v>0</v>
      </c>
      <c r="AR26" s="1242" t="n">
        <f aca="false">IF($E26=4,X26,0)</f>
        <v>0</v>
      </c>
      <c r="AS26" s="1242" t="n">
        <f aca="false">IF($E26=5,X26,0)</f>
        <v>0</v>
      </c>
      <c r="AT26" s="1242" t="n">
        <f aca="false">IF($E26=6,X26,0)</f>
        <v>0</v>
      </c>
      <c r="AU26" s="1242" t="n">
        <f aca="false">IF($E26=7,X26,0)</f>
        <v>0</v>
      </c>
      <c r="AV26" s="1242" t="n">
        <f aca="false">IF($E26=8,X26,0)</f>
        <v>0</v>
      </c>
      <c r="AW26" s="1242" t="n">
        <f aca="false">IF($E26=9,X26,0)</f>
        <v>0</v>
      </c>
      <c r="AX26" s="1242" t="n">
        <f aca="false">IF($E26=10,X26,0)</f>
        <v>0</v>
      </c>
      <c r="AY26" s="1242" t="n">
        <f aca="false">SUM(AO26:AX26)</f>
        <v>0</v>
      </c>
      <c r="AZ26" s="908" t="n">
        <f aca="false">W26</f>
        <v>0</v>
      </c>
      <c r="BA26" s="0" t="n">
        <f aca="false">F26*H26/12*2</f>
        <v>0</v>
      </c>
      <c r="BB26" s="0" t="n">
        <f aca="false">F26*H26/12</f>
        <v>0</v>
      </c>
      <c r="BC26" s="0" t="n">
        <f aca="false">(V26+U26)*H26/144*T26</f>
        <v>0</v>
      </c>
      <c r="BF26" s="1242" t="n">
        <f aca="false">W26*G$52*IF(U$39="N",(1+W$39),1)</f>
        <v>0</v>
      </c>
      <c r="BG26" s="1242" t="n">
        <f aca="false">(AO26*Pricing!F$3+'02-Gd Beams'!AP26*Pricing!G$3+'02-Gd Beams'!AQ26*Pricing!H$3+'02-Gd Beams'!AR26*Pricing!I$3+'02-Gd Beams'!AS26*Pricing!J$3+'02-Gd Beams'!AT26*Pricing!K$3)*IF(U$39="N",(1+W$39),1)</f>
        <v>0</v>
      </c>
      <c r="BH26" s="1242" t="n">
        <f aca="false">BB26*H$63+E$73</f>
        <v>0</v>
      </c>
      <c r="BI26" s="1242" t="n">
        <f aca="false">T26*E$62</f>
        <v>0</v>
      </c>
      <c r="BJ26" s="1242" t="n">
        <f aca="false">W26/2000*E$67</f>
        <v>0</v>
      </c>
      <c r="BK26" s="1242" t="n">
        <f aca="false">FT26+FV26</f>
        <v>0</v>
      </c>
      <c r="BL26" s="1242"/>
      <c r="FQ26" s="291" t="e">
        <f aca="false">E$40/I$63*F26*H26/12</f>
        <v>#DIV/0!</v>
      </c>
      <c r="FR26" s="291" t="e">
        <f aca="false">(Y26+FQ26)/2</f>
        <v>#DIV/0!</v>
      </c>
      <c r="FT26" s="179" t="n">
        <f aca="false">ROUND(F26*H26/324*H26/12+X26,0)</f>
        <v>0</v>
      </c>
      <c r="FU26" s="908" t="n">
        <f aca="false">ROUND(W26,0)</f>
        <v>0</v>
      </c>
      <c r="FV26" s="356" t="n">
        <f aca="false">ROUND(F26*H26/324*H26/12,0)</f>
        <v>0</v>
      </c>
      <c r="FW26" s="264" t="n">
        <f aca="false">ROUND(F26*H26/12+(U26+V26*H26/144*T26),0)</f>
        <v>0</v>
      </c>
    </row>
    <row r="27" customFormat="false" ht="18" hidden="false" customHeight="true" outlineLevel="0" collapsed="false">
      <c r="B27" s="920"/>
      <c r="C27" s="78"/>
      <c r="D27" s="900"/>
      <c r="E27" s="1232"/>
      <c r="F27" s="1233"/>
      <c r="G27" s="1234"/>
      <c r="H27" s="1235"/>
      <c r="I27" s="1236"/>
      <c r="J27" s="1235"/>
      <c r="K27" s="1236"/>
      <c r="L27" s="1235"/>
      <c r="M27" s="1236"/>
      <c r="N27" s="1235"/>
      <c r="O27" s="1236"/>
      <c r="P27" s="1235"/>
      <c r="Q27" s="1236"/>
      <c r="R27" s="1237"/>
      <c r="S27" s="1235"/>
      <c r="T27" s="1238"/>
      <c r="U27" s="1239"/>
      <c r="V27" s="900"/>
      <c r="W27" s="1240" t="n">
        <f aca="false">IF(P27=0,0,(F27*I27*J27/16*J27/16*10.680159)+((F27*K27*L27/16*L27/16*10.680159)+(M27*2*N27/16*N27/16*10.680159*F27)+((O27/16*O27/16)*3.145*0.2836*((((G27*2)+(H27*2))*F27*12/P27))))+(Q27/16*Q27/16*10.680159*(F27*12/IF(R27=0,1,R27))*S27))*(1+K$52)+(T27*U27*V27*H27*0.2836*0.03*(1+K$53))</f>
        <v>0</v>
      </c>
      <c r="X27" s="1240" t="n">
        <f aca="false">((F27*G27/12*H27/324)+ROUNDUP(T27*U27*V27*H27/46656,0))*(1+K$48)</f>
        <v>0</v>
      </c>
      <c r="Y27" s="1241" t="n">
        <f aca="false">IF(X27=0,0,E$40/X$36*X27)</f>
        <v>0</v>
      </c>
      <c r="AO27" s="1242" t="n">
        <f aca="false">IF(E27=1,X27,0)</f>
        <v>0</v>
      </c>
      <c r="AP27" s="1242" t="n">
        <f aca="false">IF($E27=2,X27,0)</f>
        <v>0</v>
      </c>
      <c r="AQ27" s="1242" t="n">
        <f aca="false">IF($E27=3,X27,0)</f>
        <v>0</v>
      </c>
      <c r="AR27" s="1242" t="n">
        <f aca="false">IF($E27=4,X27,0)</f>
        <v>0</v>
      </c>
      <c r="AS27" s="1242" t="n">
        <f aca="false">IF($E27=5,X27,0)</f>
        <v>0</v>
      </c>
      <c r="AT27" s="1242" t="n">
        <f aca="false">IF($E27=6,X27,0)</f>
        <v>0</v>
      </c>
      <c r="AU27" s="1242" t="n">
        <f aca="false">IF($E27=7,X27,0)</f>
        <v>0</v>
      </c>
      <c r="AV27" s="1242" t="n">
        <f aca="false">IF($E27=8,X27,0)</f>
        <v>0</v>
      </c>
      <c r="AW27" s="1242" t="n">
        <f aca="false">IF($E27=9,X27,0)</f>
        <v>0</v>
      </c>
      <c r="AX27" s="1242" t="n">
        <f aca="false">IF($E27=10,X27,0)</f>
        <v>0</v>
      </c>
      <c r="AY27" s="1242" t="n">
        <f aca="false">SUM(AO27:AX27)</f>
        <v>0</v>
      </c>
      <c r="AZ27" s="908" t="n">
        <f aca="false">W27</f>
        <v>0</v>
      </c>
      <c r="BA27" s="0" t="n">
        <f aca="false">F27*H27/12*2</f>
        <v>0</v>
      </c>
      <c r="BB27" s="0" t="n">
        <f aca="false">F27*H27/12</f>
        <v>0</v>
      </c>
      <c r="BC27" s="0" t="n">
        <f aca="false">(V27+U27)*H27/144*T27</f>
        <v>0</v>
      </c>
      <c r="BF27" s="1242" t="n">
        <f aca="false">W27*G$52*IF(U$39="N",(1+W$39),1)</f>
        <v>0</v>
      </c>
      <c r="BG27" s="1242" t="n">
        <f aca="false">(AO27*Pricing!F$3+'02-Gd Beams'!AP27*Pricing!G$3+'02-Gd Beams'!AQ27*Pricing!H$3+'02-Gd Beams'!AR27*Pricing!I$3+'02-Gd Beams'!AS27*Pricing!J$3+'02-Gd Beams'!AT27*Pricing!K$3)*IF(U$39="N",(1+W$39),1)</f>
        <v>0</v>
      </c>
      <c r="BH27" s="1242" t="n">
        <f aca="false">BB27*H$63+E$73</f>
        <v>0</v>
      </c>
      <c r="BI27" s="1242" t="n">
        <f aca="false">T27*E$62</f>
        <v>0</v>
      </c>
      <c r="BJ27" s="1242" t="n">
        <f aca="false">W27/2000*E$67</f>
        <v>0</v>
      </c>
      <c r="BK27" s="1242" t="n">
        <f aca="false">FT27+FV27</f>
        <v>0</v>
      </c>
      <c r="BL27" s="1242"/>
      <c r="FQ27" s="291" t="e">
        <f aca="false">E$40/I$63*F27*H27/12</f>
        <v>#DIV/0!</v>
      </c>
      <c r="FR27" s="291" t="e">
        <f aca="false">(Y27+FQ27)/2</f>
        <v>#DIV/0!</v>
      </c>
      <c r="FT27" s="179" t="n">
        <f aca="false">ROUND(F27*H27/324*H27/12+X27,0)</f>
        <v>0</v>
      </c>
      <c r="FU27" s="908" t="n">
        <f aca="false">ROUND(W27,0)</f>
        <v>0</v>
      </c>
      <c r="FV27" s="356" t="n">
        <f aca="false">ROUND(F27*H27/324*H27/12,0)</f>
        <v>0</v>
      </c>
      <c r="FW27" s="264" t="n">
        <f aca="false">ROUND(F27*H27/12+(U27+V27*H27/144*T27),0)</f>
        <v>0</v>
      </c>
    </row>
    <row r="28" customFormat="false" ht="18" hidden="false" customHeight="true" outlineLevel="0" collapsed="false">
      <c r="B28" s="920"/>
      <c r="C28" s="78"/>
      <c r="D28" s="900"/>
      <c r="E28" s="1232"/>
      <c r="F28" s="1233"/>
      <c r="G28" s="1234"/>
      <c r="H28" s="1235"/>
      <c r="I28" s="1236"/>
      <c r="J28" s="1235"/>
      <c r="K28" s="1236"/>
      <c r="L28" s="1235"/>
      <c r="M28" s="1236"/>
      <c r="N28" s="1235"/>
      <c r="O28" s="1236"/>
      <c r="P28" s="1235"/>
      <c r="Q28" s="1236"/>
      <c r="R28" s="1237"/>
      <c r="S28" s="1235"/>
      <c r="T28" s="1238"/>
      <c r="U28" s="1239"/>
      <c r="V28" s="900"/>
      <c r="W28" s="1240" t="n">
        <f aca="false">IF(P28=0,0,(F28*I28*J28/16*J28/16*10.680159)+((F28*K28*L28/16*L28/16*10.680159)+(M28*2*N28/16*N28/16*10.680159*F28)+((O28/16*O28/16)*3.145*0.2836*((((G28*2)+(H28*2))*F28*12/P28))))+(Q28/16*Q28/16*10.680159*(F28*12/IF(R28=0,1,R28))*S28))*(1+K$52)+(T28*U28*V28*H28*0.2836*0.03*(1+K$53))</f>
        <v>0</v>
      </c>
      <c r="X28" s="1240" t="n">
        <f aca="false">((F28*G28/12*H28/324)+ROUNDUP(T28*U28*V28*H28/46656,0))*(1+K$48)</f>
        <v>0</v>
      </c>
      <c r="Y28" s="1241" t="n">
        <f aca="false">IF(X28=0,0,E$40/X$36*X28)</f>
        <v>0</v>
      </c>
      <c r="AO28" s="1242" t="n">
        <f aca="false">IF(E28=1,X28,0)</f>
        <v>0</v>
      </c>
      <c r="AP28" s="1242" t="n">
        <f aca="false">IF($E28=2,X28,0)</f>
        <v>0</v>
      </c>
      <c r="AQ28" s="1242" t="n">
        <f aca="false">IF($E28=3,X28,0)</f>
        <v>0</v>
      </c>
      <c r="AR28" s="1242" t="n">
        <f aca="false">IF($E28=4,X28,0)</f>
        <v>0</v>
      </c>
      <c r="AS28" s="1242" t="n">
        <f aca="false">IF($E28=5,X28,0)</f>
        <v>0</v>
      </c>
      <c r="AT28" s="1242" t="n">
        <f aca="false">IF($E28=6,X28,0)</f>
        <v>0</v>
      </c>
      <c r="AU28" s="1242" t="n">
        <f aca="false">IF($E28=7,X28,0)</f>
        <v>0</v>
      </c>
      <c r="AV28" s="1242" t="n">
        <f aca="false">IF($E28=8,X28,0)</f>
        <v>0</v>
      </c>
      <c r="AW28" s="1242" t="n">
        <f aca="false">IF($E28=9,X28,0)</f>
        <v>0</v>
      </c>
      <c r="AX28" s="1242" t="n">
        <f aca="false">IF($E28=10,X28,0)</f>
        <v>0</v>
      </c>
      <c r="AY28" s="1242" t="n">
        <f aca="false">SUM(AO28:AX28)</f>
        <v>0</v>
      </c>
      <c r="AZ28" s="908" t="n">
        <f aca="false">W28</f>
        <v>0</v>
      </c>
      <c r="BA28" s="0" t="n">
        <f aca="false">F28*H28/12*2</f>
        <v>0</v>
      </c>
      <c r="BB28" s="0" t="n">
        <f aca="false">F28*H28/12</f>
        <v>0</v>
      </c>
      <c r="BC28" s="0" t="n">
        <f aca="false">(V28+U28)*H28/144*T28</f>
        <v>0</v>
      </c>
      <c r="BF28" s="1242" t="n">
        <f aca="false">W28*G$52*IF(U$39="N",(1+W$39),1)</f>
        <v>0</v>
      </c>
      <c r="BG28" s="1242" t="n">
        <f aca="false">(AO28*Pricing!F$3+'02-Gd Beams'!AP28*Pricing!G$3+'02-Gd Beams'!AQ28*Pricing!H$3+'02-Gd Beams'!AR28*Pricing!I$3+'02-Gd Beams'!AS28*Pricing!J$3+'02-Gd Beams'!AT28*Pricing!K$3)*IF(U$39="N",(1+W$39),1)</f>
        <v>0</v>
      </c>
      <c r="BH28" s="1242" t="n">
        <f aca="false">BB28*H$63+E$73</f>
        <v>0</v>
      </c>
      <c r="BI28" s="1242" t="n">
        <f aca="false">T28*E$62</f>
        <v>0</v>
      </c>
      <c r="BJ28" s="1242" t="n">
        <f aca="false">W28/2000*E$67</f>
        <v>0</v>
      </c>
      <c r="BK28" s="1242" t="n">
        <f aca="false">FT28+FV28</f>
        <v>0</v>
      </c>
      <c r="BL28" s="1242"/>
      <c r="FQ28" s="291" t="e">
        <f aca="false">E$40/I$63*F28*H28/12</f>
        <v>#DIV/0!</v>
      </c>
      <c r="FR28" s="291" t="e">
        <f aca="false">(Y28+FQ28)/2</f>
        <v>#DIV/0!</v>
      </c>
      <c r="FT28" s="179" t="n">
        <f aca="false">ROUND(F28*H28/324*H28/12+X28,0)</f>
        <v>0</v>
      </c>
      <c r="FU28" s="908" t="n">
        <f aca="false">ROUND(W28,0)</f>
        <v>0</v>
      </c>
      <c r="FV28" s="356" t="n">
        <f aca="false">ROUND(F28*H28/324*H28/12,0)</f>
        <v>0</v>
      </c>
      <c r="FW28" s="264" t="n">
        <f aca="false">ROUND(F28*H28/12+(U28+V28*H28/144*T28),0)</f>
        <v>0</v>
      </c>
    </row>
    <row r="29" customFormat="false" ht="18" hidden="false" customHeight="true" outlineLevel="0" collapsed="false">
      <c r="B29" s="920"/>
      <c r="C29" s="78"/>
      <c r="D29" s="900"/>
      <c r="E29" s="1232"/>
      <c r="F29" s="1233"/>
      <c r="G29" s="1234"/>
      <c r="H29" s="1235"/>
      <c r="I29" s="1236"/>
      <c r="J29" s="1235"/>
      <c r="K29" s="1236"/>
      <c r="L29" s="1235"/>
      <c r="M29" s="1236"/>
      <c r="N29" s="1235"/>
      <c r="O29" s="1236"/>
      <c r="P29" s="1235"/>
      <c r="Q29" s="1236"/>
      <c r="R29" s="1237"/>
      <c r="S29" s="1235"/>
      <c r="T29" s="1238"/>
      <c r="U29" s="1239"/>
      <c r="V29" s="900"/>
      <c r="W29" s="1240" t="n">
        <f aca="false">IF(P29=0,0,(F29*I29*J29/16*J29/16*10.680159)+((F29*K29*L29/16*L29/16*10.680159)+(M29*2*N29/16*N29/16*10.680159*F29)+((O29/16*O29/16)*3.145*0.2836*((((G29*2)+(H29*2))*F29*12/P29))))+(Q29/16*Q29/16*10.680159*(F29*12/IF(R29=0,1,R29))*S29))*(1+K$52)+(T29*U29*V29*H29*0.2836*0.03*(1+K$53))</f>
        <v>0</v>
      </c>
      <c r="X29" s="1240" t="n">
        <f aca="false">((F29*G29/12*H29/324)+ROUNDUP(T29*U29*V29*H29/46656,0))*(1+K$48)</f>
        <v>0</v>
      </c>
      <c r="Y29" s="1241" t="n">
        <f aca="false">IF(X29=0,0,E$40/X$36*X29)</f>
        <v>0</v>
      </c>
      <c r="AO29" s="1242" t="n">
        <f aca="false">IF(E29=1,X29,0)</f>
        <v>0</v>
      </c>
      <c r="AP29" s="1242" t="n">
        <f aca="false">IF($E29=2,X29,0)</f>
        <v>0</v>
      </c>
      <c r="AQ29" s="1242" t="n">
        <f aca="false">IF($E29=3,X29,0)</f>
        <v>0</v>
      </c>
      <c r="AR29" s="1242" t="n">
        <f aca="false">IF($E29=4,X29,0)</f>
        <v>0</v>
      </c>
      <c r="AS29" s="1242" t="n">
        <f aca="false">IF($E29=5,X29,0)</f>
        <v>0</v>
      </c>
      <c r="AT29" s="1242" t="n">
        <f aca="false">IF($E29=6,X29,0)</f>
        <v>0</v>
      </c>
      <c r="AU29" s="1242" t="n">
        <f aca="false">IF($E29=7,X29,0)</f>
        <v>0</v>
      </c>
      <c r="AV29" s="1242" t="n">
        <f aca="false">IF($E29=8,X29,0)</f>
        <v>0</v>
      </c>
      <c r="AW29" s="1242" t="n">
        <f aca="false">IF($E29=9,X29,0)</f>
        <v>0</v>
      </c>
      <c r="AX29" s="1242" t="n">
        <f aca="false">IF($E29=10,X29,0)</f>
        <v>0</v>
      </c>
      <c r="AY29" s="1242" t="n">
        <f aca="false">SUM(AO29:AX29)</f>
        <v>0</v>
      </c>
      <c r="AZ29" s="908" t="n">
        <f aca="false">W29</f>
        <v>0</v>
      </c>
      <c r="BA29" s="0" t="n">
        <f aca="false">F29*H29/12*2</f>
        <v>0</v>
      </c>
      <c r="BB29" s="0" t="n">
        <f aca="false">F29*H29/12</f>
        <v>0</v>
      </c>
      <c r="BC29" s="0" t="n">
        <f aca="false">(V29+U29)*H29/144*T29</f>
        <v>0</v>
      </c>
      <c r="BF29" s="1242" t="n">
        <f aca="false">W29*G$52*IF(U$39="N",(1+W$39),1)</f>
        <v>0</v>
      </c>
      <c r="BG29" s="1242" t="n">
        <f aca="false">(AO29*Pricing!F$3+'02-Gd Beams'!AP29*Pricing!G$3+'02-Gd Beams'!AQ29*Pricing!H$3+'02-Gd Beams'!AR29*Pricing!I$3+'02-Gd Beams'!AS29*Pricing!J$3+'02-Gd Beams'!AT29*Pricing!K$3)*IF(U$39="N",(1+W$39),1)</f>
        <v>0</v>
      </c>
      <c r="BH29" s="1242" t="n">
        <f aca="false">BB29*H$63+E$73</f>
        <v>0</v>
      </c>
      <c r="BI29" s="1242" t="n">
        <f aca="false">T29*E$62</f>
        <v>0</v>
      </c>
      <c r="BJ29" s="1242" t="n">
        <f aca="false">W29/2000*E$67</f>
        <v>0</v>
      </c>
      <c r="BK29" s="1242" t="n">
        <f aca="false">FT29+FV29</f>
        <v>0</v>
      </c>
      <c r="BL29" s="1242"/>
      <c r="FQ29" s="291" t="e">
        <f aca="false">E$40/I$63*F29*H29/12</f>
        <v>#DIV/0!</v>
      </c>
      <c r="FR29" s="291" t="e">
        <f aca="false">(Y29+FQ29)/2</f>
        <v>#DIV/0!</v>
      </c>
      <c r="FT29" s="179" t="n">
        <f aca="false">ROUND(F29*H29/324*H29/12+X29,0)</f>
        <v>0</v>
      </c>
      <c r="FU29" s="908" t="n">
        <f aca="false">ROUND(W29,0)</f>
        <v>0</v>
      </c>
      <c r="FV29" s="356" t="n">
        <f aca="false">ROUND(F29*H29/324*H29/12,0)</f>
        <v>0</v>
      </c>
      <c r="FW29" s="264" t="n">
        <f aca="false">ROUND(F29*H29/12+(U29+V29*H29/144*T29),0)</f>
        <v>0</v>
      </c>
    </row>
    <row r="30" customFormat="false" ht="18" hidden="false" customHeight="true" outlineLevel="0" collapsed="false">
      <c r="B30" s="920"/>
      <c r="C30" s="78"/>
      <c r="D30" s="900"/>
      <c r="E30" s="1232"/>
      <c r="F30" s="1233"/>
      <c r="G30" s="1234"/>
      <c r="H30" s="1235"/>
      <c r="I30" s="1236"/>
      <c r="J30" s="1235"/>
      <c r="K30" s="1236"/>
      <c r="L30" s="1235"/>
      <c r="M30" s="1236"/>
      <c r="N30" s="1235"/>
      <c r="O30" s="1236"/>
      <c r="P30" s="1235"/>
      <c r="Q30" s="1236"/>
      <c r="R30" s="1237"/>
      <c r="S30" s="1235"/>
      <c r="T30" s="1238"/>
      <c r="U30" s="1239"/>
      <c r="V30" s="900"/>
      <c r="W30" s="1240" t="n">
        <f aca="false">IF(P30=0,0,(F30*I30*J30/16*J30/16*10.680159)+((F30*K30*L30/16*L30/16*10.680159)+(M30*2*N30/16*N30/16*10.680159*F30)+((O30/16*O30/16)*3.145*0.2836*((((G30*2)+(H30*2))*F30*12/P30))))+(Q30/16*Q30/16*10.680159*(F30*12/IF(R30=0,1,R30))*S30))*(1+K$52)+(T30*U30*V30*H30*0.2836*0.03*(1+K$53))</f>
        <v>0</v>
      </c>
      <c r="X30" s="1240" t="n">
        <f aca="false">((F30*G30/12*H30/324)+ROUNDUP(T30*U30*V30*H30/46656,0))*(1+K$48)</f>
        <v>0</v>
      </c>
      <c r="Y30" s="1241" t="n">
        <f aca="false">IF(X30=0,0,E$40/X$36*X30)</f>
        <v>0</v>
      </c>
      <c r="AO30" s="1242" t="n">
        <f aca="false">IF(E30=1,X30,0)</f>
        <v>0</v>
      </c>
      <c r="AP30" s="1242" t="n">
        <f aca="false">IF($E30=2,X30,0)</f>
        <v>0</v>
      </c>
      <c r="AQ30" s="1242" t="n">
        <f aca="false">IF($E30=3,X30,0)</f>
        <v>0</v>
      </c>
      <c r="AR30" s="1242" t="n">
        <f aca="false">IF($E30=4,X30,0)</f>
        <v>0</v>
      </c>
      <c r="AS30" s="1242" t="n">
        <f aca="false">IF($E30=5,X30,0)</f>
        <v>0</v>
      </c>
      <c r="AT30" s="1242" t="n">
        <f aca="false">IF($E30=6,X30,0)</f>
        <v>0</v>
      </c>
      <c r="AU30" s="1242" t="n">
        <f aca="false">IF($E30=7,X30,0)</f>
        <v>0</v>
      </c>
      <c r="AV30" s="1242" t="n">
        <f aca="false">IF($E30=8,X30,0)</f>
        <v>0</v>
      </c>
      <c r="AW30" s="1242" t="n">
        <f aca="false">IF($E30=9,X30,0)</f>
        <v>0</v>
      </c>
      <c r="AX30" s="1242" t="n">
        <f aca="false">IF($E30=10,X30,0)</f>
        <v>0</v>
      </c>
      <c r="AY30" s="1242" t="n">
        <f aca="false">SUM(AO30:AX30)</f>
        <v>0</v>
      </c>
      <c r="AZ30" s="908" t="n">
        <f aca="false">W30</f>
        <v>0</v>
      </c>
      <c r="BA30" s="0" t="n">
        <f aca="false">F30*H30/12*2</f>
        <v>0</v>
      </c>
      <c r="BB30" s="0" t="n">
        <f aca="false">F30*H30/12</f>
        <v>0</v>
      </c>
      <c r="BC30" s="0" t="n">
        <f aca="false">(V30+U30)*H30/144*T30</f>
        <v>0</v>
      </c>
      <c r="BF30" s="1242" t="n">
        <f aca="false">W30*G$52*IF(U$39="N",(1+W$39),1)</f>
        <v>0</v>
      </c>
      <c r="BG30" s="1242" t="n">
        <f aca="false">(AO30*Pricing!F$3+'02-Gd Beams'!AP30*Pricing!G$3+'02-Gd Beams'!AQ30*Pricing!H$3+'02-Gd Beams'!AR30*Pricing!I$3+'02-Gd Beams'!AS30*Pricing!J$3+'02-Gd Beams'!AT30*Pricing!K$3)*IF(U$39="N",(1+W$39),1)</f>
        <v>0</v>
      </c>
      <c r="BH30" s="1242" t="n">
        <f aca="false">BB30*H$63+E$73</f>
        <v>0</v>
      </c>
      <c r="BI30" s="1242" t="n">
        <f aca="false">T30*E$62</f>
        <v>0</v>
      </c>
      <c r="BJ30" s="1242" t="n">
        <f aca="false">W30/2000*E$67</f>
        <v>0</v>
      </c>
      <c r="BK30" s="1242" t="n">
        <f aca="false">FT30+FV30</f>
        <v>0</v>
      </c>
      <c r="BL30" s="1242"/>
      <c r="FQ30" s="291" t="e">
        <f aca="false">E$40/I$63*F30*H30/12</f>
        <v>#DIV/0!</v>
      </c>
      <c r="FR30" s="291" t="e">
        <f aca="false">(Y30+FQ30)/2</f>
        <v>#DIV/0!</v>
      </c>
      <c r="FT30" s="179" t="n">
        <f aca="false">ROUND(F30*H30/324*H30/12+X30,0)</f>
        <v>0</v>
      </c>
      <c r="FU30" s="908" t="n">
        <f aca="false">ROUND(W30,0)</f>
        <v>0</v>
      </c>
      <c r="FV30" s="356" t="n">
        <f aca="false">ROUND(F30*H30/324*H30/12,0)</f>
        <v>0</v>
      </c>
      <c r="FW30" s="264" t="n">
        <f aca="false">ROUND(F30*H30/12+(U30+V30*H30/144*T30),0)</f>
        <v>0</v>
      </c>
    </row>
    <row r="31" customFormat="false" ht="18" hidden="false" customHeight="true" outlineLevel="0" collapsed="false">
      <c r="B31" s="920"/>
      <c r="C31" s="78"/>
      <c r="D31" s="900"/>
      <c r="E31" s="1232"/>
      <c r="F31" s="1233"/>
      <c r="G31" s="1234"/>
      <c r="H31" s="1235"/>
      <c r="I31" s="1236"/>
      <c r="J31" s="1235"/>
      <c r="K31" s="1236"/>
      <c r="L31" s="1235"/>
      <c r="M31" s="1236"/>
      <c r="N31" s="1235"/>
      <c r="O31" s="1236"/>
      <c r="P31" s="1235"/>
      <c r="Q31" s="1236"/>
      <c r="R31" s="1234"/>
      <c r="S31" s="1235"/>
      <c r="T31" s="1238"/>
      <c r="U31" s="1239"/>
      <c r="V31" s="900"/>
      <c r="W31" s="1240" t="n">
        <f aca="false">IF(P31=0,0,(F31*I31*J31/16*J31/16*10.680159)+((F31*K31*L31/16*L31/16*10.680159)+(M31*2*N31/16*N31/16*10.680159*F31)+((O31/16*O31/16)*3.145*0.2836*((((G31*2)+(H31*2))*F31*12/P31))))+(Q31/16*Q31/16*10.680159*(F31*12/IF(R31=0,1,R31))*S31))*(1+K$52)+(T31*U31*V31*H31*0.2836*0.03*(1+K$53))</f>
        <v>0</v>
      </c>
      <c r="X31" s="1240" t="n">
        <f aca="false">((F31*G31/12*H31/324)+ROUNDUP(T31*U31*V31*H31/46656,0))*(1+K$48)</f>
        <v>0</v>
      </c>
      <c r="Y31" s="1241" t="n">
        <f aca="false">IF(X31=0,0,E$40/X$36*X31)</f>
        <v>0</v>
      </c>
      <c r="AO31" s="1242" t="n">
        <f aca="false">IF(E31=1,X31,0)</f>
        <v>0</v>
      </c>
      <c r="AP31" s="1242" t="n">
        <f aca="false">IF($E31=2,X31,0)</f>
        <v>0</v>
      </c>
      <c r="AQ31" s="1242" t="n">
        <f aca="false">IF($E31=3,X31,0)</f>
        <v>0</v>
      </c>
      <c r="AR31" s="1242" t="n">
        <f aca="false">IF($E31=4,X31,0)</f>
        <v>0</v>
      </c>
      <c r="AS31" s="1242" t="n">
        <f aca="false">IF($E31=5,X31,0)</f>
        <v>0</v>
      </c>
      <c r="AT31" s="1242" t="n">
        <f aca="false">IF($E31=6,X31,0)</f>
        <v>0</v>
      </c>
      <c r="AU31" s="1242" t="n">
        <f aca="false">IF($E31=7,X31,0)</f>
        <v>0</v>
      </c>
      <c r="AV31" s="1242" t="n">
        <f aca="false">IF($E31=8,X31,0)</f>
        <v>0</v>
      </c>
      <c r="AW31" s="1242" t="n">
        <f aca="false">IF($E31=9,X31,0)</f>
        <v>0</v>
      </c>
      <c r="AX31" s="1242" t="n">
        <f aca="false">IF($E31=10,X31,0)</f>
        <v>0</v>
      </c>
      <c r="AY31" s="1242" t="n">
        <f aca="false">SUM(AO31:AX31)</f>
        <v>0</v>
      </c>
      <c r="AZ31" s="908" t="n">
        <f aca="false">W31</f>
        <v>0</v>
      </c>
      <c r="BA31" s="0" t="n">
        <f aca="false">F31*H31/12*2</f>
        <v>0</v>
      </c>
      <c r="BB31" s="0" t="n">
        <f aca="false">F31*H31/12</f>
        <v>0</v>
      </c>
      <c r="BC31" s="0" t="n">
        <f aca="false">(V31+U31)*H31/144*T31</f>
        <v>0</v>
      </c>
      <c r="BF31" s="1242" t="n">
        <f aca="false">W31*G$52*IF(U$39="N",(1+W$39),1)</f>
        <v>0</v>
      </c>
      <c r="BG31" s="1242" t="n">
        <f aca="false">(AO31*Pricing!F$3+'02-Gd Beams'!AP31*Pricing!G$3+'02-Gd Beams'!AQ31*Pricing!H$3+'02-Gd Beams'!AR31*Pricing!I$3+'02-Gd Beams'!AS31*Pricing!J$3+'02-Gd Beams'!AT31*Pricing!K$3)*IF(U$39="N",(1+W$39),1)</f>
        <v>0</v>
      </c>
      <c r="BH31" s="1242" t="n">
        <f aca="false">BB31*H$63+E$73</f>
        <v>0</v>
      </c>
      <c r="BI31" s="1242" t="n">
        <f aca="false">T31*E$62</f>
        <v>0</v>
      </c>
      <c r="BJ31" s="1242" t="n">
        <f aca="false">W31/2000*E$67</f>
        <v>0</v>
      </c>
      <c r="BK31" s="1242" t="n">
        <f aca="false">FT31+FV31</f>
        <v>0</v>
      </c>
      <c r="BL31" s="1242"/>
      <c r="FQ31" s="291" t="e">
        <f aca="false">E$40/I$63*F31*H31/12</f>
        <v>#DIV/0!</v>
      </c>
      <c r="FR31" s="291" t="e">
        <f aca="false">(Y31+FQ31)/2</f>
        <v>#DIV/0!</v>
      </c>
      <c r="FT31" s="179" t="n">
        <f aca="false">ROUND(F31*H31/324*H31/12+X31,0)</f>
        <v>0</v>
      </c>
      <c r="FU31" s="908" t="n">
        <f aca="false">ROUND(W31,0)</f>
        <v>0</v>
      </c>
      <c r="FV31" s="356" t="n">
        <f aca="false">ROUND(F31*H31/324*H31/12,0)</f>
        <v>0</v>
      </c>
      <c r="FW31" s="264" t="n">
        <f aca="false">ROUND(F31*H31/12+(U31+V31*H31/144*T31),0)</f>
        <v>0</v>
      </c>
    </row>
    <row r="32" customFormat="false" ht="18" hidden="false" customHeight="true" outlineLevel="0" collapsed="false">
      <c r="B32" s="920"/>
      <c r="C32" s="78"/>
      <c r="D32" s="900"/>
      <c r="E32" s="1232"/>
      <c r="F32" s="1233"/>
      <c r="G32" s="1234"/>
      <c r="H32" s="1235"/>
      <c r="I32" s="1236"/>
      <c r="J32" s="1235"/>
      <c r="K32" s="1236"/>
      <c r="L32" s="1235"/>
      <c r="M32" s="1236"/>
      <c r="N32" s="1235"/>
      <c r="O32" s="1236"/>
      <c r="P32" s="1235"/>
      <c r="Q32" s="1236"/>
      <c r="R32" s="1234"/>
      <c r="S32" s="1235"/>
      <c r="T32" s="1238"/>
      <c r="U32" s="1239"/>
      <c r="V32" s="900"/>
      <c r="W32" s="1240" t="n">
        <f aca="false">IF(P32=0,0,(F32*I32*J32/16*J32/16*10.680159)+((F32*K32*L32/16*L32/16*10.680159)+(M32*2*N32/16*N32/16*10.680159*F32)+((O32/16*O32/16)*3.145*0.2836*((((G32*2)+(H32*2))*F32*12/P32))))+(Q32/16*Q32/16*10.680159*(F32*12/IF(R32=0,1,R32))*S32))*(1+K$52)+(T32*U32*V32*H32*0.2836*0.03*(1+K$53))</f>
        <v>0</v>
      </c>
      <c r="X32" s="1240" t="n">
        <f aca="false">((F32*G32/12*H32/324)+ROUNDUP(T32*U32*V32*H32/46656,0))*(1+K$48)</f>
        <v>0</v>
      </c>
      <c r="Y32" s="1241" t="n">
        <f aca="false">IF(X32=0,0,E$40/X$36*X32)</f>
        <v>0</v>
      </c>
      <c r="AO32" s="1242" t="n">
        <f aca="false">IF(E32=1,X32,0)</f>
        <v>0</v>
      </c>
      <c r="AP32" s="1242" t="n">
        <f aca="false">IF($E32=2,X32,0)</f>
        <v>0</v>
      </c>
      <c r="AQ32" s="1242" t="n">
        <f aca="false">IF($E32=3,X32,0)</f>
        <v>0</v>
      </c>
      <c r="AR32" s="1242" t="n">
        <f aca="false">IF($E32=4,X32,0)</f>
        <v>0</v>
      </c>
      <c r="AS32" s="1242" t="n">
        <f aca="false">IF($E32=5,X32,0)</f>
        <v>0</v>
      </c>
      <c r="AT32" s="1242" t="n">
        <f aca="false">IF($E32=6,X32,0)</f>
        <v>0</v>
      </c>
      <c r="AU32" s="1242" t="n">
        <f aca="false">IF($E32=7,X32,0)</f>
        <v>0</v>
      </c>
      <c r="AV32" s="1242" t="n">
        <f aca="false">IF($E32=8,X32,0)</f>
        <v>0</v>
      </c>
      <c r="AW32" s="1242" t="n">
        <f aca="false">IF($E32=9,X32,0)</f>
        <v>0</v>
      </c>
      <c r="AX32" s="1242" t="n">
        <f aca="false">IF($E32=10,X32,0)</f>
        <v>0</v>
      </c>
      <c r="AY32" s="1242" t="n">
        <f aca="false">SUM(AO32:AX32)</f>
        <v>0</v>
      </c>
      <c r="AZ32" s="908" t="n">
        <f aca="false">W32</f>
        <v>0</v>
      </c>
      <c r="BA32" s="0" t="n">
        <f aca="false">F32*H32/12*2</f>
        <v>0</v>
      </c>
      <c r="BB32" s="0" t="n">
        <f aca="false">F32*H32/12</f>
        <v>0</v>
      </c>
      <c r="BC32" s="0" t="n">
        <f aca="false">(V32+U32)*H32/144*T32</f>
        <v>0</v>
      </c>
      <c r="BF32" s="1242" t="n">
        <f aca="false">W32*G$52*IF(U$39="N",(1+W$39),1)</f>
        <v>0</v>
      </c>
      <c r="BG32" s="1242" t="n">
        <f aca="false">(AO32*Pricing!F$3+'02-Gd Beams'!AP32*Pricing!G$3+'02-Gd Beams'!AQ32*Pricing!H$3+'02-Gd Beams'!AR32*Pricing!I$3+'02-Gd Beams'!AS32*Pricing!J$3+'02-Gd Beams'!AT32*Pricing!K$3)*IF(U$39="N",(1+W$39),1)</f>
        <v>0</v>
      </c>
      <c r="BH32" s="1242" t="n">
        <f aca="false">BB32*H$63+E$73</f>
        <v>0</v>
      </c>
      <c r="BI32" s="1242" t="n">
        <f aca="false">T32*E$62</f>
        <v>0</v>
      </c>
      <c r="BJ32" s="1242" t="n">
        <f aca="false">W32/2000*E$67</f>
        <v>0</v>
      </c>
      <c r="BK32" s="1242" t="n">
        <f aca="false">FT32+FV32</f>
        <v>0</v>
      </c>
      <c r="BL32" s="1242"/>
      <c r="FQ32" s="291" t="e">
        <f aca="false">E$40/I$63*F32*H32/12</f>
        <v>#DIV/0!</v>
      </c>
      <c r="FR32" s="291" t="e">
        <f aca="false">(Y32+FQ32)/2</f>
        <v>#DIV/0!</v>
      </c>
      <c r="FT32" s="179" t="n">
        <f aca="false">ROUND(F32*H32/324*H32/12+X32,0)</f>
        <v>0</v>
      </c>
      <c r="FU32" s="908" t="n">
        <f aca="false">ROUND(W32,0)</f>
        <v>0</v>
      </c>
      <c r="FV32" s="356" t="n">
        <f aca="false">ROUND(F32*H32/324*H32/12,0)</f>
        <v>0</v>
      </c>
      <c r="FW32" s="264" t="n">
        <f aca="false">ROUND(F32*H32/12+(U32+V32*H32/144*T32),0)</f>
        <v>0</v>
      </c>
    </row>
    <row r="33" customFormat="false" ht="18" hidden="false" customHeight="true" outlineLevel="0" collapsed="false">
      <c r="B33" s="920"/>
      <c r="C33" s="78"/>
      <c r="D33" s="900"/>
      <c r="E33" s="1232"/>
      <c r="F33" s="1233"/>
      <c r="G33" s="1234"/>
      <c r="H33" s="1235"/>
      <c r="I33" s="1236"/>
      <c r="J33" s="1235"/>
      <c r="K33" s="1236"/>
      <c r="L33" s="1235"/>
      <c r="M33" s="1236"/>
      <c r="N33" s="1235"/>
      <c r="O33" s="1236"/>
      <c r="P33" s="1235"/>
      <c r="Q33" s="1236"/>
      <c r="R33" s="1234"/>
      <c r="S33" s="1235"/>
      <c r="T33" s="1238"/>
      <c r="U33" s="1239"/>
      <c r="V33" s="900"/>
      <c r="W33" s="1240" t="n">
        <f aca="false">IF(P33=0,0,(F33*I33*J33/16*J33/16*10.680159)+((F33*K33*L33/16*L33/16*10.680159)+(M33*2*N33/16*N33/16*10.680159*F33)+((O33/16*O33/16)*3.145*0.2836*((((G33*2)+(H33*2))*F33*12/P33))))+(Q33/16*Q33/16*10.680159*(F33*12/IF(R33=0,1,R33))*S33))*(1+K$52)+(T33*U33*V33*H33*0.2836*0.03*(1+K$53))</f>
        <v>0</v>
      </c>
      <c r="X33" s="1240" t="n">
        <f aca="false">((F33*G33/12*H33/324)+ROUNDUP(T33*U33*V33*H33/46656,0))*(1+K$48)</f>
        <v>0</v>
      </c>
      <c r="Y33" s="1241" t="n">
        <f aca="false">IF(X33=0,0,E$40/X$36*X33)</f>
        <v>0</v>
      </c>
      <c r="AO33" s="1242" t="n">
        <f aca="false">IF(E33=1,X33,0)</f>
        <v>0</v>
      </c>
      <c r="AP33" s="1242" t="n">
        <f aca="false">IF($E33=2,X33,0)</f>
        <v>0</v>
      </c>
      <c r="AQ33" s="1242" t="n">
        <f aca="false">IF($E33=3,X33,0)</f>
        <v>0</v>
      </c>
      <c r="AR33" s="1242" t="n">
        <f aca="false">IF($E33=4,X33,0)</f>
        <v>0</v>
      </c>
      <c r="AS33" s="1242" t="n">
        <f aca="false">IF($E33=5,X33,0)</f>
        <v>0</v>
      </c>
      <c r="AT33" s="1242" t="n">
        <f aca="false">IF($E33=6,X33,0)</f>
        <v>0</v>
      </c>
      <c r="AU33" s="1242" t="n">
        <f aca="false">IF($E33=7,X33,0)</f>
        <v>0</v>
      </c>
      <c r="AV33" s="1242" t="n">
        <f aca="false">IF($E33=8,X33,0)</f>
        <v>0</v>
      </c>
      <c r="AW33" s="1242" t="n">
        <f aca="false">IF($E33=9,X33,0)</f>
        <v>0</v>
      </c>
      <c r="AX33" s="1242" t="n">
        <f aca="false">IF($E33=10,X33,0)</f>
        <v>0</v>
      </c>
      <c r="AY33" s="1242" t="n">
        <f aca="false">SUM(AO33:AX33)</f>
        <v>0</v>
      </c>
      <c r="AZ33" s="908" t="n">
        <f aca="false">W33</f>
        <v>0</v>
      </c>
      <c r="BA33" s="0" t="n">
        <f aca="false">F33*H33/12*2</f>
        <v>0</v>
      </c>
      <c r="BB33" s="0" t="n">
        <f aca="false">F33*H33/12</f>
        <v>0</v>
      </c>
      <c r="BC33" s="0" t="n">
        <f aca="false">(V33+U33)*H33/144*T33</f>
        <v>0</v>
      </c>
      <c r="BF33" s="1242" t="n">
        <f aca="false">W33*G$52*IF(U$39="N",(1+W$39),1)</f>
        <v>0</v>
      </c>
      <c r="BG33" s="1242" t="n">
        <f aca="false">(AO33*Pricing!F$3+'02-Gd Beams'!AP33*Pricing!G$3+'02-Gd Beams'!AQ33*Pricing!H$3+'02-Gd Beams'!AR33*Pricing!I$3+'02-Gd Beams'!AS33*Pricing!J$3+'02-Gd Beams'!AT33*Pricing!K$3)*IF(U$39="N",(1+W$39),1)</f>
        <v>0</v>
      </c>
      <c r="BH33" s="1242" t="n">
        <f aca="false">BB33*H$63+E$73</f>
        <v>0</v>
      </c>
      <c r="BI33" s="1242" t="n">
        <f aca="false">T33*E$62</f>
        <v>0</v>
      </c>
      <c r="BJ33" s="1242" t="n">
        <f aca="false">W33/2000*E$67</f>
        <v>0</v>
      </c>
      <c r="BK33" s="1242" t="n">
        <f aca="false">FT33+FV33</f>
        <v>0</v>
      </c>
      <c r="BL33" s="1242"/>
      <c r="FQ33" s="291" t="e">
        <f aca="false">E$40/I$63*F33*H33/12</f>
        <v>#DIV/0!</v>
      </c>
      <c r="FR33" s="291" t="e">
        <f aca="false">(Y33+FQ33)/2</f>
        <v>#DIV/0!</v>
      </c>
      <c r="FT33" s="179" t="n">
        <f aca="false">ROUND(F33*H33/324*H33/12+X33,0)</f>
        <v>0</v>
      </c>
      <c r="FU33" s="908" t="n">
        <f aca="false">ROUND(W33,0)</f>
        <v>0</v>
      </c>
      <c r="FV33" s="356" t="n">
        <f aca="false">ROUND(F33*H33/324*H33/12,0)</f>
        <v>0</v>
      </c>
      <c r="FW33" s="264" t="n">
        <f aca="false">ROUND(F33*H33/12+(U33+V33*H33/144*T33),0)</f>
        <v>0</v>
      </c>
    </row>
    <row r="34" customFormat="false" ht="18" hidden="false" customHeight="true" outlineLevel="0" collapsed="false">
      <c r="B34" s="920"/>
      <c r="C34" s="78"/>
      <c r="D34" s="900"/>
      <c r="E34" s="1232"/>
      <c r="F34" s="1233"/>
      <c r="G34" s="1234"/>
      <c r="H34" s="1235"/>
      <c r="I34" s="1236"/>
      <c r="J34" s="1235"/>
      <c r="K34" s="1236"/>
      <c r="L34" s="1235"/>
      <c r="M34" s="1236"/>
      <c r="N34" s="1235"/>
      <c r="O34" s="1236"/>
      <c r="P34" s="1235"/>
      <c r="Q34" s="1236"/>
      <c r="R34" s="1234"/>
      <c r="S34" s="1235"/>
      <c r="T34" s="1238"/>
      <c r="U34" s="1239"/>
      <c r="V34" s="900"/>
      <c r="W34" s="1240" t="n">
        <f aca="false">IF(P34=0,0,(F34*I34*J34/16*J34/16*10.680159)+((F34*K34*L34/16*L34/16*10.680159)+(M34*2*N34/16*N34/16*10.680159*F34)+((O34/16*O34/16)*3.145*0.2836*((((G34*2)+(H34*2))*F34*12/P34))))+(Q34/16*Q34/16*10.680159*(F34*12/IF(R34=0,1,R34))*S34))*(1+K$52)+(T34*U34*V34*H34*0.2836*0.03*(1+K$53))</f>
        <v>0</v>
      </c>
      <c r="X34" s="1240" t="n">
        <f aca="false">((F34*G34/12*H34/324)+ROUNDUP(T34*U34*V34*H34/46656,0))*(1+K$48)</f>
        <v>0</v>
      </c>
      <c r="Y34" s="1241" t="n">
        <f aca="false">IF(X34=0,0,E$40/X$36*X34)</f>
        <v>0</v>
      </c>
      <c r="AO34" s="1242" t="n">
        <f aca="false">IF(E34=1,X34,0)</f>
        <v>0</v>
      </c>
      <c r="AP34" s="1242" t="n">
        <f aca="false">IF($E34=2,X34,0)</f>
        <v>0</v>
      </c>
      <c r="AQ34" s="1242" t="n">
        <f aca="false">IF($E34=3,X34,0)</f>
        <v>0</v>
      </c>
      <c r="AR34" s="1242" t="n">
        <f aca="false">IF($E34=4,X34,0)</f>
        <v>0</v>
      </c>
      <c r="AS34" s="1242" t="n">
        <f aca="false">IF($E34=5,X34,0)</f>
        <v>0</v>
      </c>
      <c r="AT34" s="1242" t="n">
        <f aca="false">IF($E34=6,X34,0)</f>
        <v>0</v>
      </c>
      <c r="AU34" s="1242" t="n">
        <f aca="false">IF($E34=7,X34,0)</f>
        <v>0</v>
      </c>
      <c r="AV34" s="1242" t="n">
        <f aca="false">IF($E34=8,X34,0)</f>
        <v>0</v>
      </c>
      <c r="AW34" s="1242" t="n">
        <f aca="false">IF($E34=9,X34,0)</f>
        <v>0</v>
      </c>
      <c r="AX34" s="1242" t="n">
        <f aca="false">IF($E34=10,X34,0)</f>
        <v>0</v>
      </c>
      <c r="AY34" s="1242" t="n">
        <f aca="false">SUM(AO34:AX34)</f>
        <v>0</v>
      </c>
      <c r="AZ34" s="908" t="n">
        <f aca="false">W34</f>
        <v>0</v>
      </c>
      <c r="BA34" s="0" t="n">
        <f aca="false">F34*H34/12*2</f>
        <v>0</v>
      </c>
      <c r="BB34" s="0" t="n">
        <f aca="false">F34*H34/12</f>
        <v>0</v>
      </c>
      <c r="BC34" s="0" t="n">
        <f aca="false">(V34+U34)*H34/144*T34</f>
        <v>0</v>
      </c>
      <c r="BF34" s="1242" t="n">
        <f aca="false">W34*G$52*IF(U$39="N",(1+W$39),1)</f>
        <v>0</v>
      </c>
      <c r="BG34" s="1242" t="n">
        <f aca="false">(AO34*Pricing!F$3+'02-Gd Beams'!AP34*Pricing!G$3+'02-Gd Beams'!AQ34*Pricing!H$3+'02-Gd Beams'!AR34*Pricing!I$3+'02-Gd Beams'!AS34*Pricing!J$3+'02-Gd Beams'!AT34*Pricing!K$3)*IF(U$39="N",(1+W$39),1)</f>
        <v>0</v>
      </c>
      <c r="BH34" s="1242" t="n">
        <f aca="false">BB34*H$63+E$73</f>
        <v>0</v>
      </c>
      <c r="BI34" s="1242" t="n">
        <f aca="false">T34*E$62</f>
        <v>0</v>
      </c>
      <c r="BJ34" s="1242" t="n">
        <f aca="false">W34/2000*E$67</f>
        <v>0</v>
      </c>
      <c r="BK34" s="1242" t="n">
        <f aca="false">FT34+FV34</f>
        <v>0</v>
      </c>
      <c r="BL34" s="1242"/>
      <c r="FQ34" s="291" t="e">
        <f aca="false">E$40/I$63*F34*H34/12</f>
        <v>#DIV/0!</v>
      </c>
      <c r="FR34" s="291" t="e">
        <f aca="false">(Y34+FQ34)/2</f>
        <v>#DIV/0!</v>
      </c>
      <c r="FT34" s="179" t="n">
        <f aca="false">ROUND(F34*H34/324*H34/12+X34,0)</f>
        <v>0</v>
      </c>
      <c r="FU34" s="908" t="n">
        <f aca="false">ROUND(W34,0)</f>
        <v>0</v>
      </c>
      <c r="FV34" s="356" t="n">
        <f aca="false">ROUND(F34*H34/324*H34/12,0)</f>
        <v>0</v>
      </c>
      <c r="FW34" s="264" t="n">
        <f aca="false">ROUND(F34*H34/12+(U34+V34*H34/144*T34),0)</f>
        <v>0</v>
      </c>
    </row>
    <row r="35" customFormat="false" ht="18" hidden="false" customHeight="true" outlineLevel="0" collapsed="false">
      <c r="B35" s="920"/>
      <c r="C35" s="78"/>
      <c r="D35" s="900"/>
      <c r="E35" s="1232"/>
      <c r="F35" s="1233"/>
      <c r="G35" s="1234"/>
      <c r="H35" s="1235"/>
      <c r="I35" s="1236"/>
      <c r="J35" s="1235"/>
      <c r="K35" s="1236"/>
      <c r="L35" s="1235"/>
      <c r="M35" s="1236"/>
      <c r="N35" s="1235"/>
      <c r="O35" s="1236"/>
      <c r="P35" s="1235"/>
      <c r="Q35" s="1236"/>
      <c r="R35" s="1234"/>
      <c r="S35" s="1235"/>
      <c r="T35" s="1238"/>
      <c r="U35" s="1239"/>
      <c r="V35" s="900"/>
      <c r="W35" s="1240" t="n">
        <f aca="false">IF(P35=0,0,(F35*I35*J35/16*J35/16*10.680159)+((F35*K35*L35/16*L35/16*10.680159)+(M35*2*N35/16*N35/16*10.680159*F35)+((O35/16*O35/16)*3.145*0.2836*((((G35*2)+(H35*2))*F35*12/P35))))+(Q35/16*Q35/16*10.680159*(F35*12/IF(R35=0,1,R35))*S35))*(1+K$52)+(T35*U35*V35*H35*0.2836*0.03*(1+K$53))</f>
        <v>0</v>
      </c>
      <c r="X35" s="1243" t="n">
        <f aca="false">((F35*G35/12*H35/324)+ROUNDUP(T35*U35*V35*H35/46656,0))*(1+K$48)</f>
        <v>0</v>
      </c>
      <c r="Y35" s="1241" t="n">
        <f aca="false">IF(X35=0,0,E$40/X$36*X35)</f>
        <v>0</v>
      </c>
      <c r="AA35" s="16"/>
      <c r="AB35" s="16"/>
      <c r="AC35" s="16"/>
      <c r="AD35" s="16"/>
      <c r="AE35" s="16"/>
      <c r="AF35" s="16"/>
      <c r="AO35" s="1244" t="n">
        <f aca="false">IF(E35=1,X35,0)</f>
        <v>0</v>
      </c>
      <c r="AP35" s="1244" t="n">
        <f aca="false">IF($E35=2,X35,0)</f>
        <v>0</v>
      </c>
      <c r="AQ35" s="1244" t="n">
        <f aca="false">IF($E35=3,X35,0)</f>
        <v>0</v>
      </c>
      <c r="AR35" s="1244" t="n">
        <f aca="false">IF($E35=4,X35,0)</f>
        <v>0</v>
      </c>
      <c r="AS35" s="1244" t="n">
        <f aca="false">IF($E35=5,X35,0)</f>
        <v>0</v>
      </c>
      <c r="AT35" s="1244" t="n">
        <f aca="false">IF($E35=6,X35,0)</f>
        <v>0</v>
      </c>
      <c r="AU35" s="1244" t="n">
        <f aca="false">IF($E35=7,X35,0)</f>
        <v>0</v>
      </c>
      <c r="AV35" s="1244" t="n">
        <f aca="false">IF($E35=8,X35,0)</f>
        <v>0</v>
      </c>
      <c r="AW35" s="1244" t="n">
        <f aca="false">IF($E35=9,X35,0)</f>
        <v>0</v>
      </c>
      <c r="AX35" s="1244" t="n">
        <f aca="false">IF($E35=10,X35,0)</f>
        <v>0</v>
      </c>
      <c r="AY35" s="1244" t="n">
        <f aca="false">SUM(AO35:AX35)</f>
        <v>0</v>
      </c>
      <c r="AZ35" s="1245" t="n">
        <f aca="false">W35</f>
        <v>0</v>
      </c>
      <c r="BA35" s="318" t="n">
        <f aca="false">F35*H35/12*2</f>
        <v>0</v>
      </c>
      <c r="BB35" s="318" t="n">
        <f aca="false">F35*H35/12</f>
        <v>0</v>
      </c>
      <c r="BC35" s="318" t="n">
        <f aca="false">(V35+U35)*H35/144*T35</f>
        <v>0</v>
      </c>
      <c r="BD35" s="318"/>
      <c r="BE35" s="318"/>
      <c r="BF35" s="1244" t="n">
        <f aca="false">W35*G$52*IF(U$39="N",(1+W$39),1)</f>
        <v>0</v>
      </c>
      <c r="BG35" s="1244" t="n">
        <f aca="false">(AO35*Pricing!F$3+'02-Gd Beams'!AP35*Pricing!G$3+'02-Gd Beams'!AQ35*Pricing!H$3+'02-Gd Beams'!AR35*Pricing!I$3+'02-Gd Beams'!AS35*Pricing!J$3+'02-Gd Beams'!AT35*Pricing!K$3)*IF(U$39="N",(1+W$39),1)</f>
        <v>0</v>
      </c>
      <c r="BH35" s="1244" t="n">
        <f aca="false">BB35*H$63+E$73</f>
        <v>0</v>
      </c>
      <c r="BI35" s="1244" t="n">
        <f aca="false">T35*E$62</f>
        <v>0</v>
      </c>
      <c r="BJ35" s="1244" t="n">
        <f aca="false">W35/2000*E$67</f>
        <v>0</v>
      </c>
      <c r="BK35" s="1244" t="n">
        <f aca="false">FT35+FV35</f>
        <v>0</v>
      </c>
      <c r="BL35" s="1242"/>
      <c r="FQ35" s="291" t="e">
        <f aca="false">E$40/I$63*F35*H35/12</f>
        <v>#DIV/0!</v>
      </c>
      <c r="FR35" s="291" t="e">
        <f aca="false">(Y35+FQ35)/2</f>
        <v>#DIV/0!</v>
      </c>
      <c r="FT35" s="179" t="n">
        <f aca="false">ROUND(F35*H35/324*H35/12+X35,0)</f>
        <v>0</v>
      </c>
      <c r="FU35" s="908" t="n">
        <f aca="false">ROUND(W35,0)</f>
        <v>0</v>
      </c>
      <c r="FV35" s="356" t="n">
        <f aca="false">ROUND(F35*H35/324*H35/12,0)</f>
        <v>0</v>
      </c>
      <c r="FW35" s="264" t="n">
        <f aca="false">ROUND(F35*H35/12+(U35+V35*H35/144*T35),0)</f>
        <v>0</v>
      </c>
    </row>
    <row r="36" customFormat="false" ht="15" hidden="false" customHeight="true" outlineLevel="0" collapsed="false">
      <c r="B36" s="406" t="s">
        <v>1398</v>
      </c>
      <c r="C36" s="614"/>
      <c r="D36" s="614"/>
      <c r="E36" s="1246"/>
      <c r="F36" s="1246" t="n">
        <f aca="false">SUM(F10:F35)</f>
        <v>0</v>
      </c>
      <c r="G36" s="615"/>
      <c r="H36" s="615"/>
      <c r="I36" s="615"/>
      <c r="J36" s="614"/>
      <c r="K36" s="614"/>
      <c r="L36" s="614"/>
      <c r="M36" s="614"/>
      <c r="N36" s="614"/>
      <c r="O36" s="614"/>
      <c r="P36" s="614"/>
      <c r="Q36" s="1247"/>
      <c r="R36" s="1247"/>
      <c r="S36" s="1247" t="s">
        <v>1399</v>
      </c>
      <c r="T36" s="614"/>
      <c r="U36" s="1248"/>
      <c r="V36" s="1249"/>
      <c r="W36" s="1250" t="n">
        <f aca="false">SUM(W10:W35)</f>
        <v>0</v>
      </c>
      <c r="X36" s="1251" t="n">
        <f aca="false">SUM(X10:X35)</f>
        <v>0</v>
      </c>
      <c r="Y36" s="1252" t="n">
        <f aca="false">SUM(Y10:Y35)</f>
        <v>0</v>
      </c>
      <c r="AA36" s="16"/>
      <c r="AB36" s="16"/>
      <c r="AC36" s="16"/>
      <c r="AD36" s="16"/>
      <c r="AE36" s="16"/>
      <c r="AF36" s="16"/>
      <c r="AO36" s="1242" t="n">
        <f aca="false">SUM(AO10:AO35)</f>
        <v>0</v>
      </c>
      <c r="AP36" s="1242" t="n">
        <f aca="false">SUM(AP10:AP35)</f>
        <v>0</v>
      </c>
      <c r="AQ36" s="1242" t="n">
        <f aca="false">SUM(AQ10:AQ35)</f>
        <v>0</v>
      </c>
      <c r="AR36" s="1242" t="n">
        <f aca="false">SUM(AR10:AR35)</f>
        <v>0</v>
      </c>
      <c r="AS36" s="1242" t="n">
        <f aca="false">SUM(AS10:AS35)</f>
        <v>0</v>
      </c>
      <c r="AT36" s="1242" t="n">
        <f aca="false">SUM(AT10:AT35)</f>
        <v>0</v>
      </c>
      <c r="AU36" s="1242" t="n">
        <f aca="false">SUM(AU10:AU35)</f>
        <v>0</v>
      </c>
      <c r="AV36" s="1242" t="n">
        <f aca="false">SUM(AV10:AV35)</f>
        <v>0</v>
      </c>
      <c r="AW36" s="1242" t="n">
        <f aca="false">SUM(AW10:AW35)</f>
        <v>0</v>
      </c>
      <c r="AX36" s="1242" t="n">
        <f aca="false">SUM(AX10:AX35)</f>
        <v>0</v>
      </c>
      <c r="AY36" s="1242" t="n">
        <f aca="false">SUM(AY10:AY35)</f>
        <v>0</v>
      </c>
      <c r="AZ36" s="0" t="n">
        <f aca="false">SUM(AZ10:AZ35)</f>
        <v>0</v>
      </c>
      <c r="BA36" s="0" t="n">
        <f aca="false">SUM(BA10:BA35)</f>
        <v>0</v>
      </c>
      <c r="BB36" s="0" t="n">
        <f aca="false">SUM(BB10:BB35)</f>
        <v>0</v>
      </c>
      <c r="BC36" s="0" t="n">
        <f aca="false">SUM(BC10:BC35)</f>
        <v>0</v>
      </c>
      <c r="BD36" s="0" t="n">
        <f aca="false">SUM(BD10:BD35)</f>
        <v>0</v>
      </c>
      <c r="BE36" s="0" t="n">
        <f aca="false">SUM(BE10:BE35)</f>
        <v>0</v>
      </c>
      <c r="BF36" s="1242" t="n">
        <f aca="false">SUM(BF10:BF35)</f>
        <v>0</v>
      </c>
      <c r="BG36" s="1242" t="n">
        <f aca="false">SUM(BG10:BG35)</f>
        <v>0</v>
      </c>
      <c r="BH36" s="1242" t="n">
        <f aca="false">SUM(BH10:BH35)</f>
        <v>0</v>
      </c>
      <c r="BI36" s="1242" t="n">
        <f aca="false">SUM(BI10:BI35)</f>
        <v>0</v>
      </c>
      <c r="BJ36" s="1242" t="n">
        <f aca="false">SUM(BJ10:BJ35)</f>
        <v>0</v>
      </c>
      <c r="BK36" s="1242" t="n">
        <f aca="false">SUM(BK10:BK35)</f>
        <v>0</v>
      </c>
      <c r="BL36" s="1242"/>
      <c r="FT36" s="1253"/>
      <c r="FU36" s="1253"/>
      <c r="FV36" s="1253"/>
      <c r="FW36" s="1253"/>
    </row>
    <row r="37" customFormat="false" ht="15" hidden="false" customHeight="true" outlineLevel="0" collapsed="false">
      <c r="B37" s="685"/>
      <c r="C37" s="726"/>
      <c r="D37" s="726"/>
      <c r="E37" s="726"/>
      <c r="F37" s="726"/>
      <c r="G37" s="726"/>
      <c r="H37" s="726"/>
      <c r="I37" s="726"/>
      <c r="J37" s="726"/>
      <c r="K37" s="726"/>
      <c r="L37" s="726"/>
      <c r="M37" s="726"/>
      <c r="N37" s="726"/>
      <c r="O37" s="726"/>
      <c r="P37" s="726"/>
      <c r="Q37" s="1254"/>
      <c r="R37" s="1254"/>
      <c r="S37" s="1254" t="s">
        <v>1400</v>
      </c>
      <c r="T37" s="726"/>
      <c r="U37" s="1255"/>
      <c r="V37" s="1256"/>
      <c r="W37" s="1257" t="n">
        <f aca="false">W36/2000</f>
        <v>0</v>
      </c>
      <c r="X37" s="1258"/>
      <c r="Y37" s="1259" t="n">
        <f aca="false">Y36-E40</f>
        <v>0</v>
      </c>
      <c r="AA37" s="16"/>
      <c r="AB37" s="16"/>
      <c r="AC37" s="16"/>
      <c r="AD37" s="16"/>
      <c r="AE37" s="16"/>
      <c r="AF37" s="16"/>
    </row>
    <row r="38" customFormat="false" ht="21" hidden="false" customHeight="true" outlineLevel="0" collapsed="false">
      <c r="B38" s="949"/>
      <c r="C38" s="950"/>
      <c r="D38" s="1260" t="s">
        <v>1261</v>
      </c>
      <c r="E38" s="952" t="n">
        <v>0</v>
      </c>
      <c r="F38" s="952"/>
      <c r="G38" s="950"/>
      <c r="H38" s="950"/>
      <c r="I38" s="950"/>
      <c r="J38" s="950"/>
      <c r="K38" s="950"/>
      <c r="L38" s="954"/>
      <c r="M38" s="950"/>
      <c r="N38" s="950"/>
      <c r="O38" s="950"/>
      <c r="P38" s="950"/>
      <c r="Q38" s="950"/>
      <c r="R38" s="950"/>
      <c r="S38" s="950"/>
      <c r="T38" s="950"/>
      <c r="U38" s="1261"/>
      <c r="V38" s="950"/>
      <c r="W38" s="950"/>
      <c r="X38" s="957"/>
      <c r="Y38" s="1199"/>
    </row>
    <row r="39" customFormat="false" ht="15" hidden="false" customHeight="true" outlineLevel="0" collapsed="false">
      <c r="B39" s="958" t="s">
        <v>1262</v>
      </c>
      <c r="C39" s="958"/>
      <c r="D39" s="958"/>
      <c r="E39" s="958" t="s">
        <v>982</v>
      </c>
      <c r="F39" s="958"/>
      <c r="G39" s="958" t="s">
        <v>1263</v>
      </c>
      <c r="H39" s="958"/>
      <c r="I39" s="958"/>
      <c r="J39" s="959" t="s">
        <v>1264</v>
      </c>
      <c r="K39" s="959"/>
      <c r="L39" s="959"/>
      <c r="M39" s="1170" t="s">
        <v>1265</v>
      </c>
      <c r="N39" s="1170"/>
      <c r="O39" s="1171"/>
      <c r="P39" s="1172"/>
      <c r="Q39" s="961"/>
      <c r="R39" s="599" t="s">
        <v>1266</v>
      </c>
      <c r="T39" s="16" t="n">
        <v>4</v>
      </c>
      <c r="U39" s="1137" t="n">
        <v>200</v>
      </c>
      <c r="V39" s="833" t="s">
        <v>1268</v>
      </c>
      <c r="W39" s="1262" t="n">
        <f aca="false">Summary!R62</f>
        <v>0.0825</v>
      </c>
      <c r="X39" s="964"/>
      <c r="Y39" s="1199"/>
    </row>
    <row r="40" customFormat="false" ht="27" hidden="false" customHeight="true" outlineLevel="0" collapsed="false">
      <c r="B40" s="965" t="s">
        <v>1269</v>
      </c>
      <c r="C40" s="966" t="n">
        <f aca="false">IF(BB36=0,0,E40/BB36)</f>
        <v>0</v>
      </c>
      <c r="D40" s="966"/>
      <c r="E40" s="1263" t="n">
        <f aca="false">(U40-O91)*(1+M40)</f>
        <v>0</v>
      </c>
      <c r="F40" s="1263"/>
      <c r="G40" s="968" t="n">
        <f aca="false">IF(E40=0,0,H40/E40)</f>
        <v>0</v>
      </c>
      <c r="H40" s="736" t="n">
        <f aca="false">E40-U40</f>
        <v>0</v>
      </c>
      <c r="I40" s="736"/>
      <c r="J40" s="1264" t="n">
        <f aca="false">IF(BB36+BC36=0,0,U40/BB36)</f>
        <v>0</v>
      </c>
      <c r="K40" s="1264"/>
      <c r="L40" s="1264"/>
      <c r="M40" s="969" t="n">
        <f aca="false">Summary!P59</f>
        <v>0.18</v>
      </c>
      <c r="N40" s="969"/>
      <c r="O40" s="969"/>
      <c r="P40" s="969"/>
      <c r="Q40" s="1265"/>
      <c r="R40" s="970" t="s">
        <v>980</v>
      </c>
      <c r="U40" s="971" t="n">
        <f aca="false">SUM(O48:P59)+SUM(O62:P70)+SUM(O73:P75)+SUM(O78:P83)+SUM(O85:P91)+X90+O60+SUM(L62:M70)+O76</f>
        <v>0</v>
      </c>
      <c r="V40" s="971"/>
      <c r="X40" s="964"/>
      <c r="Y40" s="1199"/>
      <c r="FR40" s="54" t="s">
        <v>1401</v>
      </c>
      <c r="FT40" s="54" t="s">
        <v>1402</v>
      </c>
    </row>
    <row r="41" customFormat="false" ht="18" hidden="false" customHeight="true" outlineLevel="0" collapsed="false">
      <c r="B41" s="972"/>
      <c r="C41" s="973"/>
      <c r="D41" s="1266" t="str">
        <f aca="false">IF(ROUND(E41,0)=0,"BINGO!!",IF(ROUND(E41,0)&lt;0,"To Low","T0 High"))</f>
        <v>BINGO!!</v>
      </c>
      <c r="E41" s="975" t="n">
        <f aca="false">E40-E38</f>
        <v>0</v>
      </c>
      <c r="F41" s="975"/>
      <c r="G41" s="973"/>
      <c r="H41" s="973"/>
      <c r="I41" s="976" t="s">
        <v>1270</v>
      </c>
      <c r="J41" s="977"/>
      <c r="K41" s="978"/>
      <c r="L41" s="978"/>
      <c r="M41" s="979"/>
      <c r="N41" s="980" t="n">
        <f aca="false">IF(K41&gt;0,(K41-E40)/(1+M40),0)</f>
        <v>0</v>
      </c>
      <c r="O41" s="980"/>
      <c r="P41" s="973"/>
      <c r="Q41" s="973"/>
      <c r="R41" s="973"/>
      <c r="S41" s="973"/>
      <c r="T41" s="973"/>
      <c r="U41" s="983" t="n">
        <f aca="false">AF125</f>
        <v>0</v>
      </c>
      <c r="V41" s="983"/>
      <c r="W41" s="973"/>
      <c r="X41" s="973"/>
      <c r="Y41" s="1267"/>
      <c r="Z41" s="175"/>
      <c r="AA41" s="175"/>
      <c r="AB41" s="175"/>
      <c r="AC41" s="175"/>
      <c r="AD41" s="175"/>
      <c r="AE41" s="175"/>
      <c r="AF41" s="175"/>
      <c r="AG41" s="175"/>
      <c r="AH41" s="175"/>
      <c r="AI41" s="175"/>
      <c r="AJ41" s="175"/>
      <c r="AK41" s="175"/>
      <c r="AL41" s="175"/>
      <c r="AM41" s="175"/>
      <c r="AN41" s="175"/>
      <c r="AO41" s="175"/>
      <c r="AP41" s="175"/>
      <c r="AQ41" s="175"/>
      <c r="AR41" s="175"/>
      <c r="AS41" s="175"/>
      <c r="AT41" s="175"/>
      <c r="AU41" s="175"/>
      <c r="AV41" s="175"/>
      <c r="AW41" s="175"/>
      <c r="AX41" s="175"/>
      <c r="AY41" s="175"/>
      <c r="AZ41" s="175"/>
      <c r="BA41" s="175"/>
      <c r="BB41" s="175"/>
      <c r="BC41" s="175"/>
      <c r="BD41" s="175"/>
      <c r="BE41" s="175"/>
      <c r="BF41" s="175"/>
      <c r="BG41" s="175"/>
      <c r="BH41" s="175"/>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268" t="s">
        <v>1403</v>
      </c>
      <c r="FR41" s="1269" t="n">
        <v>458</v>
      </c>
      <c r="FS41" s="1270"/>
    </row>
    <row r="42" customFormat="false" ht="25.5" hidden="false" customHeight="true" outlineLevel="0" collapsed="false">
      <c r="B42" s="16" t="s">
        <v>1404</v>
      </c>
      <c r="C42" s="1271" t="s">
        <v>1405</v>
      </c>
      <c r="D42" s="1272"/>
      <c r="E42" s="1271"/>
      <c r="F42" s="1273"/>
      <c r="G42" s="1273"/>
      <c r="H42" s="1271"/>
      <c r="I42" s="1271"/>
      <c r="J42" s="1271"/>
      <c r="K42" s="1271"/>
      <c r="L42" s="1271"/>
      <c r="M42" s="1271"/>
      <c r="N42" s="1271"/>
      <c r="O42" s="990" t="s">
        <v>721</v>
      </c>
      <c r="P42" s="990"/>
      <c r="Q42" s="1274" t="s">
        <v>1272</v>
      </c>
      <c r="R42" s="654"/>
      <c r="S42" s="654"/>
      <c r="T42" s="654"/>
      <c r="U42" s="1275" t="n">
        <f aca="false">E101</f>
        <v>0</v>
      </c>
      <c r="V42" s="1275"/>
      <c r="W42" s="1004"/>
      <c r="X42" s="1276"/>
      <c r="Y42" s="1277"/>
      <c r="FQ42" s="1004" t="s">
        <v>1406</v>
      </c>
      <c r="FR42" s="1278" t="n">
        <v>-5</v>
      </c>
      <c r="FS42" s="1279"/>
      <c r="FT42" s="1280" t="n">
        <f aca="false">FR41+FR42</f>
        <v>453</v>
      </c>
    </row>
    <row r="43" customFormat="false" ht="15" hidden="false" customHeight="false" outlineLevel="0" collapsed="false">
      <c r="B43" s="654"/>
      <c r="C43" s="1271" t="s">
        <v>1407</v>
      </c>
      <c r="D43" s="1281"/>
      <c r="E43" s="1271"/>
      <c r="F43" s="1282"/>
      <c r="G43" s="1282"/>
      <c r="H43" s="1271"/>
      <c r="I43" s="1271"/>
      <c r="J43" s="1271"/>
      <c r="K43" s="1271"/>
      <c r="L43" s="1271"/>
      <c r="M43" s="1271"/>
      <c r="N43" s="1271"/>
      <c r="O43" s="1000" t="s">
        <v>1274</v>
      </c>
      <c r="P43" s="1001"/>
      <c r="Q43" s="1002"/>
      <c r="R43" s="654" t="s">
        <v>1408</v>
      </c>
      <c r="S43" s="654"/>
      <c r="T43" s="654"/>
      <c r="U43" s="654"/>
      <c r="V43" s="654"/>
      <c r="W43" s="1004"/>
      <c r="X43" s="654"/>
      <c r="Y43" s="1283"/>
      <c r="FQ43" s="1004" t="s">
        <v>1409</v>
      </c>
      <c r="FR43" s="1278" t="n">
        <v>460</v>
      </c>
      <c r="FS43" s="1279"/>
      <c r="FT43" s="1284" t="n">
        <f aca="false">FR43-FR41</f>
        <v>2</v>
      </c>
    </row>
    <row r="44" customFormat="false" ht="20.25" hidden="false" customHeight="true" outlineLevel="0" collapsed="false">
      <c r="B44" s="654"/>
      <c r="C44" s="1271"/>
      <c r="D44" s="1281"/>
      <c r="E44" s="1271"/>
      <c r="F44" s="1282"/>
      <c r="G44" s="1282"/>
      <c r="H44" s="1271"/>
      <c r="I44" s="1271"/>
      <c r="J44" s="1271"/>
      <c r="K44" s="1271"/>
      <c r="L44" s="1271"/>
      <c r="M44" s="1271"/>
      <c r="N44" s="1271"/>
      <c r="O44" s="1008" t="s">
        <v>1276</v>
      </c>
      <c r="P44" s="1009" t="n">
        <f aca="false">L52</f>
        <v>0</v>
      </c>
      <c r="Q44" s="1285" t="n">
        <f aca="false">O52</f>
        <v>0</v>
      </c>
      <c r="R44" s="654"/>
      <c r="S44" s="1286" t="n">
        <f aca="false">IF(I63=0,0,(SUM(X50:X68)+O60+X69+X70+X71+X72+X73-X63-X62)/I63)</f>
        <v>0</v>
      </c>
      <c r="T44" s="1286"/>
      <c r="U44" s="654"/>
      <c r="V44" s="654"/>
      <c r="W44" s="1004"/>
      <c r="X44" s="654"/>
      <c r="Y44" s="1287"/>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1288"/>
      <c r="FS44" s="749"/>
      <c r="FT44" s="1288"/>
    </row>
    <row r="45" s="1289" customFormat="true" ht="18.75" hidden="false" customHeight="true" outlineLevel="0" collapsed="false">
      <c r="B45" s="1290"/>
      <c r="C45" s="1291"/>
      <c r="D45" s="1291"/>
      <c r="E45" s="1291"/>
      <c r="F45" s="1291"/>
      <c r="G45" s="1291"/>
      <c r="H45" s="1291"/>
      <c r="I45" s="1291"/>
      <c r="J45" s="1291"/>
      <c r="K45" s="1291"/>
      <c r="L45" s="1291"/>
      <c r="M45" s="1291"/>
      <c r="N45" s="1291"/>
      <c r="O45" s="1291"/>
      <c r="P45" s="1291"/>
      <c r="Q45" s="1290"/>
      <c r="R45" s="1292" t="s">
        <v>1410</v>
      </c>
      <c r="S45" s="1292"/>
      <c r="T45" s="1005" t="n">
        <f aca="false">IF(M52=0,0,M52/(X36*13231.64))</f>
        <v>0</v>
      </c>
      <c r="U45" s="1290"/>
      <c r="V45" s="1290"/>
      <c r="W45" s="1290"/>
      <c r="X45" s="1290"/>
      <c r="Y45" s="1293"/>
      <c r="Z45" s="351"/>
      <c r="AA45" s="351"/>
      <c r="AB45" s="351"/>
      <c r="AC45" s="351"/>
      <c r="AD45" s="351"/>
      <c r="AE45" s="351"/>
      <c r="AF45" s="351"/>
      <c r="AG45" s="351"/>
      <c r="AH45" s="351"/>
      <c r="AI45" s="351"/>
      <c r="AJ45" s="351"/>
      <c r="AK45" s="351"/>
      <c r="AL45" s="351"/>
      <c r="AM45" s="351"/>
      <c r="AN45" s="351"/>
      <c r="AO45" s="351"/>
      <c r="AP45" s="351"/>
      <c r="AQ45" s="351"/>
      <c r="AR45" s="351"/>
      <c r="AS45" s="351"/>
      <c r="AT45" s="351"/>
      <c r="AU45" s="351"/>
      <c r="AV45" s="351"/>
      <c r="AW45" s="351"/>
      <c r="AX45" s="351"/>
      <c r="AY45" s="351"/>
      <c r="AZ45" s="351"/>
      <c r="BA45" s="351"/>
      <c r="BB45" s="351"/>
      <c r="BC45" s="351"/>
      <c r="BD45" s="351"/>
      <c r="BE45" s="351"/>
      <c r="BF45" s="351"/>
      <c r="BG45" s="351"/>
      <c r="BH45" s="351"/>
      <c r="BI45" s="351"/>
      <c r="BJ45" s="351"/>
      <c r="BK45" s="351"/>
      <c r="BL45" s="351"/>
      <c r="BM45" s="351"/>
      <c r="BN45" s="351"/>
      <c r="BO45" s="351"/>
      <c r="BP45" s="351"/>
      <c r="BQ45" s="351"/>
      <c r="BR45" s="351"/>
      <c r="BS45" s="351"/>
      <c r="BT45" s="351"/>
      <c r="BU45" s="351"/>
      <c r="BV45" s="351"/>
      <c r="BW45" s="351"/>
      <c r="BX45" s="351"/>
      <c r="BY45" s="351"/>
      <c r="BZ45" s="351"/>
      <c r="CA45" s="351"/>
      <c r="CB45" s="351"/>
      <c r="CC45" s="351"/>
      <c r="CD45" s="351"/>
      <c r="CE45" s="351"/>
      <c r="CF45" s="351"/>
      <c r="CG45" s="351"/>
      <c r="CH45" s="351"/>
      <c r="CI45" s="351"/>
      <c r="CJ45" s="351"/>
      <c r="CK45" s="351"/>
      <c r="CL45" s="351"/>
      <c r="CM45" s="351"/>
      <c r="CN45" s="351"/>
      <c r="CO45" s="351"/>
      <c r="CP45" s="351"/>
      <c r="CQ45" s="351"/>
      <c r="CR45" s="351"/>
      <c r="CS45" s="351"/>
      <c r="CT45" s="351"/>
      <c r="CU45" s="351"/>
      <c r="CV45" s="351"/>
      <c r="CW45" s="351"/>
      <c r="CX45" s="351"/>
      <c r="CY45" s="351"/>
      <c r="CZ45" s="351"/>
      <c r="DA45" s="351"/>
      <c r="DB45" s="351"/>
      <c r="DC45" s="351"/>
      <c r="DD45" s="351"/>
      <c r="DE45" s="351"/>
      <c r="DF45" s="351"/>
      <c r="DG45" s="351"/>
      <c r="DH45" s="351"/>
      <c r="DI45" s="351"/>
      <c r="DJ45" s="351"/>
      <c r="DK45" s="351"/>
      <c r="DL45" s="351"/>
      <c r="DM45" s="351"/>
      <c r="DN45" s="351"/>
      <c r="DO45" s="351"/>
      <c r="DP45" s="351"/>
      <c r="DQ45" s="351"/>
      <c r="DR45" s="351"/>
      <c r="DS45" s="351"/>
      <c r="DT45" s="351"/>
      <c r="DU45" s="351"/>
      <c r="DV45" s="351"/>
      <c r="DW45" s="351"/>
      <c r="DX45" s="351"/>
      <c r="DY45" s="351"/>
      <c r="DZ45" s="351"/>
      <c r="EA45" s="351"/>
      <c r="EB45" s="351"/>
      <c r="EC45" s="351"/>
      <c r="ED45" s="351"/>
      <c r="EE45" s="351"/>
      <c r="EF45" s="351"/>
      <c r="EG45" s="351"/>
      <c r="EH45" s="351"/>
      <c r="EI45" s="351"/>
      <c r="EJ45" s="351"/>
      <c r="EK45" s="351"/>
      <c r="EL45" s="351"/>
      <c r="EM45" s="351"/>
      <c r="EN45" s="351"/>
      <c r="EO45" s="351"/>
      <c r="EP45" s="351"/>
      <c r="EQ45" s="351"/>
      <c r="ER45" s="351"/>
      <c r="ES45" s="351"/>
      <c r="ET45" s="351"/>
      <c r="EU45" s="351"/>
      <c r="EV45" s="351"/>
      <c r="EW45" s="351"/>
      <c r="EX45" s="351"/>
      <c r="EY45" s="351"/>
      <c r="EZ45" s="351"/>
      <c r="FA45" s="351"/>
      <c r="FB45" s="351"/>
      <c r="FC45" s="351"/>
      <c r="FD45" s="351"/>
      <c r="FE45" s="351"/>
      <c r="FF45" s="351"/>
      <c r="FG45" s="351"/>
      <c r="FH45" s="351"/>
      <c r="FI45" s="351"/>
      <c r="FJ45" s="351"/>
      <c r="FK45" s="351"/>
      <c r="FL45" s="351"/>
      <c r="FM45" s="351"/>
      <c r="FN45" s="351"/>
      <c r="FO45" s="351"/>
      <c r="FP45" s="351"/>
      <c r="FQ45" s="1294" t="s">
        <v>1411</v>
      </c>
      <c r="FR45" s="1294"/>
      <c r="FS45" s="1294"/>
      <c r="FT45" s="1294"/>
      <c r="FU45" s="351"/>
      <c r="FV45" s="351"/>
      <c r="FW45" s="351"/>
    </row>
    <row r="46" customFormat="false" ht="18.75" hidden="false" customHeight="true" outlineLevel="0" collapsed="false">
      <c r="B46" s="654"/>
      <c r="C46" s="1271"/>
      <c r="D46" s="1271"/>
      <c r="E46" s="1271"/>
      <c r="F46" s="1271"/>
      <c r="G46" s="1271"/>
      <c r="H46" s="1271"/>
      <c r="I46" s="1271"/>
      <c r="J46" s="1271"/>
      <c r="K46" s="1271"/>
      <c r="L46" s="1271"/>
      <c r="M46" s="1271"/>
      <c r="N46" s="1271"/>
      <c r="O46" s="1271"/>
      <c r="P46" s="1271"/>
      <c r="Q46" s="654"/>
      <c r="R46" s="654"/>
      <c r="S46" s="654"/>
      <c r="T46" s="1295" t="str">
        <f aca="false">IF(T45&gt;0.92,"GOOD","BAD")</f>
        <v>BAD</v>
      </c>
      <c r="U46" s="726"/>
      <c r="V46" s="726"/>
      <c r="W46" s="726"/>
      <c r="X46" s="654"/>
      <c r="Y46" s="1199"/>
      <c r="FQ46" s="0" t="n">
        <f aca="false">SUM(FT48:FT58)*(1+K52)</f>
        <v>23.84107506</v>
      </c>
      <c r="FR46" s="10" t="s">
        <v>612</v>
      </c>
      <c r="FS46" s="10" t="s">
        <v>1412</v>
      </c>
    </row>
    <row r="47" customFormat="false" ht="38.25" hidden="false" customHeight="true" outlineLevel="0" collapsed="false">
      <c r="B47" s="1017" t="s">
        <v>1280</v>
      </c>
      <c r="C47" s="1296" t="s">
        <v>1413</v>
      </c>
      <c r="D47" s="1297"/>
      <c r="E47" s="1297"/>
      <c r="F47" s="1297"/>
      <c r="G47" s="1297"/>
      <c r="H47" s="1297"/>
      <c r="I47" s="1297"/>
      <c r="J47" s="1297"/>
      <c r="K47" s="1019" t="s">
        <v>1282</v>
      </c>
      <c r="L47" s="1020" t="str">
        <f aca="false">IF(SUM(L48:L51)=X36,"Good","Missing Concrete!!!")</f>
        <v>Good</v>
      </c>
      <c r="M47" s="1020"/>
      <c r="N47" s="1297"/>
      <c r="O47" s="1297"/>
      <c r="P47" s="1298"/>
      <c r="Q47" s="1299" t="s">
        <v>1284</v>
      </c>
      <c r="R47" s="1022" t="s">
        <v>1283</v>
      </c>
      <c r="S47" s="1022"/>
      <c r="T47" s="1082" t="s">
        <v>835</v>
      </c>
      <c r="U47" s="397"/>
      <c r="V47" s="1300" t="s">
        <v>518</v>
      </c>
      <c r="W47" s="397"/>
      <c r="X47" s="1025"/>
      <c r="Y47" s="1199"/>
      <c r="FQ47" s="1301" t="s">
        <v>1259</v>
      </c>
      <c r="FR47" s="1302" t="s">
        <v>1215</v>
      </c>
      <c r="FS47" s="1303" t="s">
        <v>1369</v>
      </c>
      <c r="FT47" s="1304" t="s">
        <v>1414</v>
      </c>
    </row>
    <row r="48" customFormat="false" ht="18.75" hidden="false" customHeight="true" outlineLevel="0" collapsed="false">
      <c r="B48" s="1027" t="n">
        <v>1</v>
      </c>
      <c r="C48" s="16" t="str">
        <f aca="false">IF(B48=1,Pricing!F$2,IF(B48=2,Pricing!G$2,IF(B48=3,Pricing!H$2,IF(B48=4,Pricing!I$2,IF(B48=5,Pricing!J$2,IF(B48=6,Pricing!K$2,IF(B48=7,Pricing!L$2,IF(B48=8,Pricing!M$2,IF(B48=9,Pricing!N$2,IF(B48=10,Pricing!O$2,0))))))))))</f>
        <v>3,000 PSI 5sk /Ash and Air</v>
      </c>
      <c r="G48" s="1048" t="n">
        <f aca="false">IF(B48=1,Pricing!F$3,IF(B48=2,Pricing!G$3,IF(B48=3,Pricing!H$3,IF(B48=4,Pricing!I$3,IF(B48=5,Pricing!J$3,IF(B48=6,Pricing!K$3,IF(B48=7,Pricing!L$3,IF(B48=8,Pricing!M$3,IF(B48=9,Pricing!N$3,IF(B48=10,Pricing!O$3,0))))))))))</f>
        <v>134</v>
      </c>
      <c r="H48" s="16" t="s">
        <v>1285</v>
      </c>
      <c r="I48" s="1030"/>
      <c r="J48" s="1030"/>
      <c r="K48" s="1031" t="n">
        <v>0.04</v>
      </c>
      <c r="L48" s="1051" t="n">
        <f aca="false">IF(B48=1,AO$36,IF(B48=2,AP$36,IF(B48=3,AQ$36,IF(B48=4,AR$36,IF(B48=5,AS$36,IF(B48=6,AT$36,IF(B48=7,AU$36,IF(B48=8,AV$36,IF(B48=9,AW$36,IF(B48=10,AX$36))))))))))</f>
        <v>0</v>
      </c>
      <c r="M48" s="1051"/>
      <c r="N48" s="15" t="s">
        <v>1286</v>
      </c>
      <c r="O48" s="1305" t="n">
        <f aca="false">L48*G48*(IF(U$39="N",1+W$39,1))</f>
        <v>0</v>
      </c>
      <c r="P48" s="1305"/>
      <c r="Q48" s="1306" t="s">
        <v>1069</v>
      </c>
      <c r="R48" s="920" t="s">
        <v>1415</v>
      </c>
      <c r="S48" s="78"/>
      <c r="T48" s="1307" t="n">
        <v>0.5</v>
      </c>
      <c r="U48" s="78"/>
      <c r="V48" s="1308"/>
      <c r="W48" s="78"/>
      <c r="X48" s="1309"/>
      <c r="Y48" s="1199"/>
      <c r="FQ48" s="149" t="n">
        <v>6</v>
      </c>
      <c r="FR48" s="150" t="n">
        <v>6</v>
      </c>
      <c r="FS48" s="151" t="n">
        <v>2.4</v>
      </c>
      <c r="FT48" s="152" t="n">
        <f aca="false">FQ48*(FR48*FR48*0.04180884375)*FS48</f>
        <v>21.6737046</v>
      </c>
    </row>
    <row r="49" customFormat="false" ht="18.75" hidden="false" customHeight="true" outlineLevel="0" collapsed="false">
      <c r="B49" s="1027" t="n">
        <v>2</v>
      </c>
      <c r="C49" s="16" t="str">
        <f aca="false">IF(B49=1,Pricing!F$2,IF(B49=2,Pricing!G$2,IF(B49=3,Pricing!H$2,IF(B49=4,Pricing!I$2,IF(B49=5,Pricing!J$2,IF(B49=6,Pricing!K$2,IF(B49=7,Pricing!L$2,IF(B49=8,Pricing!M$2,IF(B49=9,Pricing!N$2,IF(B49=10,Pricing!O$2,0))))))))))</f>
        <v>3,000 PSI / Ash no Air</v>
      </c>
      <c r="G49" s="1048" t="n">
        <f aca="false">IF(B49=1,Pricing!F$3,IF(B49=2,Pricing!G$3,IF(B49=3,Pricing!H$3,IF(B49=4,Pricing!I$3,IF(B49=5,Pricing!J$3,IF(B49=6,Pricing!K$3,IF(B49=7,Pricing!L$3,IF(B49=8,Pricing!M$3,IF(B49=9,Pricing!N$3,IF(B49=10,Pricing!O$3,0))))))))))</f>
        <v>145</v>
      </c>
      <c r="I49" s="1030"/>
      <c r="J49" s="1030"/>
      <c r="K49" s="1031"/>
      <c r="L49" s="1310" t="n">
        <f aca="false">IF(B49=1,AO$36,IF(B49=2,AP$36,IF(B49=3,AQ$36,IF(B49=4,AR$36,IF(B49=5,AS$36,IF(B49=6,AT$36,IF(B49=7,AU$36,IF(B49=8,AV$36,IF(B49=9,AW$36,IF(B49=10,AX$36))))))))))</f>
        <v>0</v>
      </c>
      <c r="M49" s="1310"/>
      <c r="N49" s="15" t="s">
        <v>1286</v>
      </c>
      <c r="O49" s="1305" t="n">
        <f aca="false">L49*G49*(IF(U$39="N",1+W$39,1))</f>
        <v>0</v>
      </c>
      <c r="P49" s="1305"/>
      <c r="Q49" s="1306"/>
      <c r="R49" s="920"/>
      <c r="S49" s="78"/>
      <c r="T49" s="78"/>
      <c r="U49" s="78"/>
      <c r="V49" s="1308"/>
      <c r="W49" s="78"/>
      <c r="X49" s="1309" t="n">
        <f aca="false">IF(U$39="Y",T49*V49,T49*V49*(1+W$39))</f>
        <v>0</v>
      </c>
      <c r="Y49" s="1199"/>
      <c r="FQ49" s="149"/>
      <c r="FR49" s="150"/>
      <c r="FS49" s="151"/>
      <c r="FT49" s="152"/>
    </row>
    <row r="50" customFormat="false" ht="18.75" hidden="false" customHeight="true" outlineLevel="0" collapsed="false">
      <c r="B50" s="1040" t="n">
        <v>3</v>
      </c>
      <c r="C50" s="16" t="str">
        <f aca="false">IF(B50=1,Pricing!F$2,IF(B50=2,Pricing!G$2,IF(B50=3,Pricing!H$2,IF(B50=4,Pricing!I$2,IF(B50=5,Pricing!J$2,IF(B50=6,Pricing!K$2,IF(B50=7,Pricing!L$2,IF(B50=8,Pricing!M$2,IF(B50=9,Pricing!N$2,IF(B50=10,Pricing!O$2,0))))))))))</f>
        <v>3,500 PSI 5.5sk /Ash and Air</v>
      </c>
      <c r="G50" s="1048" t="n">
        <f aca="false">IF(B50=1,Pricing!F$3,IF(B50=2,Pricing!G$3,IF(B50=3,Pricing!H$3,IF(B50=4,Pricing!I$3,IF(B50=5,Pricing!J$3,IF(B50=6,Pricing!K$3,IF(B50=7,Pricing!L$3,IF(B50=8,Pricing!M$3,IF(B50=9,Pricing!N$3,IF(B50=10,Pricing!O$3,0))))))))))</f>
        <v>140</v>
      </c>
      <c r="H50" s="16" t="s">
        <v>1285</v>
      </c>
      <c r="I50" s="1030"/>
      <c r="J50" s="1030"/>
      <c r="K50" s="1031"/>
      <c r="L50" s="1310" t="n">
        <f aca="false">IF(B50=1,AO$36,IF(B50=2,AP$36,IF(B50=3,AQ$36,IF(B50=4,AR$36,IF(B50=5,AS$36,IF(B50=6,AT$36,IF(B50=7,AU$36,IF(B50=8,AV$36,IF(B50=9,AW$36,IF(B50=10,AX$36))))))))))</f>
        <v>0</v>
      </c>
      <c r="M50" s="1310"/>
      <c r="N50" s="15" t="s">
        <v>1286</v>
      </c>
      <c r="O50" s="1305" t="n">
        <f aca="false">L50*G50*(IF(U$39="N",1+W$39,1))</f>
        <v>0</v>
      </c>
      <c r="P50" s="1305"/>
      <c r="Q50" s="1306" t="s">
        <v>1069</v>
      </c>
      <c r="R50" s="920" t="s">
        <v>526</v>
      </c>
      <c r="S50" s="78"/>
      <c r="T50" s="1311" t="n">
        <f aca="false">I63*T48</f>
        <v>0</v>
      </c>
      <c r="U50" s="1312" t="s">
        <v>1416</v>
      </c>
      <c r="V50" s="1308" t="n">
        <f aca="false">Pricing!Q4</f>
        <v>0.859375</v>
      </c>
      <c r="W50" s="78" t="s">
        <v>1417</v>
      </c>
      <c r="X50" s="1309" t="n">
        <f aca="false">IF(U$39="Y",T50*V50,T50*V50*(1+W$39))</f>
        <v>0</v>
      </c>
      <c r="Y50" s="1313"/>
      <c r="FQ50" s="149"/>
      <c r="FR50" s="150"/>
      <c r="FS50" s="151"/>
      <c r="FT50" s="152" t="n">
        <f aca="false">FQ50*(FR50*FR50*0.04180884375)*FS50</f>
        <v>0</v>
      </c>
    </row>
    <row r="51" customFormat="false" ht="18.75" hidden="false" customHeight="true" outlineLevel="0" collapsed="false">
      <c r="B51" s="1043" t="n">
        <v>4</v>
      </c>
      <c r="C51" s="1044" t="str">
        <f aca="false">IF(B51=1,Pricing!F$2,IF(B51=2,Pricing!G$2,IF(B51=3,Pricing!H$2,IF(B51=4,Pricing!I$2,IF(B51=5,Pricing!J$2,IF(B51=6,Pricing!K$2,IF(B51=7,Pricing!L$2,IF(B51=8,Pricing!M$2,IF(B51=9,Pricing!N$2,IF(B51=10,Pricing!O$2,0))))))))))</f>
        <v>3,500 PSI /Ash No Air</v>
      </c>
      <c r="D51" s="397"/>
      <c r="E51" s="397"/>
      <c r="F51" s="1314"/>
      <c r="G51" s="1315" t="n">
        <f aca="false">IF(B51=1,Pricing!F$3,IF(B51=2,Pricing!G$3,IF(B51=3,Pricing!H$3,IF(B51=4,Pricing!I$3,IF(B51=5,Pricing!J$3,IF(B51=6,Pricing!K$3,IF(B51=7,Pricing!L$3,IF(B51=8,Pricing!M$3,IF(B51=9,Pricing!N$3,IF(B51=10,Pricing!O$3,0))))))))))</f>
        <v>140</v>
      </c>
      <c r="H51" s="397" t="s">
        <v>1285</v>
      </c>
      <c r="I51" s="1030"/>
      <c r="J51" s="1030"/>
      <c r="K51" s="1031"/>
      <c r="L51" s="1316" t="n">
        <f aca="false">IF(B51=1,AO$36,IF(B51=2,AP$36,IF(B51=3,AQ$36,IF(B51=4,AR$36,IF(B51=5,AS$36,IF(B51=6,AT$36,IF(B51=7,AU$36,IF(B51=8,AV$36,IF(B51=9,AW$36,IF(B51=10,AX$36))))))))))</f>
        <v>0</v>
      </c>
      <c r="M51" s="1316"/>
      <c r="N51" s="1046" t="s">
        <v>1286</v>
      </c>
      <c r="O51" s="1305" t="n">
        <f aca="false">L51*G51*(IF(U$39="N",1+W$39,1))</f>
        <v>0</v>
      </c>
      <c r="P51" s="1305"/>
      <c r="Q51" s="1306" t="s">
        <v>1069</v>
      </c>
      <c r="R51" s="920" t="s">
        <v>534</v>
      </c>
      <c r="S51" s="78"/>
      <c r="T51" s="1311" t="n">
        <f aca="false">T50</f>
        <v>0</v>
      </c>
      <c r="U51" s="1312" t="s">
        <v>1416</v>
      </c>
      <c r="V51" s="1308" t="n">
        <f aca="false">Pricing!Q5</f>
        <v>1.4453125</v>
      </c>
      <c r="W51" s="78" t="s">
        <v>1417</v>
      </c>
      <c r="X51" s="1309" t="n">
        <f aca="false">IF(U$39="Y",T51*V51,T51*V51*(1+W$39))</f>
        <v>0</v>
      </c>
      <c r="Y51" s="1313"/>
      <c r="FQ51" s="149"/>
      <c r="FR51" s="150"/>
      <c r="FS51" s="151"/>
      <c r="FT51" s="152" t="n">
        <f aca="false">FQ51*(FR51*FR51*0.04180884375)*FS51</f>
        <v>0</v>
      </c>
    </row>
    <row r="52" customFormat="false" ht="18.75" hidden="false" customHeight="true" outlineLevel="0" collapsed="false">
      <c r="B52" s="1317" t="str">
        <f aca="false">Summary!V60</f>
        <v>Import</v>
      </c>
      <c r="C52" s="1041" t="s">
        <v>1287</v>
      </c>
      <c r="G52" s="1048" t="n">
        <f aca="false">Pricing!D23</f>
        <v>0.55</v>
      </c>
      <c r="H52" s="16" t="s">
        <v>555</v>
      </c>
      <c r="I52" s="1049"/>
      <c r="J52" s="1049"/>
      <c r="K52" s="1050" t="n">
        <v>0.1</v>
      </c>
      <c r="L52" s="1051" t="n">
        <f aca="false">W36</f>
        <v>0</v>
      </c>
      <c r="M52" s="1051"/>
      <c r="N52" s="16" t="s">
        <v>1288</v>
      </c>
      <c r="O52" s="1318" t="n">
        <f aca="false">G52*L52*(IF(U39="N",1+W39,1))</f>
        <v>0</v>
      </c>
      <c r="P52" s="1318"/>
      <c r="Q52" s="1306" t="s">
        <v>1069</v>
      </c>
      <c r="R52" s="920" t="s">
        <v>536</v>
      </c>
      <c r="S52" s="78"/>
      <c r="T52" s="1311"/>
      <c r="U52" s="1312" t="s">
        <v>1416</v>
      </c>
      <c r="V52" s="1308" t="n">
        <f aca="false">Pricing!Q6</f>
        <v>1.171875</v>
      </c>
      <c r="W52" s="78" t="s">
        <v>1417</v>
      </c>
      <c r="X52" s="1309" t="n">
        <f aca="false">IF(U$39="Y",T52*V52,T52*V52*(1+W$39))</f>
        <v>0</v>
      </c>
      <c r="Y52" s="1313"/>
      <c r="FQ52" s="149"/>
      <c r="FR52" s="150"/>
      <c r="FS52" s="151"/>
      <c r="FT52" s="152" t="n">
        <f aca="false">FQ52*(FR52*FR52*0.04180884375)*FS52</f>
        <v>0</v>
      </c>
    </row>
    <row r="53" customFormat="false" ht="18.75" hidden="false" customHeight="true" outlineLevel="0" collapsed="false">
      <c r="B53" s="421"/>
      <c r="C53" s="1041"/>
      <c r="G53" s="1319" t="n">
        <f aca="false">Pricing!F6</f>
        <v>0</v>
      </c>
      <c r="H53" s="16" t="s">
        <v>600</v>
      </c>
      <c r="I53" s="1320"/>
      <c r="J53" s="1320"/>
      <c r="K53" s="1321" t="n">
        <v>0.05</v>
      </c>
      <c r="L53" s="1310"/>
      <c r="M53" s="1310"/>
      <c r="N53" s="16" t="s">
        <v>1418</v>
      </c>
      <c r="O53" s="1305" t="n">
        <f aca="false">L53*G53*(IF(U39="N",1+W39,1))*(K53+1)</f>
        <v>0</v>
      </c>
      <c r="P53" s="1305"/>
      <c r="Q53" s="1306" t="s">
        <v>1069</v>
      </c>
      <c r="R53" s="920" t="s">
        <v>538</v>
      </c>
      <c r="S53" s="78"/>
      <c r="T53" s="1311" t="n">
        <f aca="false">T50*0.1</f>
        <v>0</v>
      </c>
      <c r="U53" s="1312" t="s">
        <v>1416</v>
      </c>
      <c r="V53" s="1308" t="n">
        <f aca="false">Pricing!Q7</f>
        <v>1.09375</v>
      </c>
      <c r="W53" s="78" t="s">
        <v>1417</v>
      </c>
      <c r="X53" s="1309" t="n">
        <f aca="false">IF(U$39="Y",T53*V53,T53*V53*(1+W$39))</f>
        <v>0</v>
      </c>
      <c r="Y53" s="1313"/>
      <c r="FQ53" s="1322"/>
      <c r="FR53" s="1323"/>
      <c r="FS53" s="1324"/>
      <c r="FT53" s="1325" t="n">
        <f aca="false">FQ53*(FR53*FR53*0.04180884375)*FS53</f>
        <v>0</v>
      </c>
    </row>
    <row r="54" customFormat="false" ht="18.75" hidden="false" customHeight="true" outlineLevel="0" collapsed="false">
      <c r="B54" s="421"/>
      <c r="C54" s="1044" t="s">
        <v>1419</v>
      </c>
      <c r="D54" s="397"/>
      <c r="E54" s="397"/>
      <c r="F54" s="397"/>
      <c r="G54" s="1315" t="n">
        <v>0.35</v>
      </c>
      <c r="H54" s="397" t="s">
        <v>600</v>
      </c>
      <c r="I54" s="397" t="s">
        <v>1291</v>
      </c>
      <c r="J54" s="1054" t="n">
        <v>0</v>
      </c>
      <c r="K54" s="1054"/>
      <c r="L54" s="1055"/>
      <c r="M54" s="1055"/>
      <c r="N54" s="397" t="s">
        <v>1418</v>
      </c>
      <c r="O54" s="1326" t="n">
        <f aca="false">IF(M35="y",IF(J54=0,L54*G54,J54),0)*(IF(T$61="N",1+V$61,1))</f>
        <v>0</v>
      </c>
      <c r="P54" s="1326"/>
      <c r="Q54" s="1306" t="s">
        <v>1069</v>
      </c>
      <c r="R54" s="920" t="s">
        <v>540</v>
      </c>
      <c r="S54" s="78"/>
      <c r="T54" s="1311" t="n">
        <f aca="false">I63*2/32*T48</f>
        <v>0</v>
      </c>
      <c r="U54" s="78" t="s">
        <v>1420</v>
      </c>
      <c r="V54" s="1308" t="n">
        <f aca="false">Pricing!Q8</f>
        <v>74.75</v>
      </c>
      <c r="W54" s="78" t="s">
        <v>541</v>
      </c>
      <c r="X54" s="1309" t="n">
        <f aca="false">IF(U$39="Y",T54*V54,T54*V54*(1+W$39))</f>
        <v>0</v>
      </c>
      <c r="Y54" s="1313"/>
      <c r="FQ54" s="149"/>
      <c r="FR54" s="150"/>
      <c r="FS54" s="151"/>
      <c r="FT54" s="152" t="n">
        <f aca="false">FQ54*(FR54*FR54*0.04180884375)*FS54</f>
        <v>0</v>
      </c>
    </row>
    <row r="55" customFormat="false" ht="18.75" hidden="false" customHeight="true" outlineLevel="0" collapsed="false">
      <c r="B55" s="1327"/>
      <c r="C55" s="15" t="s">
        <v>1421</v>
      </c>
      <c r="G55" s="1328" t="n">
        <f aca="false">Pricing!D19</f>
        <v>25</v>
      </c>
      <c r="H55" s="16" t="s">
        <v>1285</v>
      </c>
      <c r="I55" s="1329"/>
      <c r="J55" s="1329"/>
      <c r="K55" s="1031" t="n">
        <v>0.05</v>
      </c>
      <c r="L55" s="1042" t="n">
        <f aca="false">AI28</f>
        <v>0</v>
      </c>
      <c r="M55" s="1042"/>
      <c r="N55" s="16" t="s">
        <v>1286</v>
      </c>
      <c r="O55" s="1318" t="n">
        <f aca="false">L55*G55*IF(R23="N",1+U23,1)</f>
        <v>0</v>
      </c>
      <c r="P55" s="1318"/>
      <c r="Q55" s="1306" t="s">
        <v>1069</v>
      </c>
      <c r="R55" s="920" t="s">
        <v>1422</v>
      </c>
      <c r="S55" s="78"/>
      <c r="T55" s="1311" t="n">
        <f aca="false">ROUNDUP(F36/2/25,0)</f>
        <v>0</v>
      </c>
      <c r="U55" s="78" t="s">
        <v>1423</v>
      </c>
      <c r="V55" s="1308" t="n">
        <f aca="false">Pricing!Q15</f>
        <v>24</v>
      </c>
      <c r="W55" s="78" t="s">
        <v>1300</v>
      </c>
      <c r="X55" s="1309" t="n">
        <f aca="false">IF(U$39="Y",T55*V55,T55*V55*(1+W$39))</f>
        <v>0</v>
      </c>
      <c r="Y55" s="1313"/>
      <c r="FQ55" s="149"/>
      <c r="FR55" s="150"/>
      <c r="FS55" s="151"/>
      <c r="FT55" s="152" t="n">
        <f aca="false">FQ55*(FR55*FR55*0.04180884375)*FS55</f>
        <v>0</v>
      </c>
    </row>
    <row r="56" customFormat="false" ht="18.75" hidden="false" customHeight="true" outlineLevel="0" collapsed="false">
      <c r="B56" s="421"/>
      <c r="C56" s="1081" t="s">
        <v>1424</v>
      </c>
      <c r="D56" s="397"/>
      <c r="E56" s="1330"/>
      <c r="F56" s="397"/>
      <c r="G56" s="1331" t="n">
        <v>15</v>
      </c>
      <c r="H56" s="397" t="s">
        <v>1285</v>
      </c>
      <c r="I56" s="1329"/>
      <c r="J56" s="1329"/>
      <c r="K56" s="1031"/>
      <c r="L56" s="1055"/>
      <c r="M56" s="1055"/>
      <c r="N56" s="397" t="s">
        <v>1418</v>
      </c>
      <c r="O56" s="1332" t="n">
        <f aca="false">L56*G56</f>
        <v>0</v>
      </c>
      <c r="P56" s="1332"/>
      <c r="Q56" s="1306" t="s">
        <v>1069</v>
      </c>
      <c r="R56" s="920" t="s">
        <v>561</v>
      </c>
      <c r="S56" s="78"/>
      <c r="T56" s="1311" t="n">
        <f aca="false">ROUNDUP(I63/1800,0)</f>
        <v>0</v>
      </c>
      <c r="U56" s="78" t="s">
        <v>1425</v>
      </c>
      <c r="V56" s="1308" t="n">
        <v>45</v>
      </c>
      <c r="W56" s="78" t="s">
        <v>562</v>
      </c>
      <c r="X56" s="1309" t="n">
        <f aca="false">IF(U$39="Y",T56*V56,T56*V56*(1+W$39))</f>
        <v>0</v>
      </c>
      <c r="Y56" s="1313"/>
      <c r="FQ56" s="149"/>
      <c r="FR56" s="150"/>
      <c r="FS56" s="151"/>
      <c r="FT56" s="152" t="n">
        <f aca="false">FQ56*(FR56*FR56*0.04180884375)*FS56</f>
        <v>0</v>
      </c>
    </row>
    <row r="57" customFormat="false" ht="18.75" hidden="false" customHeight="true" outlineLevel="0" collapsed="false">
      <c r="B57" s="421"/>
      <c r="C57" s="1041"/>
      <c r="E57" s="833"/>
      <c r="G57" s="1333" t="n">
        <v>0.17</v>
      </c>
      <c r="H57" s="16" t="s">
        <v>1426</v>
      </c>
      <c r="I57" s="1329"/>
      <c r="J57" s="1329"/>
      <c r="K57" s="1334" t="n">
        <v>0.1</v>
      </c>
      <c r="L57" s="1310"/>
      <c r="M57" s="1310"/>
      <c r="N57" s="16" t="s">
        <v>1418</v>
      </c>
      <c r="O57" s="1309" t="n">
        <f aca="false">G57*L57</f>
        <v>0</v>
      </c>
      <c r="P57" s="1309"/>
      <c r="Q57" s="1306" t="s">
        <v>1069</v>
      </c>
      <c r="R57" s="920" t="s">
        <v>563</v>
      </c>
      <c r="S57" s="78"/>
      <c r="T57" s="1311" t="n">
        <f aca="false">ROUNDUP(I63/1000,0)</f>
        <v>0</v>
      </c>
      <c r="U57" s="78" t="s">
        <v>1425</v>
      </c>
      <c r="V57" s="1308" t="n">
        <f aca="false">Pricing!Q17</f>
        <v>68.2</v>
      </c>
      <c r="W57" s="78" t="s">
        <v>562</v>
      </c>
      <c r="X57" s="1309" t="n">
        <f aca="false">IF(U$39="Y",T57*V57,T57*V57*(1+W$39))</f>
        <v>0</v>
      </c>
      <c r="Y57" s="1313"/>
      <c r="FQ57" s="1335"/>
      <c r="FR57" s="150"/>
      <c r="FS57" s="151"/>
      <c r="FT57" s="152" t="n">
        <f aca="false">FQ57*(FR57*FR57*0.04180884375)*FS57</f>
        <v>0</v>
      </c>
    </row>
    <row r="58" customFormat="false" ht="18.75" hidden="false" customHeight="true" outlineLevel="0" collapsed="false">
      <c r="B58" s="1041" t="s">
        <v>1427</v>
      </c>
      <c r="C58" s="1041"/>
      <c r="D58" s="1041"/>
      <c r="E58" s="833" t="s">
        <v>1428</v>
      </c>
      <c r="F58" s="1336" t="s">
        <v>1306</v>
      </c>
      <c r="G58" s="1337" t="n">
        <v>3.75</v>
      </c>
      <c r="H58" s="16" t="s">
        <v>600</v>
      </c>
      <c r="I58" s="1329"/>
      <c r="J58" s="1329"/>
      <c r="K58" s="1334"/>
      <c r="L58" s="1310" t="n">
        <f aca="false">IF(F58="Y",F36*(1+K57),0)</f>
        <v>0</v>
      </c>
      <c r="M58" s="1310"/>
      <c r="N58" s="16" t="s">
        <v>1259</v>
      </c>
      <c r="O58" s="1309" t="n">
        <f aca="false">L58*G58</f>
        <v>0</v>
      </c>
      <c r="P58" s="1309"/>
      <c r="Q58" s="1306" t="s">
        <v>1069</v>
      </c>
      <c r="R58" s="920" t="s">
        <v>564</v>
      </c>
      <c r="S58" s="78"/>
      <c r="T58" s="1311" t="n">
        <f aca="false">T57</f>
        <v>0</v>
      </c>
      <c r="U58" s="78" t="s">
        <v>1425</v>
      </c>
      <c r="V58" s="1308" t="n">
        <f aca="false">Pricing!Q18</f>
        <v>68.2</v>
      </c>
      <c r="W58" s="78" t="s">
        <v>562</v>
      </c>
      <c r="X58" s="1309" t="n">
        <f aca="false">IF(U$39="Y",T58*V58,T58*V58*(1+W$39))</f>
        <v>0</v>
      </c>
      <c r="Y58" s="1313"/>
      <c r="FQ58" s="1322"/>
      <c r="FR58" s="1323"/>
      <c r="FS58" s="1324"/>
      <c r="FT58" s="1325" t="n">
        <f aca="false">FQ58*(FR58*FR58*0.04180884375)*FS58</f>
        <v>0</v>
      </c>
    </row>
    <row r="59" customFormat="false" ht="18.75" hidden="false" customHeight="true" outlineLevel="0" collapsed="false">
      <c r="B59" s="1081" t="s">
        <v>1429</v>
      </c>
      <c r="C59" s="1081"/>
      <c r="D59" s="1081"/>
      <c r="E59" s="1330" t="s">
        <v>1428</v>
      </c>
      <c r="F59" s="1338" t="s">
        <v>1306</v>
      </c>
      <c r="G59" s="1339" t="n">
        <v>2.75</v>
      </c>
      <c r="H59" s="397" t="s">
        <v>1430</v>
      </c>
      <c r="I59" s="1329"/>
      <c r="J59" s="1329"/>
      <c r="K59" s="1334"/>
      <c r="L59" s="1316" t="n">
        <f aca="false">IF(F59="Y",F36*2*(1+K57),0)</f>
        <v>0</v>
      </c>
      <c r="M59" s="1316"/>
      <c r="N59" s="397" t="s">
        <v>1259</v>
      </c>
      <c r="O59" s="1326" t="n">
        <f aca="false">L59*G59</f>
        <v>0</v>
      </c>
      <c r="P59" s="1326"/>
      <c r="Q59" s="1306" t="s">
        <v>1069</v>
      </c>
      <c r="R59" s="920" t="s">
        <v>1310</v>
      </c>
      <c r="S59" s="78"/>
      <c r="T59" s="1311" t="n">
        <f aca="false">AM28*12/48/50</f>
        <v>0</v>
      </c>
      <c r="U59" s="78" t="s">
        <v>1425</v>
      </c>
      <c r="V59" s="1308" t="n">
        <f aca="false">Pricing!Q34</f>
        <v>45.24</v>
      </c>
      <c r="W59" s="78" t="s">
        <v>562</v>
      </c>
      <c r="X59" s="1309" t="n">
        <f aca="false">IF(U$39="Y",T59*V59,T59*V59*(1+W$39))</f>
        <v>0</v>
      </c>
      <c r="Y59" s="1313"/>
    </row>
    <row r="60" customFormat="false" ht="18.75" hidden="false" customHeight="true" outlineLevel="0" collapsed="false">
      <c r="B60" s="602"/>
      <c r="C60" s="602" t="s">
        <v>1431</v>
      </c>
      <c r="D60" s="1058"/>
      <c r="E60" s="1058"/>
      <c r="F60" s="1058"/>
      <c r="G60" s="1340"/>
      <c r="H60" s="1058" t="s">
        <v>1432</v>
      </c>
      <c r="I60" s="1341" t="s">
        <v>1433</v>
      </c>
      <c r="J60" s="1341"/>
      <c r="K60" s="1060" t="n">
        <v>0.3</v>
      </c>
      <c r="L60" s="1342" t="n">
        <f aca="false">BA36</f>
        <v>0</v>
      </c>
      <c r="M60" s="1342"/>
      <c r="N60" s="1058" t="s">
        <v>1418</v>
      </c>
      <c r="O60" s="1343" t="n">
        <f aca="false">G60*K60*L60</f>
        <v>0</v>
      </c>
      <c r="P60" s="1343"/>
      <c r="Q60" s="1306" t="s">
        <v>1069</v>
      </c>
      <c r="R60" s="920" t="s">
        <v>571</v>
      </c>
      <c r="S60" s="78"/>
      <c r="T60" s="1311" t="n">
        <f aca="false">BI51+AE119</f>
        <v>0</v>
      </c>
      <c r="U60" s="78" t="s">
        <v>1416</v>
      </c>
      <c r="V60" s="1308" t="n">
        <f aca="false">Pricing!Q19</f>
        <v>0.95</v>
      </c>
      <c r="W60" s="78" t="s">
        <v>1417</v>
      </c>
      <c r="X60" s="1309" t="n">
        <f aca="false">IF(U$39="Y",T60*V60,T60*V60*(1+W$39))</f>
        <v>0</v>
      </c>
      <c r="Y60" s="1313"/>
    </row>
    <row r="61" customFormat="false" ht="18.75" hidden="false" customHeight="true" outlineLevel="0" collapsed="false">
      <c r="B61" s="1344" t="s">
        <v>1434</v>
      </c>
      <c r="C61" s="1345"/>
      <c r="D61" s="1345" t="s">
        <v>1296</v>
      </c>
      <c r="E61" s="1345"/>
      <c r="F61" s="1345"/>
      <c r="G61" s="1345"/>
      <c r="H61" s="1345"/>
      <c r="I61" s="1345"/>
      <c r="J61" s="1345"/>
      <c r="K61" s="1345"/>
      <c r="L61" s="1345" t="s">
        <v>973</v>
      </c>
      <c r="M61" s="1345"/>
      <c r="N61" s="1346" t="s">
        <v>1297</v>
      </c>
      <c r="O61" s="1346"/>
      <c r="P61" s="1346"/>
      <c r="Q61" s="1306" t="s">
        <v>1069</v>
      </c>
      <c r="R61" s="920" t="s">
        <v>576</v>
      </c>
      <c r="S61" s="78"/>
      <c r="T61" s="1311" t="n">
        <f aca="false">F36*2</f>
        <v>0</v>
      </c>
      <c r="U61" s="78" t="s">
        <v>1416</v>
      </c>
      <c r="V61" s="1308" t="n">
        <f aca="false">Pricing!Q20</f>
        <v>0.25</v>
      </c>
      <c r="W61" s="78" t="s">
        <v>1417</v>
      </c>
      <c r="X61" s="1309" t="n">
        <f aca="false">IF(U$39="Y",T61*V61,T61*V61*(1+W$39))</f>
        <v>0</v>
      </c>
      <c r="Y61" s="1313"/>
    </row>
    <row r="62" customFormat="false" ht="18.75" hidden="false" customHeight="true" outlineLevel="0" collapsed="false">
      <c r="B62" s="1347" t="s">
        <v>1362</v>
      </c>
      <c r="C62" s="1068"/>
      <c r="D62" s="1348" t="s">
        <v>1306</v>
      </c>
      <c r="E62" s="1349" t="n">
        <v>8</v>
      </c>
      <c r="F62" s="1349"/>
      <c r="G62" s="1068" t="s">
        <v>1435</v>
      </c>
      <c r="H62" s="1068"/>
      <c r="I62" s="1350" t="n">
        <f aca="false">BC36</f>
        <v>0</v>
      </c>
      <c r="J62" s="1350"/>
      <c r="K62" s="1068" t="s">
        <v>1436</v>
      </c>
      <c r="L62" s="1072" t="n">
        <f aca="false">IF(D62="N",E62*I62,0)</f>
        <v>0</v>
      </c>
      <c r="M62" s="1072"/>
      <c r="N62" s="1068"/>
      <c r="O62" s="1351" t="n">
        <f aca="false">IF(D62="y",E62*I62,0)</f>
        <v>0</v>
      </c>
      <c r="P62" s="1351"/>
      <c r="Q62" s="1306" t="s">
        <v>1069</v>
      </c>
      <c r="R62" s="920" t="s">
        <v>583</v>
      </c>
      <c r="S62" s="78"/>
      <c r="T62" s="1311" t="n">
        <f aca="false">ROUNDUP(L60*0.55/2/100,0)</f>
        <v>0</v>
      </c>
      <c r="U62" s="78" t="s">
        <v>1425</v>
      </c>
      <c r="V62" s="1308" t="n">
        <f aca="false">Pricing!Q21</f>
        <v>45</v>
      </c>
      <c r="W62" s="78" t="s">
        <v>562</v>
      </c>
      <c r="X62" s="1309" t="n">
        <f aca="false">IF(U$39="Y",T62*V62,T62*V62*(1+W$39))</f>
        <v>0</v>
      </c>
      <c r="Y62" s="1313"/>
    </row>
    <row r="63" customFormat="false" ht="18.75" hidden="false" customHeight="true" outlineLevel="0" collapsed="false">
      <c r="B63" s="599" t="s">
        <v>1437</v>
      </c>
      <c r="C63" s="405"/>
      <c r="D63" s="1352" t="s">
        <v>1306</v>
      </c>
      <c r="E63" s="1075" t="n">
        <v>4</v>
      </c>
      <c r="F63" s="1075"/>
      <c r="G63" s="16" t="s">
        <v>1438</v>
      </c>
      <c r="H63" s="1353" t="n">
        <f aca="false">SUM(E63:F65)</f>
        <v>9</v>
      </c>
      <c r="I63" s="1354" t="n">
        <f aca="false">BB36</f>
        <v>0</v>
      </c>
      <c r="J63" s="1354"/>
      <c r="K63" s="16" t="s">
        <v>1439</v>
      </c>
      <c r="L63" s="1076" t="n">
        <f aca="false">IF(D63="N",E63*I63,0)</f>
        <v>0</v>
      </c>
      <c r="M63" s="1076"/>
      <c r="O63" s="1355" t="n">
        <f aca="false">IF(D63="y",I$63*E63,0)</f>
        <v>0</v>
      </c>
      <c r="P63" s="1355"/>
      <c r="Q63" s="1306" t="s">
        <v>1069</v>
      </c>
      <c r="R63" s="920" t="s">
        <v>1440</v>
      </c>
      <c r="S63" s="78"/>
      <c r="T63" s="1311" t="n">
        <f aca="false">F36-F36</f>
        <v>0</v>
      </c>
      <c r="U63" s="78" t="s">
        <v>1441</v>
      </c>
      <c r="V63" s="1308" t="n">
        <v>2.25</v>
      </c>
      <c r="W63" s="78"/>
      <c r="X63" s="1309" t="n">
        <f aca="false">IF(U$39="Y",T63*V63,T63*V63*(1+W$39))</f>
        <v>0</v>
      </c>
      <c r="Y63" s="1313"/>
    </row>
    <row r="64" customFormat="false" ht="18.75" hidden="false" customHeight="true" outlineLevel="0" collapsed="false">
      <c r="B64" s="1041" t="s">
        <v>1442</v>
      </c>
      <c r="C64" s="405"/>
      <c r="D64" s="1074" t="s">
        <v>1306</v>
      </c>
      <c r="E64" s="1075" t="n">
        <v>4</v>
      </c>
      <c r="F64" s="1075"/>
      <c r="G64" s="16" t="s">
        <v>1438</v>
      </c>
      <c r="H64" s="1353"/>
      <c r="I64" s="1354"/>
      <c r="J64" s="1354"/>
      <c r="K64" s="16" t="s">
        <v>1439</v>
      </c>
      <c r="L64" s="1076" t="n">
        <f aca="false">IF(D64="N",E64*I64,0)</f>
        <v>0</v>
      </c>
      <c r="M64" s="1076"/>
      <c r="O64" s="1355" t="n">
        <f aca="false">IF(D64="y",I$63*E64,0)</f>
        <v>0</v>
      </c>
      <c r="P64" s="1355"/>
      <c r="Q64" s="1306" t="s">
        <v>1069</v>
      </c>
      <c r="R64" s="920"/>
      <c r="S64" s="78"/>
      <c r="T64" s="1311"/>
      <c r="U64" s="78"/>
      <c r="V64" s="1308" t="n">
        <v>0</v>
      </c>
      <c r="W64" s="78"/>
      <c r="X64" s="1309" t="n">
        <f aca="false">IF(U$39="Y",T64*V64,T64*V64*(1+W$39))</f>
        <v>0</v>
      </c>
      <c r="Y64" s="1313"/>
    </row>
    <row r="65" customFormat="false" ht="18.75" hidden="false" customHeight="true" outlineLevel="0" collapsed="false">
      <c r="B65" s="1041" t="s">
        <v>1443</v>
      </c>
      <c r="C65" s="405"/>
      <c r="D65" s="1074" t="s">
        <v>1306</v>
      </c>
      <c r="E65" s="1075" t="n">
        <v>1</v>
      </c>
      <c r="F65" s="1075"/>
      <c r="G65" s="16" t="s">
        <v>1438</v>
      </c>
      <c r="H65" s="1353"/>
      <c r="I65" s="1354"/>
      <c r="J65" s="1354"/>
      <c r="K65" s="16" t="s">
        <v>1439</v>
      </c>
      <c r="L65" s="1076" t="n">
        <f aca="false">IF(D65="N",E65*I65,0)</f>
        <v>0</v>
      </c>
      <c r="M65" s="1076"/>
      <c r="O65" s="1355" t="n">
        <f aca="false">IF(D65="y",I$63*E65,0)</f>
        <v>0</v>
      </c>
      <c r="P65" s="1355"/>
      <c r="Q65" s="1306" t="s">
        <v>1069</v>
      </c>
      <c r="R65" s="920"/>
      <c r="S65" s="78"/>
      <c r="T65" s="1311"/>
      <c r="U65" s="78"/>
      <c r="V65" s="1308" t="n">
        <v>0</v>
      </c>
      <c r="W65" s="78"/>
      <c r="X65" s="1309" t="n">
        <f aca="false">IF(U$39="Y",T65*V65,T65*V65*(1+W$39))</f>
        <v>0</v>
      </c>
      <c r="Y65" s="1313"/>
    </row>
    <row r="66" customFormat="false" ht="18.75" hidden="false" customHeight="true" outlineLevel="0" collapsed="false">
      <c r="B66" s="1041" t="s">
        <v>1444</v>
      </c>
      <c r="C66" s="405"/>
      <c r="D66" s="1074" t="s">
        <v>1306</v>
      </c>
      <c r="E66" s="1075" t="n">
        <v>0.25</v>
      </c>
      <c r="F66" s="1075"/>
      <c r="G66" s="16" t="s">
        <v>1438</v>
      </c>
      <c r="I66" s="1354"/>
      <c r="J66" s="1354"/>
      <c r="K66" s="16" t="s">
        <v>1439</v>
      </c>
      <c r="L66" s="1076" t="n">
        <f aca="false">IF(D66="N",E73*I66,0)</f>
        <v>0</v>
      </c>
      <c r="M66" s="1076"/>
      <c r="O66" s="1355" t="n">
        <f aca="false">IF(D66="y",I$63*E66,0)</f>
        <v>0</v>
      </c>
      <c r="P66" s="1355"/>
      <c r="Q66" s="1306" t="s">
        <v>1069</v>
      </c>
      <c r="R66" s="920"/>
      <c r="S66" s="78"/>
      <c r="T66" s="1311" t="n">
        <f aca="false">BI56+BQ56</f>
        <v>0</v>
      </c>
      <c r="U66" s="78"/>
      <c r="V66" s="1308" t="n">
        <f aca="false">BL56</f>
        <v>0</v>
      </c>
      <c r="W66" s="78"/>
      <c r="X66" s="1309" t="n">
        <f aca="false">IF(U$39="Y",T66*V66,T66*V66*(1+W$39))</f>
        <v>0</v>
      </c>
      <c r="Y66" s="1313"/>
    </row>
    <row r="67" customFormat="false" ht="18.75" hidden="false" customHeight="true" outlineLevel="0" collapsed="false">
      <c r="B67" s="1041" t="s">
        <v>1307</v>
      </c>
      <c r="C67" s="405"/>
      <c r="D67" s="1074" t="s">
        <v>1306</v>
      </c>
      <c r="E67" s="1075" t="n">
        <v>450</v>
      </c>
      <c r="F67" s="1075"/>
      <c r="G67" s="16" t="s">
        <v>1308</v>
      </c>
      <c r="I67" s="1042" t="n">
        <f aca="false">(L52/2000)</f>
        <v>0</v>
      </c>
      <c r="J67" s="1042"/>
      <c r="K67" s="16" t="s">
        <v>1309</v>
      </c>
      <c r="L67" s="1076" t="n">
        <f aca="false">IF(D67="N",E67*I67,0)</f>
        <v>0</v>
      </c>
      <c r="M67" s="1076"/>
      <c r="O67" s="1355" t="n">
        <f aca="false">IF(D67="y",I67*E67,0)</f>
        <v>0</v>
      </c>
      <c r="P67" s="1355"/>
      <c r="Q67" s="1306" t="s">
        <v>1069</v>
      </c>
      <c r="R67" s="920"/>
      <c r="S67" s="78"/>
      <c r="T67" s="1311" t="n">
        <f aca="false">BI58+BQ58</f>
        <v>0</v>
      </c>
      <c r="U67" s="78"/>
      <c r="V67" s="1308" t="n">
        <f aca="false">BL58</f>
        <v>0</v>
      </c>
      <c r="W67" s="78"/>
      <c r="X67" s="1309" t="n">
        <f aca="false">IF(U$39="Y",T67*V67,T67*V67*(1+W$39))</f>
        <v>0</v>
      </c>
      <c r="Y67" s="1313"/>
    </row>
    <row r="68" customFormat="false" ht="18.75" hidden="false" customHeight="true" outlineLevel="0" collapsed="false">
      <c r="B68" s="1041" t="s">
        <v>1445</v>
      </c>
      <c r="C68" s="405"/>
      <c r="D68" s="1356" t="s">
        <v>1306</v>
      </c>
      <c r="E68" s="1075" t="n">
        <v>4</v>
      </c>
      <c r="F68" s="1075"/>
      <c r="G68" s="16" t="s">
        <v>1285</v>
      </c>
      <c r="I68" s="1042" t="n">
        <f aca="false">SUM(FT10:FT35)</f>
        <v>0</v>
      </c>
      <c r="J68" s="1042"/>
      <c r="K68" s="16" t="s">
        <v>998</v>
      </c>
      <c r="L68" s="1076" t="n">
        <f aca="false">IF(D68="N",E68*I68,0)</f>
        <v>0</v>
      </c>
      <c r="M68" s="1076"/>
      <c r="O68" s="1355" t="n">
        <f aca="false">IF(D68="y",I68*E68,0)</f>
        <v>0</v>
      </c>
      <c r="P68" s="1355"/>
      <c r="Q68" s="1306" t="s">
        <v>1069</v>
      </c>
      <c r="R68" s="1357"/>
      <c r="S68" s="1358"/>
      <c r="T68" s="1359"/>
      <c r="U68" s="1358"/>
      <c r="V68" s="1360"/>
      <c r="W68" s="1358"/>
      <c r="X68" s="1326" t="n">
        <f aca="false">IF(U$39="Y",T68*V68,T68*V68*(1+W$39))</f>
        <v>0</v>
      </c>
      <c r="Y68" s="1313"/>
    </row>
    <row r="69" customFormat="false" ht="18.75" hidden="false" customHeight="true" outlineLevel="0" collapsed="false">
      <c r="B69" s="72" t="s">
        <v>1446</v>
      </c>
      <c r="C69" s="405"/>
      <c r="D69" s="1356" t="s">
        <v>1302</v>
      </c>
      <c r="E69" s="1075" t="n">
        <v>8</v>
      </c>
      <c r="F69" s="1075"/>
      <c r="G69" s="16" t="s">
        <v>1285</v>
      </c>
      <c r="I69" s="1042" t="n">
        <f aca="false">SUM(FV10:FV35)</f>
        <v>0</v>
      </c>
      <c r="J69" s="1042"/>
      <c r="K69" s="16" t="s">
        <v>998</v>
      </c>
      <c r="L69" s="1076" t="n">
        <f aca="false">IF(D69="N",E69*I69,0)</f>
        <v>0</v>
      </c>
      <c r="M69" s="1076"/>
      <c r="O69" s="1355" t="n">
        <f aca="false">IF(D69="y",I69*E69,0)</f>
        <v>0</v>
      </c>
      <c r="P69" s="1355"/>
      <c r="Q69" s="1306" t="s">
        <v>1069</v>
      </c>
      <c r="R69" s="920"/>
      <c r="S69" s="78"/>
      <c r="T69" s="1311" t="n">
        <f aca="false">BI59+BQ59</f>
        <v>0</v>
      </c>
      <c r="U69" s="1361"/>
      <c r="V69" s="1308" t="n">
        <f aca="false">BL59</f>
        <v>0</v>
      </c>
      <c r="W69" s="78"/>
      <c r="X69" s="1309" t="n">
        <f aca="false">IF(U$39="Y",T69*V69,T69*V69*(1+W$39))</f>
        <v>0</v>
      </c>
      <c r="Y69" s="1313"/>
    </row>
    <row r="70" customFormat="false" ht="18.75" hidden="false" customHeight="true" outlineLevel="0" collapsed="false">
      <c r="B70" s="1362" t="s">
        <v>1313</v>
      </c>
      <c r="C70" s="1362"/>
      <c r="D70" s="1082" t="s">
        <v>1302</v>
      </c>
      <c r="E70" s="1084"/>
      <c r="F70" s="1084"/>
      <c r="G70" s="397"/>
      <c r="H70" s="1363"/>
      <c r="I70" s="1363"/>
      <c r="J70" s="397"/>
      <c r="K70" s="1364"/>
      <c r="L70" s="1085" t="n">
        <f aca="false">IF(D70="N",E70,0)</f>
        <v>0</v>
      </c>
      <c r="M70" s="1085"/>
      <c r="N70" s="1108"/>
      <c r="O70" s="1365" t="n">
        <f aca="false">IF(D70="y",E70,0)</f>
        <v>0</v>
      </c>
      <c r="P70" s="1365"/>
      <c r="Q70" s="1306" t="s">
        <v>1069</v>
      </c>
      <c r="R70" s="920"/>
      <c r="S70" s="78"/>
      <c r="T70" s="1311"/>
      <c r="U70" s="1361"/>
      <c r="V70" s="1308"/>
      <c r="W70" s="78"/>
      <c r="X70" s="1309" t="n">
        <f aca="false">IF(U$39="Y",T70*V70,T70*V70*(1+W$39))</f>
        <v>0</v>
      </c>
      <c r="Y70" s="1313"/>
    </row>
    <row r="71" customFormat="false" ht="18.75" hidden="false" customHeight="true" outlineLevel="0" collapsed="false">
      <c r="B71" s="1087" t="s">
        <v>1447</v>
      </c>
      <c r="C71" s="1088"/>
      <c r="D71" s="1089"/>
      <c r="E71" s="1090" t="n">
        <f aca="false">IF(I63=0,0,(O71-O70+L71)/I63)</f>
        <v>0</v>
      </c>
      <c r="F71" s="1090"/>
      <c r="G71" s="855"/>
      <c r="H71" s="1058"/>
      <c r="I71" s="1088" t="s">
        <v>980</v>
      </c>
      <c r="J71" s="1088"/>
      <c r="K71" s="1088"/>
      <c r="L71" s="1091" t="n">
        <f aca="false">SUM(L62:M70)</f>
        <v>0</v>
      </c>
      <c r="M71" s="1091"/>
      <c r="N71" s="1058"/>
      <c r="O71" s="1366" t="n">
        <f aca="false">SUM(O62:P70)</f>
        <v>0</v>
      </c>
      <c r="P71" s="1366"/>
      <c r="Q71" s="1306" t="s">
        <v>1448</v>
      </c>
      <c r="R71" s="920" t="s">
        <v>601</v>
      </c>
      <c r="S71" s="78"/>
      <c r="T71" s="1311" t="n">
        <f aca="false">I63/3*2</f>
        <v>0</v>
      </c>
      <c r="U71" s="78"/>
      <c r="V71" s="1308" t="n">
        <f aca="false">Pricing!Q4</f>
        <v>0.859375</v>
      </c>
      <c r="W71" s="78" t="s">
        <v>1312</v>
      </c>
      <c r="X71" s="1309" t="n">
        <f aca="false">IF(U$39="Y",T71*V71,T71*V71*(1+W$39))</f>
        <v>0</v>
      </c>
      <c r="Y71" s="1313"/>
    </row>
    <row r="72" customFormat="false" ht="18.75" hidden="false" customHeight="true" outlineLevel="0" collapsed="false">
      <c r="B72" s="1367" t="s">
        <v>1449</v>
      </c>
      <c r="C72" s="1367"/>
      <c r="D72" s="1367"/>
      <c r="E72" s="1367"/>
      <c r="F72" s="1367"/>
      <c r="G72" s="1367"/>
      <c r="H72" s="1367"/>
      <c r="I72" s="1367"/>
      <c r="J72" s="1367"/>
      <c r="K72" s="1367"/>
      <c r="L72" s="1367"/>
      <c r="M72" s="1367"/>
      <c r="N72" s="1367"/>
      <c r="O72" s="1367"/>
      <c r="P72" s="1367"/>
      <c r="Q72" s="1306" t="s">
        <v>1448</v>
      </c>
      <c r="R72" s="920" t="s">
        <v>604</v>
      </c>
      <c r="S72" s="78"/>
      <c r="T72" s="1311" t="n">
        <f aca="false">T71/2*T48</f>
        <v>0</v>
      </c>
      <c r="U72" s="78"/>
      <c r="V72" s="1308" t="n">
        <f aca="false">Pricing!Q5</f>
        <v>1.4453125</v>
      </c>
      <c r="W72" s="78" t="s">
        <v>1312</v>
      </c>
      <c r="X72" s="1309" t="n">
        <f aca="false">IF(U$39="Y",T72*V72,T72*V72*(1+W$39))</f>
        <v>0</v>
      </c>
      <c r="Y72" s="1313"/>
    </row>
    <row r="73" customFormat="false" ht="18.75" hidden="false" customHeight="true" outlineLevel="0" collapsed="false">
      <c r="B73" s="1096" t="s">
        <v>1316</v>
      </c>
      <c r="C73" s="1068"/>
      <c r="D73" s="1097"/>
      <c r="E73" s="1098"/>
      <c r="F73" s="1068" t="s">
        <v>1317</v>
      </c>
      <c r="G73" s="1368" t="n">
        <v>425</v>
      </c>
      <c r="H73" s="1100" t="s">
        <v>1450</v>
      </c>
      <c r="I73" s="1068"/>
      <c r="J73" s="1068"/>
      <c r="K73" s="1068"/>
      <c r="L73" s="1068"/>
      <c r="M73" s="1101" t="n">
        <f aca="false">IF(E40=0,0,(SUM(O73:P75))/E40)</f>
        <v>0</v>
      </c>
      <c r="N73" s="1101"/>
      <c r="O73" s="1369" t="n">
        <f aca="false">E73*G73</f>
        <v>0</v>
      </c>
      <c r="P73" s="1369"/>
      <c r="Q73" s="1306" t="s">
        <v>1451</v>
      </c>
      <c r="R73" s="1357" t="s">
        <v>606</v>
      </c>
      <c r="S73" s="1358"/>
      <c r="T73" s="1359" t="n">
        <f aca="false">BI57+BQ57</f>
        <v>0</v>
      </c>
      <c r="U73" s="1358" t="s">
        <v>1452</v>
      </c>
      <c r="V73" s="1360" t="n">
        <f aca="false">Pricing!Q28</f>
        <v>45</v>
      </c>
      <c r="W73" s="1358" t="s">
        <v>607</v>
      </c>
      <c r="X73" s="1326" t="n">
        <f aca="false">IF(U$39="Y",T73*V73,T73*V73*(1+W$39))</f>
        <v>0</v>
      </c>
      <c r="Y73" s="1313"/>
    </row>
    <row r="74" customFormat="false" ht="18.75" hidden="false" customHeight="true" outlineLevel="0" collapsed="false">
      <c r="B74" s="1041" t="s">
        <v>1318</v>
      </c>
      <c r="E74" s="1103" t="n">
        <f aca="false">E73</f>
        <v>0</v>
      </c>
      <c r="F74" s="1104" t="s">
        <v>1317</v>
      </c>
      <c r="G74" s="1370" t="n">
        <v>250</v>
      </c>
      <c r="H74" s="1142" t="s">
        <v>1450</v>
      </c>
      <c r="M74" s="1106" t="n">
        <f aca="false">SUM(O73:P75)</f>
        <v>0</v>
      </c>
      <c r="N74" s="1106"/>
      <c r="O74" s="1309" t="n">
        <f aca="false">E74*G74</f>
        <v>0</v>
      </c>
      <c r="P74" s="1309"/>
      <c r="Q74" s="1306" t="s">
        <v>1077</v>
      </c>
      <c r="R74" s="920" t="s">
        <v>1453</v>
      </c>
      <c r="S74" s="78"/>
      <c r="T74" s="78"/>
      <c r="U74" s="78" t="s">
        <v>1454</v>
      </c>
      <c r="V74" s="1308" t="n">
        <f aca="false">BL61</f>
        <v>0</v>
      </c>
      <c r="W74" s="78" t="s">
        <v>630</v>
      </c>
      <c r="X74" s="1309" t="n">
        <f aca="false">IF(U$39="Y",T74*V74,T74*V74*(1+W$39))</f>
        <v>0</v>
      </c>
      <c r="Y74" s="1199"/>
    </row>
    <row r="75" customFormat="false" ht="18.75" hidden="false" customHeight="true" outlineLevel="0" collapsed="false">
      <c r="B75" s="1041" t="s">
        <v>1320</v>
      </c>
      <c r="E75" s="1103" t="n">
        <f aca="false">E73</f>
        <v>0</v>
      </c>
      <c r="F75" s="16" t="s">
        <v>1317</v>
      </c>
      <c r="G75" s="1370" t="n">
        <v>100</v>
      </c>
      <c r="H75" s="16" t="s">
        <v>1450</v>
      </c>
      <c r="O75" s="1309" t="n">
        <f aca="false">E75*G75</f>
        <v>0</v>
      </c>
      <c r="P75" s="1309"/>
      <c r="Q75" s="1306" t="s">
        <v>1076</v>
      </c>
      <c r="R75" s="920" t="s">
        <v>1455</v>
      </c>
      <c r="S75" s="78"/>
      <c r="T75" s="1311" t="n">
        <f aca="false">BI58+BQ58</f>
        <v>0</v>
      </c>
      <c r="U75" s="78"/>
      <c r="V75" s="1308" t="n">
        <f aca="false">BL58</f>
        <v>0</v>
      </c>
      <c r="W75" s="78"/>
      <c r="X75" s="1309" t="n">
        <f aca="false">IF(U$39="Y",T74*V74,T74*V74*(1+W$39))</f>
        <v>0</v>
      </c>
      <c r="Y75" s="1199"/>
    </row>
    <row r="76" customFormat="false" ht="18.75" hidden="false" customHeight="true" outlineLevel="0" collapsed="false">
      <c r="B76" s="860" t="s">
        <v>1321</v>
      </c>
      <c r="C76" s="1058"/>
      <c r="D76" s="1058"/>
      <c r="E76" s="1110" t="n">
        <f aca="false">E73</f>
        <v>0</v>
      </c>
      <c r="F76" s="1058" t="s">
        <v>1317</v>
      </c>
      <c r="G76" s="1371" t="n">
        <v>200</v>
      </c>
      <c r="H76" s="1058" t="s">
        <v>1450</v>
      </c>
      <c r="I76" s="1058"/>
      <c r="J76" s="1058"/>
      <c r="K76" s="1058"/>
      <c r="L76" s="1058"/>
      <c r="M76" s="1372" t="n">
        <f aca="false">IF(E40=0,0,O76/E40)</f>
        <v>0</v>
      </c>
      <c r="N76" s="1372"/>
      <c r="O76" s="730" t="n">
        <f aca="false">E76*G76</f>
        <v>0</v>
      </c>
      <c r="P76" s="730"/>
      <c r="Q76" s="1306"/>
      <c r="R76" s="920"/>
      <c r="S76" s="78"/>
      <c r="T76" s="1311"/>
      <c r="U76" s="78"/>
      <c r="V76" s="1308"/>
      <c r="W76" s="78"/>
      <c r="X76" s="1309" t="n">
        <f aca="false">IF(U$39="Y",T75*V75,T75*V75*(1+W$39))</f>
        <v>0</v>
      </c>
      <c r="Y76" s="1199"/>
    </row>
    <row r="77" customFormat="false" ht="18.75" hidden="false" customHeight="true" outlineLevel="0" collapsed="false">
      <c r="B77" s="1367" t="s">
        <v>1325</v>
      </c>
      <c r="C77" s="1367"/>
      <c r="D77" s="1367"/>
      <c r="E77" s="1367"/>
      <c r="F77" s="1367"/>
      <c r="G77" s="1367"/>
      <c r="H77" s="1367"/>
      <c r="I77" s="1367"/>
      <c r="J77" s="1367"/>
      <c r="K77" s="1367"/>
      <c r="L77" s="1367"/>
      <c r="M77" s="1367"/>
      <c r="N77" s="1367"/>
      <c r="O77" s="1367"/>
      <c r="P77" s="1367"/>
      <c r="Q77" s="1306" t="s">
        <v>1076</v>
      </c>
      <c r="R77" s="1044" t="s">
        <v>1456</v>
      </c>
      <c r="S77" s="265"/>
      <c r="T77" s="1373" t="n">
        <f aca="false">SUM(L48:M51)/300</f>
        <v>0</v>
      </c>
      <c r="U77" s="397" t="s">
        <v>1323</v>
      </c>
      <c r="V77" s="1364" t="n">
        <v>250</v>
      </c>
      <c r="W77" s="397" t="s">
        <v>1324</v>
      </c>
      <c r="X77" s="1326" t="n">
        <f aca="false">IF(U$39="Y",T77*V77,T77*V77*(1+W$39))</f>
        <v>0</v>
      </c>
      <c r="Y77" s="1199"/>
    </row>
    <row r="78" customFormat="false" ht="18.75" hidden="false" customHeight="true" outlineLevel="0" collapsed="false">
      <c r="B78" s="836" t="s">
        <v>1326</v>
      </c>
      <c r="C78" s="1068"/>
      <c r="D78" s="1114"/>
      <c r="E78" s="1098" t="n">
        <f aca="false">IF(E$73&gt;0,IF(E$73&lt;=3,E$73,7),0)+IF(E$73&gt;5,IF(E$73&lt;=10,7,0),0)+IF(E$73&gt;10,IF(E$73&lt;=15,14,0),0)+IF(E$73&gt;15,IF(E$73&lt;=20,23,0),0)+IF(E$73&gt;20,IF(E$73&lt;=40,53,0),0)+IF(E$73&gt;40,IF(E$73&lt;=60,83,0),0)+IF(E$73&gt;60,IF(E$73&lt;=80,113,0),0)+IF(E$73&gt;80,IF(E$73&lt;=100,143,0),0)+IF(E$73&gt;100,IF(E$73&lt;=120,163,0),0)+IF(E$73&gt;120,IF(E$73&lt;=140,193,0),0)+IF(E$73&gt;140,IF(E$73&lt;=160,223,0),0)</f>
        <v>0</v>
      </c>
      <c r="F78" s="1068" t="s">
        <v>1327</v>
      </c>
      <c r="G78" s="1368" t="n">
        <f aca="false">Pricing!D32</f>
        <v>425</v>
      </c>
      <c r="H78" s="1068" t="s">
        <v>1450</v>
      </c>
      <c r="I78" s="1068"/>
      <c r="J78" s="1068"/>
      <c r="K78" s="1068"/>
      <c r="L78" s="1068"/>
      <c r="M78" s="1374"/>
      <c r="N78" s="1374"/>
      <c r="O78" s="1369" t="n">
        <f aca="false">(IF(AND(E78&gt;0,E78&lt;4),E78*G78,0)+IF(AND(E78&gt;3,E78&lt;8),G78*3,0)+IF(AND(E78&gt;7,E78&lt;21),E78/7*G78*3,0)+IF(AND(E78&gt;20,E78&lt;30),G78*9,0)+IF(E78&gt;29,E78/30*G78*9,0))*(1+W$39+J$80)</f>
        <v>0</v>
      </c>
      <c r="P78" s="1369"/>
      <c r="Q78" s="1306" t="s">
        <v>1073</v>
      </c>
      <c r="R78" s="920" t="s">
        <v>618</v>
      </c>
      <c r="S78" s="78"/>
      <c r="T78" s="78" t="n">
        <f aca="false">ROUNDUP(I63/12000,0)</f>
        <v>0</v>
      </c>
      <c r="U78" s="78" t="s">
        <v>1452</v>
      </c>
      <c r="V78" s="1308" t="n">
        <f aca="false">BL65</f>
        <v>0</v>
      </c>
      <c r="W78" s="78" t="s">
        <v>607</v>
      </c>
      <c r="X78" s="1309" t="n">
        <f aca="false">IF(U$39="Y",T78*V78,T78*V78*(1+W$39))</f>
        <v>0</v>
      </c>
      <c r="Y78" s="1199"/>
    </row>
    <row r="79" customFormat="false" ht="18.75" hidden="false" customHeight="true" outlineLevel="0" collapsed="false">
      <c r="B79" s="599" t="s">
        <v>622</v>
      </c>
      <c r="D79" s="1116"/>
      <c r="E79" s="1115" t="n">
        <f aca="false">IF(E$73&gt;0,IF(E$73&lt;=3,E$73,7),0)+IF(E$73&gt;5,IF(E$73&lt;=10,7,0),0)+IF(E$73&gt;10,IF(E$73&lt;=15,14,0),0)+IF(E$73&gt;15,IF(E$73&lt;=20,23,0),0)+IF(E$73&gt;20,IF(E$73&lt;=40,53,0),0)+IF(E$73&gt;40,IF(E$73&lt;=60,83,0),0)+IF(E$73&gt;60,IF(E$73&lt;=80,113,0),0)+IF(E$73&gt;80,IF(E$73&lt;=100,143,0),0)+IF(E$73&gt;100,IF(E$73&lt;=120,163,0),0)+IF(E$73&gt;120,IF(E$73&lt;=140,193,0),0)+IF(E$73&gt;140,IF(E$73&lt;=160,223,0),0)</f>
        <v>0</v>
      </c>
      <c r="F79" s="16" t="s">
        <v>1327</v>
      </c>
      <c r="G79" s="1368" t="n">
        <f aca="false">Pricing!D33</f>
        <v>475</v>
      </c>
      <c r="H79" s="16" t="s">
        <v>1450</v>
      </c>
      <c r="J79" s="1118" t="s">
        <v>1329</v>
      </c>
      <c r="K79" s="1118"/>
      <c r="M79" s="1119" t="n">
        <f aca="false">IF(E40=0,0,(SUM(O78:P83))/E40)</f>
        <v>0</v>
      </c>
      <c r="N79" s="1119"/>
      <c r="O79" s="1309" t="n">
        <f aca="false">(IF(AND(E79&gt;0,E79&lt;4),E79*G79,0)+IF(AND(E79&gt;3,E79&lt;8),G79*3,0)+IF(AND(E79&gt;7,E79&lt;21),E79/7*G79*3,0)+IF(AND(E79&gt;20,E79&lt;30),G79*9,0)+IF(E79&gt;29,E79/30*G79*9,0))*(1+W$39+J$80)</f>
        <v>0</v>
      </c>
      <c r="P79" s="1309"/>
      <c r="Q79" s="1306" t="s">
        <v>1073</v>
      </c>
      <c r="R79" s="920" t="s">
        <v>1457</v>
      </c>
      <c r="S79" s="78"/>
      <c r="T79" s="78"/>
      <c r="U79" s="78"/>
      <c r="V79" s="1308" t="n">
        <v>0</v>
      </c>
      <c r="W79" s="78" t="s">
        <v>1417</v>
      </c>
      <c r="X79" s="1309" t="n">
        <f aca="false">IF(U$39="Y",T79*V79,T79*V79*(1+W$39))</f>
        <v>0</v>
      </c>
      <c r="Y79" s="1199"/>
    </row>
    <row r="80" customFormat="false" ht="18.75" hidden="false" customHeight="true" outlineLevel="0" collapsed="false">
      <c r="B80" s="599" t="s">
        <v>626</v>
      </c>
      <c r="D80" s="1116"/>
      <c r="E80" s="1115" t="n">
        <f aca="false">IF(E$73&gt;0,IF(E$73&lt;=3,E$73,7),0)+IF(E$73&gt;5,IF(E$73&lt;=10,7,0),0)+IF(E$73&gt;10,IF(E$73&lt;=15,14,0),0)+IF(E$73&gt;15,IF(E$73&lt;=20,23,0),0)+IF(E$73&gt;20,IF(E$73&lt;=40,53,0),0)+IF(E$73&gt;40,IF(E$73&lt;=60,83,0),0)+IF(E$73&gt;60,IF(E$73&lt;=80,113,0),0)+IF(E$73&gt;80,IF(E$73&lt;=100,143,0),0)+IF(E$73&gt;100,IF(E$73&lt;=120,163,0),0)+IF(E$73&gt;120,IF(E$73&lt;=140,193,0),0)+IF(E$73&gt;140,IF(E$73&lt;=160,223,0),0)</f>
        <v>0</v>
      </c>
      <c r="F80" s="78" t="s">
        <v>1327</v>
      </c>
      <c r="G80" s="1375" t="n">
        <f aca="false">Pricing!D35</f>
        <v>325</v>
      </c>
      <c r="H80" s="16" t="s">
        <v>1450</v>
      </c>
      <c r="J80" s="1122" t="n">
        <v>0.5</v>
      </c>
      <c r="K80" s="1122"/>
      <c r="M80" s="1106" t="n">
        <f aca="false">SUM(O78:P83)</f>
        <v>0</v>
      </c>
      <c r="N80" s="1106"/>
      <c r="O80" s="1309" t="n">
        <f aca="false">(IF(AND(E80&gt;0,E80&lt;4),E80*G80,0)+IF(AND(E80&gt;3,E80&lt;8),G80*3,0)+IF(AND(E80&gt;7,E80&lt;21),E80/7*G80*3,0)+IF(AND(E80&gt;20,E80&lt;30),G80*9,0)+IF(E80&gt;29,E80/30*G80*9,0))*(1+W$39+J$80)</f>
        <v>0</v>
      </c>
      <c r="P80" s="1309"/>
      <c r="Q80" s="1306" t="s">
        <v>1073</v>
      </c>
      <c r="R80" s="1357" t="s">
        <v>554</v>
      </c>
      <c r="S80" s="1358"/>
      <c r="T80" s="1376" t="n">
        <f aca="false">L52</f>
        <v>0</v>
      </c>
      <c r="U80" s="1358" t="s">
        <v>1288</v>
      </c>
      <c r="V80" s="1360" t="n">
        <v>0.02</v>
      </c>
      <c r="W80" s="1358" t="s">
        <v>555</v>
      </c>
      <c r="X80" s="1326" t="n">
        <f aca="false">IF(U$39="Y",T80*V80,T80*V80*(1+W$39))</f>
        <v>0</v>
      </c>
      <c r="Y80" s="1199"/>
    </row>
    <row r="81" customFormat="false" ht="18.75" hidden="false" customHeight="true" outlineLevel="0" collapsed="false">
      <c r="B81" s="599" t="s">
        <v>1332</v>
      </c>
      <c r="D81" s="1116"/>
      <c r="E81" s="1115" t="n">
        <f aca="false">IF(E$73&gt;0,IF(E$73&lt;=3,E$73,7),0)+IF(E$73&gt;5,IF(E$73&lt;=10,7,0),0)+IF(E$73&gt;10,IF(E$73&lt;=15,14,0),0)+IF(E$73&gt;15,IF(E$73&lt;=20,23,0),0)+IF(E$73&gt;20,IF(E$73&lt;=40,53,0),0)+IF(E$73&gt;40,IF(E$73&lt;=60,83,0),0)+IF(E$73&gt;60,IF(E$73&lt;=80,113,0),0)+IF(E$73&gt;80,IF(E$73&lt;=100,143,0),0)+IF(E$73&gt;100,IF(E$73&lt;=120,163,0),0)+IF(E$73&gt;120,IF(E$73&lt;=140,193,0),0)+IF(E$73&gt;140,IF(E$73&lt;=160,223,0),0)</f>
        <v>0</v>
      </c>
      <c r="F81" s="16" t="s">
        <v>1327</v>
      </c>
      <c r="G81" s="1375" t="n">
        <f aca="false">Pricing!D39</f>
        <v>100</v>
      </c>
      <c r="H81" s="16" t="s">
        <v>1450</v>
      </c>
      <c r="J81" s="1122"/>
      <c r="K81" s="1122"/>
      <c r="O81" s="1309" t="n">
        <f aca="false">(IF(AND(E81&gt;0,E81&lt;4),E81*G81,0)+IF(AND(E81&gt;3,E81&lt;8),G81*3,0)+IF(AND(E81&gt;7,E81&lt;21),E81/7*G81*3,0)+IF(AND(E81&gt;20,E81&lt;30),G81*9,0)+IF(E81&gt;29,E81/30*G81*9,0))*(1+W$39+J$80)</f>
        <v>0</v>
      </c>
      <c r="P81" s="1309"/>
      <c r="Q81" s="1306" t="s">
        <v>1078</v>
      </c>
      <c r="R81" s="920" t="s">
        <v>1105</v>
      </c>
      <c r="S81" s="78"/>
      <c r="T81" s="78"/>
      <c r="U81" s="78"/>
      <c r="V81" s="1308" t="n">
        <v>0</v>
      </c>
      <c r="W81" s="78"/>
      <c r="X81" s="1309" t="n">
        <f aca="false">IF(U$39="Y",T81*V81,T81*V81*(1+W$39))</f>
        <v>0</v>
      </c>
      <c r="Y81" s="1199"/>
    </row>
    <row r="82" customFormat="false" ht="18.75" hidden="false" customHeight="true" outlineLevel="0" collapsed="false">
      <c r="B82" s="599" t="s">
        <v>1333</v>
      </c>
      <c r="D82" s="1116"/>
      <c r="E82" s="1115" t="n">
        <f aca="false">IF(E$73&gt;0,IF(E$73&lt;=3,E$73,7),0)+IF(E$73&gt;5,IF(E$73&lt;=10,7,0),0)+IF(E$73&gt;10,IF(E$73&lt;=15,14,0),0)+IF(E$73&gt;15,IF(E$73&lt;=20,23,0),0)+IF(E$73&gt;20,IF(E$73&lt;=40,53,0),0)+IF(E$73&gt;40,IF(E$73&lt;=60,83,0),0)+IF(E$73&gt;60,IF(E$73&lt;=80,113,0),0)+IF(E$73&gt;80,IF(E$73&lt;=100,143,0),0)+IF(E$73&gt;100,IF(E$73&lt;=120,163,0),0)+IF(E$73&gt;120,IF(E$73&lt;=140,193,0),0)+IF(E$73&gt;140,IF(E$73&lt;=160,223,0),0)</f>
        <v>0</v>
      </c>
      <c r="F82" s="16" t="s">
        <v>1327</v>
      </c>
      <c r="G82" s="1375" t="n">
        <v>50</v>
      </c>
      <c r="H82" s="16" t="s">
        <v>1450</v>
      </c>
      <c r="O82" s="1309" t="n">
        <f aca="false">(IF(AND(E82&gt;0,E82&lt;4),E82*G82,0)+IF(AND(E82&gt;3,E82&lt;8),G82*3,0)+IF(AND(E82&gt;7,E82&lt;21),E82/7*G82*3,0)+IF(AND(E82&gt;20,E82&lt;30),G82*9,0)+IF(E82&gt;29,E82/30*G82*9,0))*(1+W$39+J$80)</f>
        <v>0</v>
      </c>
      <c r="P82" s="1309"/>
      <c r="Q82" s="1306" t="s">
        <v>1328</v>
      </c>
      <c r="R82" s="920" t="s">
        <v>1105</v>
      </c>
      <c r="S82" s="78"/>
      <c r="T82" s="78"/>
      <c r="U82" s="78"/>
      <c r="V82" s="1308" t="n">
        <v>0</v>
      </c>
      <c r="W82" s="78"/>
      <c r="X82" s="1309" t="n">
        <f aca="false">IF(U$39="Y",T82*V82,T82*V82*(1+W$39))</f>
        <v>0</v>
      </c>
      <c r="Y82" s="1199"/>
    </row>
    <row r="83" customFormat="false" ht="18.75" hidden="false" customHeight="true" outlineLevel="0" collapsed="false">
      <c r="B83" s="1109" t="s">
        <v>1067</v>
      </c>
      <c r="C83" s="860"/>
      <c r="D83" s="1377"/>
      <c r="E83" s="1378" t="n">
        <f aca="false">IF(E$73&gt;0,IF(E$73&lt;=3,E$73,7),0)+IF(E$73&gt;5,IF(E$73&lt;=10,7,0),0)+IF(E$73&gt;10,IF(E$73&lt;=15,14,0),0)+IF(E$73&gt;15,IF(E$73&lt;=20,23,0),0)+IF(E$73&gt;20,IF(E$73&lt;=40,53,0),0)+IF(E$73&gt;40,IF(E$73&lt;=60,83,0),0)+IF(E$73&gt;60,IF(E$73&lt;=80,113,0),0)+IF(E$73&gt;80,IF(E$73&lt;=100,143,0),0)+IF(E$73&gt;100,IF(E$73&lt;=120,163,0),0)+IF(E$73&gt;120,IF(E$73&lt;=140,193,0),0)+IF(E$73&gt;140,IF(E$73&lt;=160,223,0),0)</f>
        <v>0</v>
      </c>
      <c r="F83" s="1058" t="s">
        <v>1327</v>
      </c>
      <c r="G83" s="1379" t="n">
        <v>35</v>
      </c>
      <c r="H83" s="1058" t="s">
        <v>1450</v>
      </c>
      <c r="I83" s="1058"/>
      <c r="J83" s="1058"/>
      <c r="K83" s="1058"/>
      <c r="L83" s="1058"/>
      <c r="M83" s="1058"/>
      <c r="N83" s="1058"/>
      <c r="O83" s="730" t="n">
        <f aca="false">(IF(AND(E83&gt;0,E83&lt;4),E83*G83,0)+IF(AND(E83&gt;3,E83&lt;8),G83*3,0)+IF(AND(E83&gt;7,E83&lt;21),E83/7*G83*3,0)+IF(AND(E83&gt;20,E83&lt;30),G83*9,0)+IF(E83&gt;29,E83/30*G83*9,0))</f>
        <v>0</v>
      </c>
      <c r="P83" s="730"/>
      <c r="Q83" s="1306" t="s">
        <v>1330</v>
      </c>
      <c r="R83" s="1357" t="s">
        <v>1108</v>
      </c>
      <c r="S83" s="1358"/>
      <c r="T83" s="1358"/>
      <c r="U83" s="1358"/>
      <c r="V83" s="1360" t="n">
        <v>0</v>
      </c>
      <c r="W83" s="1358"/>
      <c r="X83" s="1326" t="n">
        <f aca="false">IF(U$39="Y",T83*V83,T83*V83*(1+W$39))</f>
        <v>0</v>
      </c>
      <c r="Y83" s="1199"/>
    </row>
    <row r="84" customFormat="false" ht="18.75" hidden="false" customHeight="true" outlineLevel="0" collapsed="false">
      <c r="B84" s="1367" t="s">
        <v>1336</v>
      </c>
      <c r="C84" s="1367"/>
      <c r="D84" s="1367"/>
      <c r="E84" s="1367"/>
      <c r="F84" s="1367"/>
      <c r="G84" s="1367"/>
      <c r="H84" s="1367"/>
      <c r="I84" s="1367"/>
      <c r="J84" s="1367"/>
      <c r="K84" s="1367"/>
      <c r="L84" s="1367"/>
      <c r="M84" s="1367"/>
      <c r="N84" s="1367"/>
      <c r="O84" s="1367"/>
      <c r="P84" s="1367"/>
      <c r="Q84" s="1306" t="s">
        <v>1342</v>
      </c>
      <c r="R84" s="920"/>
      <c r="S84" s="78"/>
      <c r="T84" s="78"/>
      <c r="U84" s="78"/>
      <c r="V84" s="1308" t="n">
        <f aca="false">BF69</f>
        <v>0</v>
      </c>
      <c r="W84" s="78"/>
      <c r="X84" s="1309" t="n">
        <f aca="false">IF(U$39="Y",T84*V84,T84*V84*(1+W$39))</f>
        <v>0</v>
      </c>
      <c r="Y84" s="1199"/>
    </row>
    <row r="85" customFormat="false" ht="18.75" hidden="false" customHeight="true" outlineLevel="0" collapsed="false">
      <c r="B85" s="1380" t="s">
        <v>1458</v>
      </c>
      <c r="C85" s="1380"/>
      <c r="D85" s="1380"/>
      <c r="E85" s="1381" t="n">
        <f aca="false">SUM(L48:M51)</f>
        <v>0</v>
      </c>
      <c r="F85" s="1382" t="s">
        <v>998</v>
      </c>
      <c r="G85" s="1383" t="n">
        <v>20</v>
      </c>
      <c r="H85" s="1068" t="s">
        <v>1459</v>
      </c>
      <c r="I85" s="1068"/>
      <c r="J85" s="1068"/>
      <c r="K85" s="1068"/>
      <c r="L85" s="1068"/>
      <c r="M85" s="1068"/>
      <c r="N85" s="1068"/>
      <c r="O85" s="1369" t="n">
        <f aca="false">E85*G85</f>
        <v>0</v>
      </c>
      <c r="P85" s="1369"/>
      <c r="Q85" s="1306" t="s">
        <v>1342</v>
      </c>
      <c r="R85" s="920" t="s">
        <v>646</v>
      </c>
      <c r="S85" s="78"/>
      <c r="T85" s="1384" t="n">
        <f aca="false">ROUNDUP(I63/300/55,0)</f>
        <v>0</v>
      </c>
      <c r="U85" s="78" t="s">
        <v>1460</v>
      </c>
      <c r="V85" s="1308"/>
      <c r="W85" s="78" t="s">
        <v>647</v>
      </c>
      <c r="X85" s="1309" t="n">
        <f aca="false">IF(U$39="Y",T85*V85,T85*V85*(1+W$39))</f>
        <v>0</v>
      </c>
      <c r="Y85" s="1199"/>
    </row>
    <row r="86" customFormat="false" ht="18.75" hidden="false" customHeight="true" outlineLevel="0" collapsed="false">
      <c r="B86" s="1385" t="s">
        <v>1461</v>
      </c>
      <c r="C86" s="1385"/>
      <c r="D86" s="1385"/>
      <c r="E86" s="1103" t="n">
        <f aca="false">I63</f>
        <v>0</v>
      </c>
      <c r="F86" s="16" t="s">
        <v>1418</v>
      </c>
      <c r="G86" s="1337" t="n">
        <v>5.25</v>
      </c>
      <c r="H86" s="16" t="s">
        <v>600</v>
      </c>
      <c r="O86" s="1309" t="n">
        <f aca="false">E86*G86</f>
        <v>0</v>
      </c>
      <c r="P86" s="1309"/>
      <c r="Q86" s="1306" t="s">
        <v>1342</v>
      </c>
      <c r="R86" s="1357" t="s">
        <v>649</v>
      </c>
      <c r="S86" s="1358"/>
      <c r="T86" s="1358" t="n">
        <f aca="false">BI64</f>
        <v>0</v>
      </c>
      <c r="U86" s="1358" t="s">
        <v>1460</v>
      </c>
      <c r="V86" s="1386" t="n">
        <f aca="false">BL64</f>
        <v>0</v>
      </c>
      <c r="W86" s="1358" t="s">
        <v>647</v>
      </c>
      <c r="X86" s="1309" t="n">
        <f aca="false">IF(U$39="Y",T86*V86,T86*V86*(1+W$39))</f>
        <v>0</v>
      </c>
      <c r="Y86" s="1199"/>
    </row>
    <row r="87" customFormat="false" ht="18.75" hidden="false" customHeight="true" outlineLevel="0" collapsed="false">
      <c r="B87" s="1385" t="s">
        <v>1462</v>
      </c>
      <c r="C87" s="1385"/>
      <c r="D87" s="1385"/>
      <c r="E87" s="857"/>
      <c r="F87" s="1104" t="s">
        <v>1259</v>
      </c>
      <c r="G87" s="1337" t="n">
        <v>2.5</v>
      </c>
      <c r="H87" s="16" t="s">
        <v>1341</v>
      </c>
      <c r="O87" s="1309" t="n">
        <f aca="false">E87*G87</f>
        <v>0</v>
      </c>
      <c r="P87" s="1309"/>
      <c r="Q87" s="1306"/>
      <c r="R87" s="599"/>
      <c r="X87" s="1146"/>
      <c r="Y87" s="1199"/>
    </row>
    <row r="88" customFormat="false" ht="18.75" hidden="false" customHeight="true" outlineLevel="0" collapsed="false">
      <c r="B88" s="1385" t="s">
        <v>1067</v>
      </c>
      <c r="C88" s="1385"/>
      <c r="D88" s="1385"/>
      <c r="E88" s="1137"/>
      <c r="F88" s="1387" t="s">
        <v>1463</v>
      </c>
      <c r="G88" s="1105" t="n">
        <v>500</v>
      </c>
      <c r="H88" s="1387" t="s">
        <v>1464</v>
      </c>
      <c r="O88" s="1309" t="n">
        <f aca="false">E88*G88</f>
        <v>0</v>
      </c>
      <c r="P88" s="1309"/>
      <c r="Q88" s="1306"/>
      <c r="R88" s="1151" t="s">
        <v>1349</v>
      </c>
      <c r="S88" s="1151"/>
      <c r="T88" s="16" t="n">
        <v>18</v>
      </c>
      <c r="U88" s="16" t="s">
        <v>1350</v>
      </c>
      <c r="X88" s="1388"/>
      <c r="Y88" s="1199"/>
    </row>
    <row r="89" customFormat="false" ht="18.75" hidden="false" customHeight="true" outlineLevel="0" collapsed="false">
      <c r="B89" s="1385" t="s">
        <v>1234</v>
      </c>
      <c r="C89" s="1385"/>
      <c r="D89" s="1385"/>
      <c r="E89" s="1389" t="n">
        <f aca="false">SUM(L48:M51)</f>
        <v>0</v>
      </c>
      <c r="F89" s="922" t="s">
        <v>998</v>
      </c>
      <c r="G89" s="1390" t="n">
        <v>6</v>
      </c>
      <c r="H89" s="16" t="s">
        <v>1285</v>
      </c>
      <c r="O89" s="1309" t="n">
        <f aca="false">E89*G89</f>
        <v>0</v>
      </c>
      <c r="P89" s="1309"/>
      <c r="Q89" s="1306" t="s">
        <v>1072</v>
      </c>
      <c r="R89" s="602" t="s">
        <v>1353</v>
      </c>
      <c r="S89" s="1058"/>
      <c r="T89" s="1058" t="n">
        <f aca="false">T60*12/T88</f>
        <v>0</v>
      </c>
      <c r="U89" s="1058" t="s">
        <v>1354</v>
      </c>
      <c r="V89" s="1162" t="n">
        <f aca="false">BL67</f>
        <v>0</v>
      </c>
      <c r="W89" s="1162"/>
      <c r="X89" s="730" t="n">
        <f aca="false">V89*T89</f>
        <v>0</v>
      </c>
      <c r="Y89" s="1199"/>
    </row>
    <row r="90" customFormat="false" ht="18.75" hidden="false" customHeight="true" outlineLevel="0" collapsed="false">
      <c r="B90" s="1391" t="s">
        <v>1346</v>
      </c>
      <c r="C90" s="1391"/>
      <c r="D90" s="1391"/>
      <c r="E90" s="1392"/>
      <c r="F90" s="1108" t="s">
        <v>1347</v>
      </c>
      <c r="G90" s="1331" t="n">
        <v>175</v>
      </c>
      <c r="H90" s="397" t="s">
        <v>620</v>
      </c>
      <c r="I90" s="397"/>
      <c r="J90" s="397"/>
      <c r="K90" s="397"/>
      <c r="L90" s="397"/>
      <c r="M90" s="397"/>
      <c r="N90" s="397"/>
      <c r="O90" s="1326" t="n">
        <f aca="false">E90*G90</f>
        <v>0</v>
      </c>
      <c r="P90" s="1326"/>
      <c r="X90" s="1393" t="n">
        <f aca="false">SUM(X50:X89)</f>
        <v>0</v>
      </c>
      <c r="Y90" s="1199"/>
    </row>
    <row r="91" customFormat="false" ht="18.75" hidden="false" customHeight="true" outlineLevel="0" collapsed="false">
      <c r="B91" s="1394" t="s">
        <v>1351</v>
      </c>
      <c r="C91" s="1394"/>
      <c r="D91" s="1394"/>
      <c r="E91" s="1395" t="n">
        <f aca="false">Summary!P60</f>
        <v>0</v>
      </c>
      <c r="F91" s="1396" t="s">
        <v>1465</v>
      </c>
      <c r="G91" s="1397" t="n">
        <f aca="false">(SUM(O48:P60)+SUM(O62:P70)+SUM(O73:P75)+SUM(O78:P83)+SUM(O85:P90)+X90+SUM(L62:M70))*E91</f>
        <v>0</v>
      </c>
      <c r="H91" s="1398" t="s">
        <v>1255</v>
      </c>
      <c r="I91" s="1398"/>
      <c r="J91" s="1398"/>
      <c r="K91" s="1398"/>
      <c r="L91" s="1398"/>
      <c r="M91" s="1398"/>
      <c r="N91" s="1398"/>
      <c r="O91" s="1399" t="n">
        <f aca="false">G91</f>
        <v>0</v>
      </c>
      <c r="P91" s="1399"/>
      <c r="Y91" s="1199"/>
    </row>
    <row r="92" customFormat="false" ht="18.75" hidden="false" customHeight="true" outlineLevel="0" collapsed="false">
      <c r="B92" s="949"/>
      <c r="C92" s="950"/>
      <c r="D92" s="950"/>
      <c r="E92" s="1400" t="n">
        <f aca="false">IF(G91=0,0,G91/U40)</f>
        <v>0</v>
      </c>
      <c r="F92" s="950"/>
      <c r="G92" s="950"/>
      <c r="H92" s="950"/>
      <c r="I92" s="950"/>
      <c r="J92" s="950"/>
      <c r="K92" s="950"/>
      <c r="L92" s="954"/>
      <c r="M92" s="950"/>
      <c r="N92" s="950"/>
      <c r="O92" s="950"/>
      <c r="P92" s="950"/>
      <c r="Q92" s="950"/>
      <c r="R92" s="950"/>
      <c r="S92" s="950"/>
      <c r="T92" s="950"/>
      <c r="U92" s="950"/>
      <c r="V92" s="950"/>
      <c r="W92" s="950"/>
      <c r="X92" s="957"/>
      <c r="Y92" s="1199"/>
    </row>
    <row r="93" customFormat="false" ht="15" hidden="false" customHeight="true" outlineLevel="0" collapsed="false">
      <c r="B93" s="958" t="s">
        <v>1262</v>
      </c>
      <c r="C93" s="958"/>
      <c r="D93" s="958"/>
      <c r="E93" s="958" t="s">
        <v>982</v>
      </c>
      <c r="F93" s="958"/>
      <c r="G93" s="958" t="s">
        <v>1263</v>
      </c>
      <c r="H93" s="958"/>
      <c r="I93" s="958"/>
      <c r="J93" s="959" t="s">
        <v>1264</v>
      </c>
      <c r="K93" s="959"/>
      <c r="L93" s="959"/>
      <c r="M93" s="1170" t="s">
        <v>1265</v>
      </c>
      <c r="N93" s="1170"/>
      <c r="O93" s="1171"/>
      <c r="P93" s="1172"/>
      <c r="Q93" s="961"/>
      <c r="R93" s="599" t="s">
        <v>1266</v>
      </c>
      <c r="T93" s="16" t="s">
        <v>1267</v>
      </c>
      <c r="U93" s="1173" t="n">
        <f aca="false">U39</f>
        <v>200</v>
      </c>
      <c r="V93" s="833" t="s">
        <v>1268</v>
      </c>
      <c r="W93" s="1401" t="n">
        <f aca="false">W39</f>
        <v>0.0825</v>
      </c>
      <c r="X93" s="964"/>
      <c r="Y93" s="1199"/>
    </row>
    <row r="94" customFormat="false" ht="15" hidden="false" customHeight="false" outlineLevel="0" collapsed="false">
      <c r="B94" s="965" t="s">
        <v>1269</v>
      </c>
      <c r="C94" s="966" t="n">
        <f aca="false">C40</f>
        <v>0</v>
      </c>
      <c r="D94" s="966"/>
      <c r="E94" s="967" t="n">
        <f aca="false">E40</f>
        <v>0</v>
      </c>
      <c r="F94" s="967"/>
      <c r="G94" s="968" t="n">
        <f aca="false">G40</f>
        <v>0</v>
      </c>
      <c r="H94" s="736" t="n">
        <f aca="false">H40</f>
        <v>0</v>
      </c>
      <c r="I94" s="736"/>
      <c r="J94" s="1264" t="n">
        <f aca="false">J40</f>
        <v>0</v>
      </c>
      <c r="K94" s="1264"/>
      <c r="L94" s="1264"/>
      <c r="M94" s="1402" t="n">
        <f aca="false">M40</f>
        <v>0.18</v>
      </c>
      <c r="N94" s="1402"/>
      <c r="O94" s="1402"/>
      <c r="P94" s="1402"/>
      <c r="Q94" s="1265"/>
      <c r="R94" s="970" t="s">
        <v>980</v>
      </c>
      <c r="U94" s="971" t="n">
        <f aca="false">U40</f>
        <v>0</v>
      </c>
      <c r="V94" s="971"/>
      <c r="X94" s="964"/>
      <c r="Y94" s="1199"/>
    </row>
    <row r="95" customFormat="false" ht="15" hidden="false" customHeight="false" outlineLevel="0" collapsed="false">
      <c r="B95" s="972"/>
      <c r="C95" s="973"/>
      <c r="D95" s="973"/>
      <c r="E95" s="973"/>
      <c r="F95" s="973"/>
      <c r="G95" s="973"/>
      <c r="H95" s="973"/>
      <c r="I95" s="973"/>
      <c r="J95" s="973"/>
      <c r="K95" s="973"/>
      <c r="L95" s="973"/>
      <c r="M95" s="973"/>
      <c r="N95" s="973"/>
      <c r="O95" s="973"/>
      <c r="P95" s="973"/>
      <c r="Q95" s="973"/>
      <c r="R95" s="973"/>
      <c r="S95" s="973"/>
      <c r="T95" s="973"/>
      <c r="U95" s="973"/>
      <c r="V95" s="973"/>
      <c r="W95" s="973"/>
      <c r="X95" s="984"/>
      <c r="Y95" s="1199"/>
    </row>
    <row r="100" customFormat="false" ht="15" hidden="false" customHeight="false" outlineLevel="0" collapsed="false">
      <c r="B100" s="717" t="s">
        <v>1055</v>
      </c>
      <c r="C100" s="1403" t="s">
        <v>1056</v>
      </c>
      <c r="D100" s="719"/>
      <c r="E100" s="722" t="n">
        <f aca="false">E101-U94</f>
        <v>0</v>
      </c>
    </row>
    <row r="101" customFormat="false" ht="15" hidden="false" customHeight="false" outlineLevel="0" collapsed="false">
      <c r="B101" s="733" t="s">
        <v>1069</v>
      </c>
      <c r="C101" s="735"/>
      <c r="D101" s="735"/>
      <c r="E101" s="736" t="n">
        <f aca="false">SUM(E102:E158)-E144-E134</f>
        <v>0</v>
      </c>
    </row>
    <row r="102" customFormat="false" ht="15" hidden="false" customHeight="false" outlineLevel="0" collapsed="false">
      <c r="B102" s="1404" t="n">
        <f aca="false">Summary!L74</f>
        <v>20001</v>
      </c>
      <c r="C102" s="741" t="str">
        <f aca="false">Summary!M74</f>
        <v>General Requirements</v>
      </c>
      <c r="D102" s="318"/>
      <c r="E102" s="742" t="n">
        <f aca="false">SUM(M97:N99)</f>
        <v>0</v>
      </c>
    </row>
    <row r="103" customFormat="false" ht="15" hidden="false" customHeight="false" outlineLevel="0" collapsed="false">
      <c r="B103" s="1404" t="n">
        <f aca="false">Summary!L75</f>
        <v>20002</v>
      </c>
      <c r="C103" s="741" t="str">
        <f aca="false">Summary!M75</f>
        <v>Lumber</v>
      </c>
      <c r="D103" s="318"/>
      <c r="E103" s="751" t="n">
        <f aca="false">SUM(X48:X73)</f>
        <v>0</v>
      </c>
    </row>
    <row r="104" customFormat="false" ht="15" hidden="false" customHeight="false" outlineLevel="0" collapsed="false">
      <c r="B104" s="1404" t="n">
        <f aca="false">Summary!L76</f>
        <v>20003</v>
      </c>
      <c r="C104" s="741" t="str">
        <f aca="false">Summary!M76</f>
        <v>Sand Material</v>
      </c>
      <c r="D104" s="318"/>
      <c r="E104" s="751" t="n">
        <f aca="false">O55</f>
        <v>0</v>
      </c>
    </row>
    <row r="105" customFormat="false" ht="15" hidden="false" customHeight="false" outlineLevel="0" collapsed="false">
      <c r="B105" s="1404" t="n">
        <f aca="false">Summary!L77</f>
        <v>20004</v>
      </c>
      <c r="C105" s="741" t="str">
        <f aca="false">Summary!M77</f>
        <v>Rock Material</v>
      </c>
      <c r="D105" s="318"/>
      <c r="E105" s="751" t="n">
        <f aca="false">O56</f>
        <v>0</v>
      </c>
    </row>
    <row r="106" customFormat="false" ht="15" hidden="false" customHeight="false" outlineLevel="0" collapsed="false">
      <c r="B106" s="1404" t="n">
        <f aca="false">Summary!L78</f>
        <v>20005</v>
      </c>
      <c r="C106" s="741" t="str">
        <f aca="false">Summary!M78</f>
        <v>Reinforcement Material</v>
      </c>
      <c r="D106" s="318"/>
      <c r="E106" s="751" t="n">
        <f aca="false">O52+O53</f>
        <v>0</v>
      </c>
    </row>
    <row r="107" customFormat="false" ht="15" hidden="false" customHeight="false" outlineLevel="0" collapsed="false">
      <c r="B107" s="1404" t="n">
        <f aca="false">Summary!L79</f>
        <v>20006</v>
      </c>
      <c r="C107" s="741" t="str">
        <f aca="false">Summary!M79</f>
        <v>Reinforcement Accessories</v>
      </c>
      <c r="D107" s="318"/>
      <c r="E107" s="751" t="n">
        <f aca="false">SUM(X78:X80)+X89</f>
        <v>0</v>
      </c>
    </row>
    <row r="108" customFormat="false" ht="15" hidden="false" customHeight="false" outlineLevel="0" collapsed="false">
      <c r="B108" s="1404" t="n">
        <f aca="false">Summary!L80</f>
        <v>20007</v>
      </c>
      <c r="C108" s="741" t="str">
        <f aca="false">Summary!M80</f>
        <v>PT Cables</v>
      </c>
      <c r="D108" s="318"/>
      <c r="E108" s="751" t="n">
        <f aca="false">O54</f>
        <v>0</v>
      </c>
    </row>
    <row r="109" customFormat="false" ht="15" hidden="false" customHeight="false" outlineLevel="0" collapsed="false">
      <c r="B109" s="1404" t="n">
        <f aca="false">Summary!L81</f>
        <v>20008</v>
      </c>
      <c r="C109" s="741" t="str">
        <f aca="false">Summary!M81</f>
        <v>Concrete Material</v>
      </c>
      <c r="D109" s="318"/>
      <c r="E109" s="751" t="n">
        <f aca="false">SUM(O48:P51)</f>
        <v>0</v>
      </c>
    </row>
    <row r="110" customFormat="false" ht="15" hidden="false" customHeight="false" outlineLevel="0" collapsed="false">
      <c r="B110" s="1404" t="n">
        <f aca="false">Summary!L82</f>
        <v>20009</v>
      </c>
      <c r="C110" s="741" t="str">
        <f aca="false">Summary!M82</f>
        <v>Carton Forms</v>
      </c>
      <c r="D110" s="318"/>
      <c r="E110" s="751" t="n">
        <f aca="false">SUM(O57:P59)</f>
        <v>0</v>
      </c>
    </row>
    <row r="111" customFormat="false" ht="15" hidden="false" customHeight="false" outlineLevel="0" collapsed="false">
      <c r="B111" s="1404" t="n">
        <f aca="false">Summary!L83</f>
        <v>20010</v>
      </c>
      <c r="C111" s="741" t="str">
        <f aca="false">Summary!M83</f>
        <v>Cure/Sealers</v>
      </c>
      <c r="D111" s="318"/>
      <c r="E111" s="751" t="n">
        <f aca="false">SUM(X84:X86)</f>
        <v>0</v>
      </c>
    </row>
    <row r="112" customFormat="false" ht="15" hidden="false" customHeight="false" outlineLevel="0" collapsed="false">
      <c r="B112" s="1404" t="n">
        <f aca="false">Summary!L84</f>
        <v>20011</v>
      </c>
      <c r="C112" s="741" t="str">
        <f aca="false">Summary!M84</f>
        <v>Patch/Grout</v>
      </c>
      <c r="D112" s="318"/>
      <c r="E112" s="751"/>
    </row>
    <row r="113" customFormat="false" ht="15" hidden="false" customHeight="false" outlineLevel="0" collapsed="false">
      <c r="B113" s="1404" t="n">
        <f aca="false">Summary!L85</f>
        <v>20012</v>
      </c>
      <c r="C113" s="741" t="str">
        <f aca="false">Summary!M85</f>
        <v>Poly/Vapor Barrier</v>
      </c>
      <c r="D113" s="318"/>
      <c r="E113" s="751" t="n">
        <f aca="false">SUM(X74:X77)</f>
        <v>0</v>
      </c>
    </row>
    <row r="114" customFormat="false" ht="15" hidden="false" customHeight="false" outlineLevel="0" collapsed="false">
      <c r="B114" s="1404" t="n">
        <f aca="false">Summary!L86</f>
        <v>20013</v>
      </c>
      <c r="C114" s="741" t="s">
        <v>1105</v>
      </c>
      <c r="D114" s="318"/>
      <c r="E114" s="751" t="n">
        <f aca="false">X81</f>
        <v>0</v>
      </c>
    </row>
    <row r="115" customFormat="false" ht="15" hidden="false" customHeight="false" outlineLevel="0" collapsed="false">
      <c r="B115" s="1404" t="n">
        <f aca="false">Summary!L87</f>
        <v>20014</v>
      </c>
      <c r="C115" s="741" t="s">
        <v>1105</v>
      </c>
      <c r="D115" s="318"/>
      <c r="E115" s="751" t="n">
        <f aca="false">X82</f>
        <v>0</v>
      </c>
    </row>
    <row r="116" customFormat="false" ht="15" hidden="false" customHeight="false" outlineLevel="0" collapsed="false">
      <c r="B116" s="1404" t="n">
        <f aca="false">Summary!L88</f>
        <v>20015</v>
      </c>
      <c r="C116" s="741" t="s">
        <v>1108</v>
      </c>
      <c r="D116" s="318"/>
      <c r="E116" s="751" t="n">
        <f aca="false">X83</f>
        <v>0</v>
      </c>
    </row>
    <row r="117" customFormat="false" ht="15" hidden="false" customHeight="false" outlineLevel="0" collapsed="false">
      <c r="B117" s="1404" t="n">
        <f aca="false">Summary!L89</f>
        <v>20020</v>
      </c>
      <c r="C117" s="741" t="str">
        <f aca="false">Summary!M89</f>
        <v>Supervision</v>
      </c>
      <c r="D117" s="318"/>
      <c r="E117" s="751" t="n">
        <f aca="false">SUM(O73:P74)</f>
        <v>0</v>
      </c>
    </row>
    <row r="118" customFormat="false" ht="15" hidden="false" customHeight="false" outlineLevel="0" collapsed="false">
      <c r="B118" s="1404" t="n">
        <f aca="false">Summary!L90</f>
        <v>20021</v>
      </c>
      <c r="C118" s="741" t="str">
        <f aca="false">Summary!M90</f>
        <v>Supervision Expense</v>
      </c>
      <c r="D118" s="318"/>
      <c r="E118" s="751" t="n">
        <f aca="false">O75</f>
        <v>0</v>
      </c>
    </row>
    <row r="119" customFormat="false" ht="15" hidden="false" customHeight="false" outlineLevel="0" collapsed="false">
      <c r="B119" s="1404" t="n">
        <f aca="false">Summary!L91</f>
        <v>20022</v>
      </c>
      <c r="C119" s="741" t="str">
        <f aca="false">Summary!M91</f>
        <v>Project Management</v>
      </c>
      <c r="D119" s="318"/>
      <c r="E119" s="751" t="n">
        <f aca="false">O76</f>
        <v>0</v>
      </c>
    </row>
    <row r="120" customFormat="false" ht="15" hidden="false" customHeight="false" outlineLevel="0" collapsed="false">
      <c r="B120" s="1404" t="n">
        <f aca="false">Summary!L92</f>
        <v>20023</v>
      </c>
      <c r="C120" s="741" t="str">
        <f aca="false">Summary!M92</f>
        <v>Labor Grade, Poly, Reinf.</v>
      </c>
      <c r="D120" s="318"/>
      <c r="E120" s="751" t="n">
        <f aca="false">L69</f>
        <v>0</v>
      </c>
    </row>
    <row r="121" customFormat="false" ht="15" hidden="false" customHeight="false" outlineLevel="0" collapsed="false">
      <c r="B121" s="1404" t="n">
        <f aca="false">Summary!L93</f>
        <v>20024</v>
      </c>
      <c r="C121" s="741" t="str">
        <f aca="false">Summary!M93</f>
        <v>Labor Place &amp; Finish</v>
      </c>
      <c r="D121" s="318"/>
      <c r="E121" s="1405" t="n">
        <f aca="false">L64</f>
        <v>0</v>
      </c>
    </row>
    <row r="122" customFormat="false" ht="15" hidden="false" customHeight="false" outlineLevel="0" collapsed="false">
      <c r="B122" s="1404" t="n">
        <f aca="false">Summary!L94</f>
        <v>20025</v>
      </c>
      <c r="C122" s="741" t="str">
        <f aca="false">Summary!M94</f>
        <v>Labor Drops</v>
      </c>
      <c r="D122" s="318"/>
      <c r="E122" s="751"/>
    </row>
    <row r="123" customFormat="false" ht="15" hidden="false" customHeight="false" outlineLevel="0" collapsed="false">
      <c r="B123" s="1404" t="n">
        <f aca="false">Summary!L95</f>
        <v>20026</v>
      </c>
      <c r="C123" s="741" t="str">
        <f aca="false">Summary!M95</f>
        <v>Labor Strip Forms</v>
      </c>
      <c r="D123" s="318"/>
      <c r="E123" s="751" t="n">
        <f aca="false">L65+L66</f>
        <v>0</v>
      </c>
    </row>
    <row r="124" customFormat="false" ht="15" hidden="false" customHeight="false" outlineLevel="0" collapsed="false">
      <c r="B124" s="1404" t="n">
        <f aca="false">Summary!L96</f>
        <v>20027</v>
      </c>
      <c r="C124" s="741" t="str">
        <f aca="false">Summary!M96</f>
        <v>Labor Burden</v>
      </c>
      <c r="D124" s="318"/>
      <c r="E124" s="751"/>
    </row>
    <row r="125" customFormat="false" ht="15" hidden="false" customHeight="false" outlineLevel="0" collapsed="false">
      <c r="B125" s="1404" t="n">
        <f aca="false">Summary!L98</f>
        <v>20030</v>
      </c>
      <c r="C125" s="741" t="str">
        <f aca="false">Summary!M98</f>
        <v>Pumping</v>
      </c>
      <c r="D125" s="318"/>
      <c r="E125" s="751" t="n">
        <f aca="false">O85</f>
        <v>0</v>
      </c>
    </row>
    <row r="126" customFormat="false" ht="15" hidden="false" customHeight="false" outlineLevel="0" collapsed="false">
      <c r="B126" s="1404" t="n">
        <f aca="false">Summary!L99</f>
        <v>20031</v>
      </c>
      <c r="C126" s="741" t="str">
        <f aca="false">Summary!M99</f>
        <v>Earth Work/Excavation</v>
      </c>
      <c r="D126" s="318"/>
      <c r="E126" s="751"/>
    </row>
    <row r="127" customFormat="false" ht="15" hidden="false" customHeight="false" outlineLevel="0" collapsed="false">
      <c r="B127" s="1404" t="n">
        <f aca="false">Summary!L100</f>
        <v>20032</v>
      </c>
      <c r="C127" s="741" t="str">
        <f aca="false">Summary!M100</f>
        <v>Drilling</v>
      </c>
      <c r="D127" s="318"/>
      <c r="E127" s="751"/>
    </row>
    <row r="128" customFormat="false" ht="15" hidden="false" customHeight="false" outlineLevel="0" collapsed="false">
      <c r="B128" s="1404" t="n">
        <f aca="false">Summary!L101</f>
        <v>20033</v>
      </c>
      <c r="C128" s="741" t="str">
        <f aca="false">Summary!M101</f>
        <v>Haul off</v>
      </c>
      <c r="D128" s="318"/>
      <c r="E128" s="751" t="n">
        <f aca="false">O89</f>
        <v>0</v>
      </c>
    </row>
    <row r="129" customFormat="false" ht="15" hidden="false" customHeight="false" outlineLevel="0" collapsed="false">
      <c r="B129" s="1404" t="n">
        <f aca="false">Summary!L102</f>
        <v>20034</v>
      </c>
      <c r="C129" s="741" t="str">
        <f aca="false">Summary!M102</f>
        <v>Saw Cutting/Sealing</v>
      </c>
      <c r="D129" s="318"/>
      <c r="E129" s="751" t="n">
        <f aca="false">O87</f>
        <v>0</v>
      </c>
    </row>
    <row r="130" customFormat="false" ht="15" hidden="false" customHeight="false" outlineLevel="0" collapsed="false">
      <c r="B130" s="1404" t="n">
        <f aca="false">Summary!L103</f>
        <v>20035</v>
      </c>
      <c r="C130" s="741" t="str">
        <f aca="false">Summary!M103</f>
        <v>Demolition</v>
      </c>
      <c r="D130" s="318"/>
      <c r="E130" s="751"/>
    </row>
    <row r="131" customFormat="false" ht="15" hidden="false" customHeight="false" outlineLevel="0" collapsed="false">
      <c r="B131" s="1404" t="n">
        <f aca="false">Summary!L104</f>
        <v>20037</v>
      </c>
      <c r="C131" s="741" t="str">
        <f aca="false">Summary!M104</f>
        <v>Waterproofing</v>
      </c>
      <c r="D131" s="318"/>
      <c r="E131" s="751" t="n">
        <f aca="false">O86</f>
        <v>0</v>
      </c>
    </row>
    <row r="132" customFormat="false" ht="15" hidden="false" customHeight="false" outlineLevel="0" collapsed="false">
      <c r="B132" s="1404" t="n">
        <f aca="false">Summary!L105</f>
        <v>20038</v>
      </c>
      <c r="C132" s="741" t="str">
        <f aca="false">Summary!M105</f>
        <v>Crain/Hoisting</v>
      </c>
      <c r="D132" s="318"/>
      <c r="E132" s="751"/>
    </row>
    <row r="133" customFormat="false" ht="15" hidden="false" customHeight="false" outlineLevel="0" collapsed="false">
      <c r="B133" s="1406" t="n">
        <f aca="false">Summary!L106</f>
        <v>20039</v>
      </c>
      <c r="C133" s="788" t="str">
        <f aca="false">Summary!M106</f>
        <v>Forming Systems</v>
      </c>
      <c r="D133" s="800"/>
      <c r="E133" s="756" t="n">
        <f aca="false">O60</f>
        <v>0</v>
      </c>
    </row>
    <row r="134" customFormat="false" ht="15" hidden="false" customHeight="false" outlineLevel="0" collapsed="false">
      <c r="B134" s="1407" t="n">
        <f aca="false">Summary!L107</f>
        <v>20040</v>
      </c>
      <c r="C134" s="1408" t="str">
        <f aca="false">Summary!M107</f>
        <v>Total Sub Labor</v>
      </c>
      <c r="D134" s="1409"/>
      <c r="E134" s="1410" t="n">
        <f aca="false">SUM(E135:E142)</f>
        <v>0</v>
      </c>
    </row>
    <row r="135" customFormat="false" ht="15" hidden="false" customHeight="false" outlineLevel="0" collapsed="false">
      <c r="B135" s="1404" t="n">
        <f aca="false">Summary!L108</f>
        <v>20041</v>
      </c>
      <c r="C135" s="741" t="str">
        <f aca="false">Summary!M108</f>
        <v>Labor Forming</v>
      </c>
      <c r="D135" s="318"/>
      <c r="E135" s="742" t="n">
        <f aca="false">O62+O63</f>
        <v>0</v>
      </c>
    </row>
    <row r="136" customFormat="false" ht="15" hidden="false" customHeight="false" outlineLevel="0" collapsed="false">
      <c r="B136" s="1404" t="n">
        <f aca="false">Summary!L109</f>
        <v>20042</v>
      </c>
      <c r="C136" s="741" t="str">
        <f aca="false">Summary!M109</f>
        <v>Labor Grade, Poly, Reinf.</v>
      </c>
      <c r="D136" s="749"/>
      <c r="E136" s="742"/>
    </row>
    <row r="137" customFormat="false" ht="15" hidden="false" customHeight="false" outlineLevel="0" collapsed="false">
      <c r="B137" s="1404" t="n">
        <f aca="false">Summary!L110</f>
        <v>20043</v>
      </c>
      <c r="C137" s="741" t="str">
        <f aca="false">Summary!M110</f>
        <v>Labor Place &amp; Finish</v>
      </c>
      <c r="D137" s="749"/>
      <c r="E137" s="742" t="n">
        <f aca="false">O64</f>
        <v>0</v>
      </c>
    </row>
    <row r="138" customFormat="false" ht="15" hidden="false" customHeight="false" outlineLevel="0" collapsed="false">
      <c r="B138" s="1404" t="n">
        <f aca="false">Summary!L111</f>
        <v>20044</v>
      </c>
      <c r="C138" s="741" t="str">
        <f aca="false">Summary!M111</f>
        <v>Labor Drops</v>
      </c>
      <c r="D138" s="749"/>
      <c r="E138" s="742"/>
    </row>
    <row r="139" customFormat="false" ht="15" hidden="false" customHeight="false" outlineLevel="0" collapsed="false">
      <c r="B139" s="1404" t="n">
        <f aca="false">Summary!L112</f>
        <v>20045</v>
      </c>
      <c r="C139" s="741" t="str">
        <f aca="false">Summary!M112</f>
        <v>Labor Strip Forms</v>
      </c>
      <c r="D139" s="749"/>
      <c r="E139" s="742" t="n">
        <f aca="false">O65</f>
        <v>0</v>
      </c>
    </row>
    <row r="140" customFormat="false" ht="15" hidden="false" customHeight="false" outlineLevel="0" collapsed="false">
      <c r="B140" s="1404" t="n">
        <f aca="false">Summary!L113</f>
        <v>20046</v>
      </c>
      <c r="C140" s="741" t="str">
        <f aca="false">Summary!M113</f>
        <v>Labor Burden</v>
      </c>
      <c r="D140" s="318"/>
      <c r="E140" s="751" t="n">
        <f aca="false">O66+O69+O68</f>
        <v>0</v>
      </c>
    </row>
    <row r="141" customFormat="false" ht="15" hidden="false" customHeight="false" outlineLevel="0" collapsed="false">
      <c r="B141" s="1404" t="n">
        <f aca="false">Summary!L114</f>
        <v>20047</v>
      </c>
      <c r="C141" s="741" t="str">
        <f aca="false">Summary!M114</f>
        <v>Rebar</v>
      </c>
      <c r="D141" s="749"/>
      <c r="E141" s="742" t="n">
        <f aca="false">O67</f>
        <v>0</v>
      </c>
    </row>
    <row r="142" customFormat="false" ht="15" hidden="false" customHeight="false" outlineLevel="0" collapsed="false">
      <c r="B142" s="1406" t="n">
        <f aca="false">Summary!L115</f>
        <v>20048</v>
      </c>
      <c r="C142" s="788" t="str">
        <f aca="false">Summary!M115</f>
        <v>PT Installation</v>
      </c>
      <c r="D142" s="800"/>
      <c r="E142" s="756"/>
    </row>
    <row r="143" customFormat="false" ht="15" hidden="false" customHeight="false" outlineLevel="0" collapsed="false">
      <c r="B143" s="1406" t="n">
        <f aca="false">Summary!L116</f>
        <v>20049</v>
      </c>
      <c r="C143" s="788" t="str">
        <f aca="false">Summary!M116</f>
        <v>Extra Hours</v>
      </c>
      <c r="D143" s="800"/>
      <c r="E143" s="756" t="n">
        <f aca="false">O70</f>
        <v>0</v>
      </c>
    </row>
    <row r="144" customFormat="false" ht="15" hidden="false" customHeight="false" outlineLevel="0" collapsed="false">
      <c r="B144" s="1407" t="n">
        <f aca="false">Summary!L117</f>
        <v>20060</v>
      </c>
      <c r="C144" s="1408" t="str">
        <f aca="false">Summary!M117</f>
        <v>Total Equipment Rental</v>
      </c>
      <c r="D144" s="1409"/>
      <c r="E144" s="1410" t="n">
        <f aca="false">SUM(E145:E150)</f>
        <v>0</v>
      </c>
    </row>
    <row r="145" customFormat="false" ht="15" hidden="false" customHeight="false" outlineLevel="0" collapsed="false">
      <c r="B145" s="1404" t="n">
        <f aca="false">Summary!L118</f>
        <v>20061</v>
      </c>
      <c r="C145" s="741" t="str">
        <f aca="false">Summary!M118</f>
        <v>SkyTrack</v>
      </c>
      <c r="D145" s="318"/>
      <c r="E145" s="742" t="n">
        <f aca="false">O78/(1+W$39+J$80)</f>
        <v>0</v>
      </c>
    </row>
    <row r="146" customFormat="false" ht="15" hidden="false" customHeight="false" outlineLevel="0" collapsed="false">
      <c r="B146" s="1404" t="n">
        <f aca="false">Summary!L119</f>
        <v>20062</v>
      </c>
      <c r="C146" s="741" t="str">
        <f aca="false">Summary!M119</f>
        <v>Mini Excavator</v>
      </c>
      <c r="D146" s="318"/>
      <c r="E146" s="751" t="n">
        <f aca="false">O79/(1+W$39+J$80)</f>
        <v>0</v>
      </c>
    </row>
    <row r="147" customFormat="false" ht="15" hidden="false" customHeight="false" outlineLevel="0" collapsed="false">
      <c r="B147" s="1404" t="n">
        <f aca="false">Summary!L120</f>
        <v>20063</v>
      </c>
      <c r="C147" s="741" t="str">
        <f aca="false">Summary!M120</f>
        <v>Trencher</v>
      </c>
      <c r="D147" s="318"/>
      <c r="E147" s="751" t="n">
        <f aca="false">O80/(1+W$39+J$80)</f>
        <v>0</v>
      </c>
    </row>
    <row r="148" customFormat="false" ht="15" hidden="false" customHeight="false" outlineLevel="0" collapsed="false">
      <c r="B148" s="1404" t="n">
        <f aca="false">Summary!L121</f>
        <v>20064</v>
      </c>
      <c r="C148" s="741" t="str">
        <f aca="false">Summary!M121</f>
        <v>Skid Steer</v>
      </c>
      <c r="D148" s="318"/>
      <c r="E148" s="751" t="n">
        <f aca="false">O81/(1+W$39+J$80)</f>
        <v>0</v>
      </c>
    </row>
    <row r="149" customFormat="false" ht="15" hidden="false" customHeight="false" outlineLevel="0" collapsed="false">
      <c r="B149" s="1404" t="n">
        <f aca="false">Summary!L122</f>
        <v>20065</v>
      </c>
      <c r="C149" s="741" t="str">
        <f aca="false">Summary!M122</f>
        <v>General Equipment Rental</v>
      </c>
      <c r="D149" s="318"/>
      <c r="E149" s="751" t="n">
        <f aca="false">(O82+O83)/(1+W$39+J$80)</f>
        <v>0</v>
      </c>
    </row>
    <row r="150" customFormat="false" ht="15" hidden="false" customHeight="false" outlineLevel="0" collapsed="false">
      <c r="B150" s="1404" t="n">
        <f aca="false">Summary!L123</f>
        <v>20066</v>
      </c>
      <c r="C150" s="741" t="str">
        <f aca="false">Summary!M123</f>
        <v>Fuel</v>
      </c>
      <c r="D150" s="318"/>
      <c r="E150" s="751" t="n">
        <f aca="false">M80-SUM(E145:E149)</f>
        <v>0</v>
      </c>
    </row>
    <row r="151" customFormat="false" ht="15" hidden="false" customHeight="false" outlineLevel="0" collapsed="false">
      <c r="B151" s="1404" t="n">
        <f aca="false">Summary!L124</f>
        <v>20067</v>
      </c>
      <c r="C151" s="741" t="str">
        <f aca="false">Summary!M124</f>
        <v>Purchased Tools</v>
      </c>
      <c r="D151" s="318"/>
      <c r="E151" s="751"/>
    </row>
    <row r="152" customFormat="false" ht="15" hidden="false" customHeight="false" outlineLevel="0" collapsed="false">
      <c r="B152" s="1404" t="n">
        <f aca="false">Summary!L125</f>
        <v>20068</v>
      </c>
      <c r="C152" s="741" t="str">
        <f aca="false">Summary!M125</f>
        <v>Stolen/Damaged</v>
      </c>
      <c r="D152" s="318"/>
      <c r="E152" s="751"/>
    </row>
    <row r="153" customFormat="false" ht="15" hidden="false" customHeight="false" outlineLevel="0" collapsed="false">
      <c r="B153" s="1404" t="n">
        <f aca="false">Summary!L126</f>
        <v>20070</v>
      </c>
      <c r="C153" s="741" t="str">
        <f aca="false">Summary!M126</f>
        <v>Out of Town Expense</v>
      </c>
      <c r="D153" s="318"/>
      <c r="E153" s="751" t="n">
        <f aca="false">O90</f>
        <v>0</v>
      </c>
    </row>
    <row r="154" customFormat="false" ht="15" hidden="false" customHeight="false" outlineLevel="0" collapsed="false">
      <c r="B154" s="1404" t="n">
        <f aca="false">Summary!L127</f>
        <v>20071</v>
      </c>
      <c r="C154" s="741" t="str">
        <f aca="false">Summary!M127</f>
        <v>Miscellaneous</v>
      </c>
      <c r="D154" s="318"/>
      <c r="E154" s="751" t="n">
        <f aca="false">O88</f>
        <v>0</v>
      </c>
    </row>
    <row r="155" customFormat="false" ht="15" hidden="false" customHeight="false" outlineLevel="0" collapsed="false">
      <c r="B155" s="1404" t="n">
        <f aca="false">Summary!L128</f>
        <v>20072</v>
      </c>
      <c r="C155" s="741" t="str">
        <f aca="false">Summary!M128</f>
        <v>Repairs</v>
      </c>
      <c r="D155" s="318"/>
      <c r="E155" s="751"/>
    </row>
    <row r="156" customFormat="false" ht="15" hidden="false" customHeight="false" outlineLevel="0" collapsed="false">
      <c r="B156" s="1404" t="n">
        <f aca="false">Summary!L129</f>
        <v>20073</v>
      </c>
      <c r="C156" s="741" t="str">
        <f aca="false">Summary!M129</f>
        <v>Engineering</v>
      </c>
      <c r="D156" s="318"/>
      <c r="E156" s="751"/>
    </row>
    <row r="157" customFormat="false" ht="15" hidden="false" customHeight="false" outlineLevel="0" collapsed="false">
      <c r="B157" s="1404" t="n">
        <f aca="false">Summary!L130</f>
        <v>20090</v>
      </c>
      <c r="C157" s="741" t="str">
        <f aca="false">Summary!M130</f>
        <v>Not Used</v>
      </c>
      <c r="D157" s="318"/>
      <c r="E157" s="751"/>
    </row>
    <row r="158" customFormat="false" ht="15" hidden="false" customHeight="false" outlineLevel="0" collapsed="false">
      <c r="B158" s="1404" t="n">
        <f aca="false">Summary!L131</f>
        <v>20091</v>
      </c>
      <c r="C158" s="741" t="str">
        <f aca="false">Summary!M131</f>
        <v>Margin Contingency</v>
      </c>
      <c r="D158" s="318"/>
      <c r="E158" s="751" t="n">
        <f aca="false">O91</f>
        <v>0</v>
      </c>
    </row>
  </sheetData>
  <mergeCells count="183">
    <mergeCell ref="U1:V1"/>
    <mergeCell ref="W1:X1"/>
    <mergeCell ref="B2:E2"/>
    <mergeCell ref="O2:P2"/>
    <mergeCell ref="Q2:R2"/>
    <mergeCell ref="B3:E3"/>
    <mergeCell ref="J3:N3"/>
    <mergeCell ref="O3:P3"/>
    <mergeCell ref="Q3:R3"/>
    <mergeCell ref="B4:E4"/>
    <mergeCell ref="J4:N4"/>
    <mergeCell ref="O4:P4"/>
    <mergeCell ref="Q4:R4"/>
    <mergeCell ref="J5:N5"/>
    <mergeCell ref="O5:P5"/>
    <mergeCell ref="Q5:R5"/>
    <mergeCell ref="D6:E6"/>
    <mergeCell ref="J6:N6"/>
    <mergeCell ref="O6:P6"/>
    <mergeCell ref="Q6:R6"/>
    <mergeCell ref="D7:E7"/>
    <mergeCell ref="G7:I7"/>
    <mergeCell ref="J7:N7"/>
    <mergeCell ref="E8:E9"/>
    <mergeCell ref="F8:H8"/>
    <mergeCell ref="I8:J8"/>
    <mergeCell ref="K8:L8"/>
    <mergeCell ref="M8:N8"/>
    <mergeCell ref="O8:P8"/>
    <mergeCell ref="Q8:S8"/>
    <mergeCell ref="T8:V8"/>
    <mergeCell ref="W8:W9"/>
    <mergeCell ref="X8:X9"/>
    <mergeCell ref="FT8:FW8"/>
    <mergeCell ref="B9:D9"/>
    <mergeCell ref="E38:F38"/>
    <mergeCell ref="B39:D39"/>
    <mergeCell ref="E39:F39"/>
    <mergeCell ref="G39:I39"/>
    <mergeCell ref="J39:L39"/>
    <mergeCell ref="M39:N39"/>
    <mergeCell ref="C40:D40"/>
    <mergeCell ref="E40:F40"/>
    <mergeCell ref="H40:I40"/>
    <mergeCell ref="J40:L40"/>
    <mergeCell ref="M40:P40"/>
    <mergeCell ref="U40:V40"/>
    <mergeCell ref="E41:F41"/>
    <mergeCell ref="K41:L41"/>
    <mergeCell ref="N41:O41"/>
    <mergeCell ref="U41:V41"/>
    <mergeCell ref="F42:G42"/>
    <mergeCell ref="O42:P42"/>
    <mergeCell ref="U42:V42"/>
    <mergeCell ref="F43:G43"/>
    <mergeCell ref="F44:G44"/>
    <mergeCell ref="S44:T44"/>
    <mergeCell ref="R45:S45"/>
    <mergeCell ref="FQ45:FT45"/>
    <mergeCell ref="L47:M47"/>
    <mergeCell ref="R47:S47"/>
    <mergeCell ref="I48:J51"/>
    <mergeCell ref="K48:K51"/>
    <mergeCell ref="L48:M48"/>
    <mergeCell ref="O48:P48"/>
    <mergeCell ref="L49:M49"/>
    <mergeCell ref="O49:P49"/>
    <mergeCell ref="L50:M50"/>
    <mergeCell ref="O50:P50"/>
    <mergeCell ref="L51:M51"/>
    <mergeCell ref="O51:P51"/>
    <mergeCell ref="I52:J52"/>
    <mergeCell ref="L52:M52"/>
    <mergeCell ref="O52:P52"/>
    <mergeCell ref="I53:J53"/>
    <mergeCell ref="L53:M53"/>
    <mergeCell ref="O53:P53"/>
    <mergeCell ref="J54:K54"/>
    <mergeCell ref="L54:M54"/>
    <mergeCell ref="O54:P54"/>
    <mergeCell ref="I55:J56"/>
    <mergeCell ref="K55:K56"/>
    <mergeCell ref="L55:M55"/>
    <mergeCell ref="O55:P55"/>
    <mergeCell ref="L56:M56"/>
    <mergeCell ref="O56:P56"/>
    <mergeCell ref="I57:J59"/>
    <mergeCell ref="K57:K59"/>
    <mergeCell ref="L57:M57"/>
    <mergeCell ref="O57:P57"/>
    <mergeCell ref="B58:D58"/>
    <mergeCell ref="L58:M58"/>
    <mergeCell ref="O58:P58"/>
    <mergeCell ref="B59:D59"/>
    <mergeCell ref="L59:M59"/>
    <mergeCell ref="O59:P59"/>
    <mergeCell ref="I60:J60"/>
    <mergeCell ref="L60:M60"/>
    <mergeCell ref="O60:P60"/>
    <mergeCell ref="L61:M61"/>
    <mergeCell ref="N61:P61"/>
    <mergeCell ref="E62:F62"/>
    <mergeCell ref="I62:J62"/>
    <mergeCell ref="L62:M62"/>
    <mergeCell ref="O62:P62"/>
    <mergeCell ref="E63:F63"/>
    <mergeCell ref="H63:H65"/>
    <mergeCell ref="I63:J66"/>
    <mergeCell ref="L63:M63"/>
    <mergeCell ref="O63:P63"/>
    <mergeCell ref="E64:F64"/>
    <mergeCell ref="L64:M64"/>
    <mergeCell ref="O64:P64"/>
    <mergeCell ref="E65:F65"/>
    <mergeCell ref="L65:M65"/>
    <mergeCell ref="O65:P65"/>
    <mergeCell ref="E66:F66"/>
    <mergeCell ref="L66:M66"/>
    <mergeCell ref="O66:P66"/>
    <mergeCell ref="E67:F67"/>
    <mergeCell ref="I67:J67"/>
    <mergeCell ref="L67:M67"/>
    <mergeCell ref="O67:P67"/>
    <mergeCell ref="E68:F68"/>
    <mergeCell ref="I68:J68"/>
    <mergeCell ref="L68:M68"/>
    <mergeCell ref="O68:P68"/>
    <mergeCell ref="E69:F69"/>
    <mergeCell ref="I69:J69"/>
    <mergeCell ref="L69:M69"/>
    <mergeCell ref="O69:P69"/>
    <mergeCell ref="B70:C70"/>
    <mergeCell ref="E70:F70"/>
    <mergeCell ref="L70:M70"/>
    <mergeCell ref="O70:P70"/>
    <mergeCell ref="E71:F71"/>
    <mergeCell ref="I71:K71"/>
    <mergeCell ref="L71:M71"/>
    <mergeCell ref="O71:P71"/>
    <mergeCell ref="M73:N73"/>
    <mergeCell ref="O73:P73"/>
    <mergeCell ref="M74:N74"/>
    <mergeCell ref="O74:P74"/>
    <mergeCell ref="O75:P75"/>
    <mergeCell ref="M76:N76"/>
    <mergeCell ref="O76:P76"/>
    <mergeCell ref="O78:P78"/>
    <mergeCell ref="J79:K79"/>
    <mergeCell ref="M79:N79"/>
    <mergeCell ref="O79:P79"/>
    <mergeCell ref="J80:K81"/>
    <mergeCell ref="M80:N80"/>
    <mergeCell ref="O80:P80"/>
    <mergeCell ref="O81:P81"/>
    <mergeCell ref="O82:P82"/>
    <mergeCell ref="O83:P83"/>
    <mergeCell ref="B85:D85"/>
    <mergeCell ref="O85:P85"/>
    <mergeCell ref="B86:D86"/>
    <mergeCell ref="O86:P86"/>
    <mergeCell ref="B87:D87"/>
    <mergeCell ref="O87:P87"/>
    <mergeCell ref="B88:D88"/>
    <mergeCell ref="O88:P88"/>
    <mergeCell ref="R88:S88"/>
    <mergeCell ref="B89:D89"/>
    <mergeCell ref="O89:P89"/>
    <mergeCell ref="V89:W89"/>
    <mergeCell ref="B90:D90"/>
    <mergeCell ref="O90:P90"/>
    <mergeCell ref="B91:D91"/>
    <mergeCell ref="O91:P91"/>
    <mergeCell ref="B93:D93"/>
    <mergeCell ref="E93:F93"/>
    <mergeCell ref="G93:I93"/>
    <mergeCell ref="J93:L93"/>
    <mergeCell ref="M93:N93"/>
    <mergeCell ref="C94:D94"/>
    <mergeCell ref="E94:F94"/>
    <mergeCell ref="H94:I94"/>
    <mergeCell ref="J94:L94"/>
    <mergeCell ref="M94:P94"/>
    <mergeCell ref="U94:V94"/>
  </mergeCells>
  <conditionalFormatting sqref="L47:M47">
    <cfRule type="containsText" priority="2" operator="containsText" aboveAverage="0" equalAverage="0" bottom="0" percent="0" rank="0" text="Missing" dxfId="1">
      <formula>NOT(ISERROR(SEARCH("Missing",L47)))</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6" man="true" max="16383" min="0"/>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1" colorId="64" zoomScale="55" zoomScaleNormal="55" zoomScalePageLayoutView="90" workbookViewId="0">
      <selection pane="topLeft" activeCell="B2" activeCellId="0" sqref="B2"/>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false" outlineLevel="0" max="58" min="43" style="16" width="25.82"/>
    <col collapsed="false" customWidth="true" hidden="false" outlineLevel="0" max="59" min="59" style="1411" width="25.82"/>
    <col collapsed="false" customWidth="true" hidden="fals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29" t="s">
        <v>1355</v>
      </c>
      <c r="D1" s="654"/>
      <c r="E1" s="654"/>
      <c r="F1" s="654"/>
      <c r="G1" s="654"/>
      <c r="H1" s="654"/>
      <c r="I1" s="654"/>
      <c r="J1" s="654"/>
      <c r="K1" s="654"/>
      <c r="L1" s="654"/>
      <c r="M1" s="654"/>
      <c r="N1" s="654"/>
      <c r="O1" s="654"/>
      <c r="P1" s="654"/>
      <c r="Q1" s="654"/>
      <c r="R1" s="654"/>
      <c r="S1" s="654"/>
      <c r="T1" s="654"/>
      <c r="U1" s="1412" t="s">
        <v>1193</v>
      </c>
      <c r="V1" s="1412"/>
      <c r="W1" s="1413" t="n">
        <v>37456</v>
      </c>
      <c r="X1" s="1413"/>
      <c r="Y1" s="1414"/>
      <c r="Z1" s="1414"/>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411"/>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15" t="str">
        <f aca="false">Summary!C1</f>
        <v>Trammell Crow – LBJ</v>
      </c>
      <c r="C2" s="1416"/>
      <c r="D2" s="1416"/>
      <c r="E2" s="1417"/>
      <c r="F2" s="1418" t="s">
        <v>1466</v>
      </c>
      <c r="G2" s="654"/>
      <c r="H2" s="836"/>
      <c r="I2" s="1419" t="s">
        <v>56</v>
      </c>
      <c r="J2" s="1068"/>
      <c r="K2" s="1202" t="s">
        <v>57</v>
      </c>
      <c r="L2" s="1068"/>
      <c r="M2" s="1068"/>
      <c r="N2" s="1068"/>
      <c r="O2" s="1202" t="s">
        <v>1</v>
      </c>
      <c r="P2" s="1202"/>
      <c r="Q2" s="1202" t="s">
        <v>1194</v>
      </c>
      <c r="R2" s="865"/>
      <c r="S2" s="654"/>
      <c r="T2" s="654"/>
      <c r="U2" s="836" t="s">
        <v>957</v>
      </c>
      <c r="V2" s="695"/>
      <c r="W2" s="837" t="n">
        <f aca="false">Information!C7</f>
        <v>0</v>
      </c>
      <c r="X2" s="838"/>
      <c r="Y2" s="1414"/>
      <c r="Z2" s="1414"/>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411"/>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20" t="n">
        <f aca="false">Summary!C2</f>
        <v>0</v>
      </c>
      <c r="C3" s="1421"/>
      <c r="D3" s="1421"/>
      <c r="E3" s="1422"/>
      <c r="F3" s="1418" t="s">
        <v>1467</v>
      </c>
      <c r="G3" s="654"/>
      <c r="H3" s="599"/>
      <c r="I3" s="833" t="s">
        <v>955</v>
      </c>
      <c r="J3" s="1415" t="n">
        <f aca="false">Summary!K2</f>
        <v>0</v>
      </c>
      <c r="K3" s="1416"/>
      <c r="L3" s="1416"/>
      <c r="M3" s="1416"/>
      <c r="N3" s="1416"/>
      <c r="O3" s="1423" t="n">
        <f aca="false">Summary!O2</f>
        <v>0</v>
      </c>
      <c r="P3" s="1423"/>
      <c r="Q3" s="1423" t="n">
        <f aca="false">Summary!P2</f>
        <v>0</v>
      </c>
      <c r="R3" s="1424"/>
      <c r="S3" s="654"/>
      <c r="T3" s="654"/>
      <c r="U3" s="599"/>
      <c r="X3" s="843"/>
      <c r="Y3" s="1414"/>
      <c r="Z3" s="1414"/>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411"/>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25" t="str">
        <f aca="false">Summary!C3</f>
        <v>Dallas, TX</v>
      </c>
      <c r="C4" s="1426"/>
      <c r="D4" s="1426"/>
      <c r="E4" s="1427"/>
      <c r="F4" s="1418" t="s">
        <v>1468</v>
      </c>
      <c r="G4" s="654"/>
      <c r="H4" s="421"/>
      <c r="I4" s="1004" t="s">
        <v>71</v>
      </c>
      <c r="J4" s="1420" t="n">
        <f aca="false">Summary!K3</f>
        <v>0</v>
      </c>
      <c r="K4" s="1421"/>
      <c r="L4" s="1421"/>
      <c r="M4" s="1421"/>
      <c r="N4" s="1421"/>
      <c r="O4" s="1428" t="n">
        <f aca="false">Summary!O3</f>
        <v>0</v>
      </c>
      <c r="P4" s="1428"/>
      <c r="Q4" s="1428" t="n">
        <f aca="false">Summary!P3</f>
        <v>0</v>
      </c>
      <c r="R4" s="1429"/>
      <c r="S4" s="654"/>
      <c r="T4" s="654"/>
      <c r="U4" s="599" t="s">
        <v>958</v>
      </c>
      <c r="W4" s="848"/>
      <c r="X4" s="849"/>
      <c r="Y4" s="1414"/>
      <c r="Z4" s="1414"/>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411"/>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c r="DS4" s="16" t="n">
        <f aca="false">7200*0.42/27</f>
        <v>112</v>
      </c>
    </row>
    <row r="5" customFormat="false" ht="19.5" hidden="false" customHeight="true" outlineLevel="0" collapsed="false">
      <c r="B5" s="405" t="s">
        <v>0</v>
      </c>
      <c r="D5" s="837" t="s">
        <v>1</v>
      </c>
      <c r="E5" s="837"/>
      <c r="F5" s="654"/>
      <c r="G5" s="654"/>
      <c r="H5" s="421"/>
      <c r="I5" s="1004" t="s">
        <v>79</v>
      </c>
      <c r="J5" s="1420" t="n">
        <f aca="false">Summary!K4</f>
        <v>0</v>
      </c>
      <c r="K5" s="1421"/>
      <c r="L5" s="1421"/>
      <c r="M5" s="1421"/>
      <c r="N5" s="1421"/>
      <c r="O5" s="1428" t="n">
        <f aca="false">Summary!O4</f>
        <v>0</v>
      </c>
      <c r="P5" s="1428"/>
      <c r="Q5" s="1428" t="n">
        <f aca="false">Summary!P4</f>
        <v>0</v>
      </c>
      <c r="R5" s="1429"/>
      <c r="S5" s="1430"/>
      <c r="T5" s="654"/>
      <c r="U5" s="599"/>
      <c r="X5" s="843"/>
      <c r="Y5" s="1414"/>
      <c r="Z5" s="1414"/>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411"/>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c r="DX5" s="1431" t="n">
        <f aca="false">(S45-F10)/324</f>
        <v>0.0185185185185185</v>
      </c>
    </row>
    <row r="6" customFormat="false" ht="19.5" hidden="false" customHeight="true" outlineLevel="0" collapsed="false">
      <c r="B6" s="857" t="n">
        <v>0</v>
      </c>
      <c r="D6" s="1432" t="n">
        <v>0</v>
      </c>
      <c r="E6" s="1432"/>
      <c r="F6" s="654"/>
      <c r="G6" s="654"/>
      <c r="H6" s="685"/>
      <c r="I6" s="1212" t="s">
        <v>87</v>
      </c>
      <c r="J6" s="1425" t="n">
        <f aca="false">Summary!K5</f>
        <v>0</v>
      </c>
      <c r="K6" s="1426"/>
      <c r="L6" s="1426"/>
      <c r="M6" s="1426"/>
      <c r="N6" s="1426"/>
      <c r="O6" s="1433" t="n">
        <f aca="false">Summary!O5</f>
        <v>0</v>
      </c>
      <c r="P6" s="1433"/>
      <c r="Q6" s="1433" t="n">
        <f aca="false">Summary!P5</f>
        <v>0</v>
      </c>
      <c r="R6" s="1434"/>
      <c r="S6" s="654"/>
      <c r="T6" s="654"/>
      <c r="U6" s="602" t="s">
        <v>958</v>
      </c>
      <c r="V6" s="855"/>
      <c r="W6" s="855"/>
      <c r="X6" s="856"/>
      <c r="Y6" s="1414"/>
      <c r="Z6" s="1414"/>
      <c r="AI6" s="654"/>
      <c r="AJ6" s="1435"/>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411"/>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1436" t="n">
        <v>0</v>
      </c>
      <c r="C7" s="1125"/>
      <c r="D7" s="1437" t="n">
        <v>0</v>
      </c>
      <c r="E7" s="1438"/>
      <c r="F7" s="726"/>
      <c r="G7" s="1212" t="s">
        <v>1196</v>
      </c>
      <c r="H7" s="1004"/>
      <c r="I7" s="1004"/>
      <c r="J7" s="15" t="str">
        <f aca="false">Pricing!A3</f>
        <v>SRM</v>
      </c>
      <c r="K7" s="15"/>
      <c r="L7" s="15"/>
      <c r="M7" s="15"/>
      <c r="N7" s="15"/>
      <c r="O7" s="654"/>
      <c r="P7" s="654"/>
      <c r="Q7" s="654"/>
      <c r="R7" s="654"/>
      <c r="S7" s="656" t="n">
        <f aca="false">S12+S13</f>
        <v>136173.305042627</v>
      </c>
      <c r="T7" s="654"/>
      <c r="U7" s="654"/>
      <c r="V7" s="654"/>
      <c r="W7" s="654"/>
      <c r="X7" s="654"/>
      <c r="Y7" s="1414"/>
      <c r="Z7" s="1414"/>
      <c r="AI7" s="654"/>
      <c r="AJ7" s="654"/>
      <c r="AK7" s="654"/>
      <c r="AL7" s="406"/>
      <c r="AM7" s="614"/>
      <c r="AN7" s="614"/>
      <c r="AO7" s="614"/>
      <c r="AP7" s="614"/>
      <c r="AQ7" s="614"/>
      <c r="AR7" s="1439" t="s">
        <v>1469</v>
      </c>
      <c r="AS7" s="1439"/>
      <c r="AT7" s="1439"/>
      <c r="AU7" s="1439"/>
      <c r="AV7" s="1439"/>
      <c r="AW7" s="1439"/>
      <c r="AX7" s="1439"/>
      <c r="AY7" s="1439"/>
      <c r="AZ7" s="1439"/>
      <c r="BA7" s="1439"/>
      <c r="BB7" s="1439"/>
      <c r="BC7" s="1439" t="s">
        <v>721</v>
      </c>
      <c r="BD7" s="1439"/>
      <c r="BE7" s="1439"/>
      <c r="BF7" s="1439"/>
      <c r="BG7" s="1439"/>
      <c r="BH7" s="1439"/>
      <c r="BI7" s="1439"/>
      <c r="BJ7" s="1439"/>
      <c r="BK7" s="1439"/>
      <c r="BL7" s="1439"/>
      <c r="BM7" s="1439"/>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c r="DS7" s="16" t="s">
        <v>1470</v>
      </c>
      <c r="DZ7" s="16" t="s">
        <v>1471</v>
      </c>
    </row>
    <row r="8" customFormat="false" ht="39" hidden="false" customHeight="true" outlineLevel="0" collapsed="false">
      <c r="B8" s="1440" t="s">
        <v>1472</v>
      </c>
      <c r="C8" s="1441" t="s">
        <v>1473</v>
      </c>
      <c r="D8" s="1442" t="s">
        <v>1474</v>
      </c>
      <c r="E8" s="1443"/>
      <c r="F8" s="1444" t="s">
        <v>1475</v>
      </c>
      <c r="G8" s="1445" t="s">
        <v>1476</v>
      </c>
      <c r="H8" s="1446" t="s">
        <v>1477</v>
      </c>
      <c r="I8" s="1447" t="s">
        <v>1209</v>
      </c>
      <c r="J8" s="1444" t="s">
        <v>1478</v>
      </c>
      <c r="K8" s="1444" t="s">
        <v>1479</v>
      </c>
      <c r="L8" s="1448" t="s">
        <v>1480</v>
      </c>
      <c r="M8" s="1449" t="s">
        <v>1481</v>
      </c>
      <c r="N8" s="1450" t="s">
        <v>1482</v>
      </c>
      <c r="O8" s="1450" t="s">
        <v>598</v>
      </c>
      <c r="P8" s="1451" t="s">
        <v>1483</v>
      </c>
      <c r="Q8" s="1452" t="s">
        <v>1219</v>
      </c>
      <c r="R8" s="1453" t="s">
        <v>1484</v>
      </c>
      <c r="S8" s="1454" t="s">
        <v>1485</v>
      </c>
      <c r="T8" s="1455" t="s">
        <v>1486</v>
      </c>
      <c r="U8" s="1456" t="s">
        <v>1487</v>
      </c>
      <c r="V8" s="1454" t="s">
        <v>1250</v>
      </c>
      <c r="W8" s="1457" t="s">
        <v>1488</v>
      </c>
      <c r="X8" s="863"/>
      <c r="Y8" s="1458" t="s">
        <v>1489</v>
      </c>
      <c r="Z8" s="1459"/>
      <c r="AA8" s="1458" t="s">
        <v>1490</v>
      </c>
      <c r="AB8" s="1459"/>
      <c r="AC8" s="1458" t="s">
        <v>1491</v>
      </c>
      <c r="AD8" s="1460"/>
      <c r="AE8" s="1458" t="s">
        <v>1492</v>
      </c>
      <c r="AF8" s="1460"/>
      <c r="AG8" s="1458" t="s">
        <v>1493</v>
      </c>
      <c r="AH8" s="1460"/>
      <c r="AI8" s="1458" t="s">
        <v>1494</v>
      </c>
      <c r="AJ8" s="1460"/>
      <c r="AK8" s="1458" t="s">
        <v>1495</v>
      </c>
      <c r="AL8" s="1460"/>
      <c r="AM8" s="1458" t="s">
        <v>1496</v>
      </c>
      <c r="AN8" s="1460"/>
      <c r="AO8" s="1458" t="s">
        <v>1497</v>
      </c>
      <c r="AP8" s="1460"/>
      <c r="AQ8" s="654"/>
      <c r="AR8" s="1461" t="s">
        <v>1498</v>
      </c>
      <c r="AS8" s="1462" t="s">
        <v>1499</v>
      </c>
      <c r="AT8" s="1462" t="s">
        <v>1499</v>
      </c>
      <c r="AU8" s="1462" t="s">
        <v>1491</v>
      </c>
      <c r="AV8" s="1462" t="s">
        <v>1492</v>
      </c>
      <c r="AW8" s="1462" t="s">
        <v>1500</v>
      </c>
      <c r="AX8" s="1462" t="s">
        <v>1501</v>
      </c>
      <c r="AY8" s="1462" t="s">
        <v>1502</v>
      </c>
      <c r="AZ8" s="1462" t="s">
        <v>1503</v>
      </c>
      <c r="BA8" s="1462" t="s">
        <v>1504</v>
      </c>
      <c r="BB8" s="1463" t="s">
        <v>1505</v>
      </c>
      <c r="BC8" s="1464" t="s">
        <v>1498</v>
      </c>
      <c r="BD8" s="1465" t="str">
        <f aca="false">Y8</f>
        <v>Vertical Stems</v>
      </c>
      <c r="BE8" s="1465" t="str">
        <f aca="false">AA8</f>
        <v>Extended Beams</v>
      </c>
      <c r="BF8" s="1465" t="s">
        <v>1491</v>
      </c>
      <c r="BG8" s="1465" t="s">
        <v>1492</v>
      </c>
      <c r="BH8" s="1465" t="s">
        <v>1500</v>
      </c>
      <c r="BI8" s="1465" t="s">
        <v>1501</v>
      </c>
      <c r="BJ8" s="1465" t="s">
        <v>1502</v>
      </c>
      <c r="BK8" s="1465" t="s">
        <v>1503</v>
      </c>
      <c r="BL8" s="1465" t="s">
        <v>1504</v>
      </c>
      <c r="BM8" s="1466" t="s">
        <v>1506</v>
      </c>
      <c r="BN8" s="1465"/>
      <c r="BO8" s="1465"/>
      <c r="BP8" s="1465"/>
      <c r="BQ8" s="1465"/>
      <c r="BR8" s="1467"/>
      <c r="BS8" s="654"/>
      <c r="BT8" s="654"/>
      <c r="BU8" s="654"/>
      <c r="BV8" s="654"/>
      <c r="BW8" s="654"/>
      <c r="BX8" s="654"/>
      <c r="BY8" s="654"/>
      <c r="BZ8" s="654"/>
      <c r="CA8" s="654"/>
      <c r="CB8" s="654"/>
      <c r="CC8" s="654"/>
      <c r="CD8" s="654"/>
      <c r="CE8" s="654"/>
      <c r="CF8" s="654"/>
      <c r="CG8" s="654"/>
      <c r="CH8" s="654"/>
      <c r="CI8" s="654"/>
      <c r="CJ8" s="654"/>
      <c r="CK8" s="654"/>
      <c r="CL8" s="654"/>
      <c r="CM8" s="1468" t="s">
        <v>1507</v>
      </c>
      <c r="CN8" s="1468"/>
      <c r="CO8" s="1468"/>
      <c r="CP8" s="1468"/>
      <c r="CQ8" s="1468"/>
      <c r="CR8" s="1468"/>
      <c r="CS8" s="1468"/>
      <c r="CT8" s="1468"/>
      <c r="CU8" s="1468"/>
      <c r="CV8" s="1468"/>
      <c r="CW8" s="1468"/>
      <c r="CX8" s="1468"/>
      <c r="CY8" s="1468"/>
      <c r="CZ8" s="1468"/>
      <c r="DA8" s="1468"/>
      <c r="DB8" s="1468"/>
      <c r="DC8" s="1468"/>
      <c r="DD8" s="1468"/>
      <c r="DE8" s="1468"/>
      <c r="DF8" s="1469"/>
      <c r="DG8" s="1469"/>
      <c r="DH8" s="1469"/>
      <c r="DI8" s="1469" t="s">
        <v>1508</v>
      </c>
      <c r="DJ8" s="1469"/>
      <c r="DK8" s="1469"/>
      <c r="DL8" s="1469"/>
      <c r="DM8" s="1469"/>
      <c r="DN8" s="1469"/>
      <c r="DO8" s="1469"/>
      <c r="DP8" s="1470"/>
      <c r="DQ8" s="1462" t="s">
        <v>1491</v>
      </c>
      <c r="DR8" s="1462" t="s">
        <v>1492</v>
      </c>
      <c r="DS8" s="1462" t="s">
        <v>1500</v>
      </c>
      <c r="DT8" s="1462" t="s">
        <v>1501</v>
      </c>
      <c r="DU8" s="1462" t="s">
        <v>1502</v>
      </c>
      <c r="DV8" s="1462" t="s">
        <v>1503</v>
      </c>
      <c r="DW8" s="1462" t="s">
        <v>1504</v>
      </c>
      <c r="DX8" s="1463" t="s">
        <v>1470</v>
      </c>
      <c r="DY8" s="1462" t="s">
        <v>1491</v>
      </c>
      <c r="DZ8" s="1462" t="s">
        <v>1492</v>
      </c>
      <c r="EA8" s="1462" t="s">
        <v>1500</v>
      </c>
      <c r="EB8" s="1462" t="s">
        <v>1501</v>
      </c>
      <c r="EC8" s="1462" t="s">
        <v>1502</v>
      </c>
      <c r="ED8" s="1462" t="s">
        <v>1503</v>
      </c>
      <c r="EE8" s="1462" t="s">
        <v>1504</v>
      </c>
      <c r="EF8" s="1463" t="s">
        <v>1509</v>
      </c>
    </row>
    <row r="9" customFormat="false" ht="19.5" hidden="false" customHeight="true" outlineLevel="0" collapsed="false">
      <c r="B9" s="1471"/>
      <c r="C9" s="1472" t="s">
        <v>1510</v>
      </c>
      <c r="D9" s="1473" t="s">
        <v>1511</v>
      </c>
      <c r="E9" s="1474"/>
      <c r="F9" s="1225"/>
      <c r="G9" s="1475" t="s">
        <v>1512</v>
      </c>
      <c r="H9" s="1476"/>
      <c r="I9" s="1477"/>
      <c r="J9" s="1225" t="s">
        <v>1513</v>
      </c>
      <c r="K9" s="1225"/>
      <c r="L9" s="1229" t="s">
        <v>1215</v>
      </c>
      <c r="M9" s="1478" t="s">
        <v>1514</v>
      </c>
      <c r="N9" s="1475" t="s">
        <v>1515</v>
      </c>
      <c r="O9" s="1475" t="s">
        <v>868</v>
      </c>
      <c r="P9" s="1479"/>
      <c r="Q9" s="1480"/>
      <c r="R9" s="1481"/>
      <c r="S9" s="1482"/>
      <c r="T9" s="1483" t="s">
        <v>1516</v>
      </c>
      <c r="U9" s="1483"/>
      <c r="V9" s="1483"/>
      <c r="W9" s="1230" t="s">
        <v>1517</v>
      </c>
      <c r="X9" s="1478" t="s">
        <v>1259</v>
      </c>
      <c r="Y9" s="1484" t="s">
        <v>1208</v>
      </c>
      <c r="Z9" s="1485" t="s">
        <v>1259</v>
      </c>
      <c r="AA9" s="1484" t="s">
        <v>1208</v>
      </c>
      <c r="AB9" s="1485" t="s">
        <v>1259</v>
      </c>
      <c r="AC9" s="1484" t="s">
        <v>1517</v>
      </c>
      <c r="AD9" s="1486" t="s">
        <v>1259</v>
      </c>
      <c r="AE9" s="1487" t="s">
        <v>1517</v>
      </c>
      <c r="AF9" s="1486" t="s">
        <v>1259</v>
      </c>
      <c r="AG9" s="1484" t="s">
        <v>1208</v>
      </c>
      <c r="AH9" s="1486" t="s">
        <v>1259</v>
      </c>
      <c r="AI9" s="1484" t="s">
        <v>1517</v>
      </c>
      <c r="AJ9" s="1486" t="s">
        <v>1259</v>
      </c>
      <c r="AK9" s="1487" t="s">
        <v>1517</v>
      </c>
      <c r="AL9" s="1486" t="s">
        <v>1259</v>
      </c>
      <c r="AM9" s="1484" t="s">
        <v>1208</v>
      </c>
      <c r="AN9" s="1486" t="s">
        <v>1259</v>
      </c>
      <c r="AO9" s="1484" t="s">
        <v>1208</v>
      </c>
      <c r="AP9" s="1486" t="s">
        <v>1259</v>
      </c>
      <c r="AQ9" s="654"/>
      <c r="AR9" s="1488"/>
      <c r="AS9" s="1489"/>
      <c r="AT9" s="1489"/>
      <c r="AU9" s="1489"/>
      <c r="AV9" s="1489"/>
      <c r="AW9" s="1489"/>
      <c r="AX9" s="1489"/>
      <c r="AY9" s="397"/>
      <c r="AZ9" s="1489"/>
      <c r="BA9" s="1489"/>
      <c r="BB9" s="1490"/>
      <c r="BC9" s="1491"/>
      <c r="BD9" s="1492"/>
      <c r="BE9" s="1492"/>
      <c r="BF9" s="1492"/>
      <c r="BG9" s="1492"/>
      <c r="BH9" s="1492"/>
      <c r="BI9" s="1492"/>
      <c r="BJ9" s="1082"/>
      <c r="BK9" s="1492"/>
      <c r="BL9" s="1492"/>
      <c r="BM9" s="1493"/>
      <c r="BN9" s="1465" t="s">
        <v>1385</v>
      </c>
      <c r="BO9" s="1465" t="s">
        <v>1518</v>
      </c>
      <c r="BP9" s="1465" t="s">
        <v>1519</v>
      </c>
      <c r="BQ9" s="1465" t="s">
        <v>1520</v>
      </c>
      <c r="BR9" s="1467" t="s">
        <v>1521</v>
      </c>
      <c r="BS9" s="1494" t="s">
        <v>1374</v>
      </c>
      <c r="BT9" s="1495" t="s">
        <v>1375</v>
      </c>
      <c r="BU9" s="1495" t="s">
        <v>1376</v>
      </c>
      <c r="BV9" s="1495" t="s">
        <v>1377</v>
      </c>
      <c r="BW9" s="1495" t="s">
        <v>1378</v>
      </c>
      <c r="BX9" s="1495" t="s">
        <v>1522</v>
      </c>
      <c r="BY9" s="1495" t="s">
        <v>1523</v>
      </c>
      <c r="BZ9" s="1495" t="s">
        <v>1524</v>
      </c>
      <c r="CA9" s="1495" t="s">
        <v>1525</v>
      </c>
      <c r="CB9" s="1496" t="s">
        <v>1526</v>
      </c>
      <c r="CC9" s="1497" t="s">
        <v>1527</v>
      </c>
      <c r="CD9" s="1497" t="s">
        <v>1528</v>
      </c>
      <c r="CE9" s="1497" t="s">
        <v>1529</v>
      </c>
      <c r="CF9" s="1497" t="s">
        <v>1530</v>
      </c>
      <c r="CG9" s="1497" t="s">
        <v>1531</v>
      </c>
      <c r="CH9" s="1497" t="s">
        <v>1532</v>
      </c>
      <c r="CI9" s="1497" t="s">
        <v>1533</v>
      </c>
      <c r="CJ9" s="1497" t="s">
        <v>1513</v>
      </c>
      <c r="CK9" s="1497" t="s">
        <v>1534</v>
      </c>
      <c r="CL9" s="1497"/>
      <c r="CM9" s="1498" t="s">
        <v>1535</v>
      </c>
      <c r="CN9" s="1492" t="s">
        <v>1384</v>
      </c>
      <c r="CO9" s="1492" t="s">
        <v>1385</v>
      </c>
      <c r="CP9" s="1499" t="s">
        <v>1536</v>
      </c>
      <c r="CQ9" s="1500" t="s">
        <v>1537</v>
      </c>
      <c r="CR9" s="1500" t="s">
        <v>1538</v>
      </c>
      <c r="CS9" s="1500" t="s">
        <v>1539</v>
      </c>
      <c r="CT9" s="1501" t="s">
        <v>1307</v>
      </c>
      <c r="CU9" s="1502" t="s">
        <v>1159</v>
      </c>
      <c r="CV9" s="1502" t="s">
        <v>1540</v>
      </c>
      <c r="CW9" s="1492" t="s">
        <v>1541</v>
      </c>
      <c r="CX9" s="1492" t="s">
        <v>976</v>
      </c>
      <c r="CY9" s="1492" t="s">
        <v>1542</v>
      </c>
      <c r="CZ9" s="1492" t="s">
        <v>1543</v>
      </c>
      <c r="DA9" s="1492" t="s">
        <v>1544</v>
      </c>
      <c r="DB9" s="1492" t="s">
        <v>1545</v>
      </c>
      <c r="DC9" s="1492" t="s">
        <v>598</v>
      </c>
      <c r="DD9" s="1492" t="s">
        <v>1513</v>
      </c>
      <c r="DE9" s="1493" t="s">
        <v>1255</v>
      </c>
      <c r="DF9" s="784" t="s">
        <v>1486</v>
      </c>
      <c r="DG9" s="1503" t="str">
        <f aca="false">Y8</f>
        <v>Vertical Stems</v>
      </c>
      <c r="DH9" s="1503" t="str">
        <f aca="false">AA8</f>
        <v>Extended Beams</v>
      </c>
      <c r="DI9" s="1503" t="s">
        <v>1546</v>
      </c>
      <c r="DJ9" s="1503" t="s">
        <v>1547</v>
      </c>
      <c r="DK9" s="1503" t="s">
        <v>1548</v>
      </c>
      <c r="DL9" s="1503" t="s">
        <v>1549</v>
      </c>
      <c r="DM9" s="1503" t="s">
        <v>1550</v>
      </c>
      <c r="DN9" s="1503" t="s">
        <v>1551</v>
      </c>
      <c r="DO9" s="1503" t="s">
        <v>1552</v>
      </c>
      <c r="DP9" s="1504" t="s">
        <v>1418</v>
      </c>
      <c r="DQ9" s="1489"/>
      <c r="DR9" s="1489"/>
      <c r="DS9" s="1489"/>
      <c r="DT9" s="1489"/>
      <c r="DU9" s="397"/>
      <c r="DV9" s="1489"/>
      <c r="DW9" s="1489"/>
      <c r="DX9" s="1490"/>
      <c r="DY9" s="1489"/>
      <c r="DZ9" s="1489"/>
      <c r="EA9" s="1489"/>
      <c r="EB9" s="1489"/>
      <c r="EC9" s="397"/>
      <c r="ED9" s="1489"/>
      <c r="EE9" s="1489"/>
      <c r="EF9" s="1490"/>
    </row>
    <row r="10" customFormat="false" ht="19.5" hidden="false" customHeight="true" outlineLevel="0" collapsed="false">
      <c r="A10" s="16" t="s">
        <v>1068</v>
      </c>
      <c r="B10" s="1505" t="s">
        <v>1553</v>
      </c>
      <c r="C10" s="1506"/>
      <c r="D10" s="1507" t="n">
        <v>2942</v>
      </c>
      <c r="E10" s="1508"/>
      <c r="F10" s="1352" t="n">
        <v>4</v>
      </c>
      <c r="G10" s="1509" t="n">
        <v>1</v>
      </c>
      <c r="H10" s="1352" t="s">
        <v>1302</v>
      </c>
      <c r="I10" s="1509" t="n">
        <v>1</v>
      </c>
      <c r="J10" s="1352" t="n">
        <v>2</v>
      </c>
      <c r="K10" s="1510" t="n">
        <v>262</v>
      </c>
      <c r="L10" s="1511"/>
      <c r="M10" s="1512"/>
      <c r="N10" s="1513"/>
      <c r="O10" s="1514"/>
      <c r="P10" s="1515" t="n">
        <f aca="false">IF(BQ10=0,0,BN10/BQ10)</f>
        <v>3482.14965571172</v>
      </c>
      <c r="Q10" s="1516" t="n">
        <f aca="false">(D10*F10/324)*(1+K$65)+BB10</f>
        <v>111.493024691358</v>
      </c>
      <c r="R10" s="1517" t="n">
        <f aca="false">IF(D10=0,0,S10/D10)</f>
        <v>13.4797264757637</v>
      </c>
      <c r="S10" s="1518" t="n">
        <f aca="false">SUM(CM10-DE10)*(1+M$45)</f>
        <v>39657.3552916969</v>
      </c>
      <c r="T10" s="1519" t="n">
        <f aca="false">CF10+CG10+CH10</f>
        <v>41</v>
      </c>
      <c r="U10" s="1520" t="n">
        <f aca="false">IF(P10-(D10*0.35)&lt;0,0,P10-(D10*0.35))</f>
        <v>2452.44965571172</v>
      </c>
      <c r="V10" s="1521" t="n">
        <f aca="false">IF(D10="",0,IF(D10/-30+Q10&lt;1,0,D10/-30+Q10))</f>
        <v>13.4263580246914</v>
      </c>
      <c r="W10" s="1511" t="n">
        <v>9</v>
      </c>
      <c r="X10" s="1522" t="n">
        <v>41</v>
      </c>
      <c r="Y10" s="1523"/>
      <c r="Z10" s="1524"/>
      <c r="AA10" s="1523"/>
      <c r="AB10" s="1524"/>
      <c r="AC10" s="1525" t="n">
        <v>1</v>
      </c>
      <c r="AD10" s="1526" t="n">
        <v>262</v>
      </c>
      <c r="AE10" s="1511" t="n">
        <v>2</v>
      </c>
      <c r="AF10" s="1527" t="n">
        <v>447</v>
      </c>
      <c r="AG10" s="1528" t="n">
        <v>3</v>
      </c>
      <c r="AH10" s="1527" t="n">
        <v>52</v>
      </c>
      <c r="AI10" s="1529"/>
      <c r="AJ10" s="1530"/>
      <c r="AK10" s="1531" t="n">
        <v>5</v>
      </c>
      <c r="AL10" s="1527" t="n">
        <v>60</v>
      </c>
      <c r="AM10" s="1523"/>
      <c r="AN10" s="1532"/>
      <c r="AO10" s="1523"/>
      <c r="AP10" s="1524"/>
      <c r="AQ10" s="1435" t="n">
        <f aca="false">D10/Q10</f>
        <v>26.3873009826779</v>
      </c>
      <c r="AR10" s="1533" t="n">
        <f aca="false">IF(W10="","",LOOKUP(W10,$B$49:$B$59,$R$49:$R$59)*X10)</f>
        <v>1.60962962962963</v>
      </c>
      <c r="AS10" s="1430" t="str">
        <f aca="false">IF(Y10="","",LOOKUP(Y10,$B$49:$B$59,$R$49:$R$59)*Z10)</f>
        <v/>
      </c>
      <c r="AT10" s="1534" t="str">
        <f aca="false">IF(AB10="","",LOOKUP(AA10,$B$49:$B$59,$R$49:$R$59)*AB10)</f>
        <v/>
      </c>
      <c r="AU10" s="1430" t="n">
        <f aca="false">IF(AC10="","",LOOKUP(AC10,$B$49:$B$59,$R$49:$R$59)*AD10)</f>
        <v>27.4291358024691</v>
      </c>
      <c r="AV10" s="1430" t="n">
        <f aca="false">IF(AE10="","",LOOKUP(AE10,$B$49:$B$59,$R$49:$R$59)*AF10)</f>
        <v>36.5601851851852</v>
      </c>
      <c r="AW10" s="1430" t="n">
        <f aca="false">IF(AG10="","",LOOKUP(AG10,$B$49:$B$59,$R$49:$R$59)*AH10)</f>
        <v>4.25308641975309</v>
      </c>
      <c r="AX10" s="1430" t="str">
        <f aca="false">IF(AI10="","",LOOKUP(AI10,$B$49:$B$59,$R$49:$R$59)*AJ10)</f>
        <v/>
      </c>
      <c r="AY10" s="1430" t="n">
        <f aca="false">IF(AK10="","",LOOKUP(AK10,$B$49:$B$59,$R$49:$R$59)*AL10)</f>
        <v>3.14074074074074</v>
      </c>
      <c r="AZ10" s="1430" t="str">
        <f aca="false">IF(AM10="","",LOOKUP(AM10,$B$49:$B$59,$R$49:$R$59)*AN10)</f>
        <v/>
      </c>
      <c r="BA10" s="1430" t="str">
        <f aca="false">IF(AO10="","",LOOKUP(AO10,$B$49:$B$59,$R$49:$R$59)*AP10)</f>
        <v/>
      </c>
      <c r="BB10" s="1535" t="n">
        <f aca="false">SUM(AR10:BA10)</f>
        <v>72.9927777777778</v>
      </c>
      <c r="BC10" s="1533" t="n">
        <f aca="false">IF(W10="","",LOOKUP(W10,$B$49:$B$59,$P$49:$P$59)*X10)</f>
        <v>239.064992667187</v>
      </c>
      <c r="BD10" s="1430" t="str">
        <f aca="false">IF(Y10="","",LOOKUP(Y10,$B$49:$B$59,$P$49:$P$59)*Z10)</f>
        <v/>
      </c>
      <c r="BE10" s="1430" t="str">
        <f aca="false">IF(AA10="","",LOOKUP(AA10,$B$49:$B$59,$P$49:$P$59)*AB10)</f>
        <v/>
      </c>
      <c r="BF10" s="1430" t="n">
        <f aca="false">IF(AC10="","",LOOKUP(AC10,$B$49:$B$59,$P$49:$P$59)*AD10)</f>
        <v>998.803326829687</v>
      </c>
      <c r="BG10" s="1430" t="n">
        <f aca="false">IF(AE10="","",LOOKUP(AE10,$B$49:$B$59,$P$49:$P$59)*AF10)</f>
        <v>1642.39299249609</v>
      </c>
      <c r="BH10" s="1430" t="n">
        <f aca="false">IF(AG10="","",LOOKUP(AG10,$B$49:$B$59,$P$49:$P$59)*AH10)</f>
        <v>346.25076646875</v>
      </c>
      <c r="BI10" s="1430" t="str">
        <f aca="false">IF(AI10="","",LOOKUP(AI10,$B$49:$B$59,$P$49:$P$59)*AJ10)</f>
        <v/>
      </c>
      <c r="BJ10" s="1430" t="n">
        <f aca="false">IF(AK10="","",LOOKUP(AK10,$B$49:$B$59,$P$49:$P$59)*AL10)</f>
        <v>255.63757725</v>
      </c>
      <c r="BK10" s="1430" t="str">
        <f aca="false">IF(AM10="","",LOOKUP(AM10,$B$49:$B$59,$P$49:$P$59)*AN10)</f>
        <v/>
      </c>
      <c r="BL10" s="1430" t="str">
        <f aca="false">IF(AO10="","",LOOKUP(AO10,$B$49:$B$59,$P$49:$P$59)*AP10)</f>
        <v/>
      </c>
      <c r="BM10" s="1535" t="n">
        <f aca="false">SUM(BC10:BL10)*BQ10</f>
        <v>3482.14965571172</v>
      </c>
      <c r="BN10" s="1536" t="n">
        <f aca="false">BM10+BO10</f>
        <v>3482.14965571172</v>
      </c>
      <c r="BO10" s="1537" t="n">
        <f aca="false">IF(M10=0,0,(M10/12+M10/12)/(M10/12*M10/12)*D10*((L10/16*L10/16)*10.6870159))*(1+K$70)*BQ10</f>
        <v>0</v>
      </c>
      <c r="BP10" s="1536" t="n">
        <f aca="false">IF(O10="Y",D10*(1+K$71)*BQ10,0)</f>
        <v>0</v>
      </c>
      <c r="BQ10" s="1538" t="n">
        <f aca="false">G10</f>
        <v>1</v>
      </c>
      <c r="BR10" s="1411" t="n">
        <f aca="false">IF(O10="y",D10,0)</f>
        <v>0</v>
      </c>
      <c r="BS10" s="1539" t="n">
        <f aca="false">IF($I10=1,$Q10,0)*BQ10</f>
        <v>111.493024691358</v>
      </c>
      <c r="BT10" s="1540" t="n">
        <f aca="false">IF($I10=2,$Q10,0)*BQ10</f>
        <v>0</v>
      </c>
      <c r="BU10" s="1540" t="n">
        <f aca="false">IF($I10=3,$Q10,0)*BQ10</f>
        <v>0</v>
      </c>
      <c r="BV10" s="1540" t="n">
        <f aca="false">IF($I10=4,$Q10,0)*BQ10</f>
        <v>0</v>
      </c>
      <c r="BW10" s="1540" t="n">
        <f aca="false">IF($I10=5,$Q10,0)*BQ10</f>
        <v>0</v>
      </c>
      <c r="BX10" s="1540" t="n">
        <f aca="false">IF($I10=6,$Q10,0)*$BQ10</f>
        <v>0</v>
      </c>
      <c r="BY10" s="1540" t="n">
        <f aca="false">IF($I10=7,$Q10,0)*$BQ10</f>
        <v>0</v>
      </c>
      <c r="BZ10" s="1540" t="n">
        <f aca="false">IF($I10=8,$Q10,0)*$BQ10</f>
        <v>0</v>
      </c>
      <c r="CA10" s="1540" t="n">
        <f aca="false">IF($I10=9,$Q10,0)*$BQ10</f>
        <v>0</v>
      </c>
      <c r="CB10" s="1541" t="n">
        <f aca="false">IF($I10=10,$Q10,0)*$BQ10</f>
        <v>0</v>
      </c>
      <c r="CC10" s="1538" t="n">
        <f aca="false">SUM(BS10:BW10)</f>
        <v>111.493024691358</v>
      </c>
      <c r="CD10" s="1538" t="n">
        <f aca="false">IF(H10="N",0,D10)*BQ10</f>
        <v>2942</v>
      </c>
      <c r="CE10" s="1538" t="n">
        <f aca="false">K10*BQ10</f>
        <v>262</v>
      </c>
      <c r="CF10" s="1542" t="n">
        <f aca="false">ROUND(IF(W10="",0,LOOKUP(W10,B$49:B$59,D$49:D$59)*X10/12),0)</f>
        <v>41</v>
      </c>
      <c r="CG10" s="1542" t="n">
        <f aca="false">ROUND(IF(Y10="",0,LOOKUP(Y10,B$49:B$59,D$49:D$59)*Z10/12),0)</f>
        <v>0</v>
      </c>
      <c r="CH10" s="1542" t="n">
        <f aca="false">ROUND(IF(AA10="",0,LOOKUP(AA10,B$49:B$59,D$49:D$59)*AB10/12),0)</f>
        <v>0</v>
      </c>
      <c r="CI10" s="1538" t="n">
        <f aca="false">D10*BQ10</f>
        <v>2942</v>
      </c>
      <c r="CJ10" s="1538" t="n">
        <f aca="false">D10*J10/324*(1+K$73)*G10</f>
        <v>18.1604938271605</v>
      </c>
      <c r="CK10" s="1538" t="str">
        <f aca="false">IF(N10="","",N10)</f>
        <v/>
      </c>
      <c r="CL10" s="1538" t="n">
        <f aca="false">P10*BQ10</f>
        <v>3482.14965571172</v>
      </c>
      <c r="CM10" s="1543" t="n">
        <f aca="false">IF(BQ10=0,0,SUM(CN10:DE10)/BQ10)</f>
        <v>34484.6567753886</v>
      </c>
      <c r="CN10" s="656" t="n">
        <f aca="false">(BS10*Pricing!F$3+BT10*Pricing!G$3+BU10*Pricing!H$3+BV10*Pricing!I$3+BW10*Pricing!J$3+BX10*Pricing!K$3+BY10*Pricing!L$3+BZ10*Pricing!M$3+CA10*Pricing!N$3+CB10*Pricing!O$3)*IF(W$44="N",(1+Y$44),1)</f>
        <v>16172.6206966049</v>
      </c>
      <c r="CO10" s="656" t="n">
        <f aca="false">BN10*G$70*IF(W$44="n",1+Y$44,1)</f>
        <v>2261.65620138476</v>
      </c>
      <c r="CP10" s="1544" t="n">
        <f aca="false">C10*D10</f>
        <v>0</v>
      </c>
      <c r="CQ10" s="656" t="n">
        <f aca="false">IF(I$79=0,0,D10*(SUM(O$79:P$82)+O$85)/I$79*BQ10)</f>
        <v>5442.7</v>
      </c>
      <c r="CR10" s="656" t="n">
        <f aca="false">IF(CF10="",0,CF10*E$83)+IF(CG10="",0,CG10*E$83)+IF(CH10="",0,CH10*E$83)</f>
        <v>328</v>
      </c>
      <c r="CS10" s="656"/>
      <c r="CT10" s="1545" t="n">
        <f aca="false">(U10/2000)*E$87</f>
        <v>490.489931142344</v>
      </c>
      <c r="CU10" s="656" t="n">
        <f aca="false">IF(I$79=0,0,D10*(O$88)/I$79*BQ10)</f>
        <v>0</v>
      </c>
      <c r="CV10" s="656" t="n">
        <f aca="false">IF(D$42=0,0,SUM(O$91:P$94)/D$42*D10)*BQ10</f>
        <v>933.165625</v>
      </c>
      <c r="CW10" s="656" t="n">
        <f aca="false">IF(D$42=0,0,SUM(Z$66:Z$97)/D$42*D10*BQ10)</f>
        <v>2356.06440273497</v>
      </c>
      <c r="CX10" s="656" t="n">
        <f aca="false">IF(D$42=0,0,SUM(O$96:P$101)/D$42*D10)*BQ10</f>
        <v>1449.31832820496</v>
      </c>
      <c r="CY10" s="656" t="n">
        <f aca="false">IF(D$42=0,0,SUM(O$103:O$109)/D$42)*D10*BQ10</f>
        <v>1654.9428394609</v>
      </c>
      <c r="CZ10" s="656" t="n">
        <f aca="false">IF(I$79=0,0,IF(I$79=0,0,SUM(Z$98:Z$109)/I$79*D10))</f>
        <v>197.222636658226</v>
      </c>
      <c r="DA10" s="656" t="n">
        <f aca="false">IF(J$72&gt;0,J$72/D$42*D10*G10,CD10*(G$72*IF(W$44="n",(1+Y$44),1)))</f>
        <v>2707.00775</v>
      </c>
      <c r="DB10" s="656" t="n">
        <f aca="false">IF(CK10="",0,CK10*E$86)</f>
        <v>0</v>
      </c>
      <c r="DC10" s="656" t="n">
        <f aca="false">BP10*G$71*IF(W$44="Y",1,1+Y$44)</f>
        <v>0</v>
      </c>
      <c r="DD10" s="656" t="n">
        <f aca="false">CJ10*G$73*IF(W$44="Y",1,1+Y$44)</f>
        <v>491.468364197531</v>
      </c>
      <c r="DE10" s="1546" t="n">
        <f aca="false">O$110/I$79*D10</f>
        <v>0</v>
      </c>
      <c r="DF10" s="1547" t="n">
        <f aca="false">IF(W10=1,X10*$AS$49,0)+IF(W10=2,X10*$AS$50,0)+IF(W10=3,X10*$AS$51,0)+IF(W10=4,X10*$AS$52,0)+IF(W10=5,X10*$AS$53,0)+IF(W10=6,X10*$AS$54)+IF(W10=7,X10*$AS$55)+IF(W10=8,X10*$AS$56)+IF(W10=9,X10*$AS$57)+IF(W10=10,X10*$AS$58)+IF(W10=11,X10*$AS$59,0)</f>
        <v>82</v>
      </c>
      <c r="DG10" s="1547" t="n">
        <f aca="false">IF(Y10=1,Z10*$AS$49,0)+IF(Y10=2,Z10*$AS$50,0)+IF(Y10=3,Z10*$AS$51,0)+IF(Y10=4,Z10*$AS$52,0)+IF(Y10=5,Z10*$AS$53,0)+IF(Y10=6,Z10*$AS$54)+IF(Y10=7,Z10*$AS$55)+IF(Y10=8,Z10*$AS$56)+IF(Y10=9,Z10*$AS$57)+IF(Y10=10,Z10*$AS$58)+IF(Y10=11,Z10*$AS$59,0)</f>
        <v>0</v>
      </c>
      <c r="DH10" s="1547" t="n">
        <f aca="false">IF(AA10=1,AB10*$AS$49,0)+IF(AA10=2,AB10*$AS$50,0)+IF(AA10=3,AB10*$AS$51,0)+IF(AA10=4,AB10*$AS$52,0)+IF(AA10=5,AB10*$AS$53,0)+IF(AA10=6,AB10*$AS$54)+IF(AA10=7,AB10*$AS$55)+IF(AA10=8,AB10*$AS$56)+IF(AA10=9,AB10*$AS$57)+IF(AA10=10,AB10*$AS$58)+IF(AA10=11,AB10*$AS$59,0)</f>
        <v>0</v>
      </c>
      <c r="DI10" s="1547" t="n">
        <f aca="false">IF(AC10=1,AD10*$AS$49,0)+IF(AC10=2,AD10*$AS$50,0)+IF(AC10=3,AD10*$AS$51,0)+IF(AC10=4,AD10*$AS$52,0)+IF(AC10=5,AD10*$AS$53,0)+IF(AC10=6,AD10*$AS$54)+IF(AC10=7,AD10*$AS$55)+IF(AC10=8,AD10*$AS$56)+IF(AC10=9,AD10*$AS$57)+IF(AC10=10,AD10*$AS$58)+IF(AC10=11,AD10*$AS$59,0)</f>
        <v>1397.33333333333</v>
      </c>
      <c r="DJ10" s="1547" t="n">
        <f aca="false">IF(AE10=1,AF10*$AS$49,0)+IF(AE10=2,AF10*$AS$50,0)+IF(AE10=3,AF10*$AS$51,0)+IF(AE10=4,AF10*$AS$52,0)+IF(AE10=5,AF10*$AS$53,0)+IF(AE10=6,AF10*$AS$54)+IF(AE10=7,AF10*$AS$55)+IF(AE10=8,AF10*$AS$56)+IF(AE10=9,AF10*$AS$57)+IF(AE10=10,AF10*$AS$58)+IF(AE10=11,AF10*$AS$59,0)</f>
        <v>2235</v>
      </c>
      <c r="DK10" s="1547" t="n">
        <f aca="false">IF(AG10=1,AH10*$AS$49,0)+IF(AG10=2,AH10*$AS$50,0)+IF(AG10=3,AH10*$AS$51,0)+IF(AG10=4,AH10*$AS$52,0)+IF(AG10=5,AH10*$AS$53,0)+IF(AG10=6,AH10*$AS$54)+IF(AG10=7,AH10*$AS$55)+IF(AG10=8,AH10*$AS$56)+IF(AG10=9,AH10*$AS$57)+IF(AG10=10,AH10*$AS$58)+IF(AG10=11,AH10*$AS$59,0)</f>
        <v>260</v>
      </c>
      <c r="DL10" s="1547" t="n">
        <f aca="false">IF(AI10=1,AJ10*$AS$49,0)+IF(AI10=2,AJ10*$AS$50,0)+IF(AI10=3,AJ10*$AS$51,0)+IF(AI10=4,AJ10*$AS$52,0)+IF(AI10=5,AJ10*$AS$53,0)+IF(AI10=6,AJ10*$AS$54)+IF(AI10=7,AJ10*$AS$55)+IF(AI10=8,AJ10*$AS$56)+IF(AI10=9,AJ10*$AS$57)+IF(AI10=10,AJ10*$AS$58)+IF(AI10=11,AJ10*$AS$59,0)</f>
        <v>0</v>
      </c>
      <c r="DM10" s="1547" t="n">
        <f aca="false">IF(AK10=1,AL10*$AS$49,0)+IF(AK10=2,AL10*$AS$50,0)+IF(AK10=3,AL10*$AS$51,0)+IF(AK10=4,AL10*$AS$52,0)+IF(AK10=5,AL10*$AS$53,0)+IF(AK10=6,AL10*$AS$54)+IF(AK10=7,AL10*$AS$55)+IF(AK10=8,AL10*$AS$56)+IF(AK10=9,AL10*$AS$57)+IF(AK10=10,AL10*$AS$58)+IF(AK10=11,AL10*$AS$59,0)</f>
        <v>320</v>
      </c>
      <c r="DN10" s="1547" t="n">
        <f aca="false">IF(AM10=1,AN10*$AS$49,0)+IF(AM10=2,AN10*$AS$50,0)+IF(AM10=3,AN10*$AS$51,0)+IF(AM10=4,AN10*$AS$52,0)+IF(AM10=5,AN10*$AS$53,0)+IF(AM10=6,AN10*$AS$54)+IF(AM10=7,AN10*$AS$55)+IF(AM10=8,AN10*$AS$56)+IF(AM10=9,AN10*$AS$57)+IF(AM10=10,AN10*$AS$58)+IF(AM10=11,AN10*$AS$59,0)</f>
        <v>0</v>
      </c>
      <c r="DO10" s="1547" t="n">
        <f aca="false">IF(AO10=1,AP10*$AS$49,0)+IF(AO10=2,AP10*$AS$50,0)+IF(AO10=3,AP10*$AS$51,0)+IF(AO10=4,AP10*$AS$52,0)+IF(AO10=5,AP10*$AS$53,0)+IF(AO10=6,AP10*$AS$54)+IF(AO10=7,AP10*$AS$55)+IF(AO10=8,AP10*$AS$56)+IF(AO10=9,AP10*$AS$57)+IF(AO10=10,AP10*$AS$58)+IF(AO10=11,AP10*$AS$59,0)</f>
        <v>0</v>
      </c>
      <c r="DP10" s="1548" t="n">
        <f aca="false">D10</f>
        <v>2942</v>
      </c>
      <c r="DQ10" s="1430" t="n">
        <f aca="false">IF(AC10="","",LOOKUP(AC10,$B$49:$B$59,$S$49:$S$59)*AD10)</f>
        <v>17.7901234567901</v>
      </c>
      <c r="DR10" s="1430" t="n">
        <f aca="false">IF(AE10="","",LOOKUP(AE10,$B$49:$B$59,$S$49:$S$59)*AF10)</f>
        <v>22.9938271604938</v>
      </c>
      <c r="DS10" s="1430" t="n">
        <f aca="false">IF(AG10="","",LOOKUP(AG10,$B$49:$B$59,$S$49:$S$59)*AH10)</f>
        <v>2.67489711934156</v>
      </c>
      <c r="DT10" s="1430" t="str">
        <f aca="false">IF(AI10="","",LOOKUP(AI10,$B$49:$B$59,$S$49:$S$59)*AJ10)</f>
        <v/>
      </c>
      <c r="DU10" s="1430" t="n">
        <f aca="false">IF(AK10="","",LOOKUP(AK10,$B$49:$B$59,$S$49:$S$59)*AL10)</f>
        <v>2.03703703703704</v>
      </c>
      <c r="DV10" s="1430" t="str">
        <f aca="false">IF(AM10="","",LOOKUP(AM10,$B$49:$B$59,$S$49:$S$59)*AN10)</f>
        <v/>
      </c>
      <c r="DW10" s="1430" t="str">
        <f aca="false">IF(AO10="","",LOOKUP(AO10,$B$49:$B$59,$S$49:$S$59)*AP10)</f>
        <v/>
      </c>
      <c r="DX10" s="1535" t="n">
        <f aca="false">SUM(DQ10:DW10)-(D10-EF10)*(S$45-F10)/324</f>
        <v>4.1224279835391</v>
      </c>
      <c r="DY10" s="1430" t="n">
        <f aca="false">IF(AC10="","",LOOKUP(AC10,$B$49:$B$59,$T$49:$T$59)*AD10)</f>
        <v>262</v>
      </c>
      <c r="DZ10" s="1430" t="n">
        <f aca="false">IF(AE10="","",LOOKUP(AE10,$B$49:$B$59,$T$49:$T$59)*AF10)</f>
        <v>372.5</v>
      </c>
      <c r="EA10" s="1430" t="n">
        <f aca="false">IF(AG10="","",LOOKUP(AG10,$B$49:$B$59,$T$49:$T$59)*AH10)</f>
        <v>43.3333333333333</v>
      </c>
      <c r="EB10" s="1430" t="str">
        <f aca="false">IF(AI10="","",LOOKUP(AI10,$B$49:$B$59,$T$49:$T$59)*AJ10)</f>
        <v/>
      </c>
      <c r="EC10" s="1430" t="n">
        <f aca="false">IF(AK10="","",LOOKUP(AK10,$B$49:$B$59,$T$49:$T$59)*AL10)</f>
        <v>30</v>
      </c>
      <c r="ED10" s="1430" t="str">
        <f aca="false">IF(AM10="","",LOOKUP(AM10,$B$49:$B$59,$T$49:$T$59)*AN10)</f>
        <v/>
      </c>
      <c r="EE10" s="1430" t="str">
        <f aca="false">IF(AO10="","",LOOKUP(AO10,$B$49:$B$59,$T$49:$T$59)*AP10)</f>
        <v/>
      </c>
      <c r="EF10" s="1535" t="n">
        <f aca="false">SUM(DY10:EE10)</f>
        <v>707.833333333333</v>
      </c>
    </row>
    <row r="11" customFormat="false" ht="19.5" hidden="false" customHeight="true" outlineLevel="0" collapsed="false">
      <c r="A11" s="16" t="s">
        <v>1069</v>
      </c>
      <c r="B11" s="1549" t="s">
        <v>1554</v>
      </c>
      <c r="C11" s="1550"/>
      <c r="D11" s="1551" t="n">
        <v>3992</v>
      </c>
      <c r="E11" s="1552"/>
      <c r="F11" s="1074" t="n">
        <v>4</v>
      </c>
      <c r="G11" s="1553" t="n">
        <v>1</v>
      </c>
      <c r="H11" s="1074" t="s">
        <v>1302</v>
      </c>
      <c r="I11" s="1553" t="n">
        <v>1</v>
      </c>
      <c r="J11" s="1074" t="n">
        <v>2</v>
      </c>
      <c r="K11" s="1554" t="n">
        <v>296</v>
      </c>
      <c r="L11" s="1555"/>
      <c r="M11" s="1556"/>
      <c r="N11" s="1557"/>
      <c r="O11" s="1558"/>
      <c r="P11" s="1515" t="n">
        <f aca="false">IF(BQ11=0,0,BN11/BQ11)</f>
        <v>3793.15882030078</v>
      </c>
      <c r="Q11" s="1516" t="n">
        <f aca="false">(D11*F11/324)*(1+K$65)+BB11</f>
        <v>139.020308641975</v>
      </c>
      <c r="R11" s="1517" t="n">
        <f aca="false">IF(D11=0,0,S11/D11)</f>
        <v>12.6109921242937</v>
      </c>
      <c r="S11" s="1518" t="n">
        <f aca="false">SUM(CM11-DE11)*(1+M$45)</f>
        <v>50343.0805601806</v>
      </c>
      <c r="T11" s="1519" t="n">
        <f aca="false">CF11+CG11+CH11</f>
        <v>0</v>
      </c>
      <c r="U11" s="1520" t="n">
        <f aca="false">IF(P11-(D11*0.35)&lt;0,0,P11-(D11*0.35))</f>
        <v>2395.95882030078</v>
      </c>
      <c r="V11" s="1521" t="n">
        <f aca="false">IF(D11="",0,IF(D11/-30+Q11&lt;1,0,D11/-30+Q11))</f>
        <v>5.95364197530864</v>
      </c>
      <c r="W11" s="1559" t="n">
        <v>9</v>
      </c>
      <c r="X11" s="1560"/>
      <c r="Y11" s="1559"/>
      <c r="Z11" s="1561"/>
      <c r="AA11" s="1559"/>
      <c r="AB11" s="1561"/>
      <c r="AC11" s="1562" t="n">
        <v>1</v>
      </c>
      <c r="AD11" s="1560" t="n">
        <v>296</v>
      </c>
      <c r="AE11" s="1559" t="n">
        <v>2</v>
      </c>
      <c r="AF11" s="1563" t="n">
        <v>629</v>
      </c>
      <c r="AG11" s="1564" t="n">
        <v>3</v>
      </c>
      <c r="AH11" s="1563"/>
      <c r="AI11" s="1565"/>
      <c r="AJ11" s="1560"/>
      <c r="AK11" s="1565" t="n">
        <v>5</v>
      </c>
      <c r="AL11" s="1563" t="n">
        <v>83</v>
      </c>
      <c r="AM11" s="1559"/>
      <c r="AN11" s="1566"/>
      <c r="AO11" s="1559"/>
      <c r="AP11" s="1561"/>
      <c r="AQ11" s="1435" t="n">
        <f aca="false">D11/Q11</f>
        <v>28.7152290121925</v>
      </c>
      <c r="AR11" s="1533" t="n">
        <f aca="false">IF(W11="","",LOOKUP(W11,$B$49:$B$59,$R$49:$R$59)*X11)</f>
        <v>0</v>
      </c>
      <c r="AS11" s="1430" t="str">
        <f aca="false">IF(Y11="","",LOOKUP(Y11,$B$49:$B$59,$R$49:$R$59)*Z11)</f>
        <v/>
      </c>
      <c r="AT11" s="1430" t="str">
        <f aca="false">IF(AB11="","",LOOKUP(AA11,$B$49:$B$59,$R$49:$R$59)*AB11)</f>
        <v/>
      </c>
      <c r="AU11" s="1430" t="n">
        <f aca="false">IF(AC11="","",LOOKUP(AC11,$B$49:$B$59,$R$49:$R$59)*AD11)</f>
        <v>30.9886419753086</v>
      </c>
      <c r="AV11" s="1430" t="n">
        <f aca="false">IF(AE11="","",LOOKUP(AE11,$B$49:$B$59,$R$49:$R$59)*AF11)</f>
        <v>51.445987654321</v>
      </c>
      <c r="AW11" s="1430" t="n">
        <f aca="false">IF(AG11="","",LOOKUP(AG11,$B$49:$B$59,$R$49:$R$59)*AH11)</f>
        <v>0</v>
      </c>
      <c r="AX11" s="1430" t="str">
        <f aca="false">IF(AI11="","",LOOKUP(AI11,$B$49:$B$59,$R$49:$R$59)*AJ11)</f>
        <v/>
      </c>
      <c r="AY11" s="1430" t="n">
        <f aca="false">IF(AK11="","",LOOKUP(AK11,$B$49:$B$59,$R$49:$R$59)*AL11)</f>
        <v>4.34469135802469</v>
      </c>
      <c r="AZ11" s="1430" t="str">
        <f aca="false">IF(AM11="","",LOOKUP(AM11,$B$49:$B$59,$R$49:$R$59)*AN11)</f>
        <v/>
      </c>
      <c r="BA11" s="1430" t="str">
        <f aca="false">IF(AO11="","",LOOKUP(AO11,$B$49:$B$59,$R$49:$R$59)*AP11)</f>
        <v/>
      </c>
      <c r="BB11" s="1535" t="n">
        <f aca="false">SUM(AR11:BA11)</f>
        <v>86.7793209876543</v>
      </c>
      <c r="BC11" s="1533" t="n">
        <f aca="false">IF(W11="","",LOOKUP(W11,$B$49:$B$59,$P$49:$P$59)*X11)</f>
        <v>0</v>
      </c>
      <c r="BD11" s="1430" t="str">
        <f aca="false">IF(Y11="","",LOOKUP(Y11,$B$49:$B$59,$P$49:$P$59)*Z11)</f>
        <v/>
      </c>
      <c r="BE11" s="1430" t="str">
        <f aca="false">IF(AA11="","",LOOKUP(AA11,$B$49:$B$59,$P$49:$P$59)*AB11)</f>
        <v/>
      </c>
      <c r="BF11" s="1430" t="n">
        <f aca="false">IF(AC11="","",LOOKUP(AC11,$B$49:$B$59,$P$49:$P$59)*AD11)</f>
        <v>1128.41902573125</v>
      </c>
      <c r="BG11" s="1430" t="n">
        <f aca="false">IF(AE11="","",LOOKUP(AE11,$B$49:$B$59,$P$49:$P$59)*AF11)</f>
        <v>2311.10781270703</v>
      </c>
      <c r="BH11" s="1430" t="n">
        <f aca="false">IF(AG11="","",LOOKUP(AG11,$B$49:$B$59,$P$49:$P$59)*AH11)</f>
        <v>0</v>
      </c>
      <c r="BI11" s="1430" t="str">
        <f aca="false">IF(AI11="","",LOOKUP(AI11,$B$49:$B$59,$P$49:$P$59)*AJ11)</f>
        <v/>
      </c>
      <c r="BJ11" s="1430" t="n">
        <f aca="false">IF(AK11="","",LOOKUP(AK11,$B$49:$B$59,$P$49:$P$59)*AL11)</f>
        <v>353.6319818625</v>
      </c>
      <c r="BK11" s="1430" t="str">
        <f aca="false">IF(AM11="","",LOOKUP(AM11,$B$49:$B$59,$P$49:$P$59)*AN11)</f>
        <v/>
      </c>
      <c r="BL11" s="1430" t="str">
        <f aca="false">IF(AO11="","",LOOKUP(AO11,$B$49:$B$59,$P$49:$P$59)*AP11)</f>
        <v/>
      </c>
      <c r="BM11" s="1535" t="n">
        <f aca="false">SUM(BC11:BL11)*BQ11</f>
        <v>3793.15882030078</v>
      </c>
      <c r="BN11" s="1536" t="n">
        <f aca="false">BM11+BO11</f>
        <v>3793.15882030078</v>
      </c>
      <c r="BO11" s="1536" t="n">
        <f aca="false">IF(M11=0,0,(M11/12+M11/12)/(M11/12*M11/12)*D11*((L11/16*L11/16)*10.6870159))*(1+K$70)*BQ11</f>
        <v>0</v>
      </c>
      <c r="BP11" s="1536" t="n">
        <f aca="false">IF(O11="Y",D11*(1+K$71)*BQ11,0)</f>
        <v>0</v>
      </c>
      <c r="BQ11" s="1538" t="n">
        <f aca="false">G11</f>
        <v>1</v>
      </c>
      <c r="BR11" s="1411" t="n">
        <f aca="false">IF(O11="y",D11,0)</f>
        <v>0</v>
      </c>
      <c r="BS11" s="1567" t="n">
        <f aca="false">IF($I11=1,$Q11,0)*BQ11</f>
        <v>139.020308641975</v>
      </c>
      <c r="BT11" s="1536" t="n">
        <f aca="false">IF($I11=2,$Q11,0)*BQ11</f>
        <v>0</v>
      </c>
      <c r="BU11" s="1536" t="n">
        <f aca="false">IF($I11=3,$Q11,0)*BQ11</f>
        <v>0</v>
      </c>
      <c r="BV11" s="1536" t="n">
        <f aca="false">IF($I11=4,$Q11,0)*BQ11</f>
        <v>0</v>
      </c>
      <c r="BW11" s="1536" t="n">
        <f aca="false">IF($I11=5,$Q11,0)*BQ11</f>
        <v>0</v>
      </c>
      <c r="BX11" s="1536" t="n">
        <f aca="false">IF($I11=6,$Q11,0)*$BQ11</f>
        <v>0</v>
      </c>
      <c r="BY11" s="1536" t="n">
        <f aca="false">IF($I11=7,$Q11,0)*$BQ11</f>
        <v>0</v>
      </c>
      <c r="BZ11" s="1536" t="n">
        <f aca="false">IF($I11=8,$Q11,0)*$BQ11</f>
        <v>0</v>
      </c>
      <c r="CA11" s="1536" t="n">
        <f aca="false">IF($I11=9,$Q11,0)*$BQ11</f>
        <v>0</v>
      </c>
      <c r="CB11" s="1568" t="n">
        <f aca="false">IF($I11=10,$Q11,0)*$BQ11</f>
        <v>0</v>
      </c>
      <c r="CC11" s="1538" t="n">
        <f aca="false">SUM(BS11:BX11)</f>
        <v>139.020308641975</v>
      </c>
      <c r="CD11" s="1538" t="n">
        <f aca="false">IF(H11="N",0,D11)*BQ11</f>
        <v>3992</v>
      </c>
      <c r="CE11" s="1538" t="n">
        <f aca="false">K11*BQ11</f>
        <v>296</v>
      </c>
      <c r="CF11" s="1542" t="n">
        <f aca="false">ROUND(IF(W11="",0,LOOKUP(W11,B$49:B$59,D$49:D$59)*X11/12),0)</f>
        <v>0</v>
      </c>
      <c r="CG11" s="1542" t="n">
        <f aca="false">ROUND(IF(Y11="",0,LOOKUP(Y11,B$49:B$59,D$49:D$59)*Z11/12),0)</f>
        <v>0</v>
      </c>
      <c r="CH11" s="1542" t="n">
        <f aca="false">ROUND(IF(AA11="",0,LOOKUP(AA11,B$49:B$59,D$49:D$59)*AB11/12),0)</f>
        <v>0</v>
      </c>
      <c r="CI11" s="1538" t="n">
        <f aca="false">D11*BQ11</f>
        <v>3992</v>
      </c>
      <c r="CJ11" s="1538" t="n">
        <f aca="false">D11*J11/324*(1+K$73)*G11</f>
        <v>24.641975308642</v>
      </c>
      <c r="CK11" s="1538" t="str">
        <f aca="false">IF(N11="","",N11)</f>
        <v/>
      </c>
      <c r="CL11" s="1538" t="n">
        <f aca="false">P11*BQ11</f>
        <v>3793.15882030078</v>
      </c>
      <c r="CM11" s="1543" t="n">
        <f aca="false">IF(BQ11=0,0,SUM(CN11:DE11)/BQ11)</f>
        <v>43776.5917914614</v>
      </c>
      <c r="CN11" s="656" t="n">
        <f aca="false">(BS11*Pricing!F$3+BT11*Pricing!G$3+BU11*Pricing!H$3+BV11*Pricing!I$3+BW11*Pricing!J$3+BX11*Pricing!K$3+BY11*Pricing!L$3+BZ11*Pricing!M$3+CA11*Pricing!N$3+CB11*Pricing!O$3)*IF(W$44="N",(1+Y$44),1)</f>
        <v>20165.5908700617</v>
      </c>
      <c r="CO11" s="656" t="n">
        <f aca="false">BN11*G$70*IF(W$44="n",1+Y$44,1)</f>
        <v>2463.65665378536</v>
      </c>
      <c r="CP11" s="1544" t="n">
        <f aca="false">C11*D11</f>
        <v>0</v>
      </c>
      <c r="CQ11" s="656" t="n">
        <f aca="false">IF(I$79=0,0,D11*(SUM(O$79:P$82)+O$85)/I$79*BQ11)</f>
        <v>7385.2</v>
      </c>
      <c r="CR11" s="656" t="n">
        <f aca="false">IF(CF11="",0,CF11*E$83)+IF(CG11="",0,CG11*E$83)+IF(CH11="",0,CH11*E$83)</f>
        <v>0</v>
      </c>
      <c r="CS11" s="656"/>
      <c r="CT11" s="1545" t="n">
        <f aca="false">(U11/2000)*E$87</f>
        <v>479.191764060156</v>
      </c>
      <c r="CU11" s="656" t="n">
        <f aca="false">IF(I$79=0,0,D11*(O$88)/I$79*BQ11)</f>
        <v>0</v>
      </c>
      <c r="CV11" s="656" t="n">
        <f aca="false">IF(D$42=0,0,SUM(O$91:P$94)/D$42*D11)*BQ11</f>
        <v>1266.2125</v>
      </c>
      <c r="CW11" s="656" t="n">
        <f aca="false">IF(D$42=0,0,SUM(Z$66:Z$97)/D$42*D11*BQ11)</f>
        <v>3196.94394823861</v>
      </c>
      <c r="CX11" s="656" t="n">
        <f aca="false">IF(D$42=0,0,SUM(O$96:P$101)/D$42*D11)*BQ11</f>
        <v>1966.58013806738</v>
      </c>
      <c r="CY11" s="656" t="n">
        <f aca="false">IF(D$42=0,0,SUM(O$103:O$109)/D$42)*D11*BQ11</f>
        <v>2245.59205136911</v>
      </c>
      <c r="CZ11" s="656" t="n">
        <f aca="false">IF(I$79=0,0,IF(I$79=0,0,SUM(Z$98:Z$109)/I$79*D11))</f>
        <v>267.611409088933</v>
      </c>
      <c r="DA11" s="656" t="n">
        <f aca="false">IF(J$72&gt;0,J$72/D$42*D11*G11,CD11*(G$72*IF(W$44="n",(1+Y$44),1)))</f>
        <v>3673.139</v>
      </c>
      <c r="DB11" s="656" t="n">
        <f aca="false">IF(CK11="",0,CK11*E$86)</f>
        <v>0</v>
      </c>
      <c r="DC11" s="656" t="n">
        <f aca="false">BP11*G$71*IF(W$44="Y",1,1+Y$44)</f>
        <v>0</v>
      </c>
      <c r="DD11" s="656" t="n">
        <f aca="false">CJ11*G$73*IF(W$44="Y",1,1+Y$44)</f>
        <v>666.873456790124</v>
      </c>
      <c r="DE11" s="1546" t="n">
        <f aca="false">O$110/I$79*D11</f>
        <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1578.66666666667</v>
      </c>
      <c r="DJ11" s="654" t="n">
        <f aca="false">IF(AE11=1,AF11*$AS$49,0)+IF(AE11=2,AF11*$AS$50,0)+IF(AE11=3,AF11*$AS$51,0)+IF(AE11=4,AF11*$AS$52,0)+IF(AE11=5,AF11*$AS$53,0)+IF(AE11=6,AF11*$AS$54)+IF(AE11=7,AF11*$AS$55)+IF(AE11=8,AF11*$AS$56)+IF(AE11=9,AF11*$AS$57)+IF(AE11=10,AF11*$AS$58)+IF(AE11=11,AF11*$AS$59,0)</f>
        <v>3145</v>
      </c>
      <c r="DK11" s="654" t="n">
        <f aca="false">IF(AG11=1,AH11*$AS$49,0)+IF(AG11=2,AH11*$AS$50,0)+IF(AG11=3,AH11*$AS$51,0)+IF(AG11=4,AH11*$AS$52,0)+IF(AG11=5,AH11*$AS$53,0)+IF(AG11=6,AH11*$AS$54)+IF(AG11=7,AH11*$AS$55)+IF(AG11=8,AH11*$AS$56)+IF(AG11=9,AH11*$AS$57)+IF(AG11=10,AH11*$AS$58)+IF(AG11=11,AH11*$AS$59,0)</f>
        <v>0</v>
      </c>
      <c r="DL11" s="654" t="n">
        <f aca="false">IF(AI11=1,AJ11*$AS$49,0)+IF(AI11=2,AJ11*$AS$50,0)+IF(AI11=3,AJ11*$AS$51,0)+IF(AI11=4,AJ11*$AS$52,0)+IF(AI11=5,AJ11*$AS$53,0)+IF(AI11=6,AJ11*$AS$54)+IF(AI11=7,AJ11*$AS$55)+IF(AI11=8,AJ11*$AS$56)+IF(AI11=9,AJ11*$AS$57)+IF(AI11=10,AJ11*$AS$58)+IF(AI11=11,AJ11*$AS$59,0)</f>
        <v>0</v>
      </c>
      <c r="DM11" s="654" t="n">
        <f aca="false">IF(AK11=1,AL11*$AS$49,0)+IF(AK11=2,AL11*$AS$50,0)+IF(AK11=3,AL11*$AS$51,0)+IF(AK11=4,AL11*$AS$52,0)+IF(AK11=5,AL11*$AS$53,0)+IF(AK11=6,AL11*$AS$54)+IF(AK11=7,AL11*$AS$55)+IF(AK11=8,AL11*$AS$56)+IF(AK11=9,AL11*$AS$57)+IF(AK11=10,AL11*$AS$58)+IF(AK11=11,AL11*$AS$59,0)</f>
        <v>442.666666666667</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569" t="n">
        <f aca="false">D11</f>
        <v>3992</v>
      </c>
      <c r="DQ11" s="1430" t="n">
        <f aca="false">IF(AC11="","",LOOKUP(AC11,$B$49:$B$59,$S$49:$S$59)*AD11)</f>
        <v>20.0987654320988</v>
      </c>
      <c r="DR11" s="1430" t="n">
        <f aca="false">IF(AE11="","",LOOKUP(AE11,$B$49:$B$59,$S$49:$S$59)*AF11)</f>
        <v>32.3559670781893</v>
      </c>
      <c r="DS11" s="1430" t="n">
        <f aca="false">IF(AG11="","",LOOKUP(AG11,$B$49:$B$59,$S$49:$S$59)*AH11)</f>
        <v>0</v>
      </c>
      <c r="DT11" s="1430" t="str">
        <f aca="false">IF(AI11="","",LOOKUP(AI11,$B$49:$B$59,$S$49:$S$59)*AJ11)</f>
        <v/>
      </c>
      <c r="DU11" s="1430" t="n">
        <f aca="false">IF(AK11="","",LOOKUP(AK11,$B$49:$B$59,$S$49:$S$59)*AL11)</f>
        <v>2.8179012345679</v>
      </c>
      <c r="DV11" s="1430" t="str">
        <f aca="false">IF(AM11="","",LOOKUP(AM11,$B$49:$B$59,$S$49:$S$59)*AN11)</f>
        <v/>
      </c>
      <c r="DW11" s="1430" t="str">
        <f aca="false">IF(AO11="","",LOOKUP(AO11,$B$49:$B$59,$S$49:$S$59)*AP11)</f>
        <v/>
      </c>
      <c r="DX11" s="1535" t="n">
        <f aca="false">SUM(DQ11:DW11)-(D11-EF11)*(S$45-F11)/324</f>
        <v>-2.69650205761317</v>
      </c>
      <c r="DY11" s="1430" t="n">
        <f aca="false">IF(AC11="","",LOOKUP(AC11,$B$49:$B$59,$T$49:$T$59)*AD11)</f>
        <v>296</v>
      </c>
      <c r="DZ11" s="1430" t="n">
        <f aca="false">IF(AE11="","",LOOKUP(AE11,$B$49:$B$59,$T$49:$T$59)*AF11)</f>
        <v>524.166666666667</v>
      </c>
      <c r="EA11" s="1430" t="n">
        <f aca="false">IF(AG11="","",LOOKUP(AG11,$B$49:$B$59,$T$49:$T$59)*AH11)</f>
        <v>0</v>
      </c>
      <c r="EB11" s="1430" t="str">
        <f aca="false">IF(AI11="","",LOOKUP(AI11,$B$49:$B$59,$T$49:$T$59)*AJ11)</f>
        <v/>
      </c>
      <c r="EC11" s="1430" t="n">
        <f aca="false">IF(AK11="","",LOOKUP(AK11,$B$49:$B$59,$T$49:$T$59)*AL11)</f>
        <v>41.5</v>
      </c>
      <c r="ED11" s="1430" t="str">
        <f aca="false">IF(AM11="","",LOOKUP(AM11,$B$49:$B$59,$T$49:$T$59)*AN11)</f>
        <v/>
      </c>
      <c r="EE11" s="1430" t="str">
        <f aca="false">IF(AO11="","",LOOKUP(AO11,$B$49:$B$59,$T$49:$T$59)*AP11)</f>
        <v/>
      </c>
      <c r="EF11" s="1535" t="n">
        <f aca="false">SUM(DY11:EE11)</f>
        <v>861.666666666667</v>
      </c>
    </row>
    <row r="12" customFormat="false" ht="19.5" hidden="false" customHeight="true" outlineLevel="0" collapsed="false">
      <c r="A12" s="16" t="s">
        <v>1070</v>
      </c>
      <c r="B12" s="1505" t="s">
        <v>1555</v>
      </c>
      <c r="C12" s="1550"/>
      <c r="D12" s="1507" t="n">
        <v>5805</v>
      </c>
      <c r="E12" s="1508"/>
      <c r="F12" s="1074" t="n">
        <v>4</v>
      </c>
      <c r="G12" s="1553" t="n">
        <v>1</v>
      </c>
      <c r="H12" s="1074" t="s">
        <v>1302</v>
      </c>
      <c r="I12" s="1553" t="n">
        <v>1</v>
      </c>
      <c r="J12" s="1074" t="n">
        <v>2</v>
      </c>
      <c r="K12" s="1554" t="n">
        <v>345</v>
      </c>
      <c r="L12" s="1523"/>
      <c r="M12" s="1512"/>
      <c r="N12" s="1570"/>
      <c r="O12" s="1571"/>
      <c r="P12" s="1515" t="n">
        <f aca="false">IF(BQ12=0,0,BN12/BQ12)</f>
        <v>6330.00614727422</v>
      </c>
      <c r="Q12" s="1516" t="n">
        <f aca="false">(D12*F12/324)*(1+K$65)+BB12</f>
        <v>207.383765432099</v>
      </c>
      <c r="R12" s="1517" t="n">
        <f aca="false">IF(D12=0,0,S12/D12)</f>
        <v>12.9425632032305</v>
      </c>
      <c r="S12" s="1518" t="n">
        <f aca="false">SUM(CM12-DE12)*(1+M$45)</f>
        <v>75131.579394753</v>
      </c>
      <c r="T12" s="1519" t="n">
        <f aca="false">CF12+CG12+CH12</f>
        <v>28</v>
      </c>
      <c r="U12" s="1520" t="n">
        <f aca="false">IF(P12-(D12*0.35)&lt;0,0,P12-(D12*0.35))</f>
        <v>4298.25614727422</v>
      </c>
      <c r="V12" s="1521" t="n">
        <f aca="false">IF(D12="",0,IF(D12/-30+Q12&lt;1,0,D12/-30+Q12))</f>
        <v>13.8837654320988</v>
      </c>
      <c r="W12" s="1511" t="n">
        <v>9</v>
      </c>
      <c r="X12" s="1530" t="n">
        <v>28</v>
      </c>
      <c r="Y12" s="1511"/>
      <c r="Z12" s="1524"/>
      <c r="AA12" s="1511"/>
      <c r="AB12" s="1524"/>
      <c r="AC12" s="1525" t="n">
        <v>1</v>
      </c>
      <c r="AD12" s="1526" t="n">
        <v>345</v>
      </c>
      <c r="AE12" s="1511" t="n">
        <v>2</v>
      </c>
      <c r="AF12" s="1527" t="n">
        <v>944</v>
      </c>
      <c r="AG12" s="1528" t="n">
        <v>3</v>
      </c>
      <c r="AH12" s="1527" t="n">
        <v>129</v>
      </c>
      <c r="AI12" s="1529"/>
      <c r="AJ12" s="1530"/>
      <c r="AK12" s="1572" t="n">
        <v>5</v>
      </c>
      <c r="AL12" s="1573" t="n">
        <v>123</v>
      </c>
      <c r="AM12" s="1511"/>
      <c r="AN12" s="1532"/>
      <c r="AO12" s="1511"/>
      <c r="AP12" s="1524"/>
      <c r="AQ12" s="1435" t="n">
        <f aca="false">D12/Q12</f>
        <v>27.9915835644361</v>
      </c>
      <c r="AR12" s="1533" t="n">
        <f aca="false">IF(W12="","",LOOKUP(W12,$B$49:$B$59,$R$49:$R$59)*X12)</f>
        <v>1.09925925925926</v>
      </c>
      <c r="AS12" s="1430" t="str">
        <f aca="false">IF(Y12="","",LOOKUP(Y12,$B$49:$B$59,$R$49:$R$59)*Z12)</f>
        <v/>
      </c>
      <c r="AT12" s="1430" t="str">
        <f aca="false">IF(AB12="","",LOOKUP(AA12,$B$49:$B$59,$R$49:$R$59)*AB12)</f>
        <v/>
      </c>
      <c r="AU12" s="1430" t="n">
        <f aca="false">IF(AC12="","",LOOKUP(AC12,$B$49:$B$59,$R$49:$R$59)*AD12)</f>
        <v>36.1185185185185</v>
      </c>
      <c r="AV12" s="1430" t="n">
        <f aca="false">IF(AE12="","",LOOKUP(AE12,$B$49:$B$59,$R$49:$R$59)*AF12)</f>
        <v>77.2098765432099</v>
      </c>
      <c r="AW12" s="1430" t="n">
        <f aca="false">IF(AG12="","",LOOKUP(AG12,$B$49:$B$59,$R$49:$R$59)*AH12)</f>
        <v>10.5509259259259</v>
      </c>
      <c r="AX12" s="1430" t="str">
        <f aca="false">IF(AI12="","",LOOKUP(AI12,$B$49:$B$59,$R$49:$R$59)*AJ12)</f>
        <v/>
      </c>
      <c r="AY12" s="1430" t="n">
        <f aca="false">IF(AK12="","",LOOKUP(AK12,$B$49:$B$59,$R$49:$R$59)*AL12)</f>
        <v>6.43851851851852</v>
      </c>
      <c r="AZ12" s="1430" t="str">
        <f aca="false">IF(AM12="","",LOOKUP(AM12,$B$49:$B$59,$R$49:$R$59)*AN12)</f>
        <v/>
      </c>
      <c r="BA12" s="1430" t="str">
        <f aca="false">IF(AO12="","",LOOKUP(AO12,$B$49:$B$59,$R$49:$R$59)*AP12)</f>
        <v/>
      </c>
      <c r="BB12" s="1535" t="n">
        <f aca="false">SUM(AR12:BA12)</f>
        <v>131.417098765432</v>
      </c>
      <c r="BC12" s="1533" t="n">
        <f aca="false">IF(W12="","",LOOKUP(W12,$B$49:$B$59,$P$49:$P$59)*X12)</f>
        <v>163.26389743125</v>
      </c>
      <c r="BD12" s="1430" t="str">
        <f aca="false">IF(Y12="","",LOOKUP(Y12,$B$49:$B$59,$P$49:$P$59)*Z12)</f>
        <v/>
      </c>
      <c r="BE12" s="1430" t="str">
        <f aca="false">IF(AA12="","",LOOKUP(AA12,$B$49:$B$59,$P$49:$P$59)*AB12)</f>
        <v/>
      </c>
      <c r="BF12" s="1430" t="n">
        <f aca="false">IF(AC12="","",LOOKUP(AC12,$B$49:$B$59,$P$49:$P$59)*AD12)</f>
        <v>1315.21812120703</v>
      </c>
      <c r="BG12" s="1430" t="n">
        <f aca="false">IF(AE12="","",LOOKUP(AE12,$B$49:$B$59,$P$49:$P$59)*AF12)</f>
        <v>3468.4988476875</v>
      </c>
      <c r="BH12" s="1430" t="n">
        <f aca="false">IF(AG12="","",LOOKUP(AG12,$B$49:$B$59,$P$49:$P$59)*AH12)</f>
        <v>858.968247585937</v>
      </c>
      <c r="BI12" s="1430" t="str">
        <f aca="false">IF(AI12="","",LOOKUP(AI12,$B$49:$B$59,$P$49:$P$59)*AJ12)</f>
        <v/>
      </c>
      <c r="BJ12" s="1430" t="n">
        <f aca="false">IF(AK12="","",LOOKUP(AK12,$B$49:$B$59,$P$49:$P$59)*AL12)</f>
        <v>524.0570333625</v>
      </c>
      <c r="BK12" s="1430" t="str">
        <f aca="false">IF(AM12="","",LOOKUP(AM12,$B$49:$B$59,$P$49:$P$59)*AN12)</f>
        <v/>
      </c>
      <c r="BL12" s="1430" t="str">
        <f aca="false">IF(AO12="","",LOOKUP(AO12,$B$49:$B$59,$P$49:$P$59)*AP12)</f>
        <v/>
      </c>
      <c r="BM12" s="1535" t="n">
        <f aca="false">SUM(BC12:BL12)*BQ12</f>
        <v>6330.00614727422</v>
      </c>
      <c r="BN12" s="1536" t="n">
        <f aca="false">BM12+BO12</f>
        <v>6330.00614727422</v>
      </c>
      <c r="BO12" s="1536" t="n">
        <f aca="false">IF(M12=0,0,(M12/12+M12/12)/(M12/12*M12/12)*D12*((L12/16*L12/16)*10.6870159))*(1+K$70)*BQ12</f>
        <v>0</v>
      </c>
      <c r="BP12" s="1536" t="n">
        <f aca="false">IF(O12="Y",D12*(1+K$71)*BQ12,0)</f>
        <v>0</v>
      </c>
      <c r="BQ12" s="1538" t="n">
        <f aca="false">G12</f>
        <v>1</v>
      </c>
      <c r="BR12" s="1411" t="n">
        <f aca="false">IF(O12="y",D12,0)</f>
        <v>0</v>
      </c>
      <c r="BS12" s="1567" t="n">
        <f aca="false">IF($I12=1,$Q12,0)*BQ12</f>
        <v>207.383765432099</v>
      </c>
      <c r="BT12" s="1536" t="n">
        <f aca="false">IF($I12=2,$Q12,0)*BQ12</f>
        <v>0</v>
      </c>
      <c r="BU12" s="1536" t="n">
        <f aca="false">IF($I12=3,$Q12,0)*BQ12</f>
        <v>0</v>
      </c>
      <c r="BV12" s="1536" t="n">
        <f aca="false">IF($I12=4,$Q12,0)*BQ12</f>
        <v>0</v>
      </c>
      <c r="BW12" s="1536" t="n">
        <f aca="false">IF($I12=5,$Q12,0)*BQ12</f>
        <v>0</v>
      </c>
      <c r="BX12" s="1536" t="n">
        <f aca="false">IF($I12=6,$Q12,0)*$BQ12</f>
        <v>0</v>
      </c>
      <c r="BY12" s="1536" t="n">
        <f aca="false">IF($I12=7,$Q12,0)*$BQ12</f>
        <v>0</v>
      </c>
      <c r="BZ12" s="1536" t="n">
        <f aca="false">IF($I12=8,$Q12,0)*$BQ12</f>
        <v>0</v>
      </c>
      <c r="CA12" s="1536" t="n">
        <f aca="false">IF($I12=9,$Q12,0)*$BQ12</f>
        <v>0</v>
      </c>
      <c r="CB12" s="1568" t="n">
        <f aca="false">IF($I12=10,$Q12,0)*$BQ12</f>
        <v>0</v>
      </c>
      <c r="CC12" s="1538" t="n">
        <f aca="false">SUM(BS12:BX12)</f>
        <v>207.383765432099</v>
      </c>
      <c r="CD12" s="1538" t="n">
        <f aca="false">IF(H12="N",0,D12)*BQ12</f>
        <v>5805</v>
      </c>
      <c r="CE12" s="1538" t="n">
        <f aca="false">K12*BQ12</f>
        <v>345</v>
      </c>
      <c r="CF12" s="1542" t="n">
        <f aca="false">ROUND(IF(W12="",0,LOOKUP(W12,B$49:B$59,D$49:D$59)*X12/12),0)</f>
        <v>28</v>
      </c>
      <c r="CG12" s="1542" t="n">
        <f aca="false">ROUND(IF(Y12="",0,LOOKUP(Y12,B$49:B$59,D$49:D$59)*Z12/12),0)</f>
        <v>0</v>
      </c>
      <c r="CH12" s="1542" t="n">
        <f aca="false">ROUND(IF(AA12="",0,LOOKUP(AA12,B$49:B$59,D$49:D$59)*AB12/12),0)</f>
        <v>0</v>
      </c>
      <c r="CI12" s="1538" t="n">
        <f aca="false">D12*BQ12</f>
        <v>5805</v>
      </c>
      <c r="CJ12" s="1538" t="n">
        <f aca="false">D12*J12/324*(1+K$73)*G12</f>
        <v>35.8333333333333</v>
      </c>
      <c r="CK12" s="1538" t="str">
        <f aca="false">IF(N12="","",N12)</f>
        <v/>
      </c>
      <c r="CL12" s="1538" t="n">
        <f aca="false">P12*BQ12</f>
        <v>6330.00614727422</v>
      </c>
      <c r="CM12" s="1543" t="n">
        <f aca="false">IF(BQ12=0,0,SUM(CN12:DE12)/BQ12)</f>
        <v>65331.8081693505</v>
      </c>
      <c r="CN12" s="656" t="n">
        <f aca="false">(BS12*Pricing!F$3+BT12*Pricing!G$3+BU12*Pricing!H$3+BV12*Pricing!I$3+BW12*Pricing!J$3+BX12*Pricing!K$3+BY12*Pricing!L$3+BZ12*Pricing!M$3+CA12*Pricing!N$3+CB12*Pricing!O$3)*IF(W$44="N",(1+Y$44),1)</f>
        <v>30082.0520947531</v>
      </c>
      <c r="CO12" s="656" t="n">
        <f aca="false">BN12*G$70*IF(W$44="n",1+Y$44,1)</f>
        <v>4111.33899265461</v>
      </c>
      <c r="CP12" s="1544" t="n">
        <f aca="false">C12*D12</f>
        <v>0</v>
      </c>
      <c r="CQ12" s="656" t="n">
        <f aca="false">IF(I$79=0,0,D12*(SUM(O$79:P$82)+O$85)/I$79*BQ12)</f>
        <v>10739.25</v>
      </c>
      <c r="CR12" s="656" t="n">
        <f aca="false">IF(CF12="",0,CF12*E$83)+IF(CG12="",0,CG12*E$83)+IF(CH12="",0,CH12*E$83)</f>
        <v>224</v>
      </c>
      <c r="CS12" s="656"/>
      <c r="CT12" s="1545" t="n">
        <f aca="false">(U12/2000)*E$87</f>
        <v>859.651229454844</v>
      </c>
      <c r="CU12" s="656" t="n">
        <f aca="false">IF(I$79=0,0,D12*(O$88)/I$79*BQ12)</f>
        <v>0</v>
      </c>
      <c r="CV12" s="656" t="n">
        <f aca="false">IF(D$42=0,0,SUM(O$91:P$94)/D$42*D12)*BQ12</f>
        <v>1841.2734375</v>
      </c>
      <c r="CW12" s="656" t="n">
        <f aca="false">IF(D$42=0,0,SUM(Z$66:Z$97)/D$42*D12*BQ12)</f>
        <v>4648.86263014156</v>
      </c>
      <c r="CX12" s="656" t="n">
        <f aca="false">IF(D$42=0,0,SUM(O$96:P$101)/D$42*D12)*BQ12</f>
        <v>2859.71886309647</v>
      </c>
      <c r="CY12" s="656" t="n">
        <f aca="false">IF(D$42=0,0,SUM(O$103:O$109)/D$42)*D12*BQ12</f>
        <v>3265.44635726395</v>
      </c>
      <c r="CZ12" s="656" t="n">
        <f aca="false">IF(I$79=0,0,IF(I$79=0,0,SUM(Z$98:Z$109)/I$79*D12))</f>
        <v>389.149356152619</v>
      </c>
      <c r="DA12" s="656" t="n">
        <f aca="false">IF(J$72&gt;0,J$72/D$42*D12*G12,CD12*(G$72*IF(W$44="n",(1+Y$44),1)))</f>
        <v>5341.325625</v>
      </c>
      <c r="DB12" s="656" t="n">
        <f aca="false">IF(CK12="",0,CK12*E$86)</f>
        <v>0</v>
      </c>
      <c r="DC12" s="656" t="n">
        <f aca="false">BP12*G$71*IF(W$44="Y",1,1+Y$44)</f>
        <v>0</v>
      </c>
      <c r="DD12" s="656" t="n">
        <f aca="false">CJ12*G$73*IF(W$44="Y",1,1+Y$44)</f>
        <v>969.739583333333</v>
      </c>
      <c r="DE12" s="1546" t="n">
        <f aca="false">O$110/I$79*D12</f>
        <v>0</v>
      </c>
      <c r="DF12" s="654" t="n">
        <f aca="false">IF(W12=1,X12*$AS$49,0)+IF(W12=2,X12*$AS$50,0)+IF(W12=3,X12*$AS$51,0)+IF(W12=4,X12*$AS$52,0)+IF(W12=5,X12*$AS$53,0)+IF(W12=6,X12*$AS$54)+IF(W12=7,X12*$AS$55)+IF(W12=8,X12*$AS$56)+IF(W12=9,X12*$AS$57)+IF(W12=10,X12*$AS$58)+IF(W12=11,X12*$AS$59,0)</f>
        <v>56</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1840</v>
      </c>
      <c r="DJ12" s="654" t="n">
        <f aca="false">IF(AE12=1,AF12*$AS$49,0)+IF(AE12=2,AF12*$AS$50,0)+IF(AE12=3,AF12*$AS$51,0)+IF(AE12=4,AF12*$AS$52,0)+IF(AE12=5,AF12*$AS$53,0)+IF(AE12=6,AF12*$AS$54)+IF(AE12=7,AF12*$AS$55)+IF(AE12=8,AF12*$AS$56)+IF(AE12=9,AF12*$AS$57)+IF(AE12=10,AF12*$AS$58)+IF(AE12=11,AF12*$AS$59,0)</f>
        <v>4720</v>
      </c>
      <c r="DK12" s="654" t="n">
        <f aca="false">IF(AG12=1,AH12*$AS$49,0)+IF(AG12=2,AH12*$AS$50,0)+IF(AG12=3,AH12*$AS$51,0)+IF(AG12=4,AH12*$AS$52,0)+IF(AG12=5,AH12*$AS$53,0)+IF(AG12=6,AH12*$AS$54)+IF(AG12=7,AH12*$AS$55)+IF(AG12=8,AH12*$AS$56)+IF(AG12=9,AH12*$AS$57)+IF(AG12=10,AH12*$AS$58)+IF(AG12=11,AH12*$AS$59,0)</f>
        <v>645</v>
      </c>
      <c r="DL12" s="654" t="n">
        <f aca="false">IF(AI12=1,AJ12*$AS$49,0)+IF(AI12=2,AJ12*$AS$50,0)+IF(AI12=3,AJ12*$AS$51,0)+IF(AI12=4,AJ12*$AS$52,0)+IF(AI12=5,AJ12*$AS$53,0)+IF(AI12=6,AJ12*$AS$54)+IF(AI12=7,AJ12*$AS$55)+IF(AI12=8,AJ12*$AS$56)+IF(AI12=9,AJ12*$AS$57)+IF(AI12=10,AJ12*$AS$58)+IF(AI12=11,AJ12*$AS$59,0)</f>
        <v>0</v>
      </c>
      <c r="DM12" s="654" t="n">
        <f aca="false">IF(AK12=1,AL12*$AS$49,0)+IF(AK12=2,AL12*$AS$50,0)+IF(AK12=3,AL12*$AS$51,0)+IF(AK12=4,AL12*$AS$52,0)+IF(AK12=5,AL12*$AS$53,0)+IF(AK12=6,AL12*$AS$54)+IF(AK12=7,AL12*$AS$55)+IF(AK12=8,AL12*$AS$56)+IF(AK12=9,AL12*$AS$57)+IF(AK12=10,AL12*$AS$58)+IF(AK12=11,AL12*$AS$59,0)</f>
        <v>656</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569" t="n">
        <f aca="false">D12</f>
        <v>5805</v>
      </c>
      <c r="DQ12" s="1430" t="n">
        <f aca="false">IF(AC12="","",LOOKUP(AC12,$B$49:$B$59,$S$49:$S$59)*AD12)</f>
        <v>23.4259259259259</v>
      </c>
      <c r="DR12" s="1430" t="n">
        <f aca="false">IF(AE12="","",LOOKUP(AE12,$B$49:$B$59,$S$49:$S$59)*AF12)</f>
        <v>48.559670781893</v>
      </c>
      <c r="DS12" s="1430" t="n">
        <f aca="false">IF(AG12="","",LOOKUP(AG12,$B$49:$B$59,$S$49:$S$59)*AH12)</f>
        <v>6.6358024691358</v>
      </c>
      <c r="DT12" s="1430" t="str">
        <f aca="false">IF(AI12="","",LOOKUP(AI12,$B$49:$B$59,$S$49:$S$59)*AJ12)</f>
        <v/>
      </c>
      <c r="DU12" s="1430" t="n">
        <f aca="false">IF(AK12="","",LOOKUP(AK12,$B$49:$B$59,$S$49:$S$59)*AL12)</f>
        <v>4.17592592592593</v>
      </c>
      <c r="DV12" s="1430" t="str">
        <f aca="false">IF(AM12="","",LOOKUP(AM12,$B$49:$B$59,$S$49:$S$59)*AN12)</f>
        <v/>
      </c>
      <c r="DW12" s="1430" t="str">
        <f aca="false">IF(AO12="","",LOOKUP(AO12,$B$49:$B$59,$S$49:$S$59)*AP12)</f>
        <v/>
      </c>
      <c r="DX12" s="1535" t="n">
        <f aca="false">SUM(DQ12:DW12)-(D12-EF12)*(S$45-F12)/324</f>
        <v>-0.616255144032934</v>
      </c>
      <c r="DY12" s="1430" t="n">
        <f aca="false">IF(AC12="","",LOOKUP(AC12,$B$49:$B$59,$T$49:$T$59)*AD12)</f>
        <v>345</v>
      </c>
      <c r="DZ12" s="1430" t="n">
        <f aca="false">IF(AE12="","",LOOKUP(AE12,$B$49:$B$59,$T$49:$T$59)*AF12)</f>
        <v>786.666666666667</v>
      </c>
      <c r="EA12" s="1430" t="n">
        <f aca="false">IF(AG12="","",LOOKUP(AG12,$B$49:$B$59,$T$49:$T$59)*AH12)</f>
        <v>107.5</v>
      </c>
      <c r="EB12" s="1430" t="str">
        <f aca="false">IF(AI12="","",LOOKUP(AI12,$B$49:$B$59,$T$49:$T$59)*AJ12)</f>
        <v/>
      </c>
      <c r="EC12" s="1430" t="n">
        <f aca="false">IF(AK12="","",LOOKUP(AK12,$B$49:$B$59,$T$49:$T$59)*AL12)</f>
        <v>61.5</v>
      </c>
      <c r="ED12" s="1430" t="str">
        <f aca="false">IF(AM12="","",LOOKUP(AM12,$B$49:$B$59,$T$49:$T$59)*AN12)</f>
        <v/>
      </c>
      <c r="EE12" s="1430" t="str">
        <f aca="false">IF(AO12="","",LOOKUP(AO12,$B$49:$B$59,$T$49:$T$59)*AP12)</f>
        <v/>
      </c>
      <c r="EF12" s="1535" t="n">
        <f aca="false">SUM(DY12:EE12)</f>
        <v>1300.66666666667</v>
      </c>
    </row>
    <row r="13" customFormat="false" ht="19.5" hidden="false" customHeight="true" outlineLevel="0" collapsed="false">
      <c r="A13" s="16" t="s">
        <v>1071</v>
      </c>
      <c r="B13" s="1549" t="s">
        <v>1556</v>
      </c>
      <c r="C13" s="1550"/>
      <c r="D13" s="1551" t="n">
        <v>4775</v>
      </c>
      <c r="E13" s="1552"/>
      <c r="F13" s="1074" t="n">
        <v>4</v>
      </c>
      <c r="G13" s="1553" t="n">
        <v>1</v>
      </c>
      <c r="H13" s="1074" t="s">
        <v>1302</v>
      </c>
      <c r="I13" s="1553" t="n">
        <v>1</v>
      </c>
      <c r="J13" s="1074" t="n">
        <v>2</v>
      </c>
      <c r="K13" s="1554" t="n">
        <v>343</v>
      </c>
      <c r="L13" s="1555"/>
      <c r="M13" s="1556"/>
      <c r="N13" s="1557"/>
      <c r="O13" s="1558"/>
      <c r="P13" s="1515" t="n">
        <f aca="false">IF(BQ13=0,0,BN13/BQ13)</f>
        <v>4866.63354573516</v>
      </c>
      <c r="Q13" s="1516" t="n">
        <f aca="false">(D13*F13/324)*(1+K$65)+BB13</f>
        <v>164.722037037037</v>
      </c>
      <c r="R13" s="1517" t="n">
        <f aca="false">IF(D13=0,0,S13/D13)</f>
        <v>12.7836074655234</v>
      </c>
      <c r="S13" s="1518" t="n">
        <f aca="false">SUM(CM13-DE13)*(1+M$45)</f>
        <v>61041.7256478741</v>
      </c>
      <c r="T13" s="1519" t="n">
        <f aca="false">CF13+CG13+CH13</f>
        <v>83</v>
      </c>
      <c r="U13" s="1520" t="n">
        <f aca="false">IF(P13-(D13*0.35)&lt;0,0,P13-(D13*0.35))</f>
        <v>3195.38354573516</v>
      </c>
      <c r="V13" s="1521" t="n">
        <f aca="false">IF(D13="",0,IF(D13/-30+Q13&lt;1,0,D13/-30+Q13))</f>
        <v>5.55537037037038</v>
      </c>
      <c r="W13" s="1559" t="n">
        <v>9</v>
      </c>
      <c r="X13" s="1560" t="n">
        <v>83</v>
      </c>
      <c r="Y13" s="1559"/>
      <c r="Z13" s="1561"/>
      <c r="AA13" s="1559"/>
      <c r="AB13" s="1561"/>
      <c r="AC13" s="1562" t="n">
        <v>1</v>
      </c>
      <c r="AD13" s="1560" t="n">
        <v>343</v>
      </c>
      <c r="AE13" s="1559" t="n">
        <v>2</v>
      </c>
      <c r="AF13" s="1563" t="n">
        <v>690</v>
      </c>
      <c r="AG13" s="1564" t="n">
        <v>3</v>
      </c>
      <c r="AH13" s="1563" t="n">
        <v>51</v>
      </c>
      <c r="AI13" s="1565"/>
      <c r="AJ13" s="1560"/>
      <c r="AK13" s="1565" t="n">
        <v>5</v>
      </c>
      <c r="AL13" s="1563" t="n">
        <v>47</v>
      </c>
      <c r="AM13" s="1559"/>
      <c r="AN13" s="1566"/>
      <c r="AO13" s="1559"/>
      <c r="AP13" s="1561"/>
      <c r="AQ13" s="1435" t="n">
        <f aca="false">D13/Q13</f>
        <v>28.9882282048659</v>
      </c>
      <c r="AR13" s="1533" t="n">
        <f aca="false">IF(W13="","",LOOKUP(W13,$B$49:$B$59,$R$49:$R$59)*X13)</f>
        <v>3.25851851851852</v>
      </c>
      <c r="AS13" s="1430" t="str">
        <f aca="false">IF(Y13="","",LOOKUP(Y13,$B$49:$B$59,$R$49:$R$59)*Z13)</f>
        <v/>
      </c>
      <c r="AT13" s="1430" t="str">
        <f aca="false">IF(AB13="","",LOOKUP(AA13,$B$49:$B$59,$R$49:$R$59)*AB13)</f>
        <v/>
      </c>
      <c r="AU13" s="1430" t="n">
        <f aca="false">IF(AC13="","",LOOKUP(AC13,$B$49:$B$59,$R$49:$R$59)*AD13)</f>
        <v>35.9091358024691</v>
      </c>
      <c r="AV13" s="1430" t="n">
        <f aca="false">IF(AE13="","",LOOKUP(AE13,$B$49:$B$59,$R$49:$R$59)*AF13)</f>
        <v>56.4351851851852</v>
      </c>
      <c r="AW13" s="1430" t="n">
        <f aca="false">IF(AG13="","",LOOKUP(AG13,$B$49:$B$59,$R$49:$R$59)*AH13)</f>
        <v>4.1712962962963</v>
      </c>
      <c r="AX13" s="1430" t="str">
        <f aca="false">IF(AI13="","",LOOKUP(AI13,$B$49:$B$59,$R$49:$R$59)*AJ13)</f>
        <v/>
      </c>
      <c r="AY13" s="1430" t="n">
        <f aca="false">IF(AK13="","",LOOKUP(AK13,$B$49:$B$59,$R$49:$R$59)*AL13)</f>
        <v>2.46024691358025</v>
      </c>
      <c r="AZ13" s="1430" t="str">
        <f aca="false">IF(AM13="","",LOOKUP(AM13,$B$49:$B$59,$R$49:$R$59)*AN13)</f>
        <v/>
      </c>
      <c r="BA13" s="1430" t="str">
        <f aca="false">IF(AO13="","",LOOKUP(AO13,$B$49:$B$59,$R$49:$R$59)*AP13)</f>
        <v/>
      </c>
      <c r="BB13" s="1535" t="n">
        <f aca="false">SUM(AR13:BA13)</f>
        <v>102.234382716049</v>
      </c>
      <c r="BC13" s="1533" t="n">
        <f aca="false">IF(W13="","",LOOKUP(W13,$B$49:$B$59,$P$49:$P$59)*X13)</f>
        <v>483.960838814062</v>
      </c>
      <c r="BD13" s="1430" t="str">
        <f aca="false">IF(Y13="","",LOOKUP(Y13,$B$49:$B$59,$P$49:$P$59)*Z13)</f>
        <v/>
      </c>
      <c r="BE13" s="1430" t="str">
        <f aca="false">IF(AA13="","",LOOKUP(AA13,$B$49:$B$59,$P$49:$P$59)*AB13)</f>
        <v/>
      </c>
      <c r="BF13" s="1430" t="n">
        <f aca="false">IF(AC13="","",LOOKUP(AC13,$B$49:$B$59,$P$49:$P$59)*AD13)</f>
        <v>1307.59366833047</v>
      </c>
      <c r="BG13" s="1430" t="n">
        <f aca="false">IF(AE13="","",LOOKUP(AE13,$B$49:$B$59,$P$49:$P$59)*AF13)</f>
        <v>2535.23750519531</v>
      </c>
      <c r="BH13" s="1430" t="n">
        <f aca="false">IF(AG13="","",LOOKUP(AG13,$B$49:$B$59,$P$49:$P$59)*AH13)</f>
        <v>339.592097882813</v>
      </c>
      <c r="BI13" s="1430" t="str">
        <f aca="false">IF(AI13="","",LOOKUP(AI13,$B$49:$B$59,$P$49:$P$59)*AJ13)</f>
        <v/>
      </c>
      <c r="BJ13" s="1430" t="n">
        <f aca="false">IF(AK13="","",LOOKUP(AK13,$B$49:$B$59,$P$49:$P$59)*AL13)</f>
        <v>200.2494355125</v>
      </c>
      <c r="BK13" s="1430" t="str">
        <f aca="false">IF(AM13="","",LOOKUP(AM13,$B$49:$B$59,$P$49:$P$59)*AN13)</f>
        <v/>
      </c>
      <c r="BL13" s="1430" t="str">
        <f aca="false">IF(AO13="","",LOOKUP(AO13,$B$49:$B$59,$P$49:$P$59)*AP13)</f>
        <v/>
      </c>
      <c r="BM13" s="1535" t="n">
        <f aca="false">SUM(BC13:BL13)*BQ13</f>
        <v>4866.63354573516</v>
      </c>
      <c r="BN13" s="1536" t="n">
        <f aca="false">BM13+BO13</f>
        <v>4866.63354573516</v>
      </c>
      <c r="BO13" s="1536" t="n">
        <f aca="false">IF(M13=0,0,(M13/12+M13/12)/(M13/12*M13/12)*D13*((L13/16*L13/16)*10.6870159))*(1+K$70)*BQ13</f>
        <v>0</v>
      </c>
      <c r="BP13" s="1536" t="n">
        <f aca="false">IF(O13="Y",D13*(1+K$71)*BQ13,0)</f>
        <v>0</v>
      </c>
      <c r="BQ13" s="1538" t="n">
        <f aca="false">G13</f>
        <v>1</v>
      </c>
      <c r="BR13" s="1411" t="n">
        <f aca="false">IF(O13="y",D13,0)</f>
        <v>0</v>
      </c>
      <c r="BS13" s="1567" t="n">
        <f aca="false">IF($I13=1,$Q13,0)*BQ13</f>
        <v>164.722037037037</v>
      </c>
      <c r="BT13" s="1536" t="n">
        <f aca="false">IF($I13=2,$Q13,0)*BQ13</f>
        <v>0</v>
      </c>
      <c r="BU13" s="1536" t="n">
        <f aca="false">IF($I13=3,$Q13,0)*BQ13</f>
        <v>0</v>
      </c>
      <c r="BV13" s="1536" t="n">
        <f aca="false">IF($I13=4,$Q13,0)*BQ13</f>
        <v>0</v>
      </c>
      <c r="BW13" s="1536" t="n">
        <f aca="false">IF($I13=5,$Q13,0)*BQ13</f>
        <v>0</v>
      </c>
      <c r="BX13" s="1536" t="n">
        <f aca="false">IF($I13=6,$Q13,0)*$BQ13</f>
        <v>0</v>
      </c>
      <c r="BY13" s="1536" t="n">
        <f aca="false">IF($I13=7,$Q13,0)*$BQ13</f>
        <v>0</v>
      </c>
      <c r="BZ13" s="1536" t="n">
        <f aca="false">IF($I13=8,$Q13,0)*$BQ13</f>
        <v>0</v>
      </c>
      <c r="CA13" s="1536" t="n">
        <f aca="false">IF($I13=9,$Q13,0)*$BQ13</f>
        <v>0</v>
      </c>
      <c r="CB13" s="1568" t="n">
        <f aca="false">IF($I13=10,$Q13,0)*$BQ13</f>
        <v>0</v>
      </c>
      <c r="CC13" s="1538" t="n">
        <f aca="false">SUM(BS13:BX13)</f>
        <v>164.722037037037</v>
      </c>
      <c r="CD13" s="1538" t="n">
        <f aca="false">IF(H13="N",0,D13)*BQ13</f>
        <v>4775</v>
      </c>
      <c r="CE13" s="1538" t="n">
        <f aca="false">K13*BQ13</f>
        <v>343</v>
      </c>
      <c r="CF13" s="1542" t="n">
        <f aca="false">ROUND(IF(W13="",0,LOOKUP(W13,B$49:B$59,D$49:D$59)*X13/12),0)</f>
        <v>83</v>
      </c>
      <c r="CG13" s="1542" t="n">
        <f aca="false">ROUND(IF(Y13="",0,LOOKUP(Y13,B$49:B$59,D$49:D$59)*Z13/12),0)</f>
        <v>0</v>
      </c>
      <c r="CH13" s="1542" t="n">
        <f aca="false">ROUND(IF(AA13="",0,LOOKUP(AA13,B$49:B$59,D$49:D$59)*AB13/12),0)</f>
        <v>0</v>
      </c>
      <c r="CI13" s="1538" t="n">
        <f aca="false">D13*BQ13</f>
        <v>4775</v>
      </c>
      <c r="CJ13" s="1538" t="n">
        <f aca="false">D13*J13/324*(1+K$73)*G13</f>
        <v>29.4753086419753</v>
      </c>
      <c r="CK13" s="1538" t="str">
        <f aca="false">IF(N13="","",N13)</f>
        <v/>
      </c>
      <c r="CL13" s="1538" t="n">
        <f aca="false">P13*BQ13</f>
        <v>4866.63354573516</v>
      </c>
      <c r="CM13" s="1543" t="n">
        <f aca="false">IF(BQ13=0,0,SUM(CN13:DE13)/BQ13)</f>
        <v>53079.761432934</v>
      </c>
      <c r="CN13" s="656" t="n">
        <f aca="false">(BS13*Pricing!F$3+BT13*Pricing!G$3+BU13*Pricing!H$3+BV13*Pricing!I$3+BW13*Pricing!J$3+BX13*Pricing!K$3+BY13*Pricing!L$3+BZ13*Pricing!M$3+CA13*Pricing!N$3+CB13*Pricing!O$3)*IF(W$44="N",(1+Y$44),1)</f>
        <v>23893.7550824074</v>
      </c>
      <c r="CO13" s="656" t="n">
        <f aca="false">BN13*G$70*IF(W$44="n",1+Y$44,1)</f>
        <v>3160.87848795498</v>
      </c>
      <c r="CP13" s="1544" t="n">
        <f aca="false">C13*D13</f>
        <v>0</v>
      </c>
      <c r="CQ13" s="656" t="n">
        <f aca="false">IF(I$79=0,0,D13*(SUM(O$79:P$82)+O$85)/I$79*BQ13)</f>
        <v>8833.75</v>
      </c>
      <c r="CR13" s="656" t="n">
        <f aca="false">IF(CF13="",0,CF13*E$83)+IF(CG13="",0,CG13*E$83)+IF(CH13="",0,CH13*E$83)</f>
        <v>664</v>
      </c>
      <c r="CS13" s="656"/>
      <c r="CT13" s="1545" t="n">
        <f aca="false">(U13/2000)*E$87</f>
        <v>639.076709147031</v>
      </c>
      <c r="CU13" s="656" t="n">
        <f aca="false">IF(I$79=0,0,D13*(O$88)/I$79*BQ13)</f>
        <v>0</v>
      </c>
      <c r="CV13" s="656" t="n">
        <f aca="false">IF(D$42=0,0,SUM(O$91:P$94)/D$42*D13)*BQ13</f>
        <v>1514.5703125</v>
      </c>
      <c r="CW13" s="656" t="n">
        <f aca="false">IF(D$42=0,0,SUM(Z$66:Z$97)/D$42*D13*BQ13)</f>
        <v>3823.99983788561</v>
      </c>
      <c r="CX13" s="656" t="n">
        <f aca="false">IF(D$42=0,0,SUM(O$96:P$101)/D$42*D13)*BQ13</f>
        <v>2352.3096591362</v>
      </c>
      <c r="CY13" s="656" t="n">
        <f aca="false">IF(D$42=0,0,SUM(O$103:O$109)/D$42)*D13*BQ13</f>
        <v>2686.04760653495</v>
      </c>
      <c r="CZ13" s="656" t="n">
        <f aca="false">IF(I$79=0,0,IF(I$79=0,0,SUM(Z$98:Z$109)/I$79*D13))</f>
        <v>320.101322244402</v>
      </c>
      <c r="DA13" s="656" t="n">
        <f aca="false">IF(J$72&gt;0,J$72/D$42*D13*G13,CD13*(G$72*IF(W$44="n",(1+Y$44),1)))</f>
        <v>4393.596875</v>
      </c>
      <c r="DB13" s="656" t="n">
        <f aca="false">IF(CK13="",0,CK13*E$86)</f>
        <v>0</v>
      </c>
      <c r="DC13" s="656" t="n">
        <f aca="false">BP13*G$71*IF(W$44="Y",1,1+Y$44)</f>
        <v>0</v>
      </c>
      <c r="DD13" s="656" t="n">
        <f aca="false">CJ13*G$73*IF(W$44="Y",1,1+Y$44)</f>
        <v>797.675540123457</v>
      </c>
      <c r="DE13" s="1546" t="n">
        <f aca="false">O$110/I$79*D13</f>
        <v>0</v>
      </c>
      <c r="DF13" s="654" t="n">
        <f aca="false">IF(W13=1,X13*$AS$49,0)+IF(W13=2,X13*$AS$50,0)+IF(W13=3,X13*$AS$51,0)+IF(W13=4,X13*$AS$52,0)+IF(W13=5,X13*$AS$53,0)+IF(W13=6,X13*$AS$54)+IF(W13=7,X13*$AS$55)+IF(W13=8,X13*$AS$56)+IF(W13=9,X13*$AS$57)+IF(W13=10,X13*$AS$58)+IF(W13=11,X13*$AS$59,0)</f>
        <v>166</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1829.33333333333</v>
      </c>
      <c r="DJ13" s="654" t="n">
        <f aca="false">IF(AE13=1,AF13*$AS$49,0)+IF(AE13=2,AF13*$AS$50,0)+IF(AE13=3,AF13*$AS$51,0)+IF(AE13=4,AF13*$AS$52,0)+IF(AE13=5,AF13*$AS$53,0)+IF(AE13=6,AF13*$AS$54)+IF(AE13=7,AF13*$AS$55)+IF(AE13=8,AF13*$AS$56)+IF(AE13=9,AF13*$AS$57)+IF(AE13=10,AF13*$AS$58)+IF(AE13=11,AF13*$AS$59,0)</f>
        <v>3450</v>
      </c>
      <c r="DK13" s="654" t="n">
        <f aca="false">IF(AG13=1,AH13*$AS$49,0)+IF(AG13=2,AH13*$AS$50,0)+IF(AG13=3,AH13*$AS$51,0)+IF(AG13=4,AH13*$AS$52,0)+IF(AG13=5,AH13*$AS$53,0)+IF(AG13=6,AH13*$AS$54)+IF(AG13=7,AH13*$AS$55)+IF(AG13=8,AH13*$AS$56)+IF(AG13=9,AH13*$AS$57)+IF(AG13=10,AH13*$AS$58)+IF(AG13=11,AH13*$AS$59,0)</f>
        <v>255</v>
      </c>
      <c r="DL13" s="654" t="n">
        <f aca="false">IF(AI13=1,AJ13*$AS$49,0)+IF(AI13=2,AJ13*$AS$50,0)+IF(AI13=3,AJ13*$AS$51,0)+IF(AI13=4,AJ13*$AS$52,0)+IF(AI13=5,AJ13*$AS$53,0)+IF(AI13=6,AJ13*$AS$54)+IF(AI13=7,AJ13*$AS$55)+IF(AI13=8,AJ13*$AS$56)+IF(AI13=9,AJ13*$AS$57)+IF(AI13=10,AJ13*$AS$58)+IF(AI13=11,AJ13*$AS$59,0)</f>
        <v>0</v>
      </c>
      <c r="DM13" s="654" t="n">
        <f aca="false">IF(AK13=1,AL13*$AS$49,0)+IF(AK13=2,AL13*$AS$50,0)+IF(AK13=3,AL13*$AS$51,0)+IF(AK13=4,AL13*$AS$52,0)+IF(AK13=5,AL13*$AS$53,0)+IF(AK13=6,AL13*$AS$54)+IF(AK13=7,AL13*$AS$55)+IF(AK13=8,AL13*$AS$56)+IF(AK13=9,AL13*$AS$57)+IF(AK13=10,AL13*$AS$58)+IF(AK13=11,AL13*$AS$59,0)</f>
        <v>250.666666666667</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569" t="n">
        <f aca="false">D13</f>
        <v>4775</v>
      </c>
      <c r="DQ13" s="1430" t="n">
        <f aca="false">IF(AC13="","",LOOKUP(AC13,$B$49:$B$59,$S$49:$S$59)*AD13)</f>
        <v>23.2901234567901</v>
      </c>
      <c r="DR13" s="1430" t="n">
        <f aca="false">IF(AE13="","",LOOKUP(AE13,$B$49:$B$59,$S$49:$S$59)*AF13)</f>
        <v>35.4938271604938</v>
      </c>
      <c r="DS13" s="1430" t="n">
        <f aca="false">IF(AG13="","",LOOKUP(AG13,$B$49:$B$59,$S$49:$S$59)*AH13)</f>
        <v>2.62345679012346</v>
      </c>
      <c r="DT13" s="1430" t="str">
        <f aca="false">IF(AI13="","",LOOKUP(AI13,$B$49:$B$59,$S$49:$S$59)*AJ13)</f>
        <v/>
      </c>
      <c r="DU13" s="1430" t="n">
        <f aca="false">IF(AK13="","",LOOKUP(AK13,$B$49:$B$59,$S$49:$S$59)*AL13)</f>
        <v>1.59567901234568</v>
      </c>
      <c r="DV13" s="1430" t="str">
        <f aca="false">IF(AM13="","",LOOKUP(AM13,$B$49:$B$59,$S$49:$S$59)*AN13)</f>
        <v/>
      </c>
      <c r="DW13" s="1430" t="str">
        <f aca="false">IF(AO13="","",LOOKUP(AO13,$B$49:$B$59,$S$49:$S$59)*AP13)</f>
        <v/>
      </c>
      <c r="DX13" s="1535" t="n">
        <f aca="false">SUM(DQ13:DW13)-(D13-EF13)*(S$45-F13)/324</f>
        <v>-7.20061728395062</v>
      </c>
      <c r="DY13" s="1430" t="n">
        <f aca="false">IF(AC13="","",LOOKUP(AC13,$B$49:$B$59,$T$49:$T$59)*AD13)</f>
        <v>343</v>
      </c>
      <c r="DZ13" s="1430" t="n">
        <f aca="false">IF(AE13="","",LOOKUP(AE13,$B$49:$B$59,$T$49:$T$59)*AF13)</f>
        <v>575</v>
      </c>
      <c r="EA13" s="1430" t="n">
        <f aca="false">IF(AG13="","",LOOKUP(AG13,$B$49:$B$59,$T$49:$T$59)*AH13)</f>
        <v>42.5</v>
      </c>
      <c r="EB13" s="1430" t="str">
        <f aca="false">IF(AI13="","",LOOKUP(AI13,$B$49:$B$59,$T$49:$T$59)*AJ13)</f>
        <v/>
      </c>
      <c r="EC13" s="1430" t="n">
        <f aca="false">IF(AK13="","",LOOKUP(AK13,$B$49:$B$59,$T$49:$T$59)*AL13)</f>
        <v>23.5</v>
      </c>
      <c r="ED13" s="1430" t="str">
        <f aca="false">IF(AM13="","",LOOKUP(AM13,$B$49:$B$59,$T$49:$T$59)*AN13)</f>
        <v/>
      </c>
      <c r="EE13" s="1430" t="str">
        <f aca="false">IF(AO13="","",LOOKUP(AO13,$B$49:$B$59,$T$49:$T$59)*AP13)</f>
        <v/>
      </c>
      <c r="EF13" s="1535" t="n">
        <f aca="false">SUM(DY13:EE13)</f>
        <v>984</v>
      </c>
    </row>
    <row r="14" customFormat="false" ht="19.5" hidden="false" customHeight="true" outlineLevel="0" collapsed="false">
      <c r="A14" s="16" t="s">
        <v>1072</v>
      </c>
      <c r="B14" s="1505" t="s">
        <v>1557</v>
      </c>
      <c r="C14" s="1550"/>
      <c r="D14" s="1507" t="n">
        <v>5503</v>
      </c>
      <c r="E14" s="1508"/>
      <c r="F14" s="1074" t="n">
        <v>4</v>
      </c>
      <c r="G14" s="1553" t="n">
        <v>1</v>
      </c>
      <c r="H14" s="1074" t="s">
        <v>1302</v>
      </c>
      <c r="I14" s="1553" t="n">
        <v>1</v>
      </c>
      <c r="J14" s="1074" t="n">
        <v>2</v>
      </c>
      <c r="K14" s="1554" t="n">
        <v>357</v>
      </c>
      <c r="L14" s="1523"/>
      <c r="M14" s="1512"/>
      <c r="N14" s="1570"/>
      <c r="O14" s="1571"/>
      <c r="P14" s="1515" t="n">
        <f aca="false">IF(BQ14=0,0,BN14/BQ14)</f>
        <v>5207.84995644375</v>
      </c>
      <c r="Q14" s="1516" t="n">
        <f aca="false">(D14*F14/324)*(1+K$65)+BB14</f>
        <v>182.185864197531</v>
      </c>
      <c r="R14" s="1517" t="n">
        <f aca="false">IF(D14=0,0,S14/D14)</f>
        <v>12.3892014540562</v>
      </c>
      <c r="S14" s="1518" t="n">
        <f aca="false">SUM(CM14-DE14)*(1+M$45)</f>
        <v>68177.7756016711</v>
      </c>
      <c r="T14" s="1519" t="n">
        <f aca="false">CF14+CG14+CH14</f>
        <v>41</v>
      </c>
      <c r="U14" s="1520" t="n">
        <f aca="false">IF(P14-(D14*0.35)&lt;0,0,P14-(D14*0.35))</f>
        <v>3281.79995644375</v>
      </c>
      <c r="V14" s="1521" t="n">
        <f aca="false">IF(D14="",0,IF(D14/-30+Q14&lt;1,0,D14/-30+Q14))</f>
        <v>0</v>
      </c>
      <c r="W14" s="528" t="n">
        <v>9</v>
      </c>
      <c r="X14" s="1526" t="n">
        <v>41</v>
      </c>
      <c r="Y14" s="528"/>
      <c r="Z14" s="1574"/>
      <c r="AA14" s="528"/>
      <c r="AB14" s="1574"/>
      <c r="AC14" s="1525" t="n">
        <v>1</v>
      </c>
      <c r="AD14" s="1526" t="n">
        <v>357</v>
      </c>
      <c r="AE14" s="1511" t="n">
        <v>2</v>
      </c>
      <c r="AF14" s="1527" t="n">
        <v>733</v>
      </c>
      <c r="AG14" s="1528" t="n">
        <v>3</v>
      </c>
      <c r="AH14" s="1527" t="n">
        <v>106</v>
      </c>
      <c r="AI14" s="1529"/>
      <c r="AJ14" s="1530"/>
      <c r="AK14" s="1531" t="n">
        <v>5</v>
      </c>
      <c r="AL14" s="1527" t="n">
        <v>49</v>
      </c>
      <c r="AM14" s="528"/>
      <c r="AN14" s="1575"/>
      <c r="AO14" s="528"/>
      <c r="AP14" s="1574"/>
      <c r="AQ14" s="1435" t="n">
        <f aca="false">D14/Q14</f>
        <v>30.2054170022406</v>
      </c>
      <c r="AR14" s="1533" t="n">
        <f aca="false">IF(W14="","",LOOKUP(W14,$B$49:$B$59,$R$49:$R$59)*X14)</f>
        <v>1.60962962962963</v>
      </c>
      <c r="AS14" s="1430" t="str">
        <f aca="false">IF(Y14="","",LOOKUP(Y14,$B$49:$B$59,$R$49:$R$59)*Z14)</f>
        <v/>
      </c>
      <c r="AT14" s="1430" t="str">
        <f aca="false">IF(AB14="","",LOOKUP(AA14,$B$49:$B$59,$R$49:$R$59)*AB14)</f>
        <v/>
      </c>
      <c r="AU14" s="1430" t="n">
        <f aca="false">IF(AC14="","",LOOKUP(AC14,$B$49:$B$59,$R$49:$R$59)*AD14)</f>
        <v>37.3748148148148</v>
      </c>
      <c r="AV14" s="1430" t="n">
        <f aca="false">IF(AE14="","",LOOKUP(AE14,$B$49:$B$59,$R$49:$R$59)*AF14)</f>
        <v>59.9521604938272</v>
      </c>
      <c r="AW14" s="1430" t="n">
        <f aca="false">IF(AG14="","",LOOKUP(AG14,$B$49:$B$59,$R$49:$R$59)*AH14)</f>
        <v>8.66975308641975</v>
      </c>
      <c r="AX14" s="1430" t="str">
        <f aca="false">IF(AI14="","",LOOKUP(AI14,$B$49:$B$59,$R$49:$R$59)*AJ14)</f>
        <v/>
      </c>
      <c r="AY14" s="1430" t="n">
        <f aca="false">IF(AK14="","",LOOKUP(AK14,$B$49:$B$59,$R$49:$R$59)*AL14)</f>
        <v>2.56493827160494</v>
      </c>
      <c r="AZ14" s="1430" t="str">
        <f aca="false">IF(AM14="","",LOOKUP(AM14,$B$49:$B$59,$R$49:$R$59)*AN14)</f>
        <v/>
      </c>
      <c r="BA14" s="1430" t="str">
        <f aca="false">IF(AO14="","",LOOKUP(AO14,$B$49:$B$59,$R$49:$R$59)*AP14)</f>
        <v/>
      </c>
      <c r="BB14" s="1535" t="n">
        <f aca="false">SUM(AR14:BA14)</f>
        <v>110.171296296296</v>
      </c>
      <c r="BC14" s="1533" t="n">
        <f aca="false">IF(W14="","",LOOKUP(W14,$B$49:$B$59,$P$49:$P$59)*X14)</f>
        <v>239.064992667187</v>
      </c>
      <c r="BD14" s="1430" t="str">
        <f aca="false">IF(Y14="","",LOOKUP(Y14,$B$49:$B$59,$P$49:$P$59)*Z14)</f>
        <v/>
      </c>
      <c r="BE14" s="1430" t="str">
        <f aca="false">IF(AA14="","",LOOKUP(AA14,$B$49:$B$59,$P$49:$P$59)*AB14)</f>
        <v/>
      </c>
      <c r="BF14" s="1430" t="n">
        <f aca="false">IF(AC14="","",LOOKUP(AC14,$B$49:$B$59,$P$49:$P$59)*AD14)</f>
        <v>1360.96483846641</v>
      </c>
      <c r="BG14" s="1430" t="n">
        <f aca="false">IF(AE14="","",LOOKUP(AE14,$B$49:$B$59,$P$49:$P$59)*AF14)</f>
        <v>2693.23056711328</v>
      </c>
      <c r="BH14" s="1430" t="n">
        <f aca="false">IF(AG14="","",LOOKUP(AG14,$B$49:$B$59,$P$49:$P$59)*AH14)</f>
        <v>705.818870109375</v>
      </c>
      <c r="BI14" s="1430" t="str">
        <f aca="false">IF(AI14="","",LOOKUP(AI14,$B$49:$B$59,$P$49:$P$59)*AJ14)</f>
        <v/>
      </c>
      <c r="BJ14" s="1430" t="n">
        <f aca="false">IF(AK14="","",LOOKUP(AK14,$B$49:$B$59,$P$49:$P$59)*AL14)</f>
        <v>208.7706880875</v>
      </c>
      <c r="BK14" s="1430" t="str">
        <f aca="false">IF(AM14="","",LOOKUP(AM14,$B$49:$B$59,$P$49:$P$59)*AN14)</f>
        <v/>
      </c>
      <c r="BL14" s="1430" t="str">
        <f aca="false">IF(AO14="","",LOOKUP(AO14,$B$49:$B$59,$P$49:$P$59)*AP14)</f>
        <v/>
      </c>
      <c r="BM14" s="1535" t="n">
        <f aca="false">SUM(BC14:BL14)*BQ14</f>
        <v>5207.84995644375</v>
      </c>
      <c r="BN14" s="1536" t="n">
        <f aca="false">BM14+BO14</f>
        <v>5207.84995644375</v>
      </c>
      <c r="BO14" s="1536" t="n">
        <f aca="false">IF(M14=0,0,(M14/12+M14/12)/(M14/12*M14/12)*D14*((L14/16*L14/16)*10.6870159))*(1+K$70)*BQ14</f>
        <v>0</v>
      </c>
      <c r="BP14" s="1536" t="n">
        <f aca="false">IF(O14="Y",D14*(1+K$71)*BQ14,0)</f>
        <v>0</v>
      </c>
      <c r="BQ14" s="1538" t="n">
        <f aca="false">G14</f>
        <v>1</v>
      </c>
      <c r="BR14" s="1411" t="n">
        <f aca="false">IF(O14="y",D14,0)</f>
        <v>0</v>
      </c>
      <c r="BS14" s="1567" t="n">
        <f aca="false">IF($I14=1,$Q14,0)*BQ14</f>
        <v>182.185864197531</v>
      </c>
      <c r="BT14" s="1536" t="n">
        <f aca="false">IF($I14=2,$Q14,0)*BQ14</f>
        <v>0</v>
      </c>
      <c r="BU14" s="1536" t="n">
        <f aca="false">IF($I14=3,$Q14,0)*BQ14</f>
        <v>0</v>
      </c>
      <c r="BV14" s="1536" t="n">
        <f aca="false">IF($I14=4,$Q14,0)*BQ14</f>
        <v>0</v>
      </c>
      <c r="BW14" s="1536" t="n">
        <f aca="false">IF($I14=5,$Q14,0)*BQ14</f>
        <v>0</v>
      </c>
      <c r="BX14" s="1536" t="n">
        <f aca="false">IF($I14=6,$Q14,0)*$BQ14</f>
        <v>0</v>
      </c>
      <c r="BY14" s="1536" t="n">
        <f aca="false">IF($I14=7,$Q14,0)*$BQ14</f>
        <v>0</v>
      </c>
      <c r="BZ14" s="1536" t="n">
        <f aca="false">IF($I14=8,$Q14,0)*$BQ14</f>
        <v>0</v>
      </c>
      <c r="CA14" s="1536" t="n">
        <f aca="false">IF($I14=9,$Q14,0)*$BQ14</f>
        <v>0</v>
      </c>
      <c r="CB14" s="1568" t="n">
        <f aca="false">IF($I14=10,$Q14,0)*$BQ14</f>
        <v>0</v>
      </c>
      <c r="CC14" s="1538" t="n">
        <f aca="false">SUM(BS14:BX14)</f>
        <v>182.185864197531</v>
      </c>
      <c r="CD14" s="1538" t="n">
        <f aca="false">IF(H14="N",0,D14)*BQ14</f>
        <v>5503</v>
      </c>
      <c r="CE14" s="1538" t="n">
        <f aca="false">K14*BQ14</f>
        <v>357</v>
      </c>
      <c r="CF14" s="1542" t="n">
        <f aca="false">ROUND(IF(W14="",0,LOOKUP(W14,B$49:B$59,D$49:D$59)*X14/12),0)</f>
        <v>41</v>
      </c>
      <c r="CG14" s="1542" t="n">
        <f aca="false">ROUND(IF(Y14="",0,LOOKUP(Y14,B$49:B$59,D$49:D$59)*Z14/12),0)</f>
        <v>0</v>
      </c>
      <c r="CH14" s="1542" t="n">
        <f aca="false">ROUND(IF(AA14="",0,LOOKUP(AA14,B$49:B$59,D$49:D$59)*AB14/12),0)</f>
        <v>0</v>
      </c>
      <c r="CI14" s="1538" t="n">
        <f aca="false">D14*BQ14</f>
        <v>5503</v>
      </c>
      <c r="CJ14" s="1538" t="n">
        <f aca="false">D14*J14/324*(1+K$73)*G14</f>
        <v>33.9691358024691</v>
      </c>
      <c r="CK14" s="1538" t="str">
        <f aca="false">IF(N14="","",N14)</f>
        <v/>
      </c>
      <c r="CL14" s="1538" t="n">
        <f aca="false">P14*BQ14</f>
        <v>5207.84995644375</v>
      </c>
      <c r="CM14" s="1543" t="n">
        <f aca="false">IF(BQ14=0,0,SUM(CN14:DE14)/BQ14)</f>
        <v>59285.0222623227</v>
      </c>
      <c r="CN14" s="656" t="n">
        <f aca="false">(BS14*Pricing!F$3+BT14*Pricing!G$3+BU14*Pricing!H$3+BV14*Pricing!I$3+BW14*Pricing!J$3+BX14*Pricing!K$3+BY14*Pricing!L$3+BZ14*Pricing!M$3+CA14*Pricing!N$3+CB14*Pricing!O$3)*IF(W$44="N",(1+Y$44),1)</f>
        <v>26426.9705311728</v>
      </c>
      <c r="CO14" s="656" t="n">
        <f aca="false">BN14*G$70*IF(W$44="n",1+Y$44,1)</f>
        <v>3382.49854671022</v>
      </c>
      <c r="CP14" s="1544" t="n">
        <f aca="false">C14*D14</f>
        <v>0</v>
      </c>
      <c r="CQ14" s="656" t="n">
        <f aca="false">IF(I$79=0,0,D14*(SUM(O$79:P$82)+O$85)/I$79*BQ14)</f>
        <v>10180.55</v>
      </c>
      <c r="CR14" s="656" t="n">
        <f aca="false">IF(CF14="",0,CF14*E$83)+IF(CG14="",0,CG14*E$83)+IF(CH14="",0,CH14*E$83)</f>
        <v>328</v>
      </c>
      <c r="CS14" s="656"/>
      <c r="CT14" s="1545" t="n">
        <f aca="false">(U14/2000)*E$87</f>
        <v>656.35999128875</v>
      </c>
      <c r="CU14" s="656" t="n">
        <f aca="false">IF(I$79=0,0,D14*(O$88)/I$79*BQ14)</f>
        <v>0</v>
      </c>
      <c r="CV14" s="656" t="n">
        <f aca="false">IF(D$42=0,0,SUM(O$91:P$94)/D$42*D14)*BQ14</f>
        <v>1745.4828125</v>
      </c>
      <c r="CW14" s="656" t="n">
        <f aca="false">IF(D$42=0,0,SUM(Z$66:Z$97)/D$42*D14*BQ14)</f>
        <v>4407.00965610147</v>
      </c>
      <c r="CX14" s="656" t="n">
        <f aca="false">IF(D$42=0,0,SUM(O$96:P$101)/D$42*D14)*BQ14</f>
        <v>2710.94451397414</v>
      </c>
      <c r="CY14" s="656" t="n">
        <f aca="false">IF(D$42=0,0,SUM(O$103:O$109)/D$42)*D14*BQ14</f>
        <v>3095.56439345797</v>
      </c>
      <c r="CZ14" s="656" t="n">
        <f aca="false">IF(I$79=0,0,IF(I$79=0,0,SUM(Z$98:Z$109)/I$79*D14))</f>
        <v>368.904204463025</v>
      </c>
      <c r="DA14" s="656" t="n">
        <f aca="false">IF(J$72&gt;0,J$72/D$42*D14*G14,CD14*(G$72*IF(W$44="n",(1+Y$44),1)))</f>
        <v>5063.447875</v>
      </c>
      <c r="DB14" s="656" t="n">
        <f aca="false">IF(CK14="",0,CK14*E$86)</f>
        <v>0</v>
      </c>
      <c r="DC14" s="656" t="n">
        <f aca="false">BP14*G$71*IF(W$44="Y",1,1+Y$44)</f>
        <v>0</v>
      </c>
      <c r="DD14" s="656" t="n">
        <f aca="false">CJ14*G$73*IF(W$44="Y",1,1+Y$44)</f>
        <v>919.289737654321</v>
      </c>
      <c r="DE14" s="1546" t="n">
        <f aca="false">O$110/I$79*D14</f>
        <v>0</v>
      </c>
      <c r="DF14" s="654" t="n">
        <f aca="false">IF(W14=1,X14*$AS$49,0)+IF(W14=2,X14*$AS$50,0)+IF(W14=3,X14*$AS$51,0)+IF(W14=4,X14*$AS$52,0)+IF(W14=5,X14*$AS$53,0)+IF(W14=6,X14*$AS$54)+IF(W14=7,X14*$AS$55)+IF(W14=8,X14*$AS$56)+IF(W14=9,X14*$AS$57)+IF(W14=10,X14*$AS$58)+IF(W14=11,X14*$AS$59,0)</f>
        <v>82</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1904</v>
      </c>
      <c r="DJ14" s="654" t="n">
        <f aca="false">IF(AE14=1,AF14*$AS$49,0)+IF(AE14=2,AF14*$AS$50,0)+IF(AE14=3,AF14*$AS$51,0)+IF(AE14=4,AF14*$AS$52,0)+IF(AE14=5,AF14*$AS$53,0)+IF(AE14=6,AF14*$AS$54)+IF(AE14=7,AF14*$AS$55)+IF(AE14=8,AF14*$AS$56)+IF(AE14=9,AF14*$AS$57)+IF(AE14=10,AF14*$AS$58)+IF(AE14=11,AF14*$AS$59,0)</f>
        <v>3665</v>
      </c>
      <c r="DK14" s="654" t="n">
        <f aca="false">IF(AG14=1,AH14*$AS$49,0)+IF(AG14=2,AH14*$AS$50,0)+IF(AG14=3,AH14*$AS$51,0)+IF(AG14=4,AH14*$AS$52,0)+IF(AG14=5,AH14*$AS$53,0)+IF(AG14=6,AH14*$AS$54)+IF(AG14=7,AH14*$AS$55)+IF(AG14=8,AH14*$AS$56)+IF(AG14=9,AH14*$AS$57)+IF(AG14=10,AH14*$AS$58)+IF(AG14=11,AH14*$AS$59,0)</f>
        <v>530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261.333333333333</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569" t="n">
        <f aca="false">D14</f>
        <v>5503</v>
      </c>
      <c r="DQ14" s="1430" t="n">
        <f aca="false">IF(AC14="","",LOOKUP(AC14,$B$49:$B$59,$S$49:$S$59)*AD14)</f>
        <v>24.2407407407407</v>
      </c>
      <c r="DR14" s="1430" t="n">
        <f aca="false">IF(AE14="","",LOOKUP(AE14,$B$49:$B$59,$S$49:$S$59)*AF14)</f>
        <v>37.7057613168724</v>
      </c>
      <c r="DS14" s="1430" t="n">
        <f aca="false">IF(AG14="","",LOOKUP(AG14,$B$49:$B$59,$S$49:$S$59)*AH14)</f>
        <v>5.45267489711934</v>
      </c>
      <c r="DT14" s="1430" t="str">
        <f aca="false">IF(AI14="","",LOOKUP(AI14,$B$49:$B$59,$S$49:$S$59)*AJ14)</f>
        <v/>
      </c>
      <c r="DU14" s="1430" t="n">
        <f aca="false">IF(AK14="","",LOOKUP(AK14,$B$49:$B$59,$S$49:$S$59)*AL14)</f>
        <v>1.66358024691358</v>
      </c>
      <c r="DV14" s="1430" t="str">
        <f aca="false">IF(AM14="","",LOOKUP(AM14,$B$49:$B$59,$S$49:$S$59)*AN14)</f>
        <v/>
      </c>
      <c r="DW14" s="1430" t="str">
        <f aca="false">IF(AO14="","",LOOKUP(AO14,$B$49:$B$59,$S$49:$S$59)*AP14)</f>
        <v/>
      </c>
      <c r="DX14" s="1535" t="n">
        <f aca="false">SUM(DQ14:DW14)-(D14-EF14)*(S$45-F14)/324</f>
        <v>-12.832304526749</v>
      </c>
      <c r="DY14" s="1430" t="n">
        <f aca="false">IF(AC14="","",LOOKUP(AC14,$B$49:$B$59,$T$49:$T$59)*AD14)</f>
        <v>357</v>
      </c>
      <c r="DZ14" s="1430" t="n">
        <f aca="false">IF(AE14="","",LOOKUP(AE14,$B$49:$B$59,$T$49:$T$59)*AF14)</f>
        <v>610.833333333333</v>
      </c>
      <c r="EA14" s="1430" t="n">
        <f aca="false">IF(AG14="","",LOOKUP(AG14,$B$49:$B$59,$T$49:$T$59)*AH14)</f>
        <v>88.3333333333333</v>
      </c>
      <c r="EB14" s="1430" t="str">
        <f aca="false">IF(AI14="","",LOOKUP(AI14,$B$49:$B$59,$T$49:$T$59)*AJ14)</f>
        <v/>
      </c>
      <c r="EC14" s="1430" t="n">
        <f aca="false">IF(AK14="","",LOOKUP(AK14,$B$49:$B$59,$T$49:$T$59)*AL14)</f>
        <v>24.5</v>
      </c>
      <c r="ED14" s="1430" t="str">
        <f aca="false">IF(AM14="","",LOOKUP(AM14,$B$49:$B$59,$T$49:$T$59)*AN14)</f>
        <v/>
      </c>
      <c r="EE14" s="1430" t="str">
        <f aca="false">IF(AO14="","",LOOKUP(AO14,$B$49:$B$59,$T$49:$T$59)*AP14)</f>
        <v/>
      </c>
      <c r="EF14" s="1535" t="n">
        <f aca="false">SUM(DY14:EE14)</f>
        <v>1080.66666666667</v>
      </c>
    </row>
    <row r="15" customFormat="false" ht="19.5" hidden="false" customHeight="true" outlineLevel="0" collapsed="false">
      <c r="A15" s="16" t="s">
        <v>1073</v>
      </c>
      <c r="B15" s="1549" t="s">
        <v>1558</v>
      </c>
      <c r="C15" s="1550"/>
      <c r="D15" s="1551" t="n">
        <v>3478</v>
      </c>
      <c r="E15" s="1552"/>
      <c r="F15" s="1074" t="n">
        <v>4</v>
      </c>
      <c r="G15" s="1553" t="n">
        <v>1</v>
      </c>
      <c r="H15" s="1074" t="s">
        <v>1302</v>
      </c>
      <c r="I15" s="1553" t="n">
        <v>1</v>
      </c>
      <c r="J15" s="1074" t="n">
        <v>2</v>
      </c>
      <c r="K15" s="1554" t="n">
        <v>344</v>
      </c>
      <c r="L15" s="1555"/>
      <c r="M15" s="1556"/>
      <c r="N15" s="1557"/>
      <c r="O15" s="1558"/>
      <c r="P15" s="1515" t="n">
        <f aca="false">IF(BQ15=0,0,BN15/BQ15)</f>
        <v>4872.19866542578</v>
      </c>
      <c r="Q15" s="1516" t="n">
        <f aca="false">(D15*F15/324)*(1+K$65)+BB15</f>
        <v>133.962407407407</v>
      </c>
      <c r="R15" s="1517" t="n">
        <f aca="false">IF(D15=0,0,S15/D15)</f>
        <v>14.2359162356668</v>
      </c>
      <c r="S15" s="1518" t="n">
        <f aca="false">SUM(CM15-DE15)*(1+M$45)</f>
        <v>49512.5166676491</v>
      </c>
      <c r="T15" s="1519" t="n">
        <f aca="false">CF15+CG15+CH15</f>
        <v>215</v>
      </c>
      <c r="U15" s="1520" t="n">
        <f aca="false">IF(P15-(D15*0.35)&lt;0,0,P15-(D15*0.35))</f>
        <v>3654.89866542578</v>
      </c>
      <c r="V15" s="1521" t="n">
        <f aca="false">IF(D15="",0,IF(D15/-30+Q15&lt;1,0,D15/-30+Q15))</f>
        <v>18.0290740740741</v>
      </c>
      <c r="W15" s="1559" t="n">
        <v>9</v>
      </c>
      <c r="X15" s="1560" t="n">
        <v>215</v>
      </c>
      <c r="Y15" s="528"/>
      <c r="Z15" s="1574"/>
      <c r="AA15" s="528"/>
      <c r="AB15" s="1574"/>
      <c r="AC15" s="1562" t="n">
        <v>1</v>
      </c>
      <c r="AD15" s="1560" t="n">
        <v>344</v>
      </c>
      <c r="AE15" s="1559" t="n">
        <v>2</v>
      </c>
      <c r="AF15" s="1563" t="n">
        <v>427</v>
      </c>
      <c r="AG15" s="1564" t="n">
        <v>3</v>
      </c>
      <c r="AH15" s="1563" t="n">
        <v>68</v>
      </c>
      <c r="AI15" s="1565"/>
      <c r="AJ15" s="1560"/>
      <c r="AK15" s="1576" t="n">
        <v>5</v>
      </c>
      <c r="AL15" s="1563" t="n">
        <v>67</v>
      </c>
      <c r="AM15" s="528"/>
      <c r="AN15" s="1575"/>
      <c r="AO15" s="528"/>
      <c r="AP15" s="1574"/>
      <c r="AQ15" s="1435" t="n">
        <f aca="false">D15/Q15</f>
        <v>25.9625074475012</v>
      </c>
      <c r="AR15" s="1533" t="n">
        <f aca="false">IF(W15="","",LOOKUP(W15,$B$49:$B$59,$R$49:$R$59)*X15)</f>
        <v>8.44074074074074</v>
      </c>
      <c r="AS15" s="1430" t="str">
        <f aca="false">IF(Y15="","",LOOKUP(Y15,$B$49:$B$59,$R$49:$R$59)*Z15)</f>
        <v/>
      </c>
      <c r="AT15" s="1430" t="str">
        <f aca="false">IF(AB15="","",LOOKUP(AA15,$B$49:$B$59,$R$49:$R$59)*AB15)</f>
        <v/>
      </c>
      <c r="AU15" s="1430" t="n">
        <f aca="false">IF(AC15="","",LOOKUP(AC15,$B$49:$B$59,$R$49:$R$59)*AD15)</f>
        <v>36.0138271604938</v>
      </c>
      <c r="AV15" s="1430" t="n">
        <f aca="false">IF(AE15="","",LOOKUP(AE15,$B$49:$B$59,$R$49:$R$59)*AF15)</f>
        <v>34.9243827160494</v>
      </c>
      <c r="AW15" s="1430" t="n">
        <f aca="false">IF(AG15="","",LOOKUP(AG15,$B$49:$B$59,$R$49:$R$59)*AH15)</f>
        <v>5.56172839506173</v>
      </c>
      <c r="AX15" s="1430" t="str">
        <f aca="false">IF(AI15="","",LOOKUP(AI15,$B$49:$B$59,$R$49:$R$59)*AJ15)</f>
        <v/>
      </c>
      <c r="AY15" s="1430" t="n">
        <f aca="false">IF(AK15="","",LOOKUP(AK15,$B$49:$B$59,$R$49:$R$59)*AL15)</f>
        <v>3.50716049382716</v>
      </c>
      <c r="AZ15" s="1430" t="str">
        <f aca="false">IF(AM15="","",LOOKUP(AM15,$B$49:$B$59,$R$49:$R$59)*AN15)</f>
        <v/>
      </c>
      <c r="BA15" s="1430" t="str">
        <f aca="false">IF(AO15="","",LOOKUP(AO15,$B$49:$B$59,$R$49:$R$59)*AP15)</f>
        <v/>
      </c>
      <c r="BB15" s="1535" t="n">
        <f aca="false">SUM(AR15:BA15)</f>
        <v>88.4478395061728</v>
      </c>
      <c r="BC15" s="1533" t="n">
        <f aca="false">IF(W15="","",LOOKUP(W15,$B$49:$B$59,$P$49:$P$59)*X15)</f>
        <v>1253.63349813281</v>
      </c>
      <c r="BD15" s="1430" t="str">
        <f aca="false">IF(Y15="","",LOOKUP(Y15,$B$49:$B$59,$P$49:$P$59)*Z15)</f>
        <v/>
      </c>
      <c r="BE15" s="1430" t="str">
        <f aca="false">IF(AA15="","",LOOKUP(AA15,$B$49:$B$59,$P$49:$P$59)*AB15)</f>
        <v/>
      </c>
      <c r="BF15" s="1430" t="n">
        <f aca="false">IF(AC15="","",LOOKUP(AC15,$B$49:$B$59,$P$49:$P$59)*AD15)</f>
        <v>1311.40589476875</v>
      </c>
      <c r="BG15" s="1430" t="n">
        <f aca="false">IF(AE15="","",LOOKUP(AE15,$B$49:$B$59,$P$49:$P$59)*AF15)</f>
        <v>1568.90784741797</v>
      </c>
      <c r="BH15" s="1430" t="n">
        <f aca="false">IF(AG15="","",LOOKUP(AG15,$B$49:$B$59,$P$49:$P$59)*AH15)</f>
        <v>452.78946384375</v>
      </c>
      <c r="BI15" s="1430" t="str">
        <f aca="false">IF(AI15="","",LOOKUP(AI15,$B$49:$B$59,$P$49:$P$59)*AJ15)</f>
        <v/>
      </c>
      <c r="BJ15" s="1430" t="n">
        <f aca="false">IF(AK15="","",LOOKUP(AK15,$B$49:$B$59,$P$49:$P$59)*AL15)</f>
        <v>285.4619612625</v>
      </c>
      <c r="BK15" s="1430" t="str">
        <f aca="false">IF(AM15="","",LOOKUP(AM15,$B$49:$B$59,$P$49:$P$59)*AN15)</f>
        <v/>
      </c>
      <c r="BL15" s="1430" t="str">
        <f aca="false">IF(AO15="","",LOOKUP(AO15,$B$49:$B$59,$P$49:$P$59)*AP15)</f>
        <v/>
      </c>
      <c r="BM15" s="1535" t="n">
        <f aca="false">SUM(BC15:BL15)*BQ15</f>
        <v>4872.19866542578</v>
      </c>
      <c r="BN15" s="1536" t="n">
        <f aca="false">BM15+BO15</f>
        <v>4872.19866542578</v>
      </c>
      <c r="BO15" s="1536" t="n">
        <f aca="false">IF(M15=0,0,(M15/12+M15/12)/(M15/12*M15/12)*D15*((L15/16*L15/16)*10.6870159))*(1+K$70)*BQ15</f>
        <v>0</v>
      </c>
      <c r="BP15" s="1536" t="n">
        <f aca="false">IF(O15="Y",D15*(1+K$71)*BQ15,0)</f>
        <v>0</v>
      </c>
      <c r="BQ15" s="1538" t="n">
        <f aca="false">G15</f>
        <v>1</v>
      </c>
      <c r="BR15" s="1411" t="n">
        <f aca="false">IF(O15="y",D15,0)</f>
        <v>0</v>
      </c>
      <c r="BS15" s="1567" t="n">
        <f aca="false">IF($I15=1,$Q15,0)*BQ15</f>
        <v>133.962407407407</v>
      </c>
      <c r="BT15" s="1536" t="n">
        <f aca="false">IF($I15=2,$Q15,0)*BQ15</f>
        <v>0</v>
      </c>
      <c r="BU15" s="1536" t="n">
        <f aca="false">IF($I15=3,$Q15,0)*BQ15</f>
        <v>0</v>
      </c>
      <c r="BV15" s="1536" t="n">
        <f aca="false">IF($I15=4,$Q15,0)*BQ15</f>
        <v>0</v>
      </c>
      <c r="BW15" s="1536" t="n">
        <f aca="false">IF($I15=5,$Q15,0)*BQ15</f>
        <v>0</v>
      </c>
      <c r="BX15" s="1536" t="n">
        <f aca="false">IF($I15=6,$Q15,0)*$BQ15</f>
        <v>0</v>
      </c>
      <c r="BY15" s="1536" t="n">
        <f aca="false">IF($I15=7,$Q15,0)*$BQ15</f>
        <v>0</v>
      </c>
      <c r="BZ15" s="1536" t="n">
        <f aca="false">IF($I15=8,$Q15,0)*$BQ15</f>
        <v>0</v>
      </c>
      <c r="CA15" s="1536" t="n">
        <f aca="false">IF($I15=9,$Q15,0)*$BQ15</f>
        <v>0</v>
      </c>
      <c r="CB15" s="1568" t="n">
        <f aca="false">IF($I15=10,$Q15,0)*$BQ15</f>
        <v>0</v>
      </c>
      <c r="CC15" s="1538" t="n">
        <f aca="false">SUM(BS15:BX15)</f>
        <v>133.962407407407</v>
      </c>
      <c r="CD15" s="1538" t="n">
        <f aca="false">IF(H15="N",0,D15)*BQ15</f>
        <v>3478</v>
      </c>
      <c r="CE15" s="1538" t="n">
        <f aca="false">K15*BQ15</f>
        <v>344</v>
      </c>
      <c r="CF15" s="1542" t="n">
        <f aca="false">ROUND(IF(W15="",0,LOOKUP(W15,B$49:B$59,D$49:D$59)*X15/12),0)</f>
        <v>215</v>
      </c>
      <c r="CG15" s="1542" t="n">
        <f aca="false">ROUND(IF(Y15="",0,LOOKUP(Y15,B$49:B$59,D$49:D$59)*Z15/12),0)</f>
        <v>0</v>
      </c>
      <c r="CH15" s="1542" t="n">
        <f aca="false">ROUND(IF(AA15="",0,LOOKUP(AA15,B$49:B$59,D$49:D$59)*AB15/12),0)</f>
        <v>0</v>
      </c>
      <c r="CI15" s="1538" t="n">
        <f aca="false">D15*BQ15</f>
        <v>3478</v>
      </c>
      <c r="CJ15" s="1538" t="n">
        <f aca="false">D15*J15/324*(1+K$73)*G15</f>
        <v>21.4691358024691</v>
      </c>
      <c r="CK15" s="1538" t="str">
        <f aca="false">IF(N15="","",N15)</f>
        <v/>
      </c>
      <c r="CL15" s="1538" t="n">
        <f aca="false">P15*BQ15</f>
        <v>4872.19866542578</v>
      </c>
      <c r="CM15" s="1543" t="n">
        <f aca="false">IF(BQ15=0,0,SUM(CN15:DE15)/BQ15)</f>
        <v>43054.3623196949</v>
      </c>
      <c r="CN15" s="656" t="n">
        <f aca="false">(BS15*Pricing!F$3+BT15*Pricing!G$3+BU15*Pricing!H$3+BV15*Pricing!I$3+BW15*Pricing!J$3+BX15*Pricing!K$3+BY15*Pricing!L$3+BZ15*Pricing!M$3+CA15*Pricing!N$3+CB15*Pricing!O$3)*IF(W$44="N",(1+Y$44),1)</f>
        <v>19431.9170064815</v>
      </c>
      <c r="CO15" s="656" t="n">
        <f aca="false">BN15*G$70*IF(W$44="n",1+Y$44,1)</f>
        <v>3164.49303319405</v>
      </c>
      <c r="CP15" s="1544" t="n">
        <f aca="false">C15*D15</f>
        <v>0</v>
      </c>
      <c r="CQ15" s="656" t="n">
        <f aca="false">IF(I$79=0,0,D15*(SUM(O$79:P$82)+O$85)/I$79*BQ15)</f>
        <v>6434.3</v>
      </c>
      <c r="CR15" s="656" t="n">
        <f aca="false">IF(CF15="",0,CF15*E$83)+IF(CG15="",0,CG15*E$83)+IF(CH15="",0,CH15*E$83)</f>
        <v>1720</v>
      </c>
      <c r="CS15" s="656"/>
      <c r="CT15" s="1545" t="n">
        <f aca="false">(U15/2000)*E$87</f>
        <v>730.979733085156</v>
      </c>
      <c r="CU15" s="656" t="n">
        <f aca="false">IF(I$79=0,0,D15*(O$88)/I$79*BQ15)</f>
        <v>0</v>
      </c>
      <c r="CV15" s="656" t="n">
        <f aca="false">IF(D$42=0,0,SUM(O$91:P$94)/D$42*D15)*BQ15</f>
        <v>1103.178125</v>
      </c>
      <c r="CW15" s="656" t="n">
        <f aca="false">IF(D$42=0,0,SUM(Z$66:Z$97)/D$42*D15*BQ15)</f>
        <v>2785.31338977301</v>
      </c>
      <c r="CX15" s="656" t="n">
        <f aca="false">IF(D$42=0,0,SUM(O$96:P$101)/D$42*D15)*BQ15</f>
        <v>1713.36816638235</v>
      </c>
      <c r="CY15" s="656" t="n">
        <f aca="false">IF(D$42=0,0,SUM(O$103:O$109)/D$42)*D15*BQ15</f>
        <v>1956.45519906357</v>
      </c>
      <c r="CZ15" s="656" t="n">
        <f aca="false">IF(I$79=0,0,IF(I$79=0,0,SUM(Z$98:Z$109)/I$79*D15))</f>
        <v>233.154429060949</v>
      </c>
      <c r="DA15" s="656" t="n">
        <f aca="false">IF(J$72&gt;0,J$72/D$42*D15*G15,CD15*(G$72*IF(W$44="n",(1+Y$44),1)))</f>
        <v>3200.19475</v>
      </c>
      <c r="DB15" s="656" t="n">
        <f aca="false">IF(CK15="",0,CK15*E$86)</f>
        <v>0</v>
      </c>
      <c r="DC15" s="656" t="n">
        <f aca="false">BP15*G$71*IF(W$44="Y",1,1+Y$44)</f>
        <v>0</v>
      </c>
      <c r="DD15" s="656" t="n">
        <f aca="false">CJ15*G$73*IF(W$44="Y",1,1+Y$44)</f>
        <v>581.008487654321</v>
      </c>
      <c r="DE15" s="1546" t="n">
        <f aca="false">O$110/I$79*D15</f>
        <v>0</v>
      </c>
      <c r="DF15" s="654" t="n">
        <f aca="false">IF(W15=1,X15*$AS$49,0)+IF(W15=2,X15*$AS$50,0)+IF(W15=3,X15*$AS$51,0)+IF(W15=4,X15*$AS$52,0)+IF(W15=5,X15*$AS$53,0)+IF(W15=6,X15*$AS$54)+IF(W15=7,X15*$AS$55)+IF(W15=8,X15*$AS$56)+IF(W15=9,X15*$AS$57)+IF(W15=10,X15*$AS$58)+IF(W15=11,X15*$AS$59,0)</f>
        <v>430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1834.66666666667</v>
      </c>
      <c r="DJ15" s="654" t="n">
        <f aca="false">IF(AE15=1,AF15*$AS$49,0)+IF(AE15=2,AF15*$AS$50,0)+IF(AE15=3,AF15*$AS$51,0)+IF(AE15=4,AF15*$AS$52,0)+IF(AE15=5,AF15*$AS$53,0)+IF(AE15=6,AF15*$AS$54)+IF(AE15=7,AF15*$AS$55)+IF(AE15=8,AF15*$AS$56)+IF(AE15=9,AF15*$AS$57)+IF(AE15=10,AF15*$AS$58)+IF(AE15=11,AF15*$AS$59,0)</f>
        <v>2135</v>
      </c>
      <c r="DK15" s="654" t="n">
        <f aca="false">IF(AG15=1,AH15*$AS$49,0)+IF(AG15=2,AH15*$AS$50,0)+IF(AG15=3,AH15*$AS$51,0)+IF(AG15=4,AH15*$AS$52,0)+IF(AG15=5,AH15*$AS$53,0)+IF(AG15=6,AH15*$AS$54)+IF(AG15=7,AH15*$AS$55)+IF(AG15=8,AH15*$AS$56)+IF(AG15=9,AH15*$AS$57)+IF(AG15=10,AH15*$AS$58)+IF(AG15=11,AH15*$AS$59,0)</f>
        <v>340</v>
      </c>
      <c r="DL15" s="654" t="n">
        <f aca="false">IF(AI15=1,AJ15*$AS$49,0)+IF(AI15=2,AJ15*$AS$50,0)+IF(AI15=3,AJ15*$AS$51,0)+IF(AI15=4,AJ15*$AS$52,0)+IF(AI15=5,AJ15*$AS$53,0)+IF(AI15=6,AJ15*$AS$54)+IF(AI15=7,AJ15*$AS$55)+IF(AI15=8,AJ15*$AS$56)+IF(AI15=9,AJ15*$AS$57)+IF(AI15=10,AJ15*$AS$58)+IF(AI15=11,AJ15*$AS$59,0)</f>
        <v>0</v>
      </c>
      <c r="DM15" s="654" t="n">
        <f aca="false">IF(AK15=1,AL15*$AS$49,0)+IF(AK15=2,AL15*$AS$50,0)+IF(AK15=3,AL15*$AS$51,0)+IF(AK15=4,AL15*$AS$52,0)+IF(AK15=5,AL15*$AS$53,0)+IF(AK15=6,AL15*$AS$54)+IF(AK15=7,AL15*$AS$55)+IF(AK15=8,AL15*$AS$56)+IF(AK15=9,AL15*$AS$57)+IF(AK15=10,AL15*$AS$58)+IF(AK15=11,AL15*$AS$59,0)</f>
        <v>357.333333333333</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569" t="n">
        <f aca="false">D15</f>
        <v>3478</v>
      </c>
      <c r="DQ15" s="1430" t="n">
        <f aca="false">IF(AC15="","",LOOKUP(AC15,$B$49:$B$59,$S$49:$S$59)*AD15)</f>
        <v>23.358024691358</v>
      </c>
      <c r="DR15" s="1430" t="n">
        <f aca="false">IF(AE15="","",LOOKUP(AE15,$B$49:$B$59,$S$49:$S$59)*AF15)</f>
        <v>21.9650205761317</v>
      </c>
      <c r="DS15" s="1430" t="n">
        <f aca="false">IF(AG15="","",LOOKUP(AG15,$B$49:$B$59,$S$49:$S$59)*AH15)</f>
        <v>3.49794238683128</v>
      </c>
      <c r="DT15" s="1430" t="str">
        <f aca="false">IF(AI15="","",LOOKUP(AI15,$B$49:$B$59,$S$49:$S$59)*AJ15)</f>
        <v/>
      </c>
      <c r="DU15" s="1430" t="n">
        <f aca="false">IF(AK15="","",LOOKUP(AK15,$B$49:$B$59,$S$49:$S$59)*AL15)</f>
        <v>2.27469135802469</v>
      </c>
      <c r="DV15" s="1430" t="str">
        <f aca="false">IF(AM15="","",LOOKUP(AM15,$B$49:$B$59,$S$49:$S$59)*AN15)</f>
        <v/>
      </c>
      <c r="DW15" s="1430" t="str">
        <f aca="false">IF(AO15="","",LOOKUP(AO15,$B$49:$B$59,$S$49:$S$59)*AP15)</f>
        <v/>
      </c>
      <c r="DX15" s="1535" t="n">
        <f aca="false">SUM(DQ15:DW15)-(D15-EF15)*(S$45-F15)/324</f>
        <v>1.3179012345679</v>
      </c>
      <c r="DY15" s="1430" t="n">
        <f aca="false">IF(AC15="","",LOOKUP(AC15,$B$49:$B$59,$T$49:$T$59)*AD15)</f>
        <v>344</v>
      </c>
      <c r="DZ15" s="1430" t="n">
        <f aca="false">IF(AE15="","",LOOKUP(AE15,$B$49:$B$59,$T$49:$T$59)*AF15)</f>
        <v>355.833333333333</v>
      </c>
      <c r="EA15" s="1430" t="n">
        <f aca="false">IF(AG15="","",LOOKUP(AG15,$B$49:$B$59,$T$49:$T$59)*AH15)</f>
        <v>56.6666666666667</v>
      </c>
      <c r="EB15" s="1430" t="str">
        <f aca="false">IF(AI15="","",LOOKUP(AI15,$B$49:$B$59,$T$49:$T$59)*AJ15)</f>
        <v/>
      </c>
      <c r="EC15" s="1430" t="n">
        <f aca="false">IF(AK15="","",LOOKUP(AK15,$B$49:$B$59,$T$49:$T$59)*AL15)</f>
        <v>33.5</v>
      </c>
      <c r="ED15" s="1430" t="str">
        <f aca="false">IF(AM15="","",LOOKUP(AM15,$B$49:$B$59,$T$49:$T$59)*AN15)</f>
        <v/>
      </c>
      <c r="EE15" s="1430" t="str">
        <f aca="false">IF(AO15="","",LOOKUP(AO15,$B$49:$B$59,$T$49:$T$59)*AP15)</f>
        <v/>
      </c>
      <c r="EF15" s="1535" t="n">
        <f aca="false">SUM(DY15:EE15)</f>
        <v>790</v>
      </c>
    </row>
    <row r="16" customFormat="false" ht="18" hidden="false" customHeight="true" outlineLevel="0" collapsed="false">
      <c r="A16" s="16" t="s">
        <v>1074</v>
      </c>
      <c r="B16" s="1505" t="s">
        <v>1559</v>
      </c>
      <c r="C16" s="1506"/>
      <c r="D16" s="1507" t="n">
        <v>3875</v>
      </c>
      <c r="E16" s="1508"/>
      <c r="F16" s="1074" t="n">
        <v>4</v>
      </c>
      <c r="G16" s="1553" t="n">
        <v>1</v>
      </c>
      <c r="H16" s="1074" t="s">
        <v>1302</v>
      </c>
      <c r="I16" s="1553" t="n">
        <v>1</v>
      </c>
      <c r="J16" s="1074" t="n">
        <v>2</v>
      </c>
      <c r="K16" s="1510" t="n">
        <v>285</v>
      </c>
      <c r="L16" s="528"/>
      <c r="M16" s="895"/>
      <c r="N16" s="1513"/>
      <c r="O16" s="1514"/>
      <c r="P16" s="1515" t="n">
        <f aca="false">IF(BQ16=0,0,BN16/BQ16)</f>
        <v>4089.44845956797</v>
      </c>
      <c r="Q16" s="1516" t="n">
        <f aca="false">(D16*F16/324)*(1+K$65)+BB16</f>
        <v>135.058395061728</v>
      </c>
      <c r="R16" s="1517" t="n">
        <f aca="false">IF(D16=0,0,S16/D16)</f>
        <v>12.936989398506</v>
      </c>
      <c r="S16" s="1518" t="n">
        <f aca="false">SUM(CM16-DE16)*(1+M$45)</f>
        <v>50130.8339192107</v>
      </c>
      <c r="T16" s="1519" t="n">
        <f aca="false">CF16+CG16+CH16</f>
        <v>92</v>
      </c>
      <c r="U16" s="1520" t="n">
        <f aca="false">IF(P16-(D16*0.35)&lt;0,0,P16-(D16*0.35))</f>
        <v>2733.19845956797</v>
      </c>
      <c r="V16" s="1521" t="n">
        <f aca="false">IF(D16="",0,IF(D16/-30+Q16&lt;1,0,D16/-30+Q16))</f>
        <v>5.89172839506176</v>
      </c>
      <c r="W16" s="528" t="n">
        <v>9</v>
      </c>
      <c r="X16" s="1526" t="n">
        <v>92</v>
      </c>
      <c r="Y16" s="1511"/>
      <c r="Z16" s="1524"/>
      <c r="AA16" s="1511"/>
      <c r="AB16" s="1524"/>
      <c r="AC16" s="1525" t="n">
        <v>1</v>
      </c>
      <c r="AD16" s="1526" t="n">
        <v>285</v>
      </c>
      <c r="AE16" s="1511" t="n">
        <v>2</v>
      </c>
      <c r="AF16" s="1527" t="n">
        <v>562</v>
      </c>
      <c r="AG16" s="1528" t="n">
        <v>3</v>
      </c>
      <c r="AH16" s="1527" t="n">
        <v>20</v>
      </c>
      <c r="AI16" s="1529"/>
      <c r="AJ16" s="1530"/>
      <c r="AK16" s="1531" t="n">
        <v>5</v>
      </c>
      <c r="AL16" s="1527" t="n">
        <v>63</v>
      </c>
      <c r="AM16" s="1511"/>
      <c r="AN16" s="1532"/>
      <c r="AO16" s="1511"/>
      <c r="AP16" s="1524"/>
      <c r="AQ16" s="1435" t="n">
        <f aca="false">D16/Q16</f>
        <v>28.6912931123529</v>
      </c>
      <c r="AR16" s="1533" t="n">
        <f aca="false">IF(W16="","",LOOKUP(W16,$B$49:$B$59,$R$49:$R$59)*X16)</f>
        <v>3.61185185185185</v>
      </c>
      <c r="AS16" s="1430" t="str">
        <f aca="false">IF(Y16="","",LOOKUP(Y16,$B$49:$B$59,$R$49:$R$59)*Z16)</f>
        <v/>
      </c>
      <c r="AT16" s="1430" t="str">
        <f aca="false">IF(AB16="","",LOOKUP(AA16,$B$49:$B$59,$R$49:$R$59)*AB16)</f>
        <v/>
      </c>
      <c r="AU16" s="1430" t="n">
        <f aca="false">IF(AC16="","",LOOKUP(AC16,$B$49:$B$59,$R$49:$R$59)*AD16)</f>
        <v>29.837037037037</v>
      </c>
      <c r="AV16" s="1430" t="n">
        <f aca="false">IF(AE16="","",LOOKUP(AE16,$B$49:$B$59,$R$49:$R$59)*AF16)</f>
        <v>45.9660493827161</v>
      </c>
      <c r="AW16" s="1430" t="n">
        <f aca="false">IF(AG16="","",LOOKUP(AG16,$B$49:$B$59,$R$49:$R$59)*AH16)</f>
        <v>1.6358024691358</v>
      </c>
      <c r="AX16" s="1430" t="str">
        <f aca="false">IF(AI16="","",LOOKUP(AI16,$B$49:$B$59,$R$49:$R$59)*AJ16)</f>
        <v/>
      </c>
      <c r="AY16" s="1430" t="n">
        <f aca="false">IF(AK16="","",LOOKUP(AK16,$B$49:$B$59,$R$49:$R$59)*AL16)</f>
        <v>3.29777777777778</v>
      </c>
      <c r="AZ16" s="1430" t="str">
        <f aca="false">IF(AM16="","",LOOKUP(AM16,$B$49:$B$59,$R$49:$R$59)*AN16)</f>
        <v/>
      </c>
      <c r="BA16" s="1430" t="str">
        <f aca="false">IF(AO16="","",LOOKUP(AO16,$B$49:$B$59,$R$49:$R$59)*AP16)</f>
        <v/>
      </c>
      <c r="BB16" s="1535" t="n">
        <f aca="false">SUM(AR16:BA16)</f>
        <v>84.3485185185185</v>
      </c>
      <c r="BC16" s="1533" t="n">
        <f aca="false">IF(W16="","",LOOKUP(W16,$B$49:$B$59,$P$49:$P$59)*X16)</f>
        <v>536.43852013125</v>
      </c>
      <c r="BD16" s="1430" t="str">
        <f aca="false">IF(Y16="","",LOOKUP(Y16,$B$49:$B$59,$P$49:$P$59)*Z16)</f>
        <v/>
      </c>
      <c r="BE16" s="1430" t="str">
        <f aca="false">IF(AA16="","",LOOKUP(AA16,$B$49:$B$59,$P$49:$P$59)*AB16)</f>
        <v/>
      </c>
      <c r="BF16" s="1430" t="n">
        <f aca="false">IF(AC16="","",LOOKUP(AC16,$B$49:$B$59,$P$49:$P$59)*AD16)</f>
        <v>1086.48453491016</v>
      </c>
      <c r="BG16" s="1430" t="n">
        <f aca="false">IF(AE16="","",LOOKUP(AE16,$B$49:$B$59,$P$49:$P$59)*AF16)</f>
        <v>2064.93257669531</v>
      </c>
      <c r="BH16" s="1430" t="n">
        <f aca="false">IF(AG16="","",LOOKUP(AG16,$B$49:$B$59,$P$49:$P$59)*AH16)</f>
        <v>133.17337171875</v>
      </c>
      <c r="BI16" s="1430" t="str">
        <f aca="false">IF(AI16="","",LOOKUP(AI16,$B$49:$B$59,$P$49:$P$59)*AJ16)</f>
        <v/>
      </c>
      <c r="BJ16" s="1430" t="n">
        <f aca="false">IF(AK16="","",LOOKUP(AK16,$B$49:$B$59,$P$49:$P$59)*AL16)</f>
        <v>268.4194561125</v>
      </c>
      <c r="BK16" s="1430" t="str">
        <f aca="false">IF(AM16="","",LOOKUP(AM16,$B$49:$B$59,$P$49:$P$59)*AN16)</f>
        <v/>
      </c>
      <c r="BL16" s="1430" t="str">
        <f aca="false">IF(AO16="","",LOOKUP(AO16,$B$49:$B$59,$P$49:$P$59)*AP16)</f>
        <v/>
      </c>
      <c r="BM16" s="1535" t="n">
        <f aca="false">SUM(BC16:BL16)*BQ16</f>
        <v>4089.44845956797</v>
      </c>
      <c r="BN16" s="1536" t="n">
        <f aca="false">BM16+BO16</f>
        <v>4089.44845956797</v>
      </c>
      <c r="BO16" s="1536" t="n">
        <f aca="false">IF(M16=0,0,(M16/12+M16/12)/(M16/12*M16/12)*D16*((L16/16*L16/16)*10.6870159))*(1+K$70)*BQ16</f>
        <v>0</v>
      </c>
      <c r="BP16" s="1536" t="n">
        <f aca="false">IF(O16="Y",D16*(1+K$71)*BQ16,0)</f>
        <v>0</v>
      </c>
      <c r="BQ16" s="1538" t="n">
        <f aca="false">G16</f>
        <v>1</v>
      </c>
      <c r="BR16" s="1411" t="n">
        <f aca="false">IF(O16="y",D16,0)</f>
        <v>0</v>
      </c>
      <c r="BS16" s="1567" t="n">
        <f aca="false">IF($I16=1,$Q16,0)*BQ16</f>
        <v>135.058395061728</v>
      </c>
      <c r="BT16" s="1536" t="n">
        <f aca="false">IF($I16=2,$Q16,0)*BQ16</f>
        <v>0</v>
      </c>
      <c r="BU16" s="1536" t="n">
        <f aca="false">IF($I16=3,$Q16,0)*BQ16</f>
        <v>0</v>
      </c>
      <c r="BV16" s="1536" t="n">
        <f aca="false">IF($I16=4,$Q16,0)*BQ16</f>
        <v>0</v>
      </c>
      <c r="BW16" s="1536" t="n">
        <f aca="false">IF($I16=5,$Q16,0)*BQ16</f>
        <v>0</v>
      </c>
      <c r="BX16" s="1536" t="n">
        <f aca="false">IF($I16=6,$Q16,0)*$BQ16</f>
        <v>0</v>
      </c>
      <c r="BY16" s="1536" t="n">
        <f aca="false">IF($I16=7,$Q16,0)*$BQ16</f>
        <v>0</v>
      </c>
      <c r="BZ16" s="1536" t="n">
        <f aca="false">IF($I16=8,$Q16,0)*$BQ16</f>
        <v>0</v>
      </c>
      <c r="CA16" s="1536" t="n">
        <f aca="false">IF($I16=9,$Q16,0)*$BQ16</f>
        <v>0</v>
      </c>
      <c r="CB16" s="1568" t="n">
        <f aca="false">IF($I16=10,$Q16,0)*$BQ16</f>
        <v>0</v>
      </c>
      <c r="CC16" s="1538" t="n">
        <f aca="false">SUM(BS16:BX16)</f>
        <v>135.058395061728</v>
      </c>
      <c r="CD16" s="1538" t="n">
        <f aca="false">IF(H16="N",0,D16)*BQ16</f>
        <v>3875</v>
      </c>
      <c r="CE16" s="1538" t="n">
        <f aca="false">K16*BQ16</f>
        <v>285</v>
      </c>
      <c r="CF16" s="1542" t="n">
        <f aca="false">ROUND(IF(W16="",0,LOOKUP(W16,B$49:B$59,D$49:D$59)*X16/12),0)</f>
        <v>92</v>
      </c>
      <c r="CG16" s="1542" t="n">
        <f aca="false">ROUND(IF(Y16="",0,LOOKUP(Y16,B$49:B$59,D$49:D$59)*Z16/12),0)</f>
        <v>0</v>
      </c>
      <c r="CH16" s="1542" t="n">
        <f aca="false">ROUND(IF(AA16="",0,LOOKUP(AA16,B$49:B$59,D$49:D$59)*AB16/12),0)</f>
        <v>0</v>
      </c>
      <c r="CI16" s="1538" t="n">
        <f aca="false">D16*BQ16</f>
        <v>3875</v>
      </c>
      <c r="CJ16" s="1538" t="n">
        <f aca="false">D16*J16/324*(1+K$73)*G16</f>
        <v>23.9197530864198</v>
      </c>
      <c r="CK16" s="1538" t="str">
        <f aca="false">IF(N16="","",N16)</f>
        <v/>
      </c>
      <c r="CL16" s="1538" t="n">
        <f aca="false">P16*BQ16</f>
        <v>4089.44845956797</v>
      </c>
      <c r="CM16" s="1543" t="n">
        <f aca="false">IF(BQ16=0,0,SUM(CN16:DE16)/BQ16)</f>
        <v>43592.0294949659</v>
      </c>
      <c r="CN16" s="656" t="n">
        <f aca="false">(BS16*Pricing!F$3+BT16*Pricing!G$3+BU16*Pricing!H$3+BV16*Pricing!I$3+BW16*Pricing!J$3+BX16*Pricing!K$3+BY16*Pricing!L$3+BZ16*Pricing!M$3+CA16*Pricing!N$3+CB16*Pricing!O$3)*IF(W$44="N",(1+Y$44),1)</f>
        <v>19590.895495679</v>
      </c>
      <c r="CO16" s="656" t="n">
        <f aca="false">BN16*G$70*IF(W$44="n",1+Y$44,1)</f>
        <v>2656.0967744894</v>
      </c>
      <c r="CP16" s="1544" t="n">
        <f aca="false">C16*D16</f>
        <v>0</v>
      </c>
      <c r="CQ16" s="656" t="n">
        <f aca="false">IF(I$79=0,0,D16*(SUM(O$79:P$82)+O$85)/I$79*BQ16)</f>
        <v>7168.75</v>
      </c>
      <c r="CR16" s="656" t="n">
        <f aca="false">IF(CF16="",0,CF16*E$83)+IF(CG16="",0,CG16*E$83)+IF(CH16="",0,CH16*E$83)</f>
        <v>736</v>
      </c>
      <c r="CS16" s="656"/>
      <c r="CT16" s="1545" t="n">
        <f aca="false">(U16/2000)*E$87</f>
        <v>546.639691913594</v>
      </c>
      <c r="CU16" s="656" t="n">
        <f aca="false">IF(I$79=0,0,D16*(O$88)/I$79*BQ16)</f>
        <v>0</v>
      </c>
      <c r="CV16" s="656" t="n">
        <f aca="false">IF(D$42=0,0,SUM(O$91:P$94)/D$42*D16)*BQ16</f>
        <v>1229.1015625</v>
      </c>
      <c r="CW16" s="656" t="n">
        <f aca="false">IF(D$42=0,0,SUM(Z$66:Z$97)/D$42*D16*BQ16)</f>
        <v>3103.24594173963</v>
      </c>
      <c r="CX16" s="656" t="n">
        <f aca="false">IF(D$42=0,0,SUM(O$96:P$101)/D$42*D16)*BQ16</f>
        <v>1908.94239353985</v>
      </c>
      <c r="CY16" s="656" t="n">
        <f aca="false">IF(D$42=0,0,SUM(O$103:O$109)/D$42)*D16*BQ16</f>
        <v>2179.77685347077</v>
      </c>
      <c r="CZ16" s="656" t="n">
        <f aca="false">IF(I$79=0,0,IF(I$79=0,0,SUM(Z$98:Z$109)/I$79*D16))</f>
        <v>259.768088732368</v>
      </c>
      <c r="DA16" s="656" t="n">
        <f aca="false">IF(J$72&gt;0,J$72/D$42*D16*G16,CD16*(G$72*IF(W$44="n",(1+Y$44),1)))</f>
        <v>3565.484375</v>
      </c>
      <c r="DB16" s="656" t="n">
        <f aca="false">IF(CK16="",0,CK16*E$86)</f>
        <v>0</v>
      </c>
      <c r="DC16" s="656" t="n">
        <f aca="false">BP16*G$71*IF(W$44="Y",1,1+Y$44)</f>
        <v>0</v>
      </c>
      <c r="DD16" s="656" t="n">
        <f aca="false">CJ16*G$73*IF(W$44="Y",1,1+Y$44)</f>
        <v>647.328317901235</v>
      </c>
      <c r="DE16" s="1546" t="n">
        <f aca="false">O$110/I$79*D16</f>
        <v>0</v>
      </c>
      <c r="DF16" s="654" t="n">
        <f aca="false">IF(W16=1,X16*$AS$49,0)+IF(W16=2,X16*$AS$50,0)+IF(W16=3,X16*$AS$51,0)+IF(W16=4,X16*$AS$52,0)+IF(W16=5,X16*$AS$53,0)+IF(W16=6,X16*$AS$54)+IF(W16=7,X16*$AS$55)+IF(W16=8,X16*$AS$56)+IF(W16=9,X16*$AS$57)+IF(W16=10,X16*$AS$58)+IF(W16=11,X16*$AS$59,0)</f>
        <v>184</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1520</v>
      </c>
      <c r="DJ16" s="654" t="n">
        <f aca="false">IF(AE16=1,AF16*$AS$49,0)+IF(AE16=2,AF16*$AS$50,0)+IF(AE16=3,AF16*$AS$51,0)+IF(AE16=4,AF16*$AS$52,0)+IF(AE16=5,AF16*$AS$53,0)+IF(AE16=6,AF16*$AS$54)+IF(AE16=7,AF16*$AS$55)+IF(AE16=8,AF16*$AS$56)+IF(AE16=9,AF16*$AS$57)+IF(AE16=10,AF16*$AS$58)+IF(AE16=11,AF16*$AS$59,0)</f>
        <v>2810</v>
      </c>
      <c r="DK16" s="654" t="n">
        <f aca="false">IF(AG16=1,AH16*$AS$49,0)+IF(AG16=2,AH16*$AS$50,0)+IF(AG16=3,AH16*$AS$51,0)+IF(AG16=4,AH16*$AS$52,0)+IF(AG16=5,AH16*$AS$53,0)+IF(AG16=6,AH16*$AS$54)+IF(AG16=7,AH16*$AS$55)+IF(AG16=8,AH16*$AS$56)+IF(AG16=9,AH16*$AS$57)+IF(AG16=10,AH16*$AS$58)+IF(AG16=11,AH16*$AS$59,0)</f>
        <v>100</v>
      </c>
      <c r="DL16" s="654" t="n">
        <f aca="false">IF(AI16=1,AJ16*$AS$49,0)+IF(AI16=2,AJ16*$AS$50,0)+IF(AI16=3,AJ16*$AS$51,0)+IF(AI16=4,AJ16*$AS$52,0)+IF(AI16=5,AJ16*$AS$53,0)+IF(AI16=6,AJ16*$AS$54)+IF(AI16=7,AJ16*$AS$55)+IF(AI16=8,AJ16*$AS$56)+IF(AI16=9,AJ16*$AS$57)+IF(AI16=10,AJ16*$AS$58)+IF(AI16=11,AJ16*$AS$59,0)</f>
        <v>0</v>
      </c>
      <c r="DM16" s="654" t="n">
        <f aca="false">IF(AK16=1,AL16*$AS$49,0)+IF(AK16=2,AL16*$AS$50,0)+IF(AK16=3,AL16*$AS$51,0)+IF(AK16=4,AL16*$AS$52,0)+IF(AK16=5,AL16*$AS$53,0)+IF(AK16=6,AL16*$AS$54)+IF(AK16=7,AL16*$AS$55)+IF(AK16=8,AL16*$AS$56)+IF(AK16=9,AL16*$AS$57)+IF(AK16=10,AL16*$AS$58)+IF(AK16=11,AL16*$AS$59,0)</f>
        <v>336</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569" t="n">
        <f aca="false">D16</f>
        <v>3875</v>
      </c>
      <c r="DQ16" s="1430" t="n">
        <f aca="false">IF(AC16="","",LOOKUP(AC16,$B$49:$B$59,$S$49:$S$59)*AD16)</f>
        <v>19.3518518518519</v>
      </c>
      <c r="DR16" s="1430" t="n">
        <f aca="false">IF(AE16="","",LOOKUP(AE16,$B$49:$B$59,$S$49:$S$59)*AF16)</f>
        <v>28.9094650205761</v>
      </c>
      <c r="DS16" s="1430" t="n">
        <f aca="false">IF(AG16="","",LOOKUP(AG16,$B$49:$B$59,$S$49:$S$59)*AH16)</f>
        <v>1.02880658436214</v>
      </c>
      <c r="DT16" s="1430" t="str">
        <f aca="false">IF(AI16="","",LOOKUP(AI16,$B$49:$B$59,$S$49:$S$59)*AJ16)</f>
        <v/>
      </c>
      <c r="DU16" s="1430" t="n">
        <f aca="false">IF(AK16="","",LOOKUP(AK16,$B$49:$B$59,$S$49:$S$59)*AL16)</f>
        <v>2.13888888888889</v>
      </c>
      <c r="DV16" s="1430" t="str">
        <f aca="false">IF(AM16="","",LOOKUP(AM16,$B$49:$B$59,$S$49:$S$59)*AN16)</f>
        <v/>
      </c>
      <c r="DW16" s="1430" t="str">
        <f aca="false">IF(AO16="","",LOOKUP(AO16,$B$49:$B$59,$S$49:$S$59)*AP16)</f>
        <v/>
      </c>
      <c r="DX16" s="1535" t="n">
        <f aca="false">SUM(DQ16:DW16)-(D16-EF16)*(S$45-F16)/324</f>
        <v>-5.48765432098766</v>
      </c>
      <c r="DY16" s="1430" t="n">
        <f aca="false">IF(AC16="","",LOOKUP(AC16,$B$49:$B$59,$T$49:$T$59)*AD16)</f>
        <v>285</v>
      </c>
      <c r="DZ16" s="1430" t="n">
        <f aca="false">IF(AE16="","",LOOKUP(AE16,$B$49:$B$59,$T$49:$T$59)*AF16)</f>
        <v>468.333333333333</v>
      </c>
      <c r="EA16" s="1430" t="n">
        <f aca="false">IF(AG16="","",LOOKUP(AG16,$B$49:$B$59,$T$49:$T$59)*AH16)</f>
        <v>16.6666666666667</v>
      </c>
      <c r="EB16" s="1430" t="str">
        <f aca="false">IF(AI16="","",LOOKUP(AI16,$B$49:$B$59,$T$49:$T$59)*AJ16)</f>
        <v/>
      </c>
      <c r="EC16" s="1430" t="n">
        <f aca="false">IF(AK16="","",LOOKUP(AK16,$B$49:$B$59,$T$49:$T$59)*AL16)</f>
        <v>31.5</v>
      </c>
      <c r="ED16" s="1430" t="str">
        <f aca="false">IF(AM16="","",LOOKUP(AM16,$B$49:$B$59,$T$49:$T$59)*AN16)</f>
        <v/>
      </c>
      <c r="EE16" s="1430" t="str">
        <f aca="false">IF(AO16="","",LOOKUP(AO16,$B$49:$B$59,$T$49:$T$59)*AP16)</f>
        <v/>
      </c>
      <c r="EF16" s="1535" t="n">
        <f aca="false">SUM(DY16:EE16)</f>
        <v>801.5</v>
      </c>
    </row>
    <row r="17" customFormat="false" ht="19.5" hidden="false" customHeight="true" outlineLevel="0" collapsed="false">
      <c r="A17" s="16" t="s">
        <v>1075</v>
      </c>
      <c r="B17" s="1549" t="s">
        <v>1560</v>
      </c>
      <c r="C17" s="1550"/>
      <c r="D17" s="1551" t="n">
        <v>3722</v>
      </c>
      <c r="E17" s="1552"/>
      <c r="F17" s="1074" t="n">
        <v>4</v>
      </c>
      <c r="G17" s="1553" t="n">
        <v>1</v>
      </c>
      <c r="H17" s="1074" t="s">
        <v>1302</v>
      </c>
      <c r="I17" s="1553" t="n">
        <v>1</v>
      </c>
      <c r="J17" s="1074" t="n">
        <v>2</v>
      </c>
      <c r="K17" s="1510" t="n">
        <v>287</v>
      </c>
      <c r="L17" s="1559"/>
      <c r="M17" s="1556"/>
      <c r="N17" s="1557"/>
      <c r="O17" s="1558"/>
      <c r="P17" s="1515" t="n">
        <f aca="false">IF(BQ17=0,0,BN17/BQ17)</f>
        <v>3877.03469564297</v>
      </c>
      <c r="Q17" s="1516" t="n">
        <f aca="false">(D17*F17/324)*(1+K$65)+BB17</f>
        <v>129.745308641975</v>
      </c>
      <c r="R17" s="1517" t="n">
        <f aca="false">IF(D17=0,0,S17/D17)</f>
        <v>12.9062822694419</v>
      </c>
      <c r="S17" s="1518" t="n">
        <f aca="false">SUM(CM17-DE17)*(1+M$45)</f>
        <v>48037.1826068627</v>
      </c>
      <c r="T17" s="1519" t="n">
        <f aca="false">CF17+CG17+CH17</f>
        <v>81</v>
      </c>
      <c r="U17" s="1520" t="n">
        <f aca="false">IF(P17-(D17*0.35)&lt;0,0,P17-(D17*0.35))</f>
        <v>2574.33469564297</v>
      </c>
      <c r="V17" s="1521" t="n">
        <f aca="false">IF(D17="",0,IF(D17/-30+Q17&lt;1,0,D17/-30+Q17))</f>
        <v>5.67864197530867</v>
      </c>
      <c r="W17" s="1559" t="n">
        <v>9</v>
      </c>
      <c r="X17" s="1560" t="n">
        <v>81</v>
      </c>
      <c r="Y17" s="1559"/>
      <c r="Z17" s="1561"/>
      <c r="AA17" s="1559"/>
      <c r="AB17" s="1561"/>
      <c r="AC17" s="1562" t="n">
        <v>1</v>
      </c>
      <c r="AD17" s="1560" t="n">
        <v>287</v>
      </c>
      <c r="AE17" s="1559" t="n">
        <v>2</v>
      </c>
      <c r="AF17" s="1563" t="n">
        <v>530</v>
      </c>
      <c r="AG17" s="1564" t="n">
        <v>3</v>
      </c>
      <c r="AH17" s="1563" t="n">
        <v>36</v>
      </c>
      <c r="AI17" s="1565"/>
      <c r="AJ17" s="1560"/>
      <c r="AK17" s="1565" t="n">
        <v>5</v>
      </c>
      <c r="AL17" s="1563" t="n">
        <v>29</v>
      </c>
      <c r="AM17" s="1559"/>
      <c r="AN17" s="1566"/>
      <c r="AO17" s="1559"/>
      <c r="AP17" s="1561"/>
      <c r="AQ17" s="1435" t="n">
        <f aca="false">D17/Q17</f>
        <v>28.6869717214257</v>
      </c>
      <c r="AR17" s="1533" t="n">
        <f aca="false">IF(W17="","",LOOKUP(W17,$B$49:$B$59,$R$49:$R$59)*X17)</f>
        <v>3.18</v>
      </c>
      <c r="AS17" s="1430" t="str">
        <f aca="false">IF(Y17="","",LOOKUP(Y17,$B$49:$B$59,$R$49:$R$59)*Z17)</f>
        <v/>
      </c>
      <c r="AT17" s="1430" t="str">
        <f aca="false">IF(AB17="","",LOOKUP(AA17,$B$49:$B$59,$R$49:$R$59)*AB17)</f>
        <v/>
      </c>
      <c r="AU17" s="1430" t="n">
        <f aca="false">IF(AC17="","",LOOKUP(AC17,$B$49:$B$59,$R$49:$R$59)*AD17)</f>
        <v>30.0464197530864</v>
      </c>
      <c r="AV17" s="1430" t="n">
        <f aca="false">IF(AE17="","",LOOKUP(AE17,$B$49:$B$59,$R$49:$R$59)*AF17)</f>
        <v>43.3487654320988</v>
      </c>
      <c r="AW17" s="1430" t="n">
        <f aca="false">IF(AG17="","",LOOKUP(AG17,$B$49:$B$59,$R$49:$R$59)*AH17)</f>
        <v>2.94444444444444</v>
      </c>
      <c r="AX17" s="1430" t="str">
        <f aca="false">IF(AI17="","",LOOKUP(AI17,$B$49:$B$59,$R$49:$R$59)*AJ17)</f>
        <v/>
      </c>
      <c r="AY17" s="1430" t="n">
        <f aca="false">IF(AK17="","",LOOKUP(AK17,$B$49:$B$59,$R$49:$R$59)*AL17)</f>
        <v>1.51802469135802</v>
      </c>
      <c r="AZ17" s="1430" t="str">
        <f aca="false">IF(AM17="","",LOOKUP(AM17,$B$49:$B$59,$R$49:$R$59)*AN17)</f>
        <v/>
      </c>
      <c r="BA17" s="1430" t="str">
        <f aca="false">IF(AO17="","",LOOKUP(AO17,$B$49:$B$59,$R$49:$R$59)*AP17)</f>
        <v/>
      </c>
      <c r="BB17" s="1535" t="n">
        <f aca="false">SUM(AR17:BA17)</f>
        <v>81.0376543209877</v>
      </c>
      <c r="BC17" s="1533" t="n">
        <f aca="false">IF(W17="","",LOOKUP(W17,$B$49:$B$59,$P$49:$P$59)*X17)</f>
        <v>472.299131854687</v>
      </c>
      <c r="BD17" s="1430" t="str">
        <f aca="false">IF(Y17="","",LOOKUP(Y17,$B$49:$B$59,$P$49:$P$59)*Z17)</f>
        <v/>
      </c>
      <c r="BE17" s="1430" t="str">
        <f aca="false">IF(AA17="","",LOOKUP(AA17,$B$49:$B$59,$P$49:$P$59)*AB17)</f>
        <v/>
      </c>
      <c r="BF17" s="1430" t="n">
        <f aca="false">IF(AC17="","",LOOKUP(AC17,$B$49:$B$59,$P$49:$P$59)*AD17)</f>
        <v>1094.10898778672</v>
      </c>
      <c r="BG17" s="1430" t="n">
        <f aca="false">IF(AE17="","",LOOKUP(AE17,$B$49:$B$59,$P$49:$P$59)*AF17)</f>
        <v>1947.35634457031</v>
      </c>
      <c r="BH17" s="1430" t="n">
        <f aca="false">IF(AG17="","",LOOKUP(AG17,$B$49:$B$59,$P$49:$P$59)*AH17)</f>
        <v>239.71206909375</v>
      </c>
      <c r="BI17" s="1430" t="str">
        <f aca="false">IF(AI17="","",LOOKUP(AI17,$B$49:$B$59,$P$49:$P$59)*AJ17)</f>
        <v/>
      </c>
      <c r="BJ17" s="1430" t="n">
        <f aca="false">IF(AK17="","",LOOKUP(AK17,$B$49:$B$59,$P$49:$P$59)*AL17)</f>
        <v>123.5581623375</v>
      </c>
      <c r="BK17" s="1430" t="str">
        <f aca="false">IF(AM17="","",LOOKUP(AM17,$B$49:$B$59,$P$49:$P$59)*AN17)</f>
        <v/>
      </c>
      <c r="BL17" s="1430" t="str">
        <f aca="false">IF(AO17="","",LOOKUP(AO17,$B$49:$B$59,$P$49:$P$59)*AP17)</f>
        <v/>
      </c>
      <c r="BM17" s="1535" t="n">
        <f aca="false">SUM(BC17:BL17)*BQ17</f>
        <v>3877.03469564297</v>
      </c>
      <c r="BN17" s="1536" t="n">
        <f aca="false">BM17+BO17</f>
        <v>3877.03469564297</v>
      </c>
      <c r="BO17" s="1536" t="n">
        <f aca="false">IF(M17=0,0,(M17/12+M17/12)/(M17/12*M17/12)*D17*((L17/16*L17/16)*10.6870159))*(1+K$70)*BQ17</f>
        <v>0</v>
      </c>
      <c r="BP17" s="1536" t="n">
        <f aca="false">IF(O17="Y",D17*(1+K$71)*BQ17,0)</f>
        <v>0</v>
      </c>
      <c r="BQ17" s="1538" t="n">
        <f aca="false">G17</f>
        <v>1</v>
      </c>
      <c r="BR17" s="1411" t="n">
        <f aca="false">IF(O17="y",D17,0)</f>
        <v>0</v>
      </c>
      <c r="BS17" s="1567" t="n">
        <f aca="false">IF($I17=1,$Q17,0)*BQ17</f>
        <v>129.745308641975</v>
      </c>
      <c r="BT17" s="1536" t="n">
        <f aca="false">IF($I17=2,$Q17,0)*BQ17</f>
        <v>0</v>
      </c>
      <c r="BU17" s="1536" t="n">
        <f aca="false">IF($I17=3,$Q17,0)*BQ17</f>
        <v>0</v>
      </c>
      <c r="BV17" s="1536" t="n">
        <f aca="false">IF($I17=4,$Q17,0)*BQ17</f>
        <v>0</v>
      </c>
      <c r="BW17" s="1536" t="n">
        <f aca="false">IF($I17=5,$Q17,0)*BQ17</f>
        <v>0</v>
      </c>
      <c r="BX17" s="1536" t="n">
        <f aca="false">IF($I17=6,$Q17,0)*$BQ17</f>
        <v>0</v>
      </c>
      <c r="BY17" s="1536" t="n">
        <f aca="false">IF($I17=7,$Q17,0)*$BQ17</f>
        <v>0</v>
      </c>
      <c r="BZ17" s="1536" t="n">
        <f aca="false">IF($I17=8,$Q17,0)*$BQ17</f>
        <v>0</v>
      </c>
      <c r="CA17" s="1536" t="n">
        <f aca="false">IF($I17=9,$Q17,0)*$BQ17</f>
        <v>0</v>
      </c>
      <c r="CB17" s="1568" t="n">
        <f aca="false">IF($I17=10,$Q17,0)*$BQ17</f>
        <v>0</v>
      </c>
      <c r="CC17" s="1538" t="n">
        <f aca="false">SUM(BS17:BX17)</f>
        <v>129.745308641975</v>
      </c>
      <c r="CD17" s="1538" t="n">
        <f aca="false">IF(H17="N",0,D17)*BQ17</f>
        <v>3722</v>
      </c>
      <c r="CE17" s="1538" t="n">
        <f aca="false">K17*BQ17</f>
        <v>287</v>
      </c>
      <c r="CF17" s="1542" t="n">
        <f aca="false">ROUND(IF(W17="",0,LOOKUP(W17,B$49:B$59,D$49:D$59)*X17/12),0)</f>
        <v>81</v>
      </c>
      <c r="CG17" s="1542" t="n">
        <f aca="false">ROUND(IF(Y17="",0,LOOKUP(Y17,B$49:B$59,D$49:D$59)*Z17/12),0)</f>
        <v>0</v>
      </c>
      <c r="CH17" s="1542" t="n">
        <f aca="false">ROUND(IF(AA17="",0,LOOKUP(AA17,B$49:B$59,D$49:D$59)*AB17/12),0)</f>
        <v>0</v>
      </c>
      <c r="CI17" s="1538" t="n">
        <f aca="false">D17*BQ17</f>
        <v>3722</v>
      </c>
      <c r="CJ17" s="1538" t="n">
        <f aca="false">D17*J17/324*(1+K$73)*G17</f>
        <v>22.9753086419753</v>
      </c>
      <c r="CK17" s="1538" t="str">
        <f aca="false">IF(N17="","",N17)</f>
        <v/>
      </c>
      <c r="CL17" s="1538" t="n">
        <f aca="false">P17*BQ17</f>
        <v>3877.03469564297</v>
      </c>
      <c r="CM17" s="1543" t="n">
        <f aca="false">IF(BQ17=0,0,SUM(CN17:DE17)/BQ17)</f>
        <v>41771.4631364024</v>
      </c>
      <c r="CN17" s="656" t="n">
        <f aca="false">(BS17*Pricing!F$3+BT17*Pricing!G$3+BU17*Pricing!H$3+BV17*Pricing!I$3+BW17*Pricing!J$3+BX17*Pricing!K$3+BY17*Pricing!L$3+BZ17*Pricing!M$3+CA17*Pricing!N$3+CB17*Pricing!O$3)*IF(W$44="N",(1+Y$44),1)</f>
        <v>18820.2057450617</v>
      </c>
      <c r="CO17" s="656" t="n">
        <f aca="false">BN17*G$70*IF(W$44="n",1+Y$44,1)</f>
        <v>2518.13403482011</v>
      </c>
      <c r="CP17" s="1544" t="n">
        <f aca="false">C17*D17</f>
        <v>0</v>
      </c>
      <c r="CQ17" s="656" t="n">
        <f aca="false">IF(I$79=0,0,D17*(SUM(O$79:P$82)+O$85)/I$79*BQ17)</f>
        <v>6885.7</v>
      </c>
      <c r="CR17" s="656" t="n">
        <f aca="false">IF(CF17="",0,CF17*E$83)+IF(CG17="",0,CG17*E$83)+IF(CH17="",0,CH17*E$83)</f>
        <v>648</v>
      </c>
      <c r="CS17" s="656"/>
      <c r="CT17" s="1545" t="n">
        <f aca="false">(U17/2000)*E$87</f>
        <v>514.866939128594</v>
      </c>
      <c r="CU17" s="656" t="n">
        <f aca="false">IF(I$79=0,0,D17*(O$88)/I$79*BQ17)</f>
        <v>0</v>
      </c>
      <c r="CV17" s="656" t="n">
        <f aca="false">IF(D$42=0,0,SUM(O$91:P$94)/D$42*D17)*BQ17</f>
        <v>1180.571875</v>
      </c>
      <c r="CW17" s="656" t="n">
        <f aca="false">IF(D$42=0,0,SUM(Z$66:Z$97)/D$42*D17*BQ17)</f>
        <v>2980.71777939481</v>
      </c>
      <c r="CX17" s="656" t="n">
        <f aca="false">IF(D$42=0,0,SUM(O$96:P$101)/D$42*D17)*BQ17</f>
        <v>1833.56995838847</v>
      </c>
      <c r="CY17" s="656" t="n">
        <f aca="false">IF(D$42=0,0,SUM(O$103:O$109)/D$42)*D17*BQ17</f>
        <v>2093.71082544986</v>
      </c>
      <c r="CZ17" s="656" t="n">
        <f aca="false">IF(I$79=0,0,IF(I$79=0,0,SUM(Z$98:Z$109)/I$79*D17))</f>
        <v>249.511439035322</v>
      </c>
      <c r="DA17" s="656" t="n">
        <f aca="false">IF(J$72&gt;0,J$72/D$42*D17*G17,CD17*(G$72*IF(W$44="n",(1+Y$44),1)))</f>
        <v>3424.70525</v>
      </c>
      <c r="DB17" s="656" t="n">
        <f aca="false">IF(CK17="",0,CK17*E$86)</f>
        <v>0</v>
      </c>
      <c r="DC17" s="656" t="n">
        <f aca="false">BP17*G$71*IF(W$44="Y",1,1+Y$44)</f>
        <v>0</v>
      </c>
      <c r="DD17" s="656" t="n">
        <f aca="false">CJ17*G$73*IF(W$44="Y",1,1+Y$44)</f>
        <v>621.769290123457</v>
      </c>
      <c r="DE17" s="1546" t="n">
        <f aca="false">O$110/I$79*D17</f>
        <v>0</v>
      </c>
      <c r="DF17" s="654" t="n">
        <f aca="false">IF(W17=1,X17*$AS$49,0)+IF(W17=2,X17*$AS$50,0)+IF(W17=3,X17*$AS$51,0)+IF(W17=4,X17*$AS$52,0)+IF(W17=5,X17*$AS$53,0)+IF(W17=6,X17*$AS$54)+IF(W17=7,X17*$AS$55)+IF(W17=8,X17*$AS$56)+IF(W17=9,X17*$AS$57)+IF(W17=10,X17*$AS$58)+IF(W17=11,X17*$AS$59,0)</f>
        <v>162</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1530.66666666667</v>
      </c>
      <c r="DJ17" s="654" t="n">
        <f aca="false">IF(AE17=1,AF17*$AS$49,0)+IF(AE17=2,AF17*$AS$50,0)+IF(AE17=3,AF17*$AS$51,0)+IF(AE17=4,AF17*$AS$52,0)+IF(AE17=5,AF17*$AS$53,0)+IF(AE17=6,AF17*$AS$54)+IF(AE17=7,AF17*$AS$55)+IF(AE17=8,AF17*$AS$56)+IF(AE17=9,AF17*$AS$57)+IF(AE17=10,AF17*$AS$58)+IF(AE17=11,AF17*$AS$59,0)</f>
        <v>2650</v>
      </c>
      <c r="DK17" s="654" t="n">
        <f aca="false">IF(AG17=1,AH17*$AS$49,0)+IF(AG17=2,AH17*$AS$50,0)+IF(AG17=3,AH17*$AS$51,0)+IF(AG17=4,AH17*$AS$52,0)+IF(AG17=5,AH17*$AS$53,0)+IF(AG17=6,AH17*$AS$54)+IF(AG17=7,AH17*$AS$55)+IF(AG17=8,AH17*$AS$56)+IF(AG17=9,AH17*$AS$57)+IF(AG17=10,AH17*$AS$58)+IF(AG17=11,AH17*$AS$59,0)</f>
        <v>180</v>
      </c>
      <c r="DL17" s="654" t="n">
        <f aca="false">IF(AI17=1,AJ17*$AS$49,0)+IF(AI17=2,AJ17*$AS$50,0)+IF(AI17=3,AJ17*$AS$51,0)+IF(AI17=4,AJ17*$AS$52,0)+IF(AI17=5,AJ17*$AS$53,0)+IF(AI17=6,AJ17*$AS$54)+IF(AI17=7,AJ17*$AS$55)+IF(AI17=8,AJ17*$AS$56)+IF(AI17=9,AJ17*$AS$57)+IF(AI17=10,AJ17*$AS$58)+IF(AI17=11,AJ17*$AS$59,0)</f>
        <v>0</v>
      </c>
      <c r="DM17" s="654" t="n">
        <f aca="false">IF(AK17=1,AL17*$AS$49,0)+IF(AK17=2,AL17*$AS$50,0)+IF(AK17=3,AL17*$AS$51,0)+IF(AK17=4,AL17*$AS$52,0)+IF(AK17=5,AL17*$AS$53,0)+IF(AK17=6,AL17*$AS$54)+IF(AK17=7,AL17*$AS$55)+IF(AK17=8,AL17*$AS$56)+IF(AK17=9,AL17*$AS$57)+IF(AK17=10,AL17*$AS$58)+IF(AK17=11,AL17*$AS$59,0)</f>
        <v>154.666666666667</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569" t="n">
        <f aca="false">D17</f>
        <v>3722</v>
      </c>
      <c r="DQ17" s="1430" t="n">
        <f aca="false">IF(AC17="","",LOOKUP(AC17,$B$49:$B$59,$S$49:$S$59)*AD17)</f>
        <v>19.4876543209877</v>
      </c>
      <c r="DR17" s="1430" t="n">
        <f aca="false">IF(AE17="","",LOOKUP(AE17,$B$49:$B$59,$S$49:$S$59)*AF17)</f>
        <v>27.2633744855967</v>
      </c>
      <c r="DS17" s="1430" t="n">
        <f aca="false">IF(AG17="","",LOOKUP(AG17,$B$49:$B$59,$S$49:$S$59)*AH17)</f>
        <v>1.85185185185185</v>
      </c>
      <c r="DT17" s="1430" t="str">
        <f aca="false">IF(AI17="","",LOOKUP(AI17,$B$49:$B$59,$S$49:$S$59)*AJ17)</f>
        <v/>
      </c>
      <c r="DU17" s="1430" t="n">
        <f aca="false">IF(AK17="","",LOOKUP(AK17,$B$49:$B$59,$S$49:$S$59)*AL17)</f>
        <v>0.984567901234568</v>
      </c>
      <c r="DV17" s="1430" t="str">
        <f aca="false">IF(AM17="","",LOOKUP(AM17,$B$49:$B$59,$S$49:$S$59)*AN17)</f>
        <v/>
      </c>
      <c r="DW17" s="1430" t="str">
        <f aca="false">IF(AO17="","",LOOKUP(AO17,$B$49:$B$59,$S$49:$S$59)*AP17)</f>
        <v/>
      </c>
      <c r="DX17" s="1535" t="n">
        <f aca="false">SUM(DQ17:DW17)-(D17-EF17)*(S$45-F17)/324</f>
        <v>-5.02057613168724</v>
      </c>
      <c r="DY17" s="1430" t="n">
        <f aca="false">IF(AC17="","",LOOKUP(AC17,$B$49:$B$59,$T$49:$T$59)*AD17)</f>
        <v>287</v>
      </c>
      <c r="DZ17" s="1430" t="n">
        <f aca="false">IF(AE17="","",LOOKUP(AE17,$B$49:$B$59,$T$49:$T$59)*AF17)</f>
        <v>441.666666666667</v>
      </c>
      <c r="EA17" s="1430" t="n">
        <f aca="false">IF(AG17="","",LOOKUP(AG17,$B$49:$B$59,$T$49:$T$59)*AH17)</f>
        <v>30</v>
      </c>
      <c r="EB17" s="1430" t="str">
        <f aca="false">IF(AI17="","",LOOKUP(AI17,$B$49:$B$59,$T$49:$T$59)*AJ17)</f>
        <v/>
      </c>
      <c r="EC17" s="1430" t="n">
        <f aca="false">IF(AK17="","",LOOKUP(AK17,$B$49:$B$59,$T$49:$T$59)*AL17)</f>
        <v>14.5</v>
      </c>
      <c r="ED17" s="1430" t="str">
        <f aca="false">IF(AM17="","",LOOKUP(AM17,$B$49:$B$59,$T$49:$T$59)*AN17)</f>
        <v/>
      </c>
      <c r="EE17" s="1430" t="str">
        <f aca="false">IF(AO17="","",LOOKUP(AO17,$B$49:$B$59,$T$49:$T$59)*AP17)</f>
        <v/>
      </c>
      <c r="EF17" s="1535" t="n">
        <f aca="false">SUM(DY17:EE17)</f>
        <v>773.166666666667</v>
      </c>
    </row>
    <row r="18" customFormat="false" ht="19.5" hidden="false" customHeight="true" outlineLevel="0" collapsed="false">
      <c r="A18" s="16" t="s">
        <v>1076</v>
      </c>
      <c r="B18" s="1505" t="s">
        <v>1561</v>
      </c>
      <c r="C18" s="1506"/>
      <c r="D18" s="1507" t="n">
        <v>3739</v>
      </c>
      <c r="E18" s="1508"/>
      <c r="F18" s="1074" t="n">
        <v>4</v>
      </c>
      <c r="G18" s="1553" t="n">
        <v>1</v>
      </c>
      <c r="H18" s="1074" t="s">
        <v>1302</v>
      </c>
      <c r="I18" s="1553" t="n">
        <v>1</v>
      </c>
      <c r="J18" s="1074" t="n">
        <v>2</v>
      </c>
      <c r="K18" s="1510" t="n">
        <v>277</v>
      </c>
      <c r="L18" s="528"/>
      <c r="M18" s="895"/>
      <c r="N18" s="1513"/>
      <c r="O18" s="1514"/>
      <c r="P18" s="1515" t="n">
        <f aca="false">IF(BQ18=0,0,BN18/BQ18)</f>
        <v>3544.44605333672</v>
      </c>
      <c r="Q18" s="1516" t="n">
        <f aca="false">(D18*F18/324)*(1+K$65)+BB18</f>
        <v>126.899012345679</v>
      </c>
      <c r="R18" s="1517" t="n">
        <f aca="false">IF(D18=0,0,S18/D18)</f>
        <v>12.4611174226407</v>
      </c>
      <c r="S18" s="1518" t="n">
        <f aca="false">SUM(CM18-DE18)*(1+M$45)</f>
        <v>46592.1180432535</v>
      </c>
      <c r="T18" s="1519" t="n">
        <f aca="false">CF18+CG18+CH18</f>
        <v>0</v>
      </c>
      <c r="U18" s="1520" t="n">
        <f aca="false">IF(P18-(D18*0.35)&lt;0,0,P18-(D18*0.35))</f>
        <v>2235.79605333672</v>
      </c>
      <c r="V18" s="1521" t="n">
        <f aca="false">IF(D18="",0,IF(D18/-30+Q18&lt;1,0,D18/-30+Q18))</f>
        <v>2.26567901234569</v>
      </c>
      <c r="W18" s="528" t="n">
        <v>9</v>
      </c>
      <c r="X18" s="1526"/>
      <c r="Y18" s="528"/>
      <c r="Z18" s="1574"/>
      <c r="AA18" s="528"/>
      <c r="AB18" s="1574"/>
      <c r="AC18" s="1525" t="n">
        <v>1</v>
      </c>
      <c r="AD18" s="1526" t="n">
        <v>277</v>
      </c>
      <c r="AE18" s="1511" t="n">
        <v>2</v>
      </c>
      <c r="AF18" s="1527" t="n">
        <v>502</v>
      </c>
      <c r="AG18" s="1528" t="n">
        <v>3</v>
      </c>
      <c r="AH18" s="1527" t="n">
        <v>66</v>
      </c>
      <c r="AI18" s="1529"/>
      <c r="AJ18" s="1530"/>
      <c r="AK18" s="1531" t="n">
        <v>5</v>
      </c>
      <c r="AL18" s="1527" t="n">
        <v>48</v>
      </c>
      <c r="AM18" s="528"/>
      <c r="AN18" s="1575"/>
      <c r="AO18" s="528"/>
      <c r="AP18" s="1574"/>
      <c r="AQ18" s="1435" t="n">
        <f aca="false">D18/Q18</f>
        <v>29.4643743153397</v>
      </c>
      <c r="AR18" s="1533" t="n">
        <f aca="false">IF(W18="","",LOOKUP(W18,$B$49:$B$59,$R$49:$R$59)*X18)</f>
        <v>0</v>
      </c>
      <c r="AS18" s="1430" t="str">
        <f aca="false">IF(Y18="","",LOOKUP(Y18,$B$49:$B$59,$R$49:$R$59)*Z18)</f>
        <v/>
      </c>
      <c r="AT18" s="1430" t="str">
        <f aca="false">IF(AB18="","",LOOKUP(AA18,$B$49:$B$59,$R$49:$R$59)*AB18)</f>
        <v/>
      </c>
      <c r="AU18" s="1430" t="n">
        <f aca="false">IF(AC18="","",LOOKUP(AC18,$B$49:$B$59,$R$49:$R$59)*AD18)</f>
        <v>28.9995061728395</v>
      </c>
      <c r="AV18" s="1430" t="n">
        <f aca="false">IF(AE18="","",LOOKUP(AE18,$B$49:$B$59,$R$49:$R$59)*AF18)</f>
        <v>41.0586419753086</v>
      </c>
      <c r="AW18" s="1430" t="n">
        <f aca="false">IF(AG18="","",LOOKUP(AG18,$B$49:$B$59,$R$49:$R$59)*AH18)</f>
        <v>5.39814814814815</v>
      </c>
      <c r="AX18" s="1430" t="str">
        <f aca="false">IF(AI18="","",LOOKUP(AI18,$B$49:$B$59,$R$49:$R$59)*AJ18)</f>
        <v/>
      </c>
      <c r="AY18" s="1430" t="n">
        <f aca="false">IF(AK18="","",LOOKUP(AK18,$B$49:$B$59,$R$49:$R$59)*AL18)</f>
        <v>2.51259259259259</v>
      </c>
      <c r="AZ18" s="1430" t="str">
        <f aca="false">IF(AM18="","",LOOKUP(AM18,$B$49:$B$59,$R$49:$R$59)*AN18)</f>
        <v/>
      </c>
      <c r="BA18" s="1430" t="str">
        <f aca="false">IF(AO18="","",LOOKUP(AO18,$B$49:$B$59,$R$49:$R$59)*AP18)</f>
        <v/>
      </c>
      <c r="BB18" s="1535" t="n">
        <f aca="false">SUM(AR18:BA18)</f>
        <v>77.9688888888889</v>
      </c>
      <c r="BC18" s="1533" t="n">
        <f aca="false">IF(W18="","",LOOKUP(W18,$B$49:$B$59,$P$49:$P$59)*X18)</f>
        <v>0</v>
      </c>
      <c r="BD18" s="1430" t="str">
        <f aca="false">IF(Y18="","",LOOKUP(Y18,$B$49:$B$59,$P$49:$P$59)*Z18)</f>
        <v/>
      </c>
      <c r="BE18" s="1430" t="str">
        <f aca="false">IF(AA18="","",LOOKUP(AA18,$B$49:$B$59,$P$49:$P$59)*AB18)</f>
        <v/>
      </c>
      <c r="BF18" s="1430" t="n">
        <f aca="false">IF(AC18="","",LOOKUP(AC18,$B$49:$B$59,$P$49:$P$59)*AD18)</f>
        <v>1055.98672340391</v>
      </c>
      <c r="BG18" s="1430" t="n">
        <f aca="false">IF(AE18="","",LOOKUP(AE18,$B$49:$B$59,$P$49:$P$59)*AF18)</f>
        <v>1844.47714146094</v>
      </c>
      <c r="BH18" s="1430" t="n">
        <f aca="false">IF(AG18="","",LOOKUP(AG18,$B$49:$B$59,$P$49:$P$59)*AH18)</f>
        <v>439.472126671875</v>
      </c>
      <c r="BI18" s="1430" t="str">
        <f aca="false">IF(AI18="","",LOOKUP(AI18,$B$49:$B$59,$P$49:$P$59)*AJ18)</f>
        <v/>
      </c>
      <c r="BJ18" s="1430" t="n">
        <f aca="false">IF(AK18="","",LOOKUP(AK18,$B$49:$B$59,$P$49:$P$59)*AL18)</f>
        <v>204.5100618</v>
      </c>
      <c r="BK18" s="1430" t="str">
        <f aca="false">IF(AM18="","",LOOKUP(AM18,$B$49:$B$59,$P$49:$P$59)*AN18)</f>
        <v/>
      </c>
      <c r="BL18" s="1430" t="str">
        <f aca="false">IF(AO18="","",LOOKUP(AO18,$B$49:$B$59,$P$49:$P$59)*AP18)</f>
        <v/>
      </c>
      <c r="BM18" s="1535" t="n">
        <f aca="false">SUM(BC18:BL18)*BQ18</f>
        <v>3544.44605333672</v>
      </c>
      <c r="BN18" s="1536" t="n">
        <f aca="false">BM18+BO18</f>
        <v>3544.44605333672</v>
      </c>
      <c r="BO18" s="1536" t="n">
        <f aca="false">IF(M18=0,0,(M18/12+M18/12)/(M18/12*M18/12)*D18*((L18/16*L18/16)*10.6870159))*(1+K$70)*BQ18</f>
        <v>0</v>
      </c>
      <c r="BP18" s="1536" t="n">
        <f aca="false">IF(O18="Y",D18*(1+K$71)*BQ18,0)</f>
        <v>0</v>
      </c>
      <c r="BQ18" s="1538" t="n">
        <f aca="false">G18</f>
        <v>1</v>
      </c>
      <c r="BR18" s="1411" t="n">
        <f aca="false">IF(O18="y",D18,0)</f>
        <v>0</v>
      </c>
      <c r="BS18" s="1567" t="n">
        <f aca="false">IF($I18=1,$Q18,0)*BQ18</f>
        <v>126.899012345679</v>
      </c>
      <c r="BT18" s="1536" t="n">
        <f aca="false">IF($I18=2,$Q18,0)*BQ18</f>
        <v>0</v>
      </c>
      <c r="BU18" s="1536" t="n">
        <f aca="false">IF($I18=3,$Q18,0)*BQ18</f>
        <v>0</v>
      </c>
      <c r="BV18" s="1536" t="n">
        <f aca="false">IF($I18=4,$Q18,0)*BQ18</f>
        <v>0</v>
      </c>
      <c r="BW18" s="1536" t="n">
        <f aca="false">IF($I18=5,$Q18,0)*BQ18</f>
        <v>0</v>
      </c>
      <c r="BX18" s="1536" t="n">
        <f aca="false">IF($I18=6,$Q18,0)*$BQ18</f>
        <v>0</v>
      </c>
      <c r="BY18" s="1536" t="n">
        <f aca="false">IF($I18=7,$Q18,0)*$BQ18</f>
        <v>0</v>
      </c>
      <c r="BZ18" s="1536" t="n">
        <f aca="false">IF($I18=8,$Q18,0)*$BQ18</f>
        <v>0</v>
      </c>
      <c r="CA18" s="1536" t="n">
        <f aca="false">IF($I18=9,$Q18,0)*$BQ18</f>
        <v>0</v>
      </c>
      <c r="CB18" s="1568" t="n">
        <f aca="false">IF($I18=10,$Q18,0)*$BQ18</f>
        <v>0</v>
      </c>
      <c r="CC18" s="1538" t="n">
        <f aca="false">SUM(BS18:BX18)</f>
        <v>126.899012345679</v>
      </c>
      <c r="CD18" s="1538" t="n">
        <f aca="false">IF(H18="N",0,D18)*BQ18</f>
        <v>3739</v>
      </c>
      <c r="CE18" s="1538" t="n">
        <f aca="false">K18*BQ18</f>
        <v>277</v>
      </c>
      <c r="CF18" s="1542" t="n">
        <f aca="false">ROUND(IF(W18="",0,LOOKUP(W18,B$49:B$59,D$49:D$59)*X18/12),0)</f>
        <v>0</v>
      </c>
      <c r="CG18" s="1542" t="n">
        <f aca="false">ROUND(IF(Y18="",0,LOOKUP(Y18,B$49:B$59,D$49:D$59)*Z18/12),0)</f>
        <v>0</v>
      </c>
      <c r="CH18" s="1542" t="n">
        <f aca="false">ROUND(IF(AA18="",0,LOOKUP(AA18,B$49:B$59,D$49:D$59)*AB18/12),0)</f>
        <v>0</v>
      </c>
      <c r="CI18" s="1538" t="n">
        <f aca="false">D18*BQ18</f>
        <v>3739</v>
      </c>
      <c r="CJ18" s="1538" t="n">
        <f aca="false">D18*J18/324*(1+K$73)*G18</f>
        <v>23.0802469135802</v>
      </c>
      <c r="CK18" s="1538" t="str">
        <f aca="false">IF(N18="","",N18)</f>
        <v/>
      </c>
      <c r="CL18" s="1538" t="n">
        <f aca="false">P18*BQ18</f>
        <v>3544.44605333672</v>
      </c>
      <c r="CM18" s="1543" t="n">
        <f aca="false">IF(BQ18=0,0,SUM(CN18:DE18)/BQ18)</f>
        <v>40514.885255003</v>
      </c>
      <c r="CN18" s="656" t="n">
        <f aca="false">(BS18*Pricing!F$3+BT18*Pricing!G$3+BU18*Pricing!H$3+BV18*Pricing!I$3+BW18*Pricing!J$3+BX18*Pricing!K$3+BY18*Pricing!L$3+BZ18*Pricing!M$3+CA18*Pricing!N$3+CB18*Pricing!O$3)*IF(W$44="N",(1+Y$44),1)</f>
        <v>18407.3362358025</v>
      </c>
      <c r="CO18" s="656" t="n">
        <f aca="false">BN18*G$70*IF(W$44="n",1+Y$44,1)</f>
        <v>2302.1177116422</v>
      </c>
      <c r="CP18" s="1544" t="n">
        <f aca="false">C18*D18</f>
        <v>0</v>
      </c>
      <c r="CQ18" s="656" t="n">
        <f aca="false">IF(I$79=0,0,D18*(SUM(O$79:P$82)+O$85)/I$79*BQ18)</f>
        <v>6917.15</v>
      </c>
      <c r="CR18" s="656" t="n">
        <f aca="false">IF(CF18="",0,CF18*E$83)+IF(CG18="",0,CG18*E$83)+IF(CH18="",0,CH18*E$83)</f>
        <v>0</v>
      </c>
      <c r="CS18" s="656"/>
      <c r="CT18" s="1545" t="n">
        <f aca="false">(U18/2000)*E$87</f>
        <v>447.159210667344</v>
      </c>
      <c r="CU18" s="656" t="n">
        <f aca="false">IF(I$79=0,0,D18*(O$88)/I$79*BQ18)</f>
        <v>0</v>
      </c>
      <c r="CV18" s="656" t="n">
        <f aca="false">IF(D$42=0,0,SUM(O$91:P$94)/D$42*D18)*BQ18</f>
        <v>1185.9640625</v>
      </c>
      <c r="CW18" s="656" t="n">
        <f aca="false">IF(D$42=0,0,SUM(Z$66:Z$97)/D$42*D18*BQ18)</f>
        <v>2994.33201965535</v>
      </c>
      <c r="CX18" s="656" t="n">
        <f aca="false">IF(D$42=0,0,SUM(O$96:P$101)/D$42*D18)*BQ18</f>
        <v>1841.94467340529</v>
      </c>
      <c r="CY18" s="656" t="n">
        <f aca="false">IF(D$42=0,0,SUM(O$103:O$109)/D$42)*D18*BQ18</f>
        <v>2103.27371745218</v>
      </c>
      <c r="CZ18" s="656" t="n">
        <f aca="false">IF(I$79=0,0,IF(I$79=0,0,SUM(Z$98:Z$109)/I$79*D18))</f>
        <v>250.651066779439</v>
      </c>
      <c r="DA18" s="656" t="n">
        <f aca="false">IF(J$72&gt;0,J$72/D$42*D18*G18,CD18*(G$72*IF(W$44="n",(1+Y$44),1)))</f>
        <v>3440.347375</v>
      </c>
      <c r="DB18" s="656" t="n">
        <f aca="false">IF(CK18="",0,CK18*E$86)</f>
        <v>0</v>
      </c>
      <c r="DC18" s="656" t="n">
        <f aca="false">BP18*G$71*IF(W$44="Y",1,1+Y$44)</f>
        <v>0</v>
      </c>
      <c r="DD18" s="656" t="n">
        <f aca="false">CJ18*G$73*IF(W$44="Y",1,1+Y$44)</f>
        <v>624.609182098765</v>
      </c>
      <c r="DE18" s="1546" t="n">
        <f aca="false">O$110/I$79*D18</f>
        <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1477.33333333333</v>
      </c>
      <c r="DJ18" s="654" t="n">
        <f aca="false">IF(AE18=1,AF18*$AS$49,0)+IF(AE18=2,AF18*$AS$50,0)+IF(AE18=3,AF18*$AS$51,0)+IF(AE18=4,AF18*$AS$52,0)+IF(AE18=5,AF18*$AS$53,0)+IF(AE18=6,AF18*$AS$54)+IF(AE18=7,AF18*$AS$55)+IF(AE18=8,AF18*$AS$56)+IF(AE18=9,AF18*$AS$57)+IF(AE18=10,AF18*$AS$58)+IF(AE18=11,AF18*$AS$59,0)</f>
        <v>2510</v>
      </c>
      <c r="DK18" s="654" t="n">
        <f aca="false">IF(AG18=1,AH18*$AS$49,0)+IF(AG18=2,AH18*$AS$50,0)+IF(AG18=3,AH18*$AS$51,0)+IF(AG18=4,AH18*$AS$52,0)+IF(AG18=5,AH18*$AS$53,0)+IF(AG18=6,AH18*$AS$54)+IF(AG18=7,AH18*$AS$55)+IF(AG18=8,AH18*$AS$56)+IF(AG18=9,AH18*$AS$57)+IF(AG18=10,AH18*$AS$58)+IF(AG18=11,AH18*$AS$59,0)</f>
        <v>330</v>
      </c>
      <c r="DL18" s="654" t="n">
        <f aca="false">IF(AI18=1,AJ18*$AS$49,0)+IF(AI18=2,AJ18*$AS$50,0)+IF(AI18=3,AJ18*$AS$51,0)+IF(AI18=4,AJ18*$AS$52,0)+IF(AI18=5,AJ18*$AS$53,0)+IF(AI18=6,AJ18*$AS$54)+IF(AI18=7,AJ18*$AS$55)+IF(AI18=8,AJ18*$AS$56)+IF(AI18=9,AJ18*$AS$57)+IF(AI18=10,AJ18*$AS$58)+IF(AI18=11,AJ18*$AS$59,0)</f>
        <v>0</v>
      </c>
      <c r="DM18" s="654" t="n">
        <f aca="false">IF(AK18=1,AL18*$AS$49,0)+IF(AK18=2,AL18*$AS$50,0)+IF(AK18=3,AL18*$AS$51,0)+IF(AK18=4,AL18*$AS$52,0)+IF(AK18=5,AL18*$AS$53,0)+IF(AK18=6,AL18*$AS$54)+IF(AK18=7,AL18*$AS$55)+IF(AK18=8,AL18*$AS$56)+IF(AK18=9,AL18*$AS$57)+IF(AK18=10,AL18*$AS$58)+IF(AK18=11,AL18*$AS$59,0)</f>
        <v>256</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569" t="n">
        <f aca="false">D18</f>
        <v>3739</v>
      </c>
      <c r="DQ18" s="1430" t="n">
        <f aca="false">IF(AC18="","",LOOKUP(AC18,$B$49:$B$59,$S$49:$S$59)*AD18)</f>
        <v>18.8086419753086</v>
      </c>
      <c r="DR18" s="1430" t="n">
        <f aca="false">IF(AE18="","",LOOKUP(AE18,$B$49:$B$59,$S$49:$S$59)*AF18)</f>
        <v>25.8230452674897</v>
      </c>
      <c r="DS18" s="1430" t="n">
        <f aca="false">IF(AG18="","",LOOKUP(AG18,$B$49:$B$59,$S$49:$S$59)*AH18)</f>
        <v>3.39506172839506</v>
      </c>
      <c r="DT18" s="1430" t="str">
        <f aca="false">IF(AI18="","",LOOKUP(AI18,$B$49:$B$59,$S$49:$S$59)*AJ18)</f>
        <v/>
      </c>
      <c r="DU18" s="1430" t="n">
        <f aca="false">IF(AK18="","",LOOKUP(AK18,$B$49:$B$59,$S$49:$S$59)*AL18)</f>
        <v>1.62962962962963</v>
      </c>
      <c r="DV18" s="1430" t="str">
        <f aca="false">IF(AM18="","",LOOKUP(AM18,$B$49:$B$59,$S$49:$S$59)*AN18)</f>
        <v/>
      </c>
      <c r="DW18" s="1430" t="str">
        <f aca="false">IF(AO18="","",LOOKUP(AO18,$B$49:$B$59,$S$49:$S$59)*AP18)</f>
        <v/>
      </c>
      <c r="DX18" s="1535" t="n">
        <f aca="false">SUM(DQ18:DW18)-(D18-EF18)*(S$45-F18)/324</f>
        <v>-5.24485596707819</v>
      </c>
      <c r="DY18" s="1430" t="n">
        <f aca="false">IF(AC18="","",LOOKUP(AC18,$B$49:$B$59,$T$49:$T$59)*AD18)</f>
        <v>277</v>
      </c>
      <c r="DZ18" s="1430" t="n">
        <f aca="false">IF(AE18="","",LOOKUP(AE18,$B$49:$B$59,$T$49:$T$59)*AF18)</f>
        <v>418.333333333333</v>
      </c>
      <c r="EA18" s="1430" t="n">
        <f aca="false">IF(AG18="","",LOOKUP(AG18,$B$49:$B$59,$T$49:$T$59)*AH18)</f>
        <v>55</v>
      </c>
      <c r="EB18" s="1430" t="str">
        <f aca="false">IF(AI18="","",LOOKUP(AI18,$B$49:$B$59,$T$49:$T$59)*AJ18)</f>
        <v/>
      </c>
      <c r="EC18" s="1430" t="n">
        <f aca="false">IF(AK18="","",LOOKUP(AK18,$B$49:$B$59,$T$49:$T$59)*AL18)</f>
        <v>24</v>
      </c>
      <c r="ED18" s="1430" t="str">
        <f aca="false">IF(AM18="","",LOOKUP(AM18,$B$49:$B$59,$T$49:$T$59)*AN18)</f>
        <v/>
      </c>
      <c r="EE18" s="1430" t="str">
        <f aca="false">IF(AO18="","",LOOKUP(AO18,$B$49:$B$59,$T$49:$T$59)*AP18)</f>
        <v/>
      </c>
      <c r="EF18" s="1535" t="n">
        <f aca="false">SUM(DY18:EE18)</f>
        <v>774.333333333333</v>
      </c>
    </row>
    <row r="19" customFormat="false" ht="19.5" hidden="false" customHeight="true" outlineLevel="0" collapsed="false">
      <c r="A19" s="16" t="s">
        <v>1342</v>
      </c>
      <c r="B19" s="1549" t="s">
        <v>1562</v>
      </c>
      <c r="C19" s="1550"/>
      <c r="D19" s="1551" t="n">
        <v>4076</v>
      </c>
      <c r="E19" s="1552"/>
      <c r="F19" s="1074" t="n">
        <v>4</v>
      </c>
      <c r="G19" s="1553" t="n">
        <v>1</v>
      </c>
      <c r="H19" s="1074" t="s">
        <v>1302</v>
      </c>
      <c r="I19" s="1553" t="n">
        <v>1</v>
      </c>
      <c r="J19" s="1074" t="n">
        <v>2</v>
      </c>
      <c r="K19" s="1554" t="n">
        <v>314</v>
      </c>
      <c r="L19" s="1559"/>
      <c r="M19" s="1556"/>
      <c r="N19" s="1557"/>
      <c r="O19" s="1558"/>
      <c r="P19" s="1515" t="n">
        <f aca="false">IF(BQ19=0,0,BN19/BQ19)</f>
        <v>3964.45293693281</v>
      </c>
      <c r="Q19" s="1516" t="n">
        <f aca="false">(D19*F19/324)*(1+K$65)+BB19</f>
        <v>140.881851851852</v>
      </c>
      <c r="R19" s="1517" t="n">
        <f aca="false">IF(D19=0,0,S19/D19)</f>
        <v>12.5893832907747</v>
      </c>
      <c r="S19" s="1518" t="n">
        <f aca="false">SUM(CM19-DE19)*(1+M$45)</f>
        <v>51314.3262931977</v>
      </c>
      <c r="T19" s="1519" t="n">
        <f aca="false">CF19+CG19+CH19</f>
        <v>0</v>
      </c>
      <c r="U19" s="1520" t="n">
        <f aca="false">IF(P19-(D19*0.35)&lt;0,0,P19-(D19*0.35))</f>
        <v>2537.85293693281</v>
      </c>
      <c r="V19" s="1521" t="n">
        <f aca="false">IF(D19="",0,IF(D19/-30+Q19&lt;1,0,D19/-30+Q19))</f>
        <v>5.01518518518517</v>
      </c>
      <c r="W19" s="1559" t="n">
        <v>9</v>
      </c>
      <c r="X19" s="1560"/>
      <c r="Y19" s="1559"/>
      <c r="Z19" s="1577"/>
      <c r="AA19" s="1559"/>
      <c r="AB19" s="1577"/>
      <c r="AC19" s="1562" t="n">
        <v>1</v>
      </c>
      <c r="AD19" s="1560" t="n">
        <v>314</v>
      </c>
      <c r="AE19" s="1559" t="n">
        <v>2</v>
      </c>
      <c r="AF19" s="1563" t="n">
        <v>564</v>
      </c>
      <c r="AG19" s="1564" t="n">
        <v>3</v>
      </c>
      <c r="AH19" s="1563" t="n">
        <v>82</v>
      </c>
      <c r="AI19" s="1565"/>
      <c r="AJ19" s="1560"/>
      <c r="AK19" s="1565" t="n">
        <v>5</v>
      </c>
      <c r="AL19" s="1563" t="n">
        <v>35</v>
      </c>
      <c r="AM19" s="1559"/>
      <c r="AN19" s="1578"/>
      <c r="AO19" s="1559"/>
      <c r="AP19" s="1577"/>
      <c r="AQ19" s="1435" t="n">
        <f aca="false">D19/Q19</f>
        <v>28.9320444501697</v>
      </c>
      <c r="AR19" s="1533" t="n">
        <f aca="false">IF(W19="","",LOOKUP(W19,$B$49:$B$59,$R$49:$R$59)*X19)</f>
        <v>0</v>
      </c>
      <c r="AS19" s="1430" t="str">
        <f aca="false">IF(Y19="","",LOOKUP(Y19,$B$49:$B$59,$R$49:$R$59)*Z19)</f>
        <v/>
      </c>
      <c r="AT19" s="1430" t="str">
        <f aca="false">IF(AB19="","",LOOKUP(AA19,$B$49:$B$59,$R$49:$R$59)*AB19)</f>
        <v/>
      </c>
      <c r="AU19" s="1430" t="n">
        <f aca="false">IF(AC19="","",LOOKUP(AC19,$B$49:$B$59,$R$49:$R$59)*AD19)</f>
        <v>32.8730864197531</v>
      </c>
      <c r="AV19" s="1430" t="n">
        <f aca="false">IF(AE19="","",LOOKUP(AE19,$B$49:$B$59,$R$49:$R$59)*AF19)</f>
        <v>46.1296296296296</v>
      </c>
      <c r="AW19" s="1430" t="n">
        <f aca="false">IF(AG19="","",LOOKUP(AG19,$B$49:$B$59,$R$49:$R$59)*AH19)</f>
        <v>6.70679012345679</v>
      </c>
      <c r="AX19" s="1430" t="str">
        <f aca="false">IF(AI19="","",LOOKUP(AI19,$B$49:$B$59,$R$49:$R$59)*AJ19)</f>
        <v/>
      </c>
      <c r="AY19" s="1430" t="n">
        <f aca="false">IF(AK19="","",LOOKUP(AK19,$B$49:$B$59,$R$49:$R$59)*AL19)</f>
        <v>1.8320987654321</v>
      </c>
      <c r="AZ19" s="1430" t="str">
        <f aca="false">IF(AM19="","",LOOKUP(AM19,$B$49:$B$59,$R$49:$R$59)*AN19)</f>
        <v/>
      </c>
      <c r="BA19" s="1430" t="str">
        <f aca="false">IF(AO19="","",LOOKUP(AO19,$B$49:$B$59,$R$49:$R$59)*AP19)</f>
        <v/>
      </c>
      <c r="BB19" s="1535" t="n">
        <f aca="false">SUM(AR19:BA19)</f>
        <v>87.5416049382716</v>
      </c>
      <c r="BC19" s="1533" t="n">
        <f aca="false">IF(W19="","",LOOKUP(W19,$B$49:$B$59,$P$49:$P$59)*X19)</f>
        <v>0</v>
      </c>
      <c r="BD19" s="1430" t="str">
        <f aca="false">IF(Y19="","",LOOKUP(Y19,$B$49:$B$59,$P$49:$P$59)*Z19)</f>
        <v/>
      </c>
      <c r="BE19" s="1430" t="str">
        <f aca="false">IF(AA19="","",LOOKUP(AA19,$B$49:$B$59,$P$49:$P$59)*AB19)</f>
        <v/>
      </c>
      <c r="BF19" s="1430" t="n">
        <f aca="false">IF(AC19="","",LOOKUP(AC19,$B$49:$B$59,$P$49:$P$59)*AD19)</f>
        <v>1197.03910162031</v>
      </c>
      <c r="BG19" s="1430" t="n">
        <f aca="false">IF(AE19="","",LOOKUP(AE19,$B$49:$B$59,$P$49:$P$59)*AF19)</f>
        <v>2072.28109120313</v>
      </c>
      <c r="BH19" s="1430" t="n">
        <f aca="false">IF(AG19="","",LOOKUP(AG19,$B$49:$B$59,$P$49:$P$59)*AH19)</f>
        <v>546.010824046875</v>
      </c>
      <c r="BI19" s="1430" t="str">
        <f aca="false">IF(AI19="","",LOOKUP(AI19,$B$49:$B$59,$P$49:$P$59)*AJ19)</f>
        <v/>
      </c>
      <c r="BJ19" s="1430" t="n">
        <f aca="false">IF(AK19="","",LOOKUP(AK19,$B$49:$B$59,$P$49:$P$59)*AL19)</f>
        <v>149.1219200625</v>
      </c>
      <c r="BK19" s="1430" t="str">
        <f aca="false">IF(AM19="","",LOOKUP(AM19,$B$49:$B$59,$P$49:$P$59)*AN19)</f>
        <v/>
      </c>
      <c r="BL19" s="1430" t="str">
        <f aca="false">IF(AO19="","",LOOKUP(AO19,$B$49:$B$59,$P$49:$P$59)*AP19)</f>
        <v/>
      </c>
      <c r="BM19" s="1535" t="n">
        <f aca="false">SUM(BC19:BL19)*BQ19</f>
        <v>3964.45293693281</v>
      </c>
      <c r="BN19" s="1536" t="n">
        <f aca="false">BM19+BO19</f>
        <v>3964.45293693281</v>
      </c>
      <c r="BO19" s="1536" t="n">
        <f aca="false">IF(M19=0,0,(M19/12+M19/12)/(M19/12*M19/12)*D19*((L19/16*L19/16)*10.6870159))*(1+K$70)*BQ19</f>
        <v>0</v>
      </c>
      <c r="BP19" s="1536" t="n">
        <f aca="false">IF(O19="Y",D19*(1+K$71)*BQ19,0)</f>
        <v>0</v>
      </c>
      <c r="BQ19" s="1538" t="n">
        <f aca="false">G19</f>
        <v>1</v>
      </c>
      <c r="BR19" s="1411" t="n">
        <f aca="false">IF(O19="y",D19,0)</f>
        <v>0</v>
      </c>
      <c r="BS19" s="1567" t="n">
        <f aca="false">IF($I19=1,$Q19,0)*BQ19</f>
        <v>140.881851851852</v>
      </c>
      <c r="BT19" s="1536" t="n">
        <f aca="false">IF($I19=2,$Q19,0)*BQ19</f>
        <v>0</v>
      </c>
      <c r="BU19" s="1536" t="n">
        <f aca="false">IF($I19=3,$Q19,0)*BQ19</f>
        <v>0</v>
      </c>
      <c r="BV19" s="1536" t="n">
        <f aca="false">IF($I19=4,$Q19,0)*BQ19</f>
        <v>0</v>
      </c>
      <c r="BW19" s="1536" t="n">
        <f aca="false">IF($I19=5,$Q19,0)*BQ19</f>
        <v>0</v>
      </c>
      <c r="BX19" s="1536" t="n">
        <f aca="false">IF($I19=6,$Q19,0)*$BQ19</f>
        <v>0</v>
      </c>
      <c r="BY19" s="1536" t="n">
        <f aca="false">IF($I19=7,$Q19,0)*$BQ19</f>
        <v>0</v>
      </c>
      <c r="BZ19" s="1536" t="n">
        <f aca="false">IF($I19=8,$Q19,0)*$BQ19</f>
        <v>0</v>
      </c>
      <c r="CA19" s="1536" t="n">
        <f aca="false">IF($I19=9,$Q19,0)*$BQ19</f>
        <v>0</v>
      </c>
      <c r="CB19" s="1568" t="n">
        <f aca="false">IF($I19=10,$Q19,0)*$BQ19</f>
        <v>0</v>
      </c>
      <c r="CC19" s="1538" t="n">
        <f aca="false">SUM(BS19:BX19)</f>
        <v>140.881851851852</v>
      </c>
      <c r="CD19" s="1538" t="n">
        <f aca="false">IF(H19="N",0,D19)*BQ19</f>
        <v>4076</v>
      </c>
      <c r="CE19" s="1538" t="n">
        <f aca="false">K19*BQ19</f>
        <v>314</v>
      </c>
      <c r="CF19" s="1542" t="n">
        <f aca="false">ROUND(IF(W19="",0,LOOKUP(W19,B$49:B$59,D$49:D$59)*X19/12),0)</f>
        <v>0</v>
      </c>
      <c r="CG19" s="1542" t="n">
        <f aca="false">ROUND(IF(Y19="",0,LOOKUP(Y19,B$49:B$59,D$49:D$59)*Z19/12),0)</f>
        <v>0</v>
      </c>
      <c r="CH19" s="1542" t="n">
        <f aca="false">ROUND(IF(AA19="",0,LOOKUP(AA19,B$49:B$59,D$49:D$59)*AB19/12),0)</f>
        <v>0</v>
      </c>
      <c r="CI19" s="1538" t="n">
        <f aca="false">D19*BQ19</f>
        <v>4076</v>
      </c>
      <c r="CJ19" s="1538" t="n">
        <f aca="false">D19*J19/324*(1+K$73)*G19</f>
        <v>25.1604938271605</v>
      </c>
      <c r="CK19" s="1538" t="str">
        <f aca="false">IF(N19="","",N19)</f>
        <v/>
      </c>
      <c r="CL19" s="1538" t="n">
        <f aca="false">P19*BQ19</f>
        <v>3964.45293693281</v>
      </c>
      <c r="CM19" s="1543" t="n">
        <f aca="false">IF(BQ19=0,0,SUM(CN19:DE19)/BQ19)</f>
        <v>44621.1532984327</v>
      </c>
      <c r="CN19" s="656" t="n">
        <f aca="false">(BS19*Pricing!F$3+BT19*Pricing!G$3+BU19*Pricing!H$3+BV19*Pricing!I$3+BW19*Pricing!J$3+BX19*Pricing!K$3+BY19*Pricing!L$3+BZ19*Pricing!M$3+CA19*Pricing!N$3+CB19*Pricing!O$3)*IF(W$44="N",(1+Y$44),1)</f>
        <v>20435.6170203704</v>
      </c>
      <c r="CO19" s="656" t="n">
        <f aca="false">BN19*G$70*IF(W$44="n",1+Y$44,1)</f>
        <v>2574.91218253786</v>
      </c>
      <c r="CP19" s="1544" t="n">
        <f aca="false">C19*D19</f>
        <v>0</v>
      </c>
      <c r="CQ19" s="656" t="n">
        <f aca="false">IF(I$79=0,0,D19*(SUM(O$79:P$82)+O$85)/I$79*BQ19)</f>
        <v>7540.6</v>
      </c>
      <c r="CR19" s="656" t="n">
        <f aca="false">IF(CF19="",0,CF19*E$83)+IF(CG19="",0,CG19*E$83)+IF(CH19="",0,CH19*E$83)</f>
        <v>0</v>
      </c>
      <c r="CS19" s="656"/>
      <c r="CT19" s="1545" t="n">
        <f aca="false">(U19/2000)*E$87</f>
        <v>507.570587386563</v>
      </c>
      <c r="CU19" s="656" t="n">
        <f aca="false">IF(I$79=0,0,D19*(O$88)/I$79*BQ19)</f>
        <v>0</v>
      </c>
      <c r="CV19" s="656" t="n">
        <f aca="false">IF(D$42=0,0,SUM(O$91:P$94)/D$42*D19)*BQ19</f>
        <v>1292.85625</v>
      </c>
      <c r="CW19" s="656" t="n">
        <f aca="false">IF(D$42=0,0,SUM(Z$66:Z$97)/D$42*D19*BQ19)</f>
        <v>3264.2143118789</v>
      </c>
      <c r="CX19" s="656" t="n">
        <f aca="false">IF(D$42=0,0,SUM(O$96:P$101)/D$42*D19)*BQ19</f>
        <v>2007.96108285637</v>
      </c>
      <c r="CY19" s="656" t="n">
        <f aca="false">IF(D$42=0,0,SUM(O$103:O$109)/D$42)*D19*BQ19</f>
        <v>2292.84398832177</v>
      </c>
      <c r="CZ19" s="656" t="n">
        <f aca="false">IF(I$79=0,0,IF(I$79=0,0,SUM(Z$98:Z$109)/I$79*D19))</f>
        <v>273.242510883389</v>
      </c>
      <c r="DA19" s="656" t="n">
        <f aca="false">IF(J$72&gt;0,J$72/D$42*D19*G19,CD19*(G$72*IF(W$44="n",(1+Y$44),1)))</f>
        <v>3750.4295</v>
      </c>
      <c r="DB19" s="656" t="n">
        <f aca="false">IF(CK19="",0,CK19*E$86)</f>
        <v>0</v>
      </c>
      <c r="DC19" s="656" t="n">
        <f aca="false">BP19*G$71*IF(W$44="Y",1,1+Y$44)</f>
        <v>0</v>
      </c>
      <c r="DD19" s="656" t="n">
        <f aca="false">CJ19*G$73*IF(W$44="Y",1,1+Y$44)</f>
        <v>680.905864197531</v>
      </c>
      <c r="DE19" s="1546" t="n">
        <f aca="false">O$110/I$79*D19</f>
        <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1674.66666666667</v>
      </c>
      <c r="DJ19" s="654" t="n">
        <f aca="false">IF(AE19=1,AF19*$AS$49,0)+IF(AE19=2,AF19*$AS$50,0)+IF(AE19=3,AF19*$AS$51,0)+IF(AE19=4,AF19*$AS$52,0)+IF(AE19=5,AF19*$AS$53,0)+IF(AE19=6,AF19*$AS$54)+IF(AE19=7,AF19*$AS$55)+IF(AE19=8,AF19*$AS$56)+IF(AE19=9,AF19*$AS$57)+IF(AE19=10,AF19*$AS$58)+IF(AE19=11,AF19*$AS$59,0)</f>
        <v>2820</v>
      </c>
      <c r="DK19" s="654" t="n">
        <f aca="false">IF(AG19=1,AH19*$AS$49,0)+IF(AG19=2,AH19*$AS$50,0)+IF(AG19=3,AH19*$AS$51,0)+IF(AG19=4,AH19*$AS$52,0)+IF(AG19=5,AH19*$AS$53,0)+IF(AG19=6,AH19*$AS$54)+IF(AG19=7,AH19*$AS$55)+IF(AG19=8,AH19*$AS$56)+IF(AG19=9,AH19*$AS$57)+IF(AG19=10,AH19*$AS$58)+IF(AG19=11,AH19*$AS$59,0)</f>
        <v>410</v>
      </c>
      <c r="DL19" s="654" t="n">
        <f aca="false">IF(AI19=1,AJ19*$AS$49,0)+IF(AI19=2,AJ19*$AS$50,0)+IF(AI19=3,AJ19*$AS$51,0)+IF(AI19=4,AJ19*$AS$52,0)+IF(AI19=5,AJ19*$AS$53,0)+IF(AI19=6,AJ19*$AS$54)+IF(AI19=7,AJ19*$AS$55)+IF(AI19=8,AJ19*$AS$56)+IF(AI19=9,AJ19*$AS$57)+IF(AI19=10,AJ19*$AS$58)+IF(AI19=11,AJ19*$AS$59,0)</f>
        <v>0</v>
      </c>
      <c r="DM19" s="654" t="n">
        <f aca="false">IF(AK19=1,AL19*$AS$49,0)+IF(AK19=2,AL19*$AS$50,0)+IF(AK19=3,AL19*$AS$51,0)+IF(AK19=4,AL19*$AS$52,0)+IF(AK19=5,AL19*$AS$53,0)+IF(AK19=6,AL19*$AS$54)+IF(AK19=7,AL19*$AS$55)+IF(AK19=8,AL19*$AS$56)+IF(AK19=9,AL19*$AS$57)+IF(AK19=10,AL19*$AS$58)+IF(AK19=11,AL19*$AS$59,0)</f>
        <v>186.666666666667</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569" t="n">
        <f aca="false">D19</f>
        <v>4076</v>
      </c>
      <c r="DQ19" s="1430" t="n">
        <f aca="false">IF(AC19="","",LOOKUP(AC19,$B$49:$B$59,$S$49:$S$59)*AD19)</f>
        <v>21.320987654321</v>
      </c>
      <c r="DR19" s="1430" t="n">
        <f aca="false">IF(AE19="","",LOOKUP(AE19,$B$49:$B$59,$S$49:$S$59)*AF19)</f>
        <v>29.0123456790124</v>
      </c>
      <c r="DS19" s="1430" t="n">
        <f aca="false">IF(AG19="","",LOOKUP(AG19,$B$49:$B$59,$S$49:$S$59)*AH19)</f>
        <v>4.21810699588477</v>
      </c>
      <c r="DT19" s="1430" t="str">
        <f aca="false">IF(AI19="","",LOOKUP(AI19,$B$49:$B$59,$S$49:$S$59)*AJ19)</f>
        <v/>
      </c>
      <c r="DU19" s="1430" t="n">
        <f aca="false">IF(AK19="","",LOOKUP(AK19,$B$49:$B$59,$S$49:$S$59)*AL19)</f>
        <v>1.18827160493827</v>
      </c>
      <c r="DV19" s="1430" t="str">
        <f aca="false">IF(AM19="","",LOOKUP(AM19,$B$49:$B$59,$S$49:$S$59)*AN19)</f>
        <v/>
      </c>
      <c r="DW19" s="1430" t="str">
        <f aca="false">IF(AO19="","",LOOKUP(AO19,$B$49:$B$59,$S$49:$S$59)*AP19)</f>
        <v/>
      </c>
      <c r="DX19" s="1535" t="n">
        <f aca="false">SUM(DQ19:DW19)-(D19-EF19)*(S$45-F19)/324</f>
        <v>-3.63374485596707</v>
      </c>
      <c r="DY19" s="1430" t="n">
        <f aca="false">IF(AC19="","",LOOKUP(AC19,$B$49:$B$59,$T$49:$T$59)*AD19)</f>
        <v>314</v>
      </c>
      <c r="DZ19" s="1430" t="n">
        <f aca="false">IF(AE19="","",LOOKUP(AE19,$B$49:$B$59,$T$49:$T$59)*AF19)</f>
        <v>470</v>
      </c>
      <c r="EA19" s="1430" t="n">
        <f aca="false">IF(AG19="","",LOOKUP(AG19,$B$49:$B$59,$T$49:$T$59)*AH19)</f>
        <v>68.3333333333333</v>
      </c>
      <c r="EB19" s="1430" t="str">
        <f aca="false">IF(AI19="","",LOOKUP(AI19,$B$49:$B$59,$T$49:$T$59)*AJ19)</f>
        <v/>
      </c>
      <c r="EC19" s="1430" t="n">
        <f aca="false">IF(AK19="","",LOOKUP(AK19,$B$49:$B$59,$T$49:$T$59)*AL19)</f>
        <v>17.5</v>
      </c>
      <c r="ED19" s="1430" t="str">
        <f aca="false">IF(AM19="","",LOOKUP(AM19,$B$49:$B$59,$T$49:$T$59)*AN19)</f>
        <v/>
      </c>
      <c r="EE19" s="1430" t="str">
        <f aca="false">IF(AO19="","",LOOKUP(AO19,$B$49:$B$59,$T$49:$T$59)*AP19)</f>
        <v/>
      </c>
      <c r="EF19" s="1535" t="n">
        <f aca="false">SUM(DY19:EE19)</f>
        <v>869.833333333333</v>
      </c>
    </row>
    <row r="20" customFormat="false" ht="19.5" hidden="false" customHeight="true" outlineLevel="0" collapsed="false">
      <c r="A20" s="16" t="s">
        <v>1451</v>
      </c>
      <c r="B20" s="1505" t="s">
        <v>1563</v>
      </c>
      <c r="C20" s="1506"/>
      <c r="D20" s="1507" t="n">
        <v>6872</v>
      </c>
      <c r="E20" s="1508"/>
      <c r="F20" s="1074" t="n">
        <v>4</v>
      </c>
      <c r="G20" s="1553" t="n">
        <v>1</v>
      </c>
      <c r="H20" s="1074" t="s">
        <v>1302</v>
      </c>
      <c r="I20" s="1553" t="n">
        <v>1</v>
      </c>
      <c r="J20" s="1074" t="n">
        <v>2</v>
      </c>
      <c r="K20" s="1554" t="n">
        <v>421</v>
      </c>
      <c r="L20" s="528"/>
      <c r="M20" s="895"/>
      <c r="N20" s="1513"/>
      <c r="O20" s="1514"/>
      <c r="P20" s="1515" t="n">
        <f aca="false">IF(BQ20=0,0,BN20/BQ20)</f>
        <v>6641.59202019844</v>
      </c>
      <c r="Q20" s="1516" t="n">
        <f aca="false">(D20*F20/324)*(1+K$65)+BB20</f>
        <v>231.027654320988</v>
      </c>
      <c r="R20" s="1517" t="n">
        <f aca="false">IF(D20=0,0,S20/D20)</f>
        <v>12.4257153440294</v>
      </c>
      <c r="S20" s="1518" t="n">
        <f aca="false">SUM(CM20-DE20)*(1+M$45)</f>
        <v>85389.5158441701</v>
      </c>
      <c r="T20" s="1519" t="n">
        <f aca="false">CF20+CG20+CH20</f>
        <v>0</v>
      </c>
      <c r="U20" s="1520" t="n">
        <f aca="false">IF(P20-(D20*0.35)&lt;0,0,P20-(D20*0.35))</f>
        <v>4236.39202019844</v>
      </c>
      <c r="V20" s="1521" t="n">
        <f aca="false">IF(D20="",0,IF(D20/-30+Q20&lt;1,0,D20/-30+Q20))</f>
        <v>1.960987654321</v>
      </c>
      <c r="W20" s="528" t="n">
        <v>9</v>
      </c>
      <c r="X20" s="1526"/>
      <c r="Y20" s="528"/>
      <c r="Z20" s="1579"/>
      <c r="AA20" s="528"/>
      <c r="AB20" s="1579"/>
      <c r="AC20" s="1525" t="n">
        <v>1</v>
      </c>
      <c r="AD20" s="1526" t="n">
        <v>421</v>
      </c>
      <c r="AE20" s="1511" t="n">
        <v>2</v>
      </c>
      <c r="AF20" s="1527" t="n">
        <v>959</v>
      </c>
      <c r="AG20" s="1528" t="n">
        <v>3</v>
      </c>
      <c r="AH20" s="1527" t="n">
        <v>169</v>
      </c>
      <c r="AI20" s="1529"/>
      <c r="AJ20" s="1530"/>
      <c r="AK20" s="1531" t="n">
        <v>5</v>
      </c>
      <c r="AL20" s="1527" t="n">
        <v>91</v>
      </c>
      <c r="AM20" s="528"/>
      <c r="AN20" s="1580"/>
      <c r="AO20" s="528"/>
      <c r="AP20" s="1579"/>
      <c r="AQ20" s="1435" t="n">
        <f aca="false">D20/Q20</f>
        <v>29.7453567634466</v>
      </c>
      <c r="AR20" s="1533" t="n">
        <f aca="false">IF(W20="","",LOOKUP(W20,$B$49:$B$59,$R$49:$R$59)*X20)</f>
        <v>0</v>
      </c>
      <c r="AS20" s="1430" t="str">
        <f aca="false">IF(Y20="","",LOOKUP(Y20,$B$49:$B$59,$R$49:$R$59)*Z20)</f>
        <v/>
      </c>
      <c r="AT20" s="1430" t="str">
        <f aca="false">IF(AB20="","",LOOKUP(AA20,$B$49:$B$59,$R$49:$R$59)*AB20)</f>
        <v/>
      </c>
      <c r="AU20" s="1430" t="n">
        <f aca="false">IF(AC20="","",LOOKUP(AC20,$B$49:$B$59,$R$49:$R$59)*AD20)</f>
        <v>44.0750617283951</v>
      </c>
      <c r="AV20" s="1430" t="n">
        <f aca="false">IF(AE20="","",LOOKUP(AE20,$B$49:$B$59,$R$49:$R$59)*AF20)</f>
        <v>78.4367283950617</v>
      </c>
      <c r="AW20" s="1430" t="n">
        <f aca="false">IF(AG20="","",LOOKUP(AG20,$B$49:$B$59,$R$49:$R$59)*AH20)</f>
        <v>13.8225308641975</v>
      </c>
      <c r="AX20" s="1430" t="str">
        <f aca="false">IF(AI20="","",LOOKUP(AI20,$B$49:$B$59,$R$49:$R$59)*AJ20)</f>
        <v/>
      </c>
      <c r="AY20" s="1430" t="n">
        <f aca="false">IF(AK20="","",LOOKUP(AK20,$B$49:$B$59,$R$49:$R$59)*AL20)</f>
        <v>4.76345679012346</v>
      </c>
      <c r="AZ20" s="1430" t="str">
        <f aca="false">IF(AM20="","",LOOKUP(AM20,$B$49:$B$59,$R$49:$R$59)*AN20)</f>
        <v/>
      </c>
      <c r="BA20" s="1430" t="str">
        <f aca="false">IF(AO20="","",LOOKUP(AO20,$B$49:$B$59,$R$49:$R$59)*AP20)</f>
        <v/>
      </c>
      <c r="BB20" s="1535" t="n">
        <f aca="false">SUM(AR20:BA20)</f>
        <v>141.097777777778</v>
      </c>
      <c r="BC20" s="1533" t="n">
        <f aca="false">IF(W20="","",LOOKUP(W20,$B$49:$B$59,$P$49:$P$59)*X20)</f>
        <v>0</v>
      </c>
      <c r="BD20" s="1430" t="str">
        <f aca="false">IF(Y20="","",LOOKUP(Y20,$B$49:$B$59,$P$49:$P$59)*Z20)</f>
        <v/>
      </c>
      <c r="BE20" s="1430" t="str">
        <f aca="false">IF(AA20="","",LOOKUP(AA20,$B$49:$B$59,$P$49:$P$59)*AB20)</f>
        <v/>
      </c>
      <c r="BF20" s="1430" t="n">
        <f aca="false">IF(AC20="","",LOOKUP(AC20,$B$49:$B$59,$P$49:$P$59)*AD20)</f>
        <v>1604.94733051641</v>
      </c>
      <c r="BG20" s="1430" t="n">
        <f aca="false">IF(AE20="","",LOOKUP(AE20,$B$49:$B$59,$P$49:$P$59)*AF20)</f>
        <v>3523.61270649609</v>
      </c>
      <c r="BH20" s="1430" t="n">
        <f aca="false">IF(AG20="","",LOOKUP(AG20,$B$49:$B$59,$P$49:$P$59)*AH20)</f>
        <v>1125.31499102344</v>
      </c>
      <c r="BI20" s="1430" t="str">
        <f aca="false">IF(AI20="","",LOOKUP(AI20,$B$49:$B$59,$P$49:$P$59)*AJ20)</f>
        <v/>
      </c>
      <c r="BJ20" s="1430" t="n">
        <f aca="false">IF(AK20="","",LOOKUP(AK20,$B$49:$B$59,$P$49:$P$59)*AL20)</f>
        <v>387.7169921625</v>
      </c>
      <c r="BK20" s="1430" t="str">
        <f aca="false">IF(AM20="","",LOOKUP(AM20,$B$49:$B$59,$P$49:$P$59)*AN20)</f>
        <v/>
      </c>
      <c r="BL20" s="1430" t="str">
        <f aca="false">IF(AO20="","",LOOKUP(AO20,$B$49:$B$59,$P$49:$P$59)*AP20)</f>
        <v/>
      </c>
      <c r="BM20" s="1535" t="n">
        <f aca="false">SUM(BC20:BL20)*BQ20</f>
        <v>6641.59202019844</v>
      </c>
      <c r="BN20" s="1536" t="n">
        <f aca="false">BM20+BO20</f>
        <v>6641.59202019844</v>
      </c>
      <c r="BO20" s="1536" t="n">
        <f aca="false">IF(M20=0,0,(M20/12+M20/12)/(M20/12*M20/12)*D20*((L20/16*L20/16)*10.6870159))*(1+K$70)*BQ20</f>
        <v>0</v>
      </c>
      <c r="BP20" s="1536" t="n">
        <f aca="false">IF(O20="Y",D20*(1+K$71)*BQ20,0)</f>
        <v>0</v>
      </c>
      <c r="BQ20" s="1538" t="n">
        <f aca="false">G20</f>
        <v>1</v>
      </c>
      <c r="BR20" s="1411" t="n">
        <f aca="false">IF(O20="y",D20,0)</f>
        <v>0</v>
      </c>
      <c r="BS20" s="1567" t="n">
        <f aca="false">IF($I20=1,$Q20,0)*BQ20</f>
        <v>231.027654320988</v>
      </c>
      <c r="BT20" s="1536" t="n">
        <f aca="false">IF($I20=2,$Q20,0)*BQ20</f>
        <v>0</v>
      </c>
      <c r="BU20" s="1536" t="n">
        <f aca="false">IF($I20=3,$Q20,0)*BQ20</f>
        <v>0</v>
      </c>
      <c r="BV20" s="1536" t="n">
        <f aca="false">IF($I20=4,$Q20,0)*BQ20</f>
        <v>0</v>
      </c>
      <c r="BW20" s="1536" t="n">
        <f aca="false">IF($I20=5,$Q20,0)*BQ20</f>
        <v>0</v>
      </c>
      <c r="BX20" s="1536" t="n">
        <f aca="false">IF($I20=6,$Q20,0)*$BQ20</f>
        <v>0</v>
      </c>
      <c r="BY20" s="1536" t="n">
        <f aca="false">IF($I20=7,$Q20,0)*$BQ20</f>
        <v>0</v>
      </c>
      <c r="BZ20" s="1536" t="n">
        <f aca="false">IF($I20=8,$Q20,0)*$BQ20</f>
        <v>0</v>
      </c>
      <c r="CA20" s="1536" t="n">
        <f aca="false">IF($I20=9,$Q20,0)*$BQ20</f>
        <v>0</v>
      </c>
      <c r="CB20" s="1568" t="n">
        <f aca="false">IF($I20=10,$Q20,0)*$BQ20</f>
        <v>0</v>
      </c>
      <c r="CC20" s="1538" t="n">
        <f aca="false">SUM(BS20:BX20)</f>
        <v>231.027654320988</v>
      </c>
      <c r="CD20" s="1538" t="n">
        <f aca="false">IF(H20="N",0,D20)*BQ20</f>
        <v>6872</v>
      </c>
      <c r="CE20" s="1538" t="n">
        <f aca="false">K20*BQ20</f>
        <v>421</v>
      </c>
      <c r="CF20" s="1542" t="n">
        <f aca="false">ROUND(IF(W20="",0,LOOKUP(W20,B$49:B$59,D$49:D$59)*X20/12),0)</f>
        <v>0</v>
      </c>
      <c r="CG20" s="1542" t="n">
        <f aca="false">ROUND(IF(Y20="",0,LOOKUP(Y20,B$49:B$59,D$49:D$59)*Z20/12),0)</f>
        <v>0</v>
      </c>
      <c r="CH20" s="1542" t="n">
        <f aca="false">ROUND(IF(AA20="",0,LOOKUP(AA20,B$49:B$59,D$49:D$59)*AB20/12),0)</f>
        <v>0</v>
      </c>
      <c r="CI20" s="1538" t="n">
        <f aca="false">D20*BQ20</f>
        <v>6872</v>
      </c>
      <c r="CJ20" s="1538" t="n">
        <f aca="false">D20*J20/324*(1+K$73)*G20</f>
        <v>42.4197530864198</v>
      </c>
      <c r="CK20" s="1538" t="str">
        <f aca="false">IF(N20="","",N20)</f>
        <v/>
      </c>
      <c r="CL20" s="1538" t="n">
        <f aca="false">P20*BQ20</f>
        <v>6641.59202019844</v>
      </c>
      <c r="CM20" s="1543" t="n">
        <f aca="false">IF(BQ20=0,0,SUM(CN20:DE20)/BQ20)</f>
        <v>74251.752907974</v>
      </c>
      <c r="CN20" s="656" t="n">
        <f aca="false">(BS20*Pricing!F$3+BT20*Pricing!G$3+BU20*Pricing!H$3+BV20*Pricing!I$3+BW20*Pricing!J$3+BX20*Pricing!K$3+BY20*Pricing!L$3+BZ20*Pricing!M$3+CA20*Pricing!N$3+CB20*Pricing!O$3)*IF(W$44="N",(1+Y$44),1)</f>
        <v>33511.7163975309</v>
      </c>
      <c r="CO20" s="656" t="n">
        <f aca="false">BN20*G$70*IF(W$44="n",1+Y$44,1)</f>
        <v>4313.71401711889</v>
      </c>
      <c r="CP20" s="1544" t="n">
        <f aca="false">C20*D20</f>
        <v>0</v>
      </c>
      <c r="CQ20" s="656" t="n">
        <f aca="false">IF(I$79=0,0,D20*(SUM(O$79:P$82)+O$85)/I$79*BQ20)</f>
        <v>12713.2</v>
      </c>
      <c r="CR20" s="656" t="n">
        <f aca="false">IF(CF20="",0,CF20*E$83)+IF(CG20="",0,CG20*E$83)+IF(CH20="",0,CH20*E$83)</f>
        <v>0</v>
      </c>
      <c r="CS20" s="656"/>
      <c r="CT20" s="1545" t="n">
        <f aca="false">(U20/2000)*E$87</f>
        <v>847.278404039687</v>
      </c>
      <c r="CU20" s="656" t="n">
        <f aca="false">IF(I$79=0,0,D20*(O$88)/I$79*BQ20)</f>
        <v>0</v>
      </c>
      <c r="CV20" s="656" t="n">
        <f aca="false">IF(D$42=0,0,SUM(O$91:P$94)/D$42*D20)*BQ20</f>
        <v>2179.7125</v>
      </c>
      <c r="CW20" s="656" t="n">
        <f aca="false">IF(D$42=0,0,SUM(Z$66:Z$97)/D$42*D20*BQ20)</f>
        <v>5503.35641590574</v>
      </c>
      <c r="CX20" s="656" t="n">
        <f aca="false">IF(D$42=0,0,SUM(O$96:P$101)/D$42*D20)*BQ20</f>
        <v>3385.3553879757</v>
      </c>
      <c r="CY20" s="656" t="n">
        <f aca="false">IF(D$42=0,0,SUM(O$103:O$109)/D$42)*D20*BQ20</f>
        <v>3865.65846117448</v>
      </c>
      <c r="CZ20" s="656" t="n">
        <f aca="false">IF(I$79=0,0,IF(I$79=0,0,SUM(Z$98:Z$109)/I$79*D20))</f>
        <v>460.677756327441</v>
      </c>
      <c r="DA20" s="656" t="n">
        <f aca="false">IF(J$72&gt;0,J$72/D$42*D20*G20,CD20*(G$72*IF(W$44="n",(1+Y$44),1)))</f>
        <v>6323.099</v>
      </c>
      <c r="DB20" s="656" t="n">
        <f aca="false">IF(CK20="",0,CK20*E$86)</f>
        <v>0</v>
      </c>
      <c r="DC20" s="656" t="n">
        <f aca="false">BP20*G$71*IF(W$44="Y",1,1+Y$44)</f>
        <v>0</v>
      </c>
      <c r="DD20" s="656" t="n">
        <f aca="false">CJ20*G$73*IF(W$44="Y",1,1+Y$44)</f>
        <v>1147.98456790123</v>
      </c>
      <c r="DE20" s="1546" t="n">
        <f aca="false">O$110/I$79*D20</f>
        <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2245.33333333333</v>
      </c>
      <c r="DJ20" s="654" t="n">
        <f aca="false">IF(AE20=1,AF20*$AS$49,0)+IF(AE20=2,AF20*$AS$50,0)+IF(AE20=3,AF20*$AS$51,0)+IF(AE20=4,AF20*$AS$52,0)+IF(AE20=5,AF20*$AS$53,0)+IF(AE20=6,AF20*$AS$54)+IF(AE20=7,AF20*$AS$55)+IF(AE20=8,AF20*$AS$56)+IF(AE20=9,AF20*$AS$57)+IF(AE20=10,AF20*$AS$58)+IF(AE20=11,AF20*$AS$59,0)</f>
        <v>4795</v>
      </c>
      <c r="DK20" s="654" t="n">
        <f aca="false">IF(AG20=1,AH20*$AS$49,0)+IF(AG20=2,AH20*$AS$50,0)+IF(AG20=3,AH20*$AS$51,0)+IF(AG20=4,AH20*$AS$52,0)+IF(AG20=5,AH20*$AS$53,0)+IF(AG20=6,AH20*$AS$54)+IF(AG20=7,AH20*$AS$55)+IF(AG20=8,AH20*$AS$56)+IF(AG20=9,AH20*$AS$57)+IF(AG20=10,AH20*$AS$58)+IF(AG20=11,AH20*$AS$59,0)</f>
        <v>845</v>
      </c>
      <c r="DL20" s="654" t="n">
        <f aca="false">IF(AI20=1,AJ20*$AS$49,0)+IF(AI20=2,AJ20*$AS$50,0)+IF(AI20=3,AJ20*$AS$51,0)+IF(AI20=4,AJ20*$AS$52,0)+IF(AI20=5,AJ20*$AS$53,0)+IF(AI20=6,AJ20*$AS$54)+IF(AI20=7,AJ20*$AS$55)+IF(AI20=8,AJ20*$AS$56)+IF(AI20=9,AJ20*$AS$57)+IF(AI20=10,AJ20*$AS$58)+IF(AI20=11,AJ20*$AS$59,0)</f>
        <v>0</v>
      </c>
      <c r="DM20" s="654" t="n">
        <f aca="false">IF(AK20=1,AL20*$AS$49,0)+IF(AK20=2,AL20*$AS$50,0)+IF(AK20=3,AL20*$AS$51,0)+IF(AK20=4,AL20*$AS$52,0)+IF(AK20=5,AL20*$AS$53,0)+IF(AK20=6,AL20*$AS$54)+IF(AK20=7,AL20*$AS$55)+IF(AK20=8,AL20*$AS$56)+IF(AK20=9,AL20*$AS$57)+IF(AK20=10,AL20*$AS$58)+IF(AK20=11,AL20*$AS$59,0)</f>
        <v>485.333333333333</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569" t="n">
        <f aca="false">D20</f>
        <v>6872</v>
      </c>
      <c r="DQ20" s="1430" t="n">
        <f aca="false">IF(AC20="","",LOOKUP(AC20,$B$49:$B$59,$S$49:$S$59)*AD20)</f>
        <v>28.5864197530864</v>
      </c>
      <c r="DR20" s="1430" t="n">
        <f aca="false">IF(AE20="","",LOOKUP(AE20,$B$49:$B$59,$S$49:$S$59)*AF20)</f>
        <v>49.3312757201646</v>
      </c>
      <c r="DS20" s="1430" t="n">
        <f aca="false">IF(AG20="","",LOOKUP(AG20,$B$49:$B$59,$S$49:$S$59)*AH20)</f>
        <v>8.69341563786008</v>
      </c>
      <c r="DT20" s="1430" t="str">
        <f aca="false">IF(AI20="","",LOOKUP(AI20,$B$49:$B$59,$S$49:$S$59)*AJ20)</f>
        <v/>
      </c>
      <c r="DU20" s="1430" t="n">
        <f aca="false">IF(AK20="","",LOOKUP(AK20,$B$49:$B$59,$S$49:$S$59)*AL20)</f>
        <v>3.08950617283951</v>
      </c>
      <c r="DV20" s="1430" t="str">
        <f aca="false">IF(AM20="","",LOOKUP(AM20,$B$49:$B$59,$S$49:$S$59)*AN20)</f>
        <v/>
      </c>
      <c r="DW20" s="1430" t="str">
        <f aca="false">IF(AO20="","",LOOKUP(AO20,$B$49:$B$59,$S$49:$S$59)*AP20)</f>
        <v/>
      </c>
      <c r="DX20" s="1535" t="n">
        <f aca="false">SUM(DQ20:DW20)-(D20-EF20)*(S$45-F20)/324</f>
        <v>-11.5123456790123</v>
      </c>
      <c r="DY20" s="1430" t="n">
        <f aca="false">IF(AC20="","",LOOKUP(AC20,$B$49:$B$59,$T$49:$T$59)*AD20)</f>
        <v>421</v>
      </c>
      <c r="DZ20" s="1430" t="n">
        <f aca="false">IF(AE20="","",LOOKUP(AE20,$B$49:$B$59,$T$49:$T$59)*AF20)</f>
        <v>799.166666666667</v>
      </c>
      <c r="EA20" s="1430" t="n">
        <f aca="false">IF(AG20="","",LOOKUP(AG20,$B$49:$B$59,$T$49:$T$59)*AH20)</f>
        <v>140.833333333333</v>
      </c>
      <c r="EB20" s="1430" t="str">
        <f aca="false">IF(AI20="","",LOOKUP(AI20,$B$49:$B$59,$T$49:$T$59)*AJ20)</f>
        <v/>
      </c>
      <c r="EC20" s="1430" t="n">
        <f aca="false">IF(AK20="","",LOOKUP(AK20,$B$49:$B$59,$T$49:$T$59)*AL20)</f>
        <v>45.5</v>
      </c>
      <c r="ED20" s="1430" t="str">
        <f aca="false">IF(AM20="","",LOOKUP(AM20,$B$49:$B$59,$T$49:$T$59)*AN20)</f>
        <v/>
      </c>
      <c r="EE20" s="1430" t="str">
        <f aca="false">IF(AO20="","",LOOKUP(AO20,$B$49:$B$59,$T$49:$T$59)*AP20)</f>
        <v/>
      </c>
      <c r="EF20" s="1535" t="n">
        <f aca="false">SUM(DY20:EE20)</f>
        <v>1406.5</v>
      </c>
    </row>
    <row r="21" customFormat="false" ht="19.5" hidden="false" customHeight="true" outlineLevel="0" collapsed="false">
      <c r="A21" s="16" t="s">
        <v>1077</v>
      </c>
      <c r="B21" s="1549" t="s">
        <v>1564</v>
      </c>
      <c r="C21" s="1550"/>
      <c r="D21" s="1551" t="n">
        <v>6217</v>
      </c>
      <c r="E21" s="1552"/>
      <c r="F21" s="1074" t="n">
        <v>4</v>
      </c>
      <c r="G21" s="1553" t="n">
        <v>1</v>
      </c>
      <c r="H21" s="1074" t="s">
        <v>1302</v>
      </c>
      <c r="I21" s="1553" t="n">
        <v>1</v>
      </c>
      <c r="J21" s="1074" t="n">
        <v>2</v>
      </c>
      <c r="K21" s="1554" t="n">
        <v>446</v>
      </c>
      <c r="L21" s="1555"/>
      <c r="M21" s="1556"/>
      <c r="N21" s="1557"/>
      <c r="O21" s="1558"/>
      <c r="P21" s="1515" t="n">
        <f aca="false">IF(BQ21=0,0,BN21/BQ21)</f>
        <v>7386.80301982734</v>
      </c>
      <c r="Q21" s="1516" t="n">
        <f aca="false">(D21*F21/324)*(1+K$65)+BB21</f>
        <v>231.45950617284</v>
      </c>
      <c r="R21" s="1517" t="n">
        <f aca="false">IF(D21=0,0,S21/D21)</f>
        <v>13.5155261380347</v>
      </c>
      <c r="S21" s="1518" t="n">
        <f aca="false">SUM(CM21-DE21)*(1+M$45)</f>
        <v>84026.0260001615</v>
      </c>
      <c r="T21" s="1519" t="n">
        <f aca="false">CF21+CG21+CH21</f>
        <v>183</v>
      </c>
      <c r="U21" s="1520" t="n">
        <f aca="false">IF(P21-(D21*0.35)&lt;0,0,P21-(D21*0.35))</f>
        <v>5210.85301982734</v>
      </c>
      <c r="V21" s="1521" t="n">
        <f aca="false">IF(D21="",0,IF(D21/-30+Q21&lt;1,0,D21/-30+Q21))</f>
        <v>24.2261728395062</v>
      </c>
      <c r="W21" s="1559" t="n">
        <v>9</v>
      </c>
      <c r="X21" s="1560" t="n">
        <v>183</v>
      </c>
      <c r="Y21" s="1559"/>
      <c r="Z21" s="1577"/>
      <c r="AA21" s="1559"/>
      <c r="AB21" s="1577"/>
      <c r="AC21" s="1562" t="n">
        <v>1</v>
      </c>
      <c r="AD21" s="1560" t="n">
        <v>446</v>
      </c>
      <c r="AE21" s="1559" t="n">
        <v>2</v>
      </c>
      <c r="AF21" s="1563" t="n">
        <v>1077</v>
      </c>
      <c r="AG21" s="1564" t="n">
        <v>3</v>
      </c>
      <c r="AH21" s="1563" t="n">
        <v>47</v>
      </c>
      <c r="AI21" s="1565"/>
      <c r="AJ21" s="1560"/>
      <c r="AK21" s="1565" t="n">
        <v>5</v>
      </c>
      <c r="AL21" s="1563" t="n">
        <v>82</v>
      </c>
      <c r="AM21" s="1559"/>
      <c r="AN21" s="1578"/>
      <c r="AO21" s="1559"/>
      <c r="AP21" s="1577"/>
      <c r="AQ21" s="1435" t="n">
        <f aca="false">D21/Q21</f>
        <v>26.8599899083753</v>
      </c>
      <c r="AR21" s="1533" t="n">
        <f aca="false">IF(W21="","",LOOKUP(W21,$B$49:$B$59,$R$49:$R$59)*X21)</f>
        <v>7.18444444444444</v>
      </c>
      <c r="AS21" s="1430" t="str">
        <f aca="false">IF(Y21="","",LOOKUP(Y21,$B$49:$B$59,$R$49:$R$59)*Z21)</f>
        <v/>
      </c>
      <c r="AT21" s="1430" t="str">
        <f aca="false">IF(AB21="","",LOOKUP(AA21,$B$49:$B$59,$R$49:$R$59)*AB21)</f>
        <v/>
      </c>
      <c r="AU21" s="1430" t="n">
        <f aca="false">IF(AC21="","",LOOKUP(AC21,$B$49:$B$59,$R$49:$R$59)*AD21)</f>
        <v>46.6923456790124</v>
      </c>
      <c r="AV21" s="1430" t="n">
        <f aca="false">IF(AE21="","",LOOKUP(AE21,$B$49:$B$59,$R$49:$R$59)*AF21)</f>
        <v>88.087962962963</v>
      </c>
      <c r="AW21" s="1430" t="n">
        <f aca="false">IF(AG21="","",LOOKUP(AG21,$B$49:$B$59,$R$49:$R$59)*AH21)</f>
        <v>3.84413580246914</v>
      </c>
      <c r="AX21" s="1430" t="str">
        <f aca="false">IF(AI21="","",LOOKUP(AI21,$B$49:$B$59,$R$49:$R$59)*AJ21)</f>
        <v/>
      </c>
      <c r="AY21" s="1430" t="n">
        <f aca="false">IF(AK21="","",LOOKUP(AK21,$B$49:$B$59,$R$49:$R$59)*AL21)</f>
        <v>4.29234567901235</v>
      </c>
      <c r="AZ21" s="1430" t="str">
        <f aca="false">IF(AM21="","",LOOKUP(AM21,$B$49:$B$59,$R$49:$R$59)*AN21)</f>
        <v/>
      </c>
      <c r="BA21" s="1430" t="str">
        <f aca="false">IF(AO21="","",LOOKUP(AO21,$B$49:$B$59,$R$49:$R$59)*AP21)</f>
        <v/>
      </c>
      <c r="BB21" s="1535" t="n">
        <f aca="false">SUM(AR21:BA21)</f>
        <v>150.101234567901</v>
      </c>
      <c r="BC21" s="1533" t="n">
        <f aca="false">IF(W21="","",LOOKUP(W21,$B$49:$B$59,$P$49:$P$59)*X21)</f>
        <v>1067.04618678281</v>
      </c>
      <c r="BD21" s="1430" t="str">
        <f aca="false">IF(Y21="","",LOOKUP(Y21,$B$49:$B$59,$P$49:$P$59)*Z21)</f>
        <v/>
      </c>
      <c r="BE21" s="1430" t="str">
        <f aca="false">IF(AA21="","",LOOKUP(AA21,$B$49:$B$59,$P$49:$P$59)*AB21)</f>
        <v/>
      </c>
      <c r="BF21" s="1430" t="n">
        <f aca="false">IF(AC21="","",LOOKUP(AC21,$B$49:$B$59,$P$49:$P$59)*AD21)</f>
        <v>1700.25299147344</v>
      </c>
      <c r="BG21" s="1430" t="n">
        <f aca="false">IF(AE21="","",LOOKUP(AE21,$B$49:$B$59,$P$49:$P$59)*AF21)</f>
        <v>3957.17506245703</v>
      </c>
      <c r="BH21" s="1430" t="n">
        <f aca="false">IF(AG21="","",LOOKUP(AG21,$B$49:$B$59,$P$49:$P$59)*AH21)</f>
        <v>312.957423539063</v>
      </c>
      <c r="BI21" s="1430" t="str">
        <f aca="false">IF(AI21="","",LOOKUP(AI21,$B$49:$B$59,$P$49:$P$59)*AJ21)</f>
        <v/>
      </c>
      <c r="BJ21" s="1430" t="n">
        <f aca="false">IF(AK21="","",LOOKUP(AK21,$B$49:$B$59,$P$49:$P$59)*AL21)</f>
        <v>349.371355575</v>
      </c>
      <c r="BK21" s="1430" t="str">
        <f aca="false">IF(AM21="","",LOOKUP(AM21,$B$49:$B$59,$P$49:$P$59)*AN21)</f>
        <v/>
      </c>
      <c r="BL21" s="1430" t="str">
        <f aca="false">IF(AO21="","",LOOKUP(AO21,$B$49:$B$59,$P$49:$P$59)*AP21)</f>
        <v/>
      </c>
      <c r="BM21" s="1535" t="n">
        <f aca="false">SUM(BC21:BL21)*BQ21</f>
        <v>7386.80301982734</v>
      </c>
      <c r="BN21" s="1536" t="n">
        <f aca="false">BM21+BO21</f>
        <v>7386.80301982734</v>
      </c>
      <c r="BO21" s="1536" t="n">
        <f aca="false">IF(M21=0,0,(M21/12+M21/12)/(M21/12*M21/12)*D21*((L21/16*L21/16)*10.6870159))*(1+K$70)*BQ21</f>
        <v>0</v>
      </c>
      <c r="BP21" s="1536" t="n">
        <f aca="false">IF(O21="Y",D21*(1+K$71)*BQ21,0)</f>
        <v>0</v>
      </c>
      <c r="BQ21" s="1538" t="n">
        <f aca="false">G21</f>
        <v>1</v>
      </c>
      <c r="BR21" s="1411" t="n">
        <f aca="false">IF(O21="y",D21,0)</f>
        <v>0</v>
      </c>
      <c r="BS21" s="1567" t="n">
        <f aca="false">IF($I21=1,$Q21,0)*BQ21</f>
        <v>231.45950617284</v>
      </c>
      <c r="BT21" s="1536" t="n">
        <f aca="false">IF($I21=2,$Q21,0)*BQ21</f>
        <v>0</v>
      </c>
      <c r="BU21" s="1536" t="n">
        <f aca="false">IF($I21=3,$Q21,0)*BQ21</f>
        <v>0</v>
      </c>
      <c r="BV21" s="1536" t="n">
        <f aca="false">IF($I21=4,$Q21,0)*BQ21</f>
        <v>0</v>
      </c>
      <c r="BW21" s="1536" t="n">
        <f aca="false">IF($I21=5,$Q21,0)*BQ21</f>
        <v>0</v>
      </c>
      <c r="BX21" s="1536" t="n">
        <f aca="false">IF($I21=6,$Q21,0)*$BQ21</f>
        <v>0</v>
      </c>
      <c r="BY21" s="1536" t="n">
        <f aca="false">IF($I21=7,$Q21,0)*$BQ21</f>
        <v>0</v>
      </c>
      <c r="BZ21" s="1536" t="n">
        <f aca="false">IF($I21=8,$Q21,0)*$BQ21</f>
        <v>0</v>
      </c>
      <c r="CA21" s="1536" t="n">
        <f aca="false">IF($I21=9,$Q21,0)*$BQ21</f>
        <v>0</v>
      </c>
      <c r="CB21" s="1568" t="n">
        <f aca="false">IF($I21=10,$Q21,0)*$BQ21</f>
        <v>0</v>
      </c>
      <c r="CC21" s="1538" t="n">
        <f aca="false">SUM(BS21:BX21)</f>
        <v>231.45950617284</v>
      </c>
      <c r="CD21" s="1538" t="n">
        <f aca="false">IF(H21="N",0,D21)*BQ21</f>
        <v>6217</v>
      </c>
      <c r="CE21" s="1538" t="n">
        <f aca="false">K21*BQ21</f>
        <v>446</v>
      </c>
      <c r="CF21" s="1542" t="n">
        <f aca="false">ROUND(IF(W21="",0,LOOKUP(W21,B$49:B$59,D$49:D$59)*X21/12),0)</f>
        <v>183</v>
      </c>
      <c r="CG21" s="1542" t="n">
        <f aca="false">ROUND(IF(Y21="",0,LOOKUP(Y21,B$49:B$59,D$49:D$59)*Z21/12),0)</f>
        <v>0</v>
      </c>
      <c r="CH21" s="1542" t="n">
        <f aca="false">ROUND(IF(AA21="",0,LOOKUP(AA21,B$49:B$59,D$49:D$59)*AB21/12),0)</f>
        <v>0</v>
      </c>
      <c r="CI21" s="1538" t="n">
        <f aca="false">D21*BQ21</f>
        <v>6217</v>
      </c>
      <c r="CJ21" s="1538" t="n">
        <f aca="false">D21*J21/324*(1+K$73)*G21</f>
        <v>38.3765432098765</v>
      </c>
      <c r="CK21" s="1538" t="str">
        <f aca="false">IF(N21="","",N21)</f>
        <v/>
      </c>
      <c r="CL21" s="1538" t="n">
        <f aca="false">P21*BQ21</f>
        <v>7386.80301982734</v>
      </c>
      <c r="CM21" s="1543" t="n">
        <f aca="false">IF(BQ21=0,0,SUM(CN21:DE21)/BQ21)</f>
        <v>73066.1095653578</v>
      </c>
      <c r="CN21" s="656" t="n">
        <f aca="false">(BS21*Pricing!F$3+BT21*Pricing!G$3+BU21*Pricing!H$3+BV21*Pricing!I$3+BW21*Pricing!J$3+BX21*Pricing!K$3+BY21*Pricing!L$3+BZ21*Pricing!M$3+CA21*Pricing!N$3+CB21*Pricing!O$3)*IF(W$44="N",(1+Y$44),1)</f>
        <v>33574.3586679012</v>
      </c>
      <c r="CO21" s="656" t="n">
        <f aca="false">BN21*G$70*IF(W$44="n",1+Y$44,1)</f>
        <v>4797.72856137786</v>
      </c>
      <c r="CP21" s="1544" t="n">
        <f aca="false">C21*D21</f>
        <v>0</v>
      </c>
      <c r="CQ21" s="656" t="n">
        <f aca="false">IF(I$79=0,0,D21*(SUM(O$79:P$82)+O$85)/I$79*BQ21)</f>
        <v>11501.45</v>
      </c>
      <c r="CR21" s="656" t="n">
        <f aca="false">IF(CF21="",0,CF21*E$83)+IF(CG21="",0,CG21*E$83)+IF(CH21="",0,CH21*E$83)</f>
        <v>1464</v>
      </c>
      <c r="CS21" s="656"/>
      <c r="CT21" s="1545" t="n">
        <f aca="false">(U21/2000)*E$87</f>
        <v>1042.17060396547</v>
      </c>
      <c r="CU21" s="656" t="n">
        <f aca="false">IF(I$79=0,0,D21*(O$88)/I$79*BQ21)</f>
        <v>0</v>
      </c>
      <c r="CV21" s="656" t="n">
        <f aca="false">IF(D$42=0,0,SUM(O$91:P$94)/D$42*D21)*BQ21</f>
        <v>1971.9546875</v>
      </c>
      <c r="CW21" s="656" t="n">
        <f aca="false">IF(D$42=0,0,SUM(Z$66:Z$97)/D$42*D21*BQ21)</f>
        <v>4978.80774704394</v>
      </c>
      <c r="CX21" s="656" t="n">
        <f aca="false">IF(D$42=0,0,SUM(O$96:P$101)/D$42*D21)*BQ21</f>
        <v>3062.68254468058</v>
      </c>
      <c r="CY21" s="656" t="n">
        <f aca="false">IF(D$42=0,0,SUM(O$103:O$109)/D$42)*D21*BQ21</f>
        <v>3497.20585755555</v>
      </c>
      <c r="CZ21" s="656" t="n">
        <f aca="false">IF(I$79=0,0,IF(I$79=0,0,SUM(Z$98:Z$109)/I$79*D21))</f>
        <v>416.768569715905</v>
      </c>
      <c r="DA21" s="656" t="n">
        <f aca="false">IF(J$72&gt;0,J$72/D$42*D21*G21,CD21*(G$72*IF(W$44="n",(1+Y$44),1)))</f>
        <v>5720.417125</v>
      </c>
      <c r="DB21" s="656" t="n">
        <f aca="false">IF(CK21="",0,CK21*E$86)</f>
        <v>0</v>
      </c>
      <c r="DC21" s="656" t="n">
        <f aca="false">BP21*G$71*IF(W$44="Y",1,1+Y$44)</f>
        <v>0</v>
      </c>
      <c r="DD21" s="656" t="n">
        <f aca="false">CJ21*G$73*IF(W$44="Y",1,1+Y$44)</f>
        <v>1038.56520061728</v>
      </c>
      <c r="DE21" s="1546" t="n">
        <f aca="false">O$110/I$79*D21</f>
        <v>0</v>
      </c>
      <c r="DF21" s="654" t="n">
        <f aca="false">IF(W21=1,X21*$AS$49,0)+IF(W21=2,X21*$AS$50,0)+IF(W21=3,X21*$AS$51,0)+IF(W21=4,X21*$AS$52,0)+IF(W21=5,X21*$AS$53,0)+IF(W21=6,X21*$AS$54)+IF(W21=7,X21*$AS$55)+IF(W21=8,X21*$AS$56)+IF(W21=9,X21*$AS$57)+IF(W21=10,X21*$AS$58)+IF(W21=11,X21*$AS$59,0)</f>
        <v>366</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2378.66666666667</v>
      </c>
      <c r="DJ21" s="654" t="n">
        <f aca="false">IF(AE21=1,AF21*$AS$49,0)+IF(AE21=2,AF21*$AS$50,0)+IF(AE21=3,AF21*$AS$51,0)+IF(AE21=4,AF21*$AS$52,0)+IF(AE21=5,AF21*$AS$53,0)+IF(AE21=6,AF21*$AS$54)+IF(AE21=7,AF21*$AS$55)+IF(AE21=8,AF21*$AS$56)+IF(AE21=9,AF21*$AS$57)+IF(AE21=10,AF21*$AS$58)+IF(AE21=11,AF21*$AS$59,0)</f>
        <v>5385</v>
      </c>
      <c r="DK21" s="654" t="n">
        <f aca="false">IF(AG21=1,AH21*$AS$49,0)+IF(AG21=2,AH21*$AS$50,0)+IF(AG21=3,AH21*$AS$51,0)+IF(AG21=4,AH21*$AS$52,0)+IF(AG21=5,AH21*$AS$53,0)+IF(AG21=6,AH21*$AS$54)+IF(AG21=7,AH21*$AS$55)+IF(AG21=8,AH21*$AS$56)+IF(AG21=9,AH21*$AS$57)+IF(AG21=10,AH21*$AS$58)+IF(AG21=11,AH21*$AS$59,0)</f>
        <v>235</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437.333333333333</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569" t="n">
        <f aca="false">D21</f>
        <v>6217</v>
      </c>
      <c r="DQ21" s="1430" t="n">
        <f aca="false">IF(AC21="","",LOOKUP(AC21,$B$49:$B$59,$S$49:$S$59)*AD21)</f>
        <v>30.283950617284</v>
      </c>
      <c r="DR21" s="1430" t="n">
        <f aca="false">IF(AE21="","",LOOKUP(AE21,$B$49:$B$59,$S$49:$S$59)*AF21)</f>
        <v>55.4012345679012</v>
      </c>
      <c r="DS21" s="1430" t="n">
        <f aca="false">IF(AG21="","",LOOKUP(AG21,$B$49:$B$59,$S$49:$S$59)*AH21)</f>
        <v>2.41769547325103</v>
      </c>
      <c r="DT21" s="1430" t="str">
        <f aca="false">IF(AI21="","",LOOKUP(AI21,$B$49:$B$59,$S$49:$S$59)*AJ21)</f>
        <v/>
      </c>
      <c r="DU21" s="1430" t="n">
        <f aca="false">IF(AK21="","",LOOKUP(AK21,$B$49:$B$59,$S$49:$S$59)*AL21)</f>
        <v>2.78395061728395</v>
      </c>
      <c r="DV21" s="1430" t="str">
        <f aca="false">IF(AM21="","",LOOKUP(AM21,$B$49:$B$59,$S$49:$S$59)*AN21)</f>
        <v/>
      </c>
      <c r="DW21" s="1430" t="str">
        <f aca="false">IF(AO21="","",LOOKUP(AO21,$B$49:$B$59,$S$49:$S$59)*AP21)</f>
        <v/>
      </c>
      <c r="DX21" s="1535" t="n">
        <f aca="false">SUM(DQ21:DW21)-(D21-EF21)*(S$45-F21)/324</f>
        <v>2.12139917695473</v>
      </c>
      <c r="DY21" s="1430" t="n">
        <f aca="false">IF(AC21="","",LOOKUP(AC21,$B$49:$B$59,$T$49:$T$59)*AD21)</f>
        <v>446</v>
      </c>
      <c r="DZ21" s="1430" t="n">
        <f aca="false">IF(AE21="","",LOOKUP(AE21,$B$49:$B$59,$T$49:$T$59)*AF21)</f>
        <v>897.5</v>
      </c>
      <c r="EA21" s="1430" t="n">
        <f aca="false">IF(AG21="","",LOOKUP(AG21,$B$49:$B$59,$T$49:$T$59)*AH21)</f>
        <v>39.1666666666667</v>
      </c>
      <c r="EB21" s="1430" t="str">
        <f aca="false">IF(AI21="","",LOOKUP(AI21,$B$49:$B$59,$T$49:$T$59)*AJ21)</f>
        <v/>
      </c>
      <c r="EC21" s="1430" t="n">
        <f aca="false">IF(AK21="","",LOOKUP(AK21,$B$49:$B$59,$T$49:$T$59)*AL21)</f>
        <v>41</v>
      </c>
      <c r="ED21" s="1430" t="str">
        <f aca="false">IF(AM21="","",LOOKUP(AM21,$B$49:$B$59,$T$49:$T$59)*AN21)</f>
        <v/>
      </c>
      <c r="EE21" s="1430" t="str">
        <f aca="false">IF(AO21="","",LOOKUP(AO21,$B$49:$B$59,$T$49:$T$59)*AP21)</f>
        <v/>
      </c>
      <c r="EF21" s="1535" t="n">
        <f aca="false">SUM(DY21:EE21)</f>
        <v>1423.66666666667</v>
      </c>
    </row>
    <row r="22" customFormat="false" ht="19.5" hidden="false" customHeight="true" outlineLevel="0" collapsed="false">
      <c r="A22" s="16" t="s">
        <v>1078</v>
      </c>
      <c r="B22" s="1505" t="s">
        <v>1565</v>
      </c>
      <c r="C22" s="1506"/>
      <c r="D22" s="1507" t="n">
        <v>2153</v>
      </c>
      <c r="E22" s="1508"/>
      <c r="F22" s="1074" t="n">
        <v>4</v>
      </c>
      <c r="G22" s="1553" t="n">
        <v>1</v>
      </c>
      <c r="H22" s="1074" t="s">
        <v>1302</v>
      </c>
      <c r="I22" s="1553" t="n">
        <v>1</v>
      </c>
      <c r="J22" s="1074" t="n">
        <v>2</v>
      </c>
      <c r="K22" s="1554" t="n">
        <v>208</v>
      </c>
      <c r="L22" s="528"/>
      <c r="M22" s="895"/>
      <c r="N22" s="1513"/>
      <c r="O22" s="1514"/>
      <c r="P22" s="1515" t="n">
        <f aca="false">IF(BQ22=0,0,BN22/BQ22)</f>
        <v>2314.47991649531</v>
      </c>
      <c r="Q22" s="1516" t="n">
        <f aca="false">(D22*F22/324)*(1+K$65)+BB22</f>
        <v>76.1204320987654</v>
      </c>
      <c r="R22" s="1517" t="n">
        <f aca="false">IF(D22=0,0,S22/D22)</f>
        <v>13.0052110738387</v>
      </c>
      <c r="S22" s="1518" t="n">
        <f aca="false">SUM(CM22-DE22)*(1+M$45)</f>
        <v>28000.2194419748</v>
      </c>
      <c r="T22" s="1519" t="n">
        <f aca="false">CF22+CG22+CH22</f>
        <v>43</v>
      </c>
      <c r="U22" s="1520" t="n">
        <f aca="false">IF(P22-(D22*0.35)&lt;0,0,P22-(D22*0.35))</f>
        <v>1560.92991649531</v>
      </c>
      <c r="V22" s="1521" t="n">
        <f aca="false">IF(D22="",0,IF(D22/-30+Q22&lt;1,0,D22/-30+Q22))</f>
        <v>4.35376543209877</v>
      </c>
      <c r="W22" s="1511" t="n">
        <v>9</v>
      </c>
      <c r="X22" s="1526" t="n">
        <v>43</v>
      </c>
      <c r="Y22" s="528"/>
      <c r="Z22" s="1574"/>
      <c r="AA22" s="528"/>
      <c r="AB22" s="1574"/>
      <c r="AC22" s="1525" t="n">
        <v>1</v>
      </c>
      <c r="AD22" s="1526" t="n">
        <v>208</v>
      </c>
      <c r="AE22" s="1511" t="n">
        <v>2</v>
      </c>
      <c r="AF22" s="1527" t="n">
        <v>242</v>
      </c>
      <c r="AG22" s="1528" t="n">
        <v>3</v>
      </c>
      <c r="AH22" s="1527" t="n">
        <v>33</v>
      </c>
      <c r="AI22" s="1529"/>
      <c r="AJ22" s="1530"/>
      <c r="AK22" s="1531" t="n">
        <v>5</v>
      </c>
      <c r="AL22" s="1527" t="n">
        <v>38</v>
      </c>
      <c r="AM22" s="528"/>
      <c r="AN22" s="1575"/>
      <c r="AO22" s="528"/>
      <c r="AP22" s="1574"/>
      <c r="AQ22" s="1435" t="n">
        <f aca="false">D22/Q22</f>
        <v>28.2841274101874</v>
      </c>
      <c r="AR22" s="1533" t="n">
        <f aca="false">IF(W22="","",LOOKUP(W22,$B$49:$B$59,$R$49:$R$59)*X22)</f>
        <v>1.68814814814815</v>
      </c>
      <c r="AS22" s="1430" t="str">
        <f aca="false">IF(Y22="","",LOOKUP(Y22,$B$49:$B$59,$R$49:$R$59)*Z22)</f>
        <v/>
      </c>
      <c r="AT22" s="1430" t="str">
        <f aca="false">IF(AB22="","",LOOKUP(AA22,$B$49:$B$59,$R$49:$R$59)*AB22)</f>
        <v/>
      </c>
      <c r="AU22" s="1430" t="n">
        <f aca="false">IF(AC22="","",LOOKUP(AC22,$B$49:$B$59,$R$49:$R$59)*AD22)</f>
        <v>21.7758024691358</v>
      </c>
      <c r="AV22" s="1430" t="n">
        <f aca="false">IF(AE22="","",LOOKUP(AE22,$B$49:$B$59,$R$49:$R$59)*AF22)</f>
        <v>19.7932098765432</v>
      </c>
      <c r="AW22" s="1430" t="n">
        <f aca="false">IF(AG22="","",LOOKUP(AG22,$B$49:$B$59,$R$49:$R$59)*AH22)</f>
        <v>2.69907407407407</v>
      </c>
      <c r="AX22" s="1430" t="str">
        <f aca="false">IF(AI22="","",LOOKUP(AI22,$B$49:$B$59,$R$49:$R$59)*AJ22)</f>
        <v/>
      </c>
      <c r="AY22" s="1430" t="n">
        <f aca="false">IF(AK22="","",LOOKUP(AK22,$B$49:$B$59,$R$49:$R$59)*AL22)</f>
        <v>1.98913580246914</v>
      </c>
      <c r="AZ22" s="1430" t="str">
        <f aca="false">IF(AM22="","",LOOKUP(AM22,$B$49:$B$59,$R$49:$R$59)*AN22)</f>
        <v/>
      </c>
      <c r="BA22" s="1430" t="str">
        <f aca="false">IF(AO22="","",LOOKUP(AO22,$B$49:$B$59,$R$49:$R$59)*AP22)</f>
        <v/>
      </c>
      <c r="BB22" s="1535" t="n">
        <f aca="false">SUM(AR22:BA22)</f>
        <v>47.9453703703704</v>
      </c>
      <c r="BC22" s="1533" t="n">
        <f aca="false">IF(W22="","",LOOKUP(W22,$B$49:$B$59,$P$49:$P$59)*X22)</f>
        <v>250.726699626563</v>
      </c>
      <c r="BD22" s="1430" t="str">
        <f aca="false">IF(Y22="","",LOOKUP(Y22,$B$49:$B$59,$P$49:$P$59)*Z22)</f>
        <v/>
      </c>
      <c r="BE22" s="1430" t="str">
        <f aca="false">IF(AA22="","",LOOKUP(AA22,$B$49:$B$59,$P$49:$P$59)*AB22)</f>
        <v/>
      </c>
      <c r="BF22" s="1430" t="n">
        <f aca="false">IF(AC22="","",LOOKUP(AC22,$B$49:$B$59,$P$49:$P$59)*AD22)</f>
        <v>792.9430991625</v>
      </c>
      <c r="BG22" s="1430" t="n">
        <f aca="false">IF(AE22="","",LOOKUP(AE22,$B$49:$B$59,$P$49:$P$59)*AF22)</f>
        <v>889.170255445313</v>
      </c>
      <c r="BH22" s="1430" t="n">
        <f aca="false">IF(AG22="","",LOOKUP(AG22,$B$49:$B$59,$P$49:$P$59)*AH22)</f>
        <v>219.736063335938</v>
      </c>
      <c r="BI22" s="1430" t="str">
        <f aca="false">IF(AI22="","",LOOKUP(AI22,$B$49:$B$59,$P$49:$P$59)*AJ22)</f>
        <v/>
      </c>
      <c r="BJ22" s="1430" t="n">
        <f aca="false">IF(AK22="","",LOOKUP(AK22,$B$49:$B$59,$P$49:$P$59)*AL22)</f>
        <v>161.903798925</v>
      </c>
      <c r="BK22" s="1430" t="str">
        <f aca="false">IF(AM22="","",LOOKUP(AM22,$B$49:$B$59,$P$49:$P$59)*AN22)</f>
        <v/>
      </c>
      <c r="BL22" s="1430" t="str">
        <f aca="false">IF(AO22="","",LOOKUP(AO22,$B$49:$B$59,$P$49:$P$59)*AP22)</f>
        <v/>
      </c>
      <c r="BM22" s="1535" t="n">
        <f aca="false">SUM(BC22:BL22)*BQ22</f>
        <v>2314.47991649531</v>
      </c>
      <c r="BN22" s="1536" t="n">
        <f aca="false">BM22+BO22</f>
        <v>2314.47991649531</v>
      </c>
      <c r="BO22" s="1536" t="n">
        <f aca="false">IF(M22=0,0,(M22/12+M22/12)/(M22/12*M22/12)*D22*((L22/16*L22/16)*10.6870159))*(1+K$70)*BQ22</f>
        <v>0</v>
      </c>
      <c r="BP22" s="1536" t="n">
        <f aca="false">IF(O22="Y",D22*(1+K$71)*BQ22,0)</f>
        <v>0</v>
      </c>
      <c r="BQ22" s="1538" t="n">
        <f aca="false">G22</f>
        <v>1</v>
      </c>
      <c r="BR22" s="1411" t="n">
        <f aca="false">IF(O22="y",D22,0)</f>
        <v>0</v>
      </c>
      <c r="BS22" s="1567" t="n">
        <f aca="false">IF($I22=1,$Q22,0)*BQ22</f>
        <v>76.1204320987654</v>
      </c>
      <c r="BT22" s="1536" t="n">
        <f aca="false">IF($I22=2,$Q22,0)*BQ22</f>
        <v>0</v>
      </c>
      <c r="BU22" s="1536" t="n">
        <f aca="false">IF($I22=3,$Q22,0)*BQ22</f>
        <v>0</v>
      </c>
      <c r="BV22" s="1536" t="n">
        <f aca="false">IF($I22=4,$Q22,0)*BQ22</f>
        <v>0</v>
      </c>
      <c r="BW22" s="1536" t="n">
        <f aca="false">IF($I22=5,$Q22,0)*BQ22</f>
        <v>0</v>
      </c>
      <c r="BX22" s="1536" t="n">
        <f aca="false">IF($I22=6,$Q22,0)*$BQ22</f>
        <v>0</v>
      </c>
      <c r="BY22" s="1536" t="n">
        <f aca="false">IF($I22=7,$Q22,0)*$BQ22</f>
        <v>0</v>
      </c>
      <c r="BZ22" s="1536" t="n">
        <f aca="false">IF($I22=8,$Q22,0)*$BQ22</f>
        <v>0</v>
      </c>
      <c r="CA22" s="1536" t="n">
        <f aca="false">IF($I22=9,$Q22,0)*$BQ22</f>
        <v>0</v>
      </c>
      <c r="CB22" s="1568" t="n">
        <f aca="false">IF($I22=10,$Q22,0)*$BQ22</f>
        <v>0</v>
      </c>
      <c r="CC22" s="1538" t="n">
        <f aca="false">SUM(BS22:BX22)</f>
        <v>76.1204320987654</v>
      </c>
      <c r="CD22" s="1538" t="n">
        <f aca="false">IF(H22="N",0,D22)*BQ22</f>
        <v>2153</v>
      </c>
      <c r="CE22" s="1538" t="n">
        <f aca="false">K22*BQ22</f>
        <v>208</v>
      </c>
      <c r="CF22" s="1542" t="n">
        <f aca="false">ROUND(IF(W22="",0,LOOKUP(W22,B$49:B$59,D$49:D$59)*X22/12),0)</f>
        <v>43</v>
      </c>
      <c r="CG22" s="1542" t="n">
        <f aca="false">ROUND(IF(Y22="",0,LOOKUP(Y22,B$49:B$59,D$49:D$59)*Z22/12),0)</f>
        <v>0</v>
      </c>
      <c r="CH22" s="1542" t="n">
        <f aca="false">ROUND(IF(AA22="",0,LOOKUP(AA22,B$49:B$59,D$49:D$59)*AB22/12),0)</f>
        <v>0</v>
      </c>
      <c r="CI22" s="1538" t="n">
        <f aca="false">D22*BQ22</f>
        <v>2153</v>
      </c>
      <c r="CJ22" s="1538" t="n">
        <f aca="false">D22*J22/324*(1+K$73)*G22</f>
        <v>13.2901234567901</v>
      </c>
      <c r="CK22" s="1538" t="str">
        <f aca="false">IF(N22="","",N22)</f>
        <v/>
      </c>
      <c r="CL22" s="1538" t="n">
        <f aca="false">P22*BQ22</f>
        <v>2314.47991649531</v>
      </c>
      <c r="CM22" s="1543" t="n">
        <f aca="false">IF(BQ22=0,0,SUM(CN22:DE22)/BQ22)</f>
        <v>24348.016906065</v>
      </c>
      <c r="CN22" s="656" t="n">
        <f aca="false">(BS22*Pricing!F$3+BT22*Pricing!G$3+BU22*Pricing!H$3+BV22*Pricing!I$3+BW22*Pricing!J$3+BX22*Pricing!K$3+BY22*Pricing!L$3+BZ22*Pricing!M$3+CA22*Pricing!N$3+CB22*Pricing!O$3)*IF(W$44="N",(1+Y$44),1)</f>
        <v>11041.6492780864</v>
      </c>
      <c r="CO22" s="656" t="n">
        <f aca="false">BN22*G$70*IF(W$44="n",1+Y$44,1)</f>
        <v>1503.25470576371</v>
      </c>
      <c r="CP22" s="1544" t="n">
        <f aca="false">C22*D22</f>
        <v>0</v>
      </c>
      <c r="CQ22" s="656" t="n">
        <f aca="false">IF(I$79=0,0,D22*(SUM(O$79:P$82)+O$85)/I$79*BQ22)</f>
        <v>3983.05</v>
      </c>
      <c r="CR22" s="656" t="n">
        <f aca="false">IF(CF22="",0,CF22*E$83)+IF(CG22="",0,CG22*E$83)+IF(CH22="",0,CH22*E$83)</f>
        <v>344</v>
      </c>
      <c r="CS22" s="656"/>
      <c r="CT22" s="1545" t="n">
        <f aca="false">(U22/2000)*E$87</f>
        <v>312.185983299063</v>
      </c>
      <c r="CU22" s="656" t="n">
        <f aca="false">IF(I$79=0,0,D22*(O$88)/I$79*BQ22)</f>
        <v>0</v>
      </c>
      <c r="CV22" s="656" t="n">
        <f aca="false">IF(D$42=0,0,SUM(O$91:P$94)/D$42*D22)*BQ22</f>
        <v>682.9046875</v>
      </c>
      <c r="CW22" s="656" t="n">
        <f aca="false">IF(D$42=0,0,SUM(Z$66:Z$97)/D$42*D22*BQ22)</f>
        <v>1724.20348711366</v>
      </c>
      <c r="CX22" s="656" t="n">
        <f aca="false">IF(D$42=0,0,SUM(O$96:P$101)/D$42*D22)*BQ22</f>
        <v>1060.6330253655</v>
      </c>
      <c r="CY22" s="656" t="n">
        <f aca="false">IF(D$42=0,0,SUM(O$103:O$109)/D$42)*D22*BQ22</f>
        <v>1211.11214594131</v>
      </c>
      <c r="CZ22" s="656" t="n">
        <f aca="false">IF(I$79=0,0,IF(I$79=0,0,SUM(Z$98:Z$109)/I$79*D22))</f>
        <v>144.33050194601</v>
      </c>
      <c r="DA22" s="656" t="n">
        <f aca="false">IF(J$72&gt;0,J$72/D$42*D22*G22,CD22*(G$72*IF(W$44="n",(1+Y$44),1)))</f>
        <v>1981.029125</v>
      </c>
      <c r="DB22" s="656" t="n">
        <f aca="false">IF(CK22="",0,CK22*E$86)</f>
        <v>0</v>
      </c>
      <c r="DC22" s="656" t="n">
        <f aca="false">BP22*G$71*IF(W$44="Y",1,1+Y$44)</f>
        <v>0</v>
      </c>
      <c r="DD22" s="656" t="n">
        <f aca="false">CJ22*G$73*IF(W$44="Y",1,1+Y$44)</f>
        <v>359.663966049383</v>
      </c>
      <c r="DE22" s="1546" t="n">
        <f aca="false">O$110/I$79*D22</f>
        <v>0</v>
      </c>
      <c r="DF22" s="654" t="n">
        <f aca="false">IF(W22=1,X22*$AS$49,0)+IF(W22=2,X22*$AS$50,0)+IF(W22=3,X22*$AS$51,0)+IF(W22=4,X22*$AS$52,0)+IF(W22=5,X22*$AS$53,0)+IF(W22=6,X22*$AS$54)+IF(W22=7,X22*$AS$55)+IF(W22=8,X22*$AS$56)+IF(W22=9,X22*$AS$57)+IF(W22=10,X22*$AS$58)+IF(W22=11,X22*$AS$59,0)</f>
        <v>86</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1109.33333333333</v>
      </c>
      <c r="DJ22" s="654" t="n">
        <f aca="false">IF(AE22=1,AF22*$AS$49,0)+IF(AE22=2,AF22*$AS$50,0)+IF(AE22=3,AF22*$AS$51,0)+IF(AE22=4,AF22*$AS$52,0)+IF(AE22=5,AF22*$AS$53,0)+IF(AE22=6,AF22*$AS$54)+IF(AE22=7,AF22*$AS$55)+IF(AE22=8,AF22*$AS$56)+IF(AE22=9,AF22*$AS$57)+IF(AE22=10,AF22*$AS$58)+IF(AE22=11,AF22*$AS$59,0)</f>
        <v>1210</v>
      </c>
      <c r="DK22" s="654" t="n">
        <f aca="false">IF(AG22=1,AH22*$AS$49,0)+IF(AG22=2,AH22*$AS$50,0)+IF(AG22=3,AH22*$AS$51,0)+IF(AG22=4,AH22*$AS$52,0)+IF(AG22=5,AH22*$AS$53,0)+IF(AG22=6,AH22*$AS$54)+IF(AG22=7,AH22*$AS$55)+IF(AG22=8,AH22*$AS$56)+IF(AG22=9,AH22*$AS$57)+IF(AG22=10,AH22*$AS$58)+IF(AG22=11,AH22*$AS$59,0)</f>
        <v>165</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202.666666666667</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569" t="n">
        <f aca="false">D22</f>
        <v>2153</v>
      </c>
      <c r="DQ22" s="1430" t="n">
        <f aca="false">IF(AC22="","",LOOKUP(AC22,$B$49:$B$59,$S$49:$S$59)*AD22)</f>
        <v>14.1234567901235</v>
      </c>
      <c r="DR22" s="1430" t="n">
        <f aca="false">IF(AE22="","",LOOKUP(AE22,$B$49:$B$59,$S$49:$S$59)*AF22)</f>
        <v>12.4485596707819</v>
      </c>
      <c r="DS22" s="1430" t="n">
        <f aca="false">IF(AG22="","",LOOKUP(AG22,$B$49:$B$59,$S$49:$S$59)*AH22)</f>
        <v>1.69753086419753</v>
      </c>
      <c r="DT22" s="1430" t="str">
        <f aca="false">IF(AI22="","",LOOKUP(AI22,$B$49:$B$59,$S$49:$S$59)*AJ22)</f>
        <v/>
      </c>
      <c r="DU22" s="1430" t="n">
        <f aca="false">IF(AK22="","",LOOKUP(AK22,$B$49:$B$59,$S$49:$S$59)*AL22)</f>
        <v>1.29012345679012</v>
      </c>
      <c r="DV22" s="1430" t="str">
        <f aca="false">IF(AM22="","",LOOKUP(AM22,$B$49:$B$59,$S$49:$S$59)*AN22)</f>
        <v/>
      </c>
      <c r="DW22" s="1430" t="str">
        <f aca="false">IF(AO22="","",LOOKUP(AO22,$B$49:$B$59,$S$49:$S$59)*AP22)</f>
        <v/>
      </c>
      <c r="DX22" s="1535" t="n">
        <f aca="false">SUM(DQ22:DW22)-(D22-EF22)*(S$45-F22)/324</f>
        <v>-1.86316872427983</v>
      </c>
      <c r="DY22" s="1430" t="n">
        <f aca="false">IF(AC22="","",LOOKUP(AC22,$B$49:$B$59,$T$49:$T$59)*AD22)</f>
        <v>208</v>
      </c>
      <c r="DZ22" s="1430" t="n">
        <f aca="false">IF(AE22="","",LOOKUP(AE22,$B$49:$B$59,$T$49:$T$59)*AF22)</f>
        <v>201.666666666667</v>
      </c>
      <c r="EA22" s="1430" t="n">
        <f aca="false">IF(AG22="","",LOOKUP(AG22,$B$49:$B$59,$T$49:$T$59)*AH22)</f>
        <v>27.5</v>
      </c>
      <c r="EB22" s="1430" t="str">
        <f aca="false">IF(AI22="","",LOOKUP(AI22,$B$49:$B$59,$T$49:$T$59)*AJ22)</f>
        <v/>
      </c>
      <c r="EC22" s="1430" t="n">
        <f aca="false">IF(AK22="","",LOOKUP(AK22,$B$49:$B$59,$T$49:$T$59)*AL22)</f>
        <v>19</v>
      </c>
      <c r="ED22" s="1430" t="str">
        <f aca="false">IF(AM22="","",LOOKUP(AM22,$B$49:$B$59,$T$49:$T$59)*AN22)</f>
        <v/>
      </c>
      <c r="EE22" s="1430" t="str">
        <f aca="false">IF(AO22="","",LOOKUP(AO22,$B$49:$B$59,$T$49:$T$59)*AP22)</f>
        <v/>
      </c>
      <c r="EF22" s="1535" t="n">
        <f aca="false">SUM(DY22:EE22)</f>
        <v>456.166666666667</v>
      </c>
    </row>
    <row r="23" customFormat="false" ht="19.5" hidden="false" customHeight="true" outlineLevel="0" collapsed="false">
      <c r="A23" s="16" t="s">
        <v>1328</v>
      </c>
      <c r="B23" s="1549" t="s">
        <v>1566</v>
      </c>
      <c r="C23" s="1550"/>
      <c r="D23" s="1551" t="n">
        <v>2440</v>
      </c>
      <c r="E23" s="1552"/>
      <c r="F23" s="1074" t="n">
        <v>4</v>
      </c>
      <c r="G23" s="1553" t="n">
        <v>1</v>
      </c>
      <c r="H23" s="1074" t="s">
        <v>1302</v>
      </c>
      <c r="I23" s="1553" t="n">
        <v>1</v>
      </c>
      <c r="J23" s="1074" t="n">
        <v>2</v>
      </c>
      <c r="K23" s="1554" t="n">
        <v>228</v>
      </c>
      <c r="L23" s="1555"/>
      <c r="M23" s="1556"/>
      <c r="N23" s="1557"/>
      <c r="O23" s="1558"/>
      <c r="P23" s="1515" t="n">
        <f aca="false">IF(BQ23=0,0,BN23/BQ23)</f>
        <v>2355.45510881484</v>
      </c>
      <c r="Q23" s="1516" t="n">
        <f aca="false">(D23*F23/324)*(1+K$65)+BB23</f>
        <v>85.4575925925926</v>
      </c>
      <c r="R23" s="1517" t="n">
        <f aca="false">IF(D23=0,0,S23/D23)</f>
        <v>12.658977971307</v>
      </c>
      <c r="S23" s="1518" t="n">
        <f aca="false">SUM(CM23-DE23)*(1+M$45)</f>
        <v>30887.906249989</v>
      </c>
      <c r="T23" s="1519" t="n">
        <f aca="false">CF23+CG23+CH23</f>
        <v>0</v>
      </c>
      <c r="U23" s="1520" t="n">
        <f aca="false">IF(P23-(D23*0.35)&lt;0,0,P23-(D23*0.35))</f>
        <v>1501.45510881484</v>
      </c>
      <c r="V23" s="1521" t="n">
        <f aca="false">IF(D23="",0,IF(D23/-30+Q23&lt;1,0,D23/-30+Q23))</f>
        <v>4.12425925925926</v>
      </c>
      <c r="W23" s="1559" t="n">
        <v>9</v>
      </c>
      <c r="X23" s="1560"/>
      <c r="Y23" s="1559"/>
      <c r="Z23" s="1561"/>
      <c r="AA23" s="1559"/>
      <c r="AB23" s="1561"/>
      <c r="AC23" s="1562" t="n">
        <v>1</v>
      </c>
      <c r="AD23" s="1560" t="n">
        <v>228</v>
      </c>
      <c r="AE23" s="1559" t="n">
        <v>2</v>
      </c>
      <c r="AF23" s="1563" t="n">
        <v>311</v>
      </c>
      <c r="AG23" s="1564" t="n">
        <v>3</v>
      </c>
      <c r="AH23" s="1563" t="n">
        <v>42</v>
      </c>
      <c r="AI23" s="1565"/>
      <c r="AJ23" s="1560"/>
      <c r="AK23" s="1565" t="n">
        <v>5</v>
      </c>
      <c r="AL23" s="1581" t="n">
        <v>15</v>
      </c>
      <c r="AM23" s="1559"/>
      <c r="AN23" s="1566"/>
      <c r="AO23" s="1559"/>
      <c r="AP23" s="1561"/>
      <c r="AQ23" s="1435" t="n">
        <f aca="false">D23/Q23</f>
        <v>28.5521733760085</v>
      </c>
      <c r="AR23" s="1533" t="n">
        <f aca="false">IF(W23="","",LOOKUP(W23,$B$49:$B$59,$R$49:$R$59)*X23)</f>
        <v>0</v>
      </c>
      <c r="AS23" s="1430" t="str">
        <f aca="false">IF(Y23="","",LOOKUP(Y23,$B$49:$B$59,$R$49:$R$59)*Z23)</f>
        <v/>
      </c>
      <c r="AT23" s="1430" t="str">
        <f aca="false">IF(AB23="","",LOOKUP(AA23,$B$49:$B$59,$R$49:$R$59)*AB23)</f>
        <v/>
      </c>
      <c r="AU23" s="1430" t="n">
        <f aca="false">IF(AC23="","",LOOKUP(AC23,$B$49:$B$59,$R$49:$R$59)*AD23)</f>
        <v>23.8696296296296</v>
      </c>
      <c r="AV23" s="1430" t="n">
        <f aca="false">IF(AE23="","",LOOKUP(AE23,$B$49:$B$59,$R$49:$R$59)*AF23)</f>
        <v>25.4367283950617</v>
      </c>
      <c r="AW23" s="1430" t="n">
        <f aca="false">IF(AG23="","",LOOKUP(AG23,$B$49:$B$59,$R$49:$R$59)*AH23)</f>
        <v>3.43518518518519</v>
      </c>
      <c r="AX23" s="1430" t="str">
        <f aca="false">IF(AI23="","",LOOKUP(AI23,$B$49:$B$59,$R$49:$R$59)*AJ23)</f>
        <v/>
      </c>
      <c r="AY23" s="1430" t="n">
        <f aca="false">IF(AK23="","",LOOKUP(AK23,$B$49:$B$59,$R$49:$R$59)*AL23)</f>
        <v>0.785185185185185</v>
      </c>
      <c r="AZ23" s="1430" t="str">
        <f aca="false">IF(AM23="","",LOOKUP(AM23,$B$49:$B$59,$R$49:$R$59)*AN23)</f>
        <v/>
      </c>
      <c r="BA23" s="1430" t="str">
        <f aca="false">IF(AO23="","",LOOKUP(AO23,$B$49:$B$59,$R$49:$R$59)*AP23)</f>
        <v/>
      </c>
      <c r="BB23" s="1535" t="n">
        <f aca="false">SUM(AR23:BA23)</f>
        <v>53.5267283950617</v>
      </c>
      <c r="BC23" s="1533" t="n">
        <f aca="false">IF(W23="","",LOOKUP(W23,$B$49:$B$59,$P$49:$P$59)*X23)</f>
        <v>0</v>
      </c>
      <c r="BD23" s="1430" t="str">
        <f aca="false">IF(Y23="","",LOOKUP(Y23,$B$49:$B$59,$P$49:$P$59)*Z23)</f>
        <v/>
      </c>
      <c r="BE23" s="1430" t="str">
        <f aca="false">IF(AA23="","",LOOKUP(AA23,$B$49:$B$59,$P$49:$P$59)*AB23)</f>
        <v/>
      </c>
      <c r="BF23" s="1430" t="n">
        <f aca="false">IF(AC23="","",LOOKUP(AC23,$B$49:$B$59,$P$49:$P$59)*AD23)</f>
        <v>869.187627928125</v>
      </c>
      <c r="BG23" s="1430" t="n">
        <f aca="false">IF(AE23="","",LOOKUP(AE23,$B$49:$B$59,$P$49:$P$59)*AF23)</f>
        <v>1142.69400596484</v>
      </c>
      <c r="BH23" s="1430" t="n">
        <f aca="false">IF(AG23="","",LOOKUP(AG23,$B$49:$B$59,$P$49:$P$59)*AH23)</f>
        <v>279.664080609375</v>
      </c>
      <c r="BI23" s="1430" t="str">
        <f aca="false">IF(AI23="","",LOOKUP(AI23,$B$49:$B$59,$P$49:$P$59)*AJ23)</f>
        <v/>
      </c>
      <c r="BJ23" s="1430" t="n">
        <f aca="false">IF(AK23="","",LOOKUP(AK23,$B$49:$B$59,$P$49:$P$59)*AL23)</f>
        <v>63.9093943125</v>
      </c>
      <c r="BK23" s="1430" t="str">
        <f aca="false">IF(AM23="","",LOOKUP(AM23,$B$49:$B$59,$P$49:$P$59)*AN23)</f>
        <v/>
      </c>
      <c r="BL23" s="1430" t="str">
        <f aca="false">IF(AO23="","",LOOKUP(AO23,$B$49:$B$59,$P$49:$P$59)*AP23)</f>
        <v/>
      </c>
      <c r="BM23" s="1535" t="n">
        <f aca="false">SUM(BC23:BL23)*BQ23</f>
        <v>2355.45510881484</v>
      </c>
      <c r="BN23" s="1536" t="n">
        <f aca="false">BM23+BO23</f>
        <v>2355.45510881484</v>
      </c>
      <c r="BO23" s="1536" t="n">
        <f aca="false">IF(M23=0,0,(M23/12+M23/12)/(M23/12*M23/12)*D23*((L23/16*L23/16)*10.6870159))*(1+K$70)*BQ23</f>
        <v>0</v>
      </c>
      <c r="BP23" s="1536" t="n">
        <f aca="false">IF(O23="Y",D23*(1+K$71)*BQ23,0)</f>
        <v>0</v>
      </c>
      <c r="BQ23" s="1538" t="n">
        <f aca="false">G23</f>
        <v>1</v>
      </c>
      <c r="BR23" s="1411" t="n">
        <f aca="false">IF(O23="y",D23,0)</f>
        <v>0</v>
      </c>
      <c r="BS23" s="1567" t="n">
        <f aca="false">IF($I23=1,$Q23,0)*BQ23</f>
        <v>85.4575925925926</v>
      </c>
      <c r="BT23" s="1536" t="n">
        <f aca="false">IF($I23=2,$Q23,0)*BQ23</f>
        <v>0</v>
      </c>
      <c r="BU23" s="1536" t="n">
        <f aca="false">IF($I23=3,$Q23,0)*BQ23</f>
        <v>0</v>
      </c>
      <c r="BV23" s="1536" t="n">
        <f aca="false">IF($I23=4,$Q23,0)*BQ23</f>
        <v>0</v>
      </c>
      <c r="BW23" s="1536" t="n">
        <f aca="false">IF($I23=5,$Q23,0)*BQ23</f>
        <v>0</v>
      </c>
      <c r="BX23" s="1536" t="n">
        <f aca="false">IF($I23=6,$Q23,0)*$BQ23</f>
        <v>0</v>
      </c>
      <c r="BY23" s="1536" t="n">
        <f aca="false">IF($I23=7,$Q23,0)*$BQ23</f>
        <v>0</v>
      </c>
      <c r="BZ23" s="1536" t="n">
        <f aca="false">IF($I23=8,$Q23,0)*$BQ23</f>
        <v>0</v>
      </c>
      <c r="CA23" s="1536" t="n">
        <f aca="false">IF($I23=9,$Q23,0)*$BQ23</f>
        <v>0</v>
      </c>
      <c r="CB23" s="1568" t="n">
        <f aca="false">IF($I23=10,$Q23,0)*$BQ23</f>
        <v>0</v>
      </c>
      <c r="CC23" s="1538" t="n">
        <f aca="false">SUM(BS23:BX23)</f>
        <v>85.4575925925926</v>
      </c>
      <c r="CD23" s="1538" t="n">
        <f aca="false">IF(H23="N",0,D23)*BQ23</f>
        <v>2440</v>
      </c>
      <c r="CE23" s="1538" t="n">
        <f aca="false">K23*BQ23</f>
        <v>228</v>
      </c>
      <c r="CF23" s="1542" t="n">
        <f aca="false">ROUND(IF(W23="",0,LOOKUP(W23,B$49:B$59,D$49:D$59)*X23/12),0)</f>
        <v>0</v>
      </c>
      <c r="CG23" s="1542" t="n">
        <f aca="false">ROUND(IF(Y23="",0,LOOKUP(Y23,B$49:B$59,D$49:D$59)*Z23/12),0)</f>
        <v>0</v>
      </c>
      <c r="CH23" s="1542" t="n">
        <f aca="false">ROUND(IF(AA23="",0,LOOKUP(AA23,B$49:B$59,D$49:D$59)*AB23/12),0)</f>
        <v>0</v>
      </c>
      <c r="CI23" s="1538" t="n">
        <f aca="false">D23*BQ23</f>
        <v>2440</v>
      </c>
      <c r="CJ23" s="1538" t="n">
        <f aca="false">D23*J23/324*(1+K$73)*G23</f>
        <v>15.0617283950617</v>
      </c>
      <c r="CK23" s="1538" t="str">
        <f aca="false">IF(N23="","",N23)</f>
        <v/>
      </c>
      <c r="CL23" s="1538" t="n">
        <f aca="false">P23*BQ23</f>
        <v>2355.45510881484</v>
      </c>
      <c r="CM23" s="1543" t="n">
        <f aca="false">IF(BQ23=0,0,SUM(CN23:DE23)/BQ23)</f>
        <v>26859.0489130339</v>
      </c>
      <c r="CN23" s="656" t="n">
        <f aca="false">(BS23*Pricing!F$3+BT23*Pricing!G$3+BU23*Pricing!H$3+BV23*Pricing!I$3+BW23*Pricing!J$3+BX23*Pricing!K$3+BY23*Pricing!L$3+BZ23*Pricing!M$3+CA23*Pricing!N$3+CB23*Pricing!O$3)*IF(W$44="N",(1+Y$44),1)</f>
        <v>12396.0510935185</v>
      </c>
      <c r="CO23" s="656" t="n">
        <f aca="false">BN23*G$70*IF(W$44="n",1+Y$44,1)</f>
        <v>1529.86809317524</v>
      </c>
      <c r="CP23" s="1544" t="n">
        <f aca="false">C23*D23</f>
        <v>0</v>
      </c>
      <c r="CQ23" s="656" t="n">
        <f aca="false">IF(I$79=0,0,D23*(SUM(O$79:P$82)+O$85)/I$79*BQ23)</f>
        <v>4514</v>
      </c>
      <c r="CR23" s="656" t="n">
        <f aca="false">IF(CF23="",0,CF23*E$83)+IF(CG23="",0,CG23*E$83)+IF(CH23="",0,CH23*E$83)</f>
        <v>0</v>
      </c>
      <c r="CS23" s="656"/>
      <c r="CT23" s="1545" t="n">
        <f aca="false">(U23/2000)*E$87</f>
        <v>300.291021762969</v>
      </c>
      <c r="CU23" s="656" t="n">
        <f aca="false">IF(I$79=0,0,D23*(O$88)/I$79*BQ23)</f>
        <v>0</v>
      </c>
      <c r="CV23" s="656" t="n">
        <f aca="false">IF(D$42=0,0,SUM(O$91:P$94)/D$42*D23)*BQ23</f>
        <v>773.9375</v>
      </c>
      <c r="CW23" s="656" t="n">
        <f aca="false">IF(D$42=0,0,SUM(Z$66:Z$97)/D$42*D23*BQ23)</f>
        <v>1954.04389621799</v>
      </c>
      <c r="CX23" s="656" t="n">
        <f aca="false">IF(D$42=0,0,SUM(O$96:P$101)/D$42*D23)*BQ23</f>
        <v>1202.01792006122</v>
      </c>
      <c r="CY23" s="656" t="n">
        <f aca="false">IF(D$42=0,0,SUM(O$103:O$109)/D$42)*D23*BQ23</f>
        <v>1372.55626386288</v>
      </c>
      <c r="CZ23" s="656" t="n">
        <f aca="false">IF(I$79=0,0,IF(I$79=0,0,SUM(Z$98:Z$109)/I$79*D23))</f>
        <v>163.570099743736</v>
      </c>
      <c r="DA23" s="656" t="n">
        <f aca="false">IF(J$72&gt;0,J$72/D$42*D23*G23,CD23*(G$72*IF(W$44="n",(1+Y$44),1)))</f>
        <v>2245.105</v>
      </c>
      <c r="DB23" s="656" t="n">
        <f aca="false">IF(CK23="",0,CK23*E$86)</f>
        <v>0</v>
      </c>
      <c r="DC23" s="656" t="n">
        <f aca="false">BP23*G$71*IF(W$44="Y",1,1+Y$44)</f>
        <v>0</v>
      </c>
      <c r="DD23" s="656" t="n">
        <f aca="false">CJ23*G$73*IF(W$44="Y",1,1+Y$44)</f>
        <v>407.608024691358</v>
      </c>
      <c r="DE23" s="1546" t="n">
        <f aca="false">O$110/I$79*D23</f>
        <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1216</v>
      </c>
      <c r="DJ23" s="654" t="n">
        <f aca="false">IF(AE23=1,AF23*$AS$49,0)+IF(AE23=2,AF23*$AS$50,0)+IF(AE23=3,AF23*$AS$51,0)+IF(AE23=4,AF23*$AS$52,0)+IF(AE23=5,AF23*$AS$53,0)+IF(AE23=6,AF23*$AS$54)+IF(AE23=7,AF23*$AS$55)+IF(AE23=8,AF23*$AS$56)+IF(AE23=9,AF23*$AS$57)+IF(AE23=10,AF23*$AS$58)+IF(AE23=11,AF23*$AS$59,0)</f>
        <v>1555</v>
      </c>
      <c r="DK23" s="654" t="n">
        <f aca="false">IF(AG23=1,AH23*$AS$49,0)+IF(AG23=2,AH23*$AS$50,0)+IF(AG23=3,AH23*$AS$51,0)+IF(AG23=4,AH23*$AS$52,0)+IF(AG23=5,AH23*$AS$53,0)+IF(AG23=6,AH23*$AS$54)+IF(AG23=7,AH23*$AS$55)+IF(AG23=8,AH23*$AS$56)+IF(AG23=9,AH23*$AS$57)+IF(AG23=10,AH23*$AS$58)+IF(AG23=11,AH23*$AS$59,0)</f>
        <v>210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80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569" t="n">
        <f aca="false">D23</f>
        <v>2440</v>
      </c>
      <c r="DQ23" s="1430" t="n">
        <f aca="false">IF(AC23="","",LOOKUP(AC23,$B$49:$B$59,$S$49:$S$59)*AD23)</f>
        <v>15.4814814814815</v>
      </c>
      <c r="DR23" s="1430" t="n">
        <f aca="false">IF(AE23="","",LOOKUP(AE23,$B$49:$B$59,$S$49:$S$59)*AF23)</f>
        <v>15.9979423868313</v>
      </c>
      <c r="DS23" s="1430" t="n">
        <f aca="false">IF(AG23="","",LOOKUP(AG23,$B$49:$B$59,$S$49:$S$59)*AH23)</f>
        <v>2.16049382716049</v>
      </c>
      <c r="DT23" s="1430" t="str">
        <f aca="false">IF(AI23="","",LOOKUP(AI23,$B$49:$B$59,$S$49:$S$59)*AJ23)</f>
        <v/>
      </c>
      <c r="DU23" s="1430" t="n">
        <f aca="false">IF(AK23="","",LOOKUP(AK23,$B$49:$B$59,$S$49:$S$59)*AL23)</f>
        <v>0.509259259259259</v>
      </c>
      <c r="DV23" s="1430" t="str">
        <f aca="false">IF(AM23="","",LOOKUP(AM23,$B$49:$B$59,$S$49:$S$59)*AN23)</f>
        <v/>
      </c>
      <c r="DW23" s="1430" t="str">
        <f aca="false">IF(AO23="","",LOOKUP(AO23,$B$49:$B$59,$S$49:$S$59)*AP23)</f>
        <v/>
      </c>
      <c r="DX23" s="1535" t="n">
        <f aca="false">SUM(DQ23:DW23)-(D23-EF23)*(S$45-F23)/324</f>
        <v>-1.22736625514403</v>
      </c>
      <c r="DY23" s="1430" t="n">
        <f aca="false">IF(AC23="","",LOOKUP(AC23,$B$49:$B$59,$T$49:$T$59)*AD23)</f>
        <v>228</v>
      </c>
      <c r="DZ23" s="1430" t="n">
        <f aca="false">IF(AE23="","",LOOKUP(AE23,$B$49:$B$59,$T$49:$T$59)*AF23)</f>
        <v>259.166666666667</v>
      </c>
      <c r="EA23" s="1430" t="n">
        <f aca="false">IF(AG23="","",LOOKUP(AG23,$B$49:$B$59,$T$49:$T$59)*AH23)</f>
        <v>35</v>
      </c>
      <c r="EB23" s="1430" t="str">
        <f aca="false">IF(AI23="","",LOOKUP(AI23,$B$49:$B$59,$T$49:$T$59)*AJ23)</f>
        <v/>
      </c>
      <c r="EC23" s="1430" t="n">
        <f aca="false">IF(AK23="","",LOOKUP(AK23,$B$49:$B$59,$T$49:$T$59)*AL23)</f>
        <v>7.5</v>
      </c>
      <c r="ED23" s="1430" t="str">
        <f aca="false">IF(AM23="","",LOOKUP(AM23,$B$49:$B$59,$T$49:$T$59)*AN23)</f>
        <v/>
      </c>
      <c r="EE23" s="1430" t="str">
        <f aca="false">IF(AO23="","",LOOKUP(AO23,$B$49:$B$59,$T$49:$T$59)*AP23)</f>
        <v/>
      </c>
      <c r="EF23" s="1535" t="n">
        <f aca="false">SUM(DY23:EE23)</f>
        <v>529.666666666667</v>
      </c>
    </row>
    <row r="24" customFormat="false" ht="19.5" hidden="false" customHeight="true" outlineLevel="0" collapsed="false">
      <c r="A24" s="16" t="s">
        <v>1330</v>
      </c>
      <c r="B24" s="1505" t="s">
        <v>1567</v>
      </c>
      <c r="C24" s="1506"/>
      <c r="D24" s="1507" t="n">
        <v>2091</v>
      </c>
      <c r="E24" s="1508"/>
      <c r="F24" s="1074" t="n">
        <v>4</v>
      </c>
      <c r="G24" s="1553" t="n">
        <v>1</v>
      </c>
      <c r="H24" s="1074" t="s">
        <v>1302</v>
      </c>
      <c r="I24" s="1553" t="n">
        <v>1</v>
      </c>
      <c r="J24" s="1074" t="n">
        <v>2</v>
      </c>
      <c r="K24" s="1554" t="n">
        <v>199</v>
      </c>
      <c r="L24" s="528"/>
      <c r="M24" s="895"/>
      <c r="N24" s="1513"/>
      <c r="O24" s="1514"/>
      <c r="P24" s="1515" t="n">
        <f aca="false">IF(BQ24=0,0,BN24/BQ24)</f>
        <v>2257.88785527422</v>
      </c>
      <c r="Q24" s="1516" t="n">
        <f aca="false">(D24*F24/324)*(1+K$65)+BB24</f>
        <v>76.32</v>
      </c>
      <c r="R24" s="1517" t="n">
        <f aca="false">IF(D24=0,0,S24/D24)</f>
        <v>13.272150501273</v>
      </c>
      <c r="S24" s="1518" t="n">
        <f aca="false">SUM(CM24-DE24)*(1+M$45)</f>
        <v>27752.0666981619</v>
      </c>
      <c r="T24" s="1519" t="n">
        <f aca="false">CF24+CG24+CH24</f>
        <v>58</v>
      </c>
      <c r="U24" s="1520" t="n">
        <f aca="false">IF(P24-(D24*0.35)&lt;0,0,P24-(D24*0.35))</f>
        <v>1526.03785527422</v>
      </c>
      <c r="V24" s="1521" t="n">
        <f aca="false">IF(D24="",0,IF(D24/-30+Q24&lt;1,0,D24/-30+Q24))</f>
        <v>6.62</v>
      </c>
      <c r="W24" s="1511" t="n">
        <v>9</v>
      </c>
      <c r="X24" s="1526" t="n">
        <v>58</v>
      </c>
      <c r="Y24" s="528"/>
      <c r="Z24" s="1574"/>
      <c r="AA24" s="528"/>
      <c r="AB24" s="1574"/>
      <c r="AC24" s="1525" t="n">
        <v>1</v>
      </c>
      <c r="AD24" s="1526" t="n">
        <v>199</v>
      </c>
      <c r="AE24" s="1511" t="n">
        <v>2</v>
      </c>
      <c r="AF24" s="1527" t="n">
        <v>316</v>
      </c>
      <c r="AG24" s="1528" t="n">
        <v>3</v>
      </c>
      <c r="AH24" s="1527"/>
      <c r="AI24" s="1529"/>
      <c r="AJ24" s="1530"/>
      <c r="AK24" s="1531" t="n">
        <v>5</v>
      </c>
      <c r="AL24" s="1582"/>
      <c r="AM24" s="528"/>
      <c r="AN24" s="1575"/>
      <c r="AO24" s="528"/>
      <c r="AP24" s="1574"/>
      <c r="AQ24" s="1435" t="n">
        <f aca="false">D24/Q24</f>
        <v>27.3977987421384</v>
      </c>
      <c r="AR24" s="1533" t="n">
        <f aca="false">IF(W24="","",LOOKUP(W24,$B$49:$B$59,$R$49:$R$59)*X24)</f>
        <v>2.27703703703704</v>
      </c>
      <c r="AS24" s="1430" t="str">
        <f aca="false">IF(Y24="","",LOOKUP(Y24,$B$49:$B$59,$R$49:$R$59)*Z24)</f>
        <v/>
      </c>
      <c r="AT24" s="1430" t="str">
        <f aca="false">IF(AB24="","",LOOKUP(AA24,$B$49:$B$59,$R$49:$R$59)*AB24)</f>
        <v/>
      </c>
      <c r="AU24" s="1430" t="n">
        <f aca="false">IF(AC24="","",LOOKUP(AC24,$B$49:$B$59,$R$49:$R$59)*AD24)</f>
        <v>20.8335802469136</v>
      </c>
      <c r="AV24" s="1430" t="n">
        <f aca="false">IF(AE24="","",LOOKUP(AE24,$B$49:$B$59,$R$49:$R$59)*AF24)</f>
        <v>25.8456790123457</v>
      </c>
      <c r="AW24" s="1430" t="n">
        <f aca="false">IF(AG24="","",LOOKUP(AG24,$B$49:$B$59,$R$49:$R$59)*AH24)</f>
        <v>0</v>
      </c>
      <c r="AX24" s="1430" t="str">
        <f aca="false">IF(AI24="","",LOOKUP(AI24,$B$49:$B$59,$R$49:$R$59)*AJ24)</f>
        <v/>
      </c>
      <c r="AY24" s="1430" t="n">
        <f aca="false">IF(AK24="","",LOOKUP(AK24,$B$49:$B$59,$R$49:$R$59)*AL24)</f>
        <v>0</v>
      </c>
      <c r="AZ24" s="1430" t="str">
        <f aca="false">IF(AM24="","",LOOKUP(AM24,$B$49:$B$59,$R$49:$R$59)*AN24)</f>
        <v/>
      </c>
      <c r="BA24" s="1430" t="str">
        <f aca="false">IF(AO24="","",LOOKUP(AO24,$B$49:$B$59,$R$49:$R$59)*AP24)</f>
        <v/>
      </c>
      <c r="BB24" s="1535" t="n">
        <f aca="false">SUM(AR24:BA24)</f>
        <v>48.9562962962963</v>
      </c>
      <c r="BC24" s="1533" t="n">
        <f aca="false">IF(W24="","",LOOKUP(W24,$B$49:$B$59,$P$49:$P$59)*X24)</f>
        <v>338.189501821875</v>
      </c>
      <c r="BD24" s="1430" t="str">
        <f aca="false">IF(Y24="","",LOOKUP(Y24,$B$49:$B$59,$P$49:$P$59)*Z24)</f>
        <v/>
      </c>
      <c r="BE24" s="1430" t="str">
        <f aca="false">IF(AA24="","",LOOKUP(AA24,$B$49:$B$59,$P$49:$P$59)*AB24)</f>
        <v/>
      </c>
      <c r="BF24" s="1430" t="n">
        <f aca="false">IF(AC24="","",LOOKUP(AC24,$B$49:$B$59,$P$49:$P$59)*AD24)</f>
        <v>758.633061217969</v>
      </c>
      <c r="BG24" s="1430" t="n">
        <f aca="false">IF(AE24="","",LOOKUP(AE24,$B$49:$B$59,$P$49:$P$59)*AF24)</f>
        <v>1161.06529223438</v>
      </c>
      <c r="BH24" s="1430" t="n">
        <f aca="false">IF(AG24="","",LOOKUP(AG24,$B$49:$B$59,$P$49:$P$59)*AH24)</f>
        <v>0</v>
      </c>
      <c r="BI24" s="1430" t="str">
        <f aca="false">IF(AI24="","",LOOKUP(AI24,$B$49:$B$59,$P$49:$P$59)*AJ24)</f>
        <v/>
      </c>
      <c r="BJ24" s="1430" t="n">
        <f aca="false">IF(AK24="","",LOOKUP(AK24,$B$49:$B$59,$P$49:$P$59)*AL24)</f>
        <v>0</v>
      </c>
      <c r="BK24" s="1430" t="str">
        <f aca="false">IF(AM24="","",LOOKUP(AM24,$B$49:$B$59,$P$49:$P$59)*AN24)</f>
        <v/>
      </c>
      <c r="BL24" s="1430" t="str">
        <f aca="false">IF(AO24="","",LOOKUP(AO24,$B$49:$B$59,$P$49:$P$59)*AP24)</f>
        <v/>
      </c>
      <c r="BM24" s="1535" t="n">
        <f aca="false">SUM(BC24:BL24)*BQ24</f>
        <v>2257.88785527422</v>
      </c>
      <c r="BN24" s="1536" t="n">
        <f aca="false">BM24+BO24</f>
        <v>2257.88785527422</v>
      </c>
      <c r="BO24" s="1536" t="n">
        <f aca="false">IF(M24=0,0,(M24/12+M24/12)/(M24/12*M24/12)*D24*((L24/16*L24/16)*10.6870159))*(1+K$70)*BQ24</f>
        <v>0</v>
      </c>
      <c r="BP24" s="1536" t="n">
        <f aca="false">IF(O24="Y",D24*(1+K$71)*BQ24,0)</f>
        <v>0</v>
      </c>
      <c r="BQ24" s="1538" t="n">
        <f aca="false">G24</f>
        <v>1</v>
      </c>
      <c r="BR24" s="1411" t="n">
        <f aca="false">IF(O24="y",D24,0)</f>
        <v>0</v>
      </c>
      <c r="BS24" s="1567" t="n">
        <f aca="false">IF($I24=1,$Q24,0)*BQ24</f>
        <v>76.32</v>
      </c>
      <c r="BT24" s="1536" t="n">
        <f aca="false">IF($I24=2,$Q24,0)*BQ24</f>
        <v>0</v>
      </c>
      <c r="BU24" s="1536" t="n">
        <f aca="false">IF($I24=3,$Q24,0)*BQ24</f>
        <v>0</v>
      </c>
      <c r="BV24" s="1536" t="n">
        <f aca="false">IF($I24=4,$Q24,0)*BQ24</f>
        <v>0</v>
      </c>
      <c r="BW24" s="1536" t="n">
        <f aca="false">IF($I24=5,$Q24,0)*BQ24</f>
        <v>0</v>
      </c>
      <c r="BX24" s="1536" t="n">
        <f aca="false">IF($I24=6,$Q24,0)*$BQ24</f>
        <v>0</v>
      </c>
      <c r="BY24" s="1536" t="n">
        <f aca="false">IF($I24=7,$Q24,0)*$BQ24</f>
        <v>0</v>
      </c>
      <c r="BZ24" s="1536" t="n">
        <f aca="false">IF($I24=8,$Q24,0)*$BQ24</f>
        <v>0</v>
      </c>
      <c r="CA24" s="1536" t="n">
        <f aca="false">IF($I24=9,$Q24,0)*$BQ24</f>
        <v>0</v>
      </c>
      <c r="CB24" s="1568" t="n">
        <f aca="false">IF($I24=10,$Q24,0)*$BQ24</f>
        <v>0</v>
      </c>
      <c r="CC24" s="1538" t="n">
        <f aca="false">SUM(BS24:BX24)</f>
        <v>76.32</v>
      </c>
      <c r="CD24" s="1538" t="n">
        <f aca="false">IF(H24="N",0,D24)*BQ24</f>
        <v>2091</v>
      </c>
      <c r="CE24" s="1538" t="n">
        <f aca="false">K24*BQ24</f>
        <v>199</v>
      </c>
      <c r="CF24" s="1542" t="n">
        <f aca="false">ROUND(IF(W24="",0,LOOKUP(W24,B$49:B$59,D$49:D$59)*X24/12),0)</f>
        <v>58</v>
      </c>
      <c r="CG24" s="1542" t="n">
        <f aca="false">ROUND(IF(Y24="",0,LOOKUP(Y24,B$49:B$59,D$49:D$59)*Z24/12),0)</f>
        <v>0</v>
      </c>
      <c r="CH24" s="1542" t="n">
        <f aca="false">ROUND(IF(AA24="",0,LOOKUP(AA24,B$49:B$59,D$49:D$59)*AB24/12),0)</f>
        <v>0</v>
      </c>
      <c r="CI24" s="1538" t="n">
        <f aca="false">D24*BQ24</f>
        <v>2091</v>
      </c>
      <c r="CJ24" s="1538" t="n">
        <f aca="false">D24*J24/324*(1+K$73)*G24</f>
        <v>12.9074074074074</v>
      </c>
      <c r="CK24" s="1538" t="str">
        <f aca="false">IF(N24="","",N24)</f>
        <v/>
      </c>
      <c r="CL24" s="1538" t="n">
        <f aca="false">P24*BQ24</f>
        <v>2257.88785527422</v>
      </c>
      <c r="CM24" s="1543" t="n">
        <f aca="false">IF(BQ24=0,0,SUM(CN24:DE24)/BQ24)</f>
        <v>24132.2319114452</v>
      </c>
      <c r="CN24" s="656" t="n">
        <f aca="false">(BS24*Pricing!F$3+BT24*Pricing!G$3+BU24*Pricing!H$3+BV24*Pricing!I$3+BW24*Pricing!J$3+BX24*Pricing!K$3+BY24*Pricing!L$3+BZ24*Pricing!M$3+CA24*Pricing!N$3+CB24*Pricing!O$3)*IF(W$44="N",(1+Y$44),1)</f>
        <v>11070.5976</v>
      </c>
      <c r="CO24" s="656" t="n">
        <f aca="false">BN24*G$70*IF(W$44="n",1+Y$44,1)</f>
        <v>1466.49816200061</v>
      </c>
      <c r="CP24" s="1544" t="n">
        <f aca="false">C24*D24</f>
        <v>0</v>
      </c>
      <c r="CQ24" s="656" t="n">
        <f aca="false">IF(I$79=0,0,D24*(SUM(O$79:P$82)+O$85)/I$79*BQ24)</f>
        <v>3868.35</v>
      </c>
      <c r="CR24" s="656" t="n">
        <f aca="false">IF(CF24="",0,CF24*E$83)+IF(CG24="",0,CG24*E$83)+IF(CH24="",0,CH24*E$83)</f>
        <v>464</v>
      </c>
      <c r="CS24" s="656"/>
      <c r="CT24" s="1545" t="n">
        <f aca="false">(U24/2000)*E$87</f>
        <v>305.207571054844</v>
      </c>
      <c r="CU24" s="656" t="n">
        <f aca="false">IF(I$79=0,0,D24*(O$88)/I$79*BQ24)</f>
        <v>0</v>
      </c>
      <c r="CV24" s="656" t="n">
        <f aca="false">IF(D$42=0,0,SUM(O$91:P$94)/D$42*D24)*BQ24</f>
        <v>663.2390625</v>
      </c>
      <c r="CW24" s="656" t="n">
        <f aca="false">IF(D$42=0,0,SUM(Z$66:Z$97)/D$42*D24*BQ24)</f>
        <v>1674.55155204582</v>
      </c>
      <c r="CX24" s="656" t="n">
        <f aca="false">IF(D$42=0,0,SUM(O$96:P$101)/D$42*D24)*BQ24</f>
        <v>1030.08994706886</v>
      </c>
      <c r="CY24" s="656" t="n">
        <f aca="false">IF(D$42=0,0,SUM(O$103:O$109)/D$42)*D24*BQ24</f>
        <v>1176.23571628577</v>
      </c>
      <c r="CZ24" s="656" t="n">
        <f aca="false">IF(I$79=0,0,IF(I$79=0,0,SUM(Z$98:Z$109)/I$79*D24))</f>
        <v>140.174212526292</v>
      </c>
      <c r="DA24" s="656" t="n">
        <f aca="false">IF(J$72&gt;0,J$72/D$42*D24*G24,CD24*(G$72*IF(W$44="n",(1+Y$44),1)))</f>
        <v>1923.981375</v>
      </c>
      <c r="DB24" s="656" t="n">
        <f aca="false">IF(CK24="",0,CK24*E$86)</f>
        <v>0</v>
      </c>
      <c r="DC24" s="656" t="n">
        <f aca="false">BP24*G$71*IF(W$44="Y",1,1+Y$44)</f>
        <v>0</v>
      </c>
      <c r="DD24" s="656" t="n">
        <f aca="false">CJ24*G$73*IF(W$44="Y",1,1+Y$44)</f>
        <v>349.306712962963</v>
      </c>
      <c r="DE24" s="1546" t="n">
        <f aca="false">O$110/I$79*D24</f>
        <v>0</v>
      </c>
      <c r="DF24" s="654" t="n">
        <f aca="false">IF(W24=1,X24*$AS$49,0)+IF(W24=2,X24*$AS$50,0)+IF(W24=3,X24*$AS$51,0)+IF(W24=4,X24*$AS$52,0)+IF(W24=5,X24*$AS$53,0)+IF(W24=6,X24*$AS$54)+IF(W24=7,X24*$AS$55)+IF(W24=8,X24*$AS$56)+IF(W24=9,X24*$AS$57)+IF(W24=10,X24*$AS$58)+IF(W24=11,X24*$AS$59,0)</f>
        <v>116</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1061.33333333333</v>
      </c>
      <c r="DJ24" s="654" t="n">
        <f aca="false">IF(AE24=1,AF24*$AS$49,0)+IF(AE24=2,AF24*$AS$50,0)+IF(AE24=3,AF24*$AS$51,0)+IF(AE24=4,AF24*$AS$52,0)+IF(AE24=5,AF24*$AS$53,0)+IF(AE24=6,AF24*$AS$54)+IF(AE24=7,AF24*$AS$55)+IF(AE24=8,AF24*$AS$56)+IF(AE24=9,AF24*$AS$57)+IF(AE24=10,AF24*$AS$58)+IF(AE24=11,AF24*$AS$59,0)</f>
        <v>1580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569" t="n">
        <f aca="false">D24</f>
        <v>2091</v>
      </c>
      <c r="DQ24" s="1430" t="n">
        <f aca="false">IF(AC24="","",LOOKUP(AC24,$B$49:$B$59,$S$49:$S$59)*AD24)</f>
        <v>13.5123456790123</v>
      </c>
      <c r="DR24" s="1430" t="n">
        <f aca="false">IF(AE24="","",LOOKUP(AE24,$B$49:$B$59,$S$49:$S$59)*AF24)</f>
        <v>16.2551440329218</v>
      </c>
      <c r="DS24" s="1430" t="n">
        <f aca="false">IF(AG24="","",LOOKUP(AG24,$B$49:$B$59,$S$49:$S$59)*AH24)</f>
        <v>0</v>
      </c>
      <c r="DT24" s="1430" t="str">
        <f aca="false">IF(AI24="","",LOOKUP(AI24,$B$49:$B$59,$S$49:$S$59)*AJ24)</f>
        <v/>
      </c>
      <c r="DU24" s="1430" t="n">
        <f aca="false">IF(AK24="","",LOOKUP(AK24,$B$49:$B$59,$S$49:$S$59)*AL24)</f>
        <v>0</v>
      </c>
      <c r="DV24" s="1430" t="str">
        <f aca="false">IF(AM24="","",LOOKUP(AM24,$B$49:$B$59,$S$49:$S$59)*AN24)</f>
        <v/>
      </c>
      <c r="DW24" s="1430" t="str">
        <f aca="false">IF(AO24="","",LOOKUP(AO24,$B$49:$B$59,$S$49:$S$59)*AP24)</f>
        <v/>
      </c>
      <c r="DX24" s="1535" t="n">
        <f aca="false">SUM(DQ24:DW24)-(D24-EF24)*(S$45-F24)/324</f>
        <v>-0.393004115226336</v>
      </c>
      <c r="DY24" s="1430" t="n">
        <f aca="false">IF(AC24="","",LOOKUP(AC24,$B$49:$B$59,$T$49:$T$59)*AD24)</f>
        <v>199</v>
      </c>
      <c r="DZ24" s="1430" t="n">
        <f aca="false">IF(AE24="","",LOOKUP(AE24,$B$49:$B$59,$T$49:$T$59)*AF24)</f>
        <v>263.333333333333</v>
      </c>
      <c r="EA24" s="1430" t="n">
        <f aca="false">IF(AG24="","",LOOKUP(AG24,$B$49:$B$59,$T$49:$T$59)*AH24)</f>
        <v>0</v>
      </c>
      <c r="EB24" s="1430" t="str">
        <f aca="false">IF(AI24="","",LOOKUP(AI24,$B$49:$B$59,$T$49:$T$59)*AJ24)</f>
        <v/>
      </c>
      <c r="EC24" s="1430" t="n">
        <f aca="false">IF(AK24="","",LOOKUP(AK24,$B$49:$B$59,$T$49:$T$59)*AL24)</f>
        <v>0</v>
      </c>
      <c r="ED24" s="1430" t="str">
        <f aca="false">IF(AM24="","",LOOKUP(AM24,$B$49:$B$59,$T$49:$T$59)*AN24)</f>
        <v/>
      </c>
      <c r="EE24" s="1430" t="str">
        <f aca="false">IF(AO24="","",LOOKUP(AO24,$B$49:$B$59,$T$49:$T$59)*AP24)</f>
        <v/>
      </c>
      <c r="EF24" s="1535" t="n">
        <f aca="false">SUM(DY24:EE24)</f>
        <v>462.333333333333</v>
      </c>
    </row>
    <row r="25" customFormat="false" ht="19.5" hidden="false" customHeight="true" outlineLevel="0" collapsed="false">
      <c r="A25" s="16" t="s">
        <v>1568</v>
      </c>
      <c r="B25" s="1549" t="s">
        <v>1569</v>
      </c>
      <c r="C25" s="1550"/>
      <c r="D25" s="1551" t="n">
        <v>515</v>
      </c>
      <c r="E25" s="1552"/>
      <c r="F25" s="1074" t="n">
        <v>4</v>
      </c>
      <c r="G25" s="1553" t="n">
        <v>1</v>
      </c>
      <c r="H25" s="1074" t="s">
        <v>1302</v>
      </c>
      <c r="I25" s="1553" t="n">
        <v>1</v>
      </c>
      <c r="J25" s="1074" t="n">
        <v>2</v>
      </c>
      <c r="K25" s="1554" t="n">
        <v>115</v>
      </c>
      <c r="L25" s="1555"/>
      <c r="M25" s="1556"/>
      <c r="N25" s="1557"/>
      <c r="O25" s="1558"/>
      <c r="P25" s="1515" t="n">
        <f aca="false">IF(BQ25=0,0,BN25/BQ25)</f>
        <v>787.460479523438</v>
      </c>
      <c r="Q25" s="1516" t="n">
        <f aca="false">(D25*F25/324)*(1+K$65)+BB25</f>
        <v>26.5490740740741</v>
      </c>
      <c r="R25" s="1517" t="n">
        <f aca="false">IF(D25=0,0,S25/D25)</f>
        <v>15.9667584693337</v>
      </c>
      <c r="S25" s="1518" t="n">
        <f aca="false">SUM(CM25-DE25)*(1+M$45)</f>
        <v>8222.88061170688</v>
      </c>
      <c r="T25" s="1519" t="n">
        <f aca="false">CF25+CG25+CH25</f>
        <v>0</v>
      </c>
      <c r="U25" s="1520" t="n">
        <f aca="false">IF(P25-(D25*0.35)&lt;0,0,P25-(D25*0.35))</f>
        <v>607.210479523438</v>
      </c>
      <c r="V25" s="1521" t="n">
        <f aca="false">IF(D25="",0,IF(D25/-30+Q25&lt;1,0,D25/-30+Q25))</f>
        <v>9.3824074074074</v>
      </c>
      <c r="W25" s="1559" t="n">
        <v>9</v>
      </c>
      <c r="X25" s="1560"/>
      <c r="Y25" s="1559"/>
      <c r="Z25" s="1561"/>
      <c r="AA25" s="1559"/>
      <c r="AB25" s="1561"/>
      <c r="AC25" s="1562" t="n">
        <v>1</v>
      </c>
      <c r="AD25" s="1560" t="n">
        <v>115</v>
      </c>
      <c r="AE25" s="1559" t="n">
        <v>2</v>
      </c>
      <c r="AF25" s="1563" t="n">
        <v>95</v>
      </c>
      <c r="AG25" s="1564" t="n">
        <v>3</v>
      </c>
      <c r="AH25" s="1563"/>
      <c r="AI25" s="1565"/>
      <c r="AJ25" s="1560"/>
      <c r="AK25" s="1565" t="n">
        <v>5</v>
      </c>
      <c r="AL25" s="1581"/>
      <c r="AM25" s="1559"/>
      <c r="AN25" s="1566"/>
      <c r="AO25" s="1559"/>
      <c r="AP25" s="1561"/>
      <c r="AQ25" s="1435" t="n">
        <f aca="false">D25/Q25</f>
        <v>19.3980399679141</v>
      </c>
      <c r="AR25" s="1533" t="n">
        <f aca="false">IF(W25="","",LOOKUP(W25,$B$49:$B$59,$R$49:$R$59)*X25)</f>
        <v>0</v>
      </c>
      <c r="AS25" s="1430" t="str">
        <f aca="false">IF(Y25="","",LOOKUP(Y25,$B$49:$B$59,$R$49:$R$59)*Z25)</f>
        <v/>
      </c>
      <c r="AT25" s="1430" t="str">
        <f aca="false">IF(AB25="","",LOOKUP(AA25,$B$49:$B$59,$R$49:$R$59)*AB25)</f>
        <v/>
      </c>
      <c r="AU25" s="1430" t="n">
        <f aca="false">IF(AC25="","",LOOKUP(AC25,$B$49:$B$59,$R$49:$R$59)*AD25)</f>
        <v>12.0395061728395</v>
      </c>
      <c r="AV25" s="1430" t="n">
        <f aca="false">IF(AE25="","",LOOKUP(AE25,$B$49:$B$59,$R$49:$R$59)*AF25)</f>
        <v>7.77006172839506</v>
      </c>
      <c r="AW25" s="1430" t="n">
        <f aca="false">IF(AG25="","",LOOKUP(AG25,$B$49:$B$59,$R$49:$R$59)*AH25)</f>
        <v>0</v>
      </c>
      <c r="AX25" s="1430" t="str">
        <f aca="false">IF(AI25="","",LOOKUP(AI25,$B$49:$B$59,$R$49:$R$59)*AJ25)</f>
        <v/>
      </c>
      <c r="AY25" s="1430" t="n">
        <f aca="false">IF(AK25="","",LOOKUP(AK25,$B$49:$B$59,$R$49:$R$59)*AL25)</f>
        <v>0</v>
      </c>
      <c r="AZ25" s="1430" t="str">
        <f aca="false">IF(AM25="","",LOOKUP(AM25,$B$49:$B$59,$R$49:$R$59)*AN25)</f>
        <v/>
      </c>
      <c r="BA25" s="1430" t="str">
        <f aca="false">IF(AO25="","",LOOKUP(AO25,$B$49:$B$59,$R$49:$R$59)*AP25)</f>
        <v/>
      </c>
      <c r="BB25" s="1535" t="n">
        <f aca="false">SUM(AR25:BA25)</f>
        <v>19.8095679012346</v>
      </c>
      <c r="BC25" s="1533" t="n">
        <f aca="false">IF(W25="","",LOOKUP(W25,$B$49:$B$59,$P$49:$P$59)*X25)</f>
        <v>0</v>
      </c>
      <c r="BD25" s="1430" t="str">
        <f aca="false">IF(Y25="","",LOOKUP(Y25,$B$49:$B$59,$P$49:$P$59)*Z25)</f>
        <v/>
      </c>
      <c r="BE25" s="1430" t="str">
        <f aca="false">IF(AA25="","",LOOKUP(AA25,$B$49:$B$59,$P$49:$P$59)*AB25)</f>
        <v/>
      </c>
      <c r="BF25" s="1430" t="n">
        <f aca="false">IF(AC25="","",LOOKUP(AC25,$B$49:$B$59,$P$49:$P$59)*AD25)</f>
        <v>438.406040402344</v>
      </c>
      <c r="BG25" s="1430" t="n">
        <f aca="false">IF(AE25="","",LOOKUP(AE25,$B$49:$B$59,$P$49:$P$59)*AF25)</f>
        <v>349.054439121094</v>
      </c>
      <c r="BH25" s="1430" t="n">
        <f aca="false">IF(AG25="","",LOOKUP(AG25,$B$49:$B$59,$P$49:$P$59)*AH25)</f>
        <v>0</v>
      </c>
      <c r="BI25" s="1430" t="str">
        <f aca="false">IF(AI25="","",LOOKUP(AI25,$B$49:$B$59,$P$49:$P$59)*AJ25)</f>
        <v/>
      </c>
      <c r="BJ25" s="1430" t="n">
        <f aca="false">IF(AK25="","",LOOKUP(AK25,$B$49:$B$59,$P$49:$P$59)*AL25)</f>
        <v>0</v>
      </c>
      <c r="BK25" s="1430" t="str">
        <f aca="false">IF(AM25="","",LOOKUP(AM25,$B$49:$B$59,$P$49:$P$59)*AN25)</f>
        <v/>
      </c>
      <c r="BL25" s="1430" t="str">
        <f aca="false">IF(AO25="","",LOOKUP(AO25,$B$49:$B$59,$P$49:$P$59)*AP25)</f>
        <v/>
      </c>
      <c r="BM25" s="1535" t="n">
        <f aca="false">SUM(BC25:BL25)*BQ25</f>
        <v>787.460479523438</v>
      </c>
      <c r="BN25" s="1536" t="n">
        <f aca="false">BM25+BO25</f>
        <v>787.460479523438</v>
      </c>
      <c r="BO25" s="1536" t="n">
        <f aca="false">IF(M25=0,0,(M25/12+M25/12)/(M25/12*M25/12)*D25*((L25/16*L25/16)*10.6870159))*(1+K$70)*BQ25</f>
        <v>0</v>
      </c>
      <c r="BP25" s="1536" t="n">
        <f aca="false">IF(O25="Y",D25*(1+K$71)*BQ25,0)</f>
        <v>0</v>
      </c>
      <c r="BQ25" s="1538" t="n">
        <f aca="false">G25</f>
        <v>1</v>
      </c>
      <c r="BR25" s="1411" t="n">
        <f aca="false">IF(O25="y",D25,0)</f>
        <v>0</v>
      </c>
      <c r="BS25" s="1567" t="n">
        <f aca="false">IF($I25=1,$Q25,0)*BQ25</f>
        <v>26.5490740740741</v>
      </c>
      <c r="BT25" s="1536" t="n">
        <f aca="false">IF($I25=2,$Q25,0)*BQ25</f>
        <v>0</v>
      </c>
      <c r="BU25" s="1536" t="n">
        <f aca="false">IF($I25=3,$Q25,0)*BQ25</f>
        <v>0</v>
      </c>
      <c r="BV25" s="1536" t="n">
        <f aca="false">IF($I25=4,$Q25,0)*BQ25</f>
        <v>0</v>
      </c>
      <c r="BW25" s="1536" t="n">
        <f aca="false">IF($I25=5,$Q25,0)*BQ25</f>
        <v>0</v>
      </c>
      <c r="BX25" s="1536" t="n">
        <f aca="false">IF($I25=6,$Q25,0)*$BQ25</f>
        <v>0</v>
      </c>
      <c r="BY25" s="1536" t="n">
        <f aca="false">IF($I25=7,$Q25,0)*$BQ25</f>
        <v>0</v>
      </c>
      <c r="BZ25" s="1536" t="n">
        <f aca="false">IF($I25=8,$Q25,0)*$BQ25</f>
        <v>0</v>
      </c>
      <c r="CA25" s="1536" t="n">
        <f aca="false">IF($I25=9,$Q25,0)*$BQ25</f>
        <v>0</v>
      </c>
      <c r="CB25" s="1568" t="n">
        <f aca="false">IF($I25=10,$Q25,0)*$BQ25</f>
        <v>0</v>
      </c>
      <c r="CC25" s="1538" t="n">
        <f aca="false">SUM(BS25:BX25)</f>
        <v>26.5490740740741</v>
      </c>
      <c r="CD25" s="1538" t="n">
        <f aca="false">IF(H25="N",0,D25)*BQ25</f>
        <v>515</v>
      </c>
      <c r="CE25" s="1538" t="n">
        <f aca="false">K25*BQ25</f>
        <v>115</v>
      </c>
      <c r="CF25" s="1542" t="n">
        <f aca="false">ROUND(IF(W25="",0,LOOKUP(W25,B$49:B$59,D$49:D$59)*X25/12),0)</f>
        <v>0</v>
      </c>
      <c r="CG25" s="1542" t="n">
        <f aca="false">ROUND(IF(Y25="",0,LOOKUP(Y25,B$49:B$59,D$49:D$59)*Z25/12),0)</f>
        <v>0</v>
      </c>
      <c r="CH25" s="1542" t="n">
        <f aca="false">ROUND(IF(AA25="",0,LOOKUP(AA25,B$49:B$59,D$49:D$59)*AB25/12),0)</f>
        <v>0</v>
      </c>
      <c r="CI25" s="1538" t="n">
        <f aca="false">D25*BQ25</f>
        <v>515</v>
      </c>
      <c r="CJ25" s="1538" t="n">
        <f aca="false">D25*J25/324*(1+K$73)*G25</f>
        <v>3.17901234567901</v>
      </c>
      <c r="CK25" s="1538" t="str">
        <f aca="false">IF(N25="","",N25)</f>
        <v/>
      </c>
      <c r="CL25" s="1538" t="n">
        <f aca="false">P25*BQ25</f>
        <v>787.460479523438</v>
      </c>
      <c r="CM25" s="1543" t="n">
        <f aca="false">IF(BQ25=0,0,SUM(CN25:DE25)/BQ25)</f>
        <v>7150.33096670164</v>
      </c>
      <c r="CN25" s="656" t="n">
        <f aca="false">(BS25*Pricing!F$3+BT25*Pricing!G$3+BU25*Pricing!H$3+BV25*Pricing!I$3+BW25*Pricing!J$3+BX25*Pricing!K$3+BY25*Pricing!L$3+BZ25*Pricing!M$3+CA25*Pricing!N$3+CB25*Pricing!O$3)*IF(W$44="N",(1+Y$44),1)</f>
        <v>3851.07593981481</v>
      </c>
      <c r="CO25" s="656" t="n">
        <f aca="false">BN25*G$70*IF(W$44="n",1+Y$44,1)</f>
        <v>511.455581450473</v>
      </c>
      <c r="CP25" s="1544" t="n">
        <f aca="false">C25*D25</f>
        <v>0</v>
      </c>
      <c r="CQ25" s="656" t="n">
        <f aca="false">IF(I$79=0,0,D25*(SUM(O$79:P$82)+O$85)/I$79*BQ25)</f>
        <v>952.75</v>
      </c>
      <c r="CR25" s="656" t="n">
        <f aca="false">IF(CF25="",0,CF25*E$83)+IF(CG25="",0,CG25*E$83)+IF(CH25="",0,CH25*E$83)</f>
        <v>0</v>
      </c>
      <c r="CS25" s="656"/>
      <c r="CT25" s="1545" t="n">
        <f aca="false">(U25/2000)*E$87</f>
        <v>121.442095904687</v>
      </c>
      <c r="CU25" s="656" t="n">
        <f aca="false">IF(I$79=0,0,D25*(O$88)/I$79*BQ25)</f>
        <v>0</v>
      </c>
      <c r="CV25" s="656" t="n">
        <f aca="false">IF(D$42=0,0,SUM(O$91:P$94)/D$42*D25)*BQ25</f>
        <v>163.3515625</v>
      </c>
      <c r="CW25" s="656" t="n">
        <f aca="false">IF(D$42=0,0,SUM(Z$66:Z$97)/D$42*D25*BQ25)</f>
        <v>412.431396127977</v>
      </c>
      <c r="CX25" s="656" t="n">
        <f aca="false">IF(D$42=0,0,SUM(O$96:P$101)/D$42*D25)*BQ25</f>
        <v>253.704601980135</v>
      </c>
      <c r="CY25" s="656" t="n">
        <f aca="false">IF(D$42=0,0,SUM(O$103:O$109)/D$42)*D25*BQ25</f>
        <v>289.699375364502</v>
      </c>
      <c r="CZ25" s="656" t="n">
        <f aca="false">IF(I$79=0,0,IF(I$79=0,0,SUM(Z$98:Z$109)/I$79*D25))</f>
        <v>34.5240169541083</v>
      </c>
      <c r="DA25" s="656" t="n">
        <f aca="false">IF(J$72&gt;0,J$72/D$42*D25*G25,CD25*(G$72*IF(W$44="n",(1+Y$44),1)))</f>
        <v>473.864375</v>
      </c>
      <c r="DB25" s="656" t="n">
        <f aca="false">IF(CK25="",0,CK25*E$86)</f>
        <v>0</v>
      </c>
      <c r="DC25" s="656" t="n">
        <f aca="false">BP25*G$71*IF(W$44="Y",1,1+Y$44)</f>
        <v>0</v>
      </c>
      <c r="DD25" s="656" t="n">
        <f aca="false">CJ25*G$73*IF(W$44="Y",1,1+Y$44)</f>
        <v>86.0320216049383</v>
      </c>
      <c r="DE25" s="1546" t="n">
        <f aca="false">O$110/I$79*D25</f>
        <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613.333333333333</v>
      </c>
      <c r="DJ25" s="654" t="n">
        <f aca="false">IF(AE25=1,AF25*$AS$49,0)+IF(AE25=2,AF25*$AS$50,0)+IF(AE25=3,AF25*$AS$51,0)+IF(AE25=4,AF25*$AS$52,0)+IF(AE25=5,AF25*$AS$53,0)+IF(AE25=6,AF25*$AS$54)+IF(AE25=7,AF25*$AS$55)+IF(AE25=8,AF25*$AS$56)+IF(AE25=9,AF25*$AS$57)+IF(AE25=10,AF25*$AS$58)+IF(AE25=11,AF25*$AS$59,0)</f>
        <v>475</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569" t="n">
        <f aca="false">D25</f>
        <v>515</v>
      </c>
      <c r="DQ25" s="1430" t="n">
        <f aca="false">IF(AC25="","",LOOKUP(AC25,$B$49:$B$59,$S$49:$S$59)*AD25)</f>
        <v>7.80864197530864</v>
      </c>
      <c r="DR25" s="1430" t="n">
        <f aca="false">IF(AE25="","",LOOKUP(AE25,$B$49:$B$59,$S$49:$S$59)*AF25)</f>
        <v>4.88683127572017</v>
      </c>
      <c r="DS25" s="1430" t="n">
        <f aca="false">IF(AG25="","",LOOKUP(AG25,$B$49:$B$59,$S$49:$S$59)*AH25)</f>
        <v>0</v>
      </c>
      <c r="DT25" s="1430" t="str">
        <f aca="false">IF(AI25="","",LOOKUP(AI25,$B$49:$B$59,$S$49:$S$59)*AJ25)</f>
        <v/>
      </c>
      <c r="DU25" s="1430" t="n">
        <f aca="false">IF(AK25="","",LOOKUP(AK25,$B$49:$B$59,$S$49:$S$59)*AL25)</f>
        <v>0</v>
      </c>
      <c r="DV25" s="1430" t="str">
        <f aca="false">IF(AM25="","",LOOKUP(AM25,$B$49:$B$59,$S$49:$S$59)*AN25)</f>
        <v/>
      </c>
      <c r="DW25" s="1430" t="str">
        <f aca="false">IF(AO25="","",LOOKUP(AO25,$B$49:$B$59,$S$49:$S$59)*AP25)</f>
        <v/>
      </c>
      <c r="DX25" s="1535" t="n">
        <f aca="false">SUM(DQ25:DW25)-(D25-EF25)*(S$45-F25)/324</f>
        <v>6.75411522633745</v>
      </c>
      <c r="DY25" s="1430" t="n">
        <f aca="false">IF(AC25="","",LOOKUP(AC25,$B$49:$B$59,$T$49:$T$59)*AD25)</f>
        <v>115</v>
      </c>
      <c r="DZ25" s="1430" t="n">
        <f aca="false">IF(AE25="","",LOOKUP(AE25,$B$49:$B$59,$T$49:$T$59)*AF25)</f>
        <v>79.1666666666667</v>
      </c>
      <c r="EA25" s="1430" t="n">
        <f aca="false">IF(AG25="","",LOOKUP(AG25,$B$49:$B$59,$T$49:$T$59)*AH25)</f>
        <v>0</v>
      </c>
      <c r="EB25" s="1430" t="str">
        <f aca="false">IF(AI25="","",LOOKUP(AI25,$B$49:$B$59,$T$49:$T$59)*AJ25)</f>
        <v/>
      </c>
      <c r="EC25" s="1430" t="n">
        <f aca="false">IF(AK25="","",LOOKUP(AK25,$B$49:$B$59,$T$49:$T$59)*AL25)</f>
        <v>0</v>
      </c>
      <c r="ED25" s="1430" t="str">
        <f aca="false">IF(AM25="","",LOOKUP(AM25,$B$49:$B$59,$T$49:$T$59)*AN25)</f>
        <v/>
      </c>
      <c r="EE25" s="1430" t="str">
        <f aca="false">IF(AO25="","",LOOKUP(AO25,$B$49:$B$59,$T$49:$T$59)*AP25)</f>
        <v/>
      </c>
      <c r="EF25" s="1535" t="n">
        <f aca="false">SUM(DY25:EE25)</f>
        <v>194.166666666667</v>
      </c>
    </row>
    <row r="26" customFormat="false" ht="19.5" hidden="false" customHeight="true" outlineLevel="0" collapsed="false">
      <c r="A26" s="16" t="s">
        <v>1570</v>
      </c>
      <c r="B26" s="920"/>
      <c r="C26" s="1506"/>
      <c r="D26" s="1507"/>
      <c r="E26" s="1508"/>
      <c r="F26" s="1074"/>
      <c r="G26" s="1553"/>
      <c r="H26" s="1074"/>
      <c r="I26" s="1553"/>
      <c r="J26" s="1074"/>
      <c r="K26" s="1583"/>
      <c r="L26" s="528"/>
      <c r="M26" s="895"/>
      <c r="N26" s="1513"/>
      <c r="O26" s="1514"/>
      <c r="P26" s="1515" t="n">
        <f aca="false">IF(BQ26=0,0,BN26/BQ26)</f>
        <v>0</v>
      </c>
      <c r="Q26" s="1516" t="n">
        <f aca="false">(D26*F26/324)*(1+K$65)+BB26</f>
        <v>0</v>
      </c>
      <c r="R26" s="1517" t="n">
        <f aca="false">IF(D26=0,0,S26/D26)</f>
        <v>0</v>
      </c>
      <c r="S26" s="1518" t="n">
        <f aca="false">SUM(CM26-DE26)*(1+M$45)</f>
        <v>0</v>
      </c>
      <c r="T26" s="1519" t="n">
        <f aca="false">CF26+CG26+CH26</f>
        <v>0</v>
      </c>
      <c r="U26" s="1520" t="n">
        <f aca="false">IF(P26-(D26*0.35)&lt;0,0,P26-(D26*0.35))</f>
        <v>0</v>
      </c>
      <c r="V26" s="1521" t="n">
        <f aca="false">IF(D26="",0,IF(D26/-30+Q26&lt;1,0,D26/-30+Q26))</f>
        <v>0</v>
      </c>
      <c r="W26" s="1511"/>
      <c r="X26" s="1526"/>
      <c r="Y26" s="528"/>
      <c r="Z26" s="1574"/>
      <c r="AA26" s="528"/>
      <c r="AB26" s="1574"/>
      <c r="AC26" s="1525"/>
      <c r="AD26" s="1526"/>
      <c r="AE26" s="1511"/>
      <c r="AF26" s="1527"/>
      <c r="AG26" s="1528"/>
      <c r="AH26" s="1527"/>
      <c r="AI26" s="1529"/>
      <c r="AJ26" s="1530"/>
      <c r="AK26" s="1531"/>
      <c r="AL26" s="1582"/>
      <c r="AM26" s="528"/>
      <c r="AN26" s="1575"/>
      <c r="AO26" s="528"/>
      <c r="AP26" s="1574"/>
      <c r="AQ26" s="1435" t="e">
        <f aca="false">D26/Q26</f>
        <v>#DIV/0!</v>
      </c>
      <c r="AR26" s="1533" t="str">
        <f aca="false">IF(W26="","",LOOKUP(W26,$B$49:$B$59,$R$49:$R$59)*X26)</f>
        <v/>
      </c>
      <c r="AS26" s="1430" t="str">
        <f aca="false">IF(Y26="","",LOOKUP(Y26,$B$49:$B$59,$R$49:$R$59)*Z26)</f>
        <v/>
      </c>
      <c r="AT26" s="1430" t="str">
        <f aca="false">IF(AB26="","",LOOKUP(AA26,$B$49:$B$59,$R$49:$R$59)*AB26)</f>
        <v/>
      </c>
      <c r="AU26" s="1430" t="str">
        <f aca="false">IF(AC26="","",LOOKUP(AC26,$B$49:$B$59,$R$49:$R$59)*AD26)</f>
        <v/>
      </c>
      <c r="AV26" s="1430" t="str">
        <f aca="false">IF(AE26="","",LOOKUP(AE26,$B$49:$B$59,$R$49:$R$59)*AF26)</f>
        <v/>
      </c>
      <c r="AW26" s="1430" t="str">
        <f aca="false">IF(AG26="","",LOOKUP(AG26,$B$49:$B$59,$R$49:$R$59)*AH26)</f>
        <v/>
      </c>
      <c r="AX26" s="1430" t="str">
        <f aca="false">IF(AI26="","",LOOKUP(AI26,$B$49:$B$59,$R$49:$R$59)*AJ26)</f>
        <v/>
      </c>
      <c r="AY26" s="1430" t="str">
        <f aca="false">IF(AK26="","",LOOKUP(AK26,$B$49:$B$59,$R$49:$R$59)*AL26)</f>
        <v/>
      </c>
      <c r="AZ26" s="1430" t="str">
        <f aca="false">IF(AM26="","",LOOKUP(AM26,$B$49:$B$59,$R$49:$R$59)*AN26)</f>
        <v/>
      </c>
      <c r="BA26" s="1430" t="str">
        <f aca="false">IF(AO26="","",LOOKUP(AO26,$B$49:$B$59,$R$49:$R$59)*AP26)</f>
        <v/>
      </c>
      <c r="BB26" s="1535" t="n">
        <f aca="false">SUM(AR26:BA26)</f>
        <v>0</v>
      </c>
      <c r="BC26" s="1533" t="str">
        <f aca="false">IF(W26="","",LOOKUP(W26,$B$49:$B$59,$P$49:$P$59)*X26)</f>
        <v/>
      </c>
      <c r="BD26" s="654" t="str">
        <f aca="false">IF(Y26="","",LOOKUP(Y26,$B$49:$B$59,$P$49:$P$59)*Z26)</f>
        <v/>
      </c>
      <c r="BE26" s="1430"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584" t="n">
        <f aca="false">SUM(BC26:BL26)*BQ26</f>
        <v>0</v>
      </c>
      <c r="BN26" s="1536" t="n">
        <f aca="false">BM26+BO26</f>
        <v>0</v>
      </c>
      <c r="BO26" s="1536" t="n">
        <f aca="false">IF(M26=0,0,(M26/12+M26/12)/(M26/12*M26/12)*D26*((L26/16*L26/16)*10.6870159))*(1+K$70)*BQ26</f>
        <v>0</v>
      </c>
      <c r="BP26" s="1536" t="n">
        <f aca="false">IF(O26="Y",D26*(1+K$71)*BQ26,0)</f>
        <v>0</v>
      </c>
      <c r="BQ26" s="1538" t="n">
        <f aca="false">G26</f>
        <v>0</v>
      </c>
      <c r="BR26" s="1411" t="n">
        <f aca="false">IF(O26="y",D26,0)</f>
        <v>0</v>
      </c>
      <c r="BS26" s="1567" t="n">
        <f aca="false">IF($I26=1,$Q26,0)*BQ26</f>
        <v>0</v>
      </c>
      <c r="BT26" s="1536" t="n">
        <f aca="false">IF($I26=2,$Q26,0)*BQ26</f>
        <v>0</v>
      </c>
      <c r="BU26" s="1536" t="n">
        <f aca="false">IF($I26=3,$Q26,0)*BQ26</f>
        <v>0</v>
      </c>
      <c r="BV26" s="1536" t="n">
        <f aca="false">IF($I26=4,$Q26,0)*BQ26</f>
        <v>0</v>
      </c>
      <c r="BW26" s="1536" t="n">
        <f aca="false">IF($I26=5,$Q26,0)*BQ26</f>
        <v>0</v>
      </c>
      <c r="BX26" s="1536" t="n">
        <f aca="false">IF($I26=6,$Q26,0)*$BQ26</f>
        <v>0</v>
      </c>
      <c r="BY26" s="1536" t="n">
        <f aca="false">IF($I26=7,$Q26,0)*$BQ26</f>
        <v>0</v>
      </c>
      <c r="BZ26" s="1536" t="n">
        <f aca="false">IF($I26=8,$Q26,0)*$BQ26</f>
        <v>0</v>
      </c>
      <c r="CA26" s="1536" t="n">
        <f aca="false">IF($I26=9,$Q26,0)*$BQ26</f>
        <v>0</v>
      </c>
      <c r="CB26" s="1568" t="n">
        <f aca="false">IF($I26=10,$Q26,0)*$BQ26</f>
        <v>0</v>
      </c>
      <c r="CC26" s="1538" t="n">
        <f aca="false">SUM(BS26:BX26)</f>
        <v>0</v>
      </c>
      <c r="CD26" s="1538" t="n">
        <f aca="false">IF(H26="N",0,D26)*BQ26</f>
        <v>0</v>
      </c>
      <c r="CE26" s="1538" t="n">
        <f aca="false">K26*BQ26</f>
        <v>0</v>
      </c>
      <c r="CF26" s="1542" t="n">
        <f aca="false">ROUND(IF(W26="",0,LOOKUP(W26,B$49:B$59,D$49:D$59)*X26/12),0)</f>
        <v>0</v>
      </c>
      <c r="CG26" s="1542" t="n">
        <f aca="false">ROUND(IF(Y26="",0,LOOKUP(Y26,B$49:B$59,D$49:D$59)*Z26/12),0)</f>
        <v>0</v>
      </c>
      <c r="CH26" s="1542" t="n">
        <f aca="false">ROUND(IF(AA26="",0,LOOKUP(AA26,B$49:B$59,D$49:D$59)*AB26/12),0)</f>
        <v>0</v>
      </c>
      <c r="CI26" s="1538" t="n">
        <f aca="false">D26*BQ26</f>
        <v>0</v>
      </c>
      <c r="CJ26" s="1538" t="n">
        <f aca="false">D26*J26/324*(1+K$73)*G26</f>
        <v>0</v>
      </c>
      <c r="CK26" s="1538" t="str">
        <f aca="false">IF(N26="","",N26)</f>
        <v/>
      </c>
      <c r="CL26" s="1538" t="n">
        <f aca="false">P26*BQ26</f>
        <v>0</v>
      </c>
      <c r="CM26" s="1543"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544" t="n">
        <f aca="false">C26*D26</f>
        <v>0</v>
      </c>
      <c r="CQ26" s="656" t="n">
        <f aca="false">IF(I$79=0,0,D26*(SUM(O$79:P$82)+O$85)/I$79*BQ26)</f>
        <v>0</v>
      </c>
      <c r="CR26" s="656" t="n">
        <f aca="false">IF(CF26="",0,CF26*E$83)+IF(CG26="",0,CG26*E$83)+IF(CH26="",0,CH26*E$83)</f>
        <v>0</v>
      </c>
      <c r="CS26" s="656"/>
      <c r="CT26" s="1545"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546" t="n">
        <f aca="false">O$110/I$79*D26</f>
        <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569" t="n">
        <f aca="false">D26</f>
        <v>0</v>
      </c>
      <c r="DQ26" s="1430" t="str">
        <f aca="false">IF(AC26="","",LOOKUP(AC26,$B$49:$B$59,$S$49:$S$59)*AD26)</f>
        <v/>
      </c>
      <c r="DR26" s="1430" t="str">
        <f aca="false">IF(AE26="","",LOOKUP(AE26,$B$49:$B$59,$S$49:$S$59)*AF26)</f>
        <v/>
      </c>
      <c r="DS26" s="1430" t="str">
        <f aca="false">IF(AG26="","",LOOKUP(AG26,$B$49:$B$59,$S$49:$S$59)*AH26)</f>
        <v/>
      </c>
      <c r="DT26" s="1430" t="str">
        <f aca="false">IF(AI26="","",LOOKUP(AI26,$B$49:$B$59,$S$49:$S$59)*AJ26)</f>
        <v/>
      </c>
      <c r="DU26" s="1430" t="str">
        <f aca="false">IF(AK26="","",LOOKUP(AK26,$B$49:$B$59,$S$49:$S$59)*AL26)</f>
        <v/>
      </c>
      <c r="DV26" s="1430" t="str">
        <f aca="false">IF(AM26="","",LOOKUP(AM26,$B$49:$B$59,$S$49:$S$59)*AN26)</f>
        <v/>
      </c>
      <c r="DW26" s="1430" t="str">
        <f aca="false">IF(AO26="","",LOOKUP(AO26,$B$49:$B$59,$S$49:$S$59)*AP26)</f>
        <v/>
      </c>
      <c r="DX26" s="1535" t="n">
        <f aca="false">SUM(DQ26:DW26)-(D26-EF26)*(S$45-F26)/324</f>
        <v>0</v>
      </c>
      <c r="DY26" s="1430" t="str">
        <f aca="false">IF(AC26="","",LOOKUP(AC26,$B$49:$B$59,$T$49:$T$59)*AD26)</f>
        <v/>
      </c>
      <c r="DZ26" s="1430" t="str">
        <f aca="false">IF(AE26="","",LOOKUP(AE26,$B$49:$B$59,$T$49:$T$59)*AF26)</f>
        <v/>
      </c>
      <c r="EA26" s="1430" t="str">
        <f aca="false">IF(AG26="","",LOOKUP(AG26,$B$49:$B$59,$T$49:$T$59)*AH26)</f>
        <v/>
      </c>
      <c r="EB26" s="1430" t="str">
        <f aca="false">IF(AI26="","",LOOKUP(AI26,$B$49:$B$59,$T$49:$T$59)*AJ26)</f>
        <v/>
      </c>
      <c r="EC26" s="1430" t="str">
        <f aca="false">IF(AK26="","",LOOKUP(AK26,$B$49:$B$59,$T$49:$T$59)*AL26)</f>
        <v/>
      </c>
      <c r="ED26" s="1430" t="str">
        <f aca="false">IF(AM26="","",LOOKUP(AM26,$B$49:$B$59,$T$49:$T$59)*AN26)</f>
        <v/>
      </c>
      <c r="EE26" s="1430" t="str">
        <f aca="false">IF(AO26="","",LOOKUP(AO26,$B$49:$B$59,$T$49:$T$59)*AP26)</f>
        <v/>
      </c>
      <c r="EF26" s="1535" t="n">
        <f aca="false">SUM(DY26:EE26)</f>
        <v>0</v>
      </c>
    </row>
    <row r="27" customFormat="false" ht="19.5" hidden="false" customHeight="true" outlineLevel="0" collapsed="false">
      <c r="A27" s="16" t="s">
        <v>1571</v>
      </c>
      <c r="B27" s="1549"/>
      <c r="C27" s="1550"/>
      <c r="D27" s="1551"/>
      <c r="E27" s="1552"/>
      <c r="F27" s="1074"/>
      <c r="G27" s="1553"/>
      <c r="H27" s="1074"/>
      <c r="I27" s="1553"/>
      <c r="J27" s="1074"/>
      <c r="K27" s="1583"/>
      <c r="L27" s="1555"/>
      <c r="M27" s="1556"/>
      <c r="N27" s="1557"/>
      <c r="O27" s="1558"/>
      <c r="P27" s="1515" t="n">
        <f aca="false">IF(BQ27=0,0,BN27/BQ27)</f>
        <v>0</v>
      </c>
      <c r="Q27" s="1516" t="n">
        <f aca="false">(D27*F27/324)*(1+K$65)+BB27</f>
        <v>0</v>
      </c>
      <c r="R27" s="1517" t="n">
        <f aca="false">IF(D27=0,0,S27/D27)</f>
        <v>0</v>
      </c>
      <c r="S27" s="1518" t="n">
        <f aca="false">SUM(CM27-DE27)*(1+M$45)</f>
        <v>0</v>
      </c>
      <c r="T27" s="1519" t="n">
        <f aca="false">CF27+CG27+CH27</f>
        <v>0</v>
      </c>
      <c r="U27" s="1520" t="n">
        <f aca="false">IF(P27-(D27*0.35)&lt;0,0,P27-(D27*0.35))</f>
        <v>0</v>
      </c>
      <c r="V27" s="1521" t="n">
        <f aca="false">IF(D27="",0,IF(D27/-30+Q27&lt;1,0,D27/-30+Q27))</f>
        <v>0</v>
      </c>
      <c r="W27" s="1559"/>
      <c r="X27" s="1560"/>
      <c r="Y27" s="1559"/>
      <c r="Z27" s="1561"/>
      <c r="AA27" s="1559"/>
      <c r="AB27" s="1561"/>
      <c r="AC27" s="1562"/>
      <c r="AD27" s="1560"/>
      <c r="AE27" s="1559"/>
      <c r="AF27" s="1563"/>
      <c r="AG27" s="1564"/>
      <c r="AH27" s="1563"/>
      <c r="AI27" s="1565"/>
      <c r="AJ27" s="1560"/>
      <c r="AK27" s="1565"/>
      <c r="AL27" s="1581"/>
      <c r="AM27" s="1559"/>
      <c r="AN27" s="1566"/>
      <c r="AO27" s="1559"/>
      <c r="AP27" s="1561"/>
      <c r="AQ27" s="1435" t="e">
        <f aca="false">D27/Q27</f>
        <v>#DIV/0!</v>
      </c>
      <c r="AR27" s="1533" t="str">
        <f aca="false">IF(W27="","",LOOKUP(W27,$B$49:$B$59,$R$49:$R$59)*X27)</f>
        <v/>
      </c>
      <c r="AS27" s="1430" t="str">
        <f aca="false">IF(Y27="","",LOOKUP(Y27,$B$49:$B$59,$R$49:$R$59)*Z27)</f>
        <v/>
      </c>
      <c r="AT27" s="1430" t="str">
        <f aca="false">IF(AB27="","",LOOKUP(AA27,$B$49:$B$59,$R$49:$R$59)*AB27)</f>
        <v/>
      </c>
      <c r="AU27" s="1430" t="str">
        <f aca="false">IF(AC27="","",LOOKUP(AC27,$B$49:$B$59,$R$49:$R$59)*AD27)</f>
        <v/>
      </c>
      <c r="AV27" s="1430" t="str">
        <f aca="false">IF(AE27="","",LOOKUP(AE27,$B$49:$B$59,$R$49:$R$59)*AF27)</f>
        <v/>
      </c>
      <c r="AW27" s="1430" t="str">
        <f aca="false">IF(AG27="","",LOOKUP(AG27,$B$49:$B$59,$R$49:$R$59)*AH27)</f>
        <v/>
      </c>
      <c r="AX27" s="1430" t="str">
        <f aca="false">IF(AI27="","",LOOKUP(AI27,$B$49:$B$59,$R$49:$R$59)*AJ27)</f>
        <v/>
      </c>
      <c r="AY27" s="1430" t="str">
        <f aca="false">IF(AK27="","",LOOKUP(AK27,$B$49:$B$59,$R$49:$R$59)*AL27)</f>
        <v/>
      </c>
      <c r="AZ27" s="1430" t="str">
        <f aca="false">IF(AM27="","",LOOKUP(AM27,$B$49:$B$59,$R$49:$R$59)*AN27)</f>
        <v/>
      </c>
      <c r="BA27" s="1430" t="str">
        <f aca="false">IF(AO27="","",LOOKUP(AO27,$B$49:$B$59,$R$49:$R$59)*AP27)</f>
        <v/>
      </c>
      <c r="BB27" s="1535" t="n">
        <f aca="false">SUM(AR27:BA27)</f>
        <v>0</v>
      </c>
      <c r="BC27" s="1533" t="str">
        <f aca="false">IF(W27="","",LOOKUP(W27,$B$49:$B$59,$P$49:$P$59)*X27)</f>
        <v/>
      </c>
      <c r="BD27" s="654" t="str">
        <f aca="false">IF(Y27="","",LOOKUP(Y27,$B$49:$B$59,$P$49:$P$59)*Z27)</f>
        <v/>
      </c>
      <c r="BE27" s="1430"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584" t="n">
        <f aca="false">SUM(BC27:BL27)*BQ27</f>
        <v>0</v>
      </c>
      <c r="BN27" s="1536" t="n">
        <f aca="false">BM27+BO27</f>
        <v>0</v>
      </c>
      <c r="BO27" s="1536" t="n">
        <f aca="false">IF(M27=0,0,(M27/12+M27/12)/(M27/12*M27/12)*D27*((L27/16*L27/16)*10.6870159))*(1+K$70)*BQ27</f>
        <v>0</v>
      </c>
      <c r="BP27" s="1536" t="n">
        <f aca="false">IF(O27="Y",D27*(1+K$71)*BQ27,0)</f>
        <v>0</v>
      </c>
      <c r="BQ27" s="1538" t="n">
        <f aca="false">G27</f>
        <v>0</v>
      </c>
      <c r="BR27" s="1411" t="n">
        <f aca="false">IF(O27="y",D27,0)</f>
        <v>0</v>
      </c>
      <c r="BS27" s="1567" t="n">
        <f aca="false">IF($I27=1,$Q27,0)*BQ27</f>
        <v>0</v>
      </c>
      <c r="BT27" s="1536" t="n">
        <f aca="false">IF($I27=2,$Q27,0)*BQ27</f>
        <v>0</v>
      </c>
      <c r="BU27" s="1536" t="n">
        <f aca="false">IF($I27=3,$Q27,0)*BQ27</f>
        <v>0</v>
      </c>
      <c r="BV27" s="1536" t="n">
        <f aca="false">IF($I27=4,$Q27,0)*BQ27</f>
        <v>0</v>
      </c>
      <c r="BW27" s="1536" t="n">
        <f aca="false">IF($I27=5,$Q27,0)*BQ27</f>
        <v>0</v>
      </c>
      <c r="BX27" s="1536" t="n">
        <f aca="false">IF($I27=6,$Q27,0)*$BQ27</f>
        <v>0</v>
      </c>
      <c r="BY27" s="1536" t="n">
        <f aca="false">IF($I27=7,$Q27,0)*$BQ27</f>
        <v>0</v>
      </c>
      <c r="BZ27" s="1536" t="n">
        <f aca="false">IF($I27=8,$Q27,0)*$BQ27</f>
        <v>0</v>
      </c>
      <c r="CA27" s="1536" t="n">
        <f aca="false">IF($I27=9,$Q27,0)*$BQ27</f>
        <v>0</v>
      </c>
      <c r="CB27" s="1568" t="n">
        <f aca="false">IF($I27=10,$Q27,0)*$BQ27</f>
        <v>0</v>
      </c>
      <c r="CC27" s="1538" t="n">
        <f aca="false">SUM(BS27:BX27)</f>
        <v>0</v>
      </c>
      <c r="CD27" s="1538" t="n">
        <f aca="false">IF(H27="N",0,D27)*BQ27</f>
        <v>0</v>
      </c>
      <c r="CE27" s="1538" t="n">
        <f aca="false">K27*BQ27</f>
        <v>0</v>
      </c>
      <c r="CF27" s="1542" t="n">
        <f aca="false">ROUND(IF(W27="",0,LOOKUP(W27,B$49:B$59,D$49:D$59)*X27/12),0)</f>
        <v>0</v>
      </c>
      <c r="CG27" s="1542" t="n">
        <f aca="false">ROUND(IF(Y27="",0,LOOKUP(Y27,B$49:B$59,D$49:D$59)*Z27/12),0)</f>
        <v>0</v>
      </c>
      <c r="CH27" s="1542" t="n">
        <f aca="false">ROUND(IF(AA27="",0,LOOKUP(AA27,B$49:B$59,D$49:D$59)*AB27/12),0)</f>
        <v>0</v>
      </c>
      <c r="CI27" s="1538" t="n">
        <f aca="false">D27*BQ27</f>
        <v>0</v>
      </c>
      <c r="CJ27" s="1538" t="n">
        <f aca="false">D27*J27/324*(1+K$73)*G27</f>
        <v>0</v>
      </c>
      <c r="CK27" s="1538" t="str">
        <f aca="false">IF(N27="","",N27)</f>
        <v/>
      </c>
      <c r="CL27" s="1538" t="n">
        <f aca="false">P27*BQ27</f>
        <v>0</v>
      </c>
      <c r="CM27" s="1543"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544" t="n">
        <f aca="false">C27*D27</f>
        <v>0</v>
      </c>
      <c r="CQ27" s="656" t="n">
        <f aca="false">IF(I$79=0,0,D27*(SUM(O$79:P$82)+O$85)/I$79*BQ27)</f>
        <v>0</v>
      </c>
      <c r="CR27" s="656" t="n">
        <f aca="false">IF(CF27="",0,CF27*E$83)+IF(CG27="",0,CG27*E$83)+IF(CH27="",0,CH27*E$83)</f>
        <v>0</v>
      </c>
      <c r="CS27" s="656"/>
      <c r="CT27" s="1545"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546" t="n">
        <f aca="false">O$110/I$79*D27</f>
        <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569" t="n">
        <f aca="false">D27</f>
        <v>0</v>
      </c>
      <c r="DQ27" s="1430" t="str">
        <f aca="false">IF(AC27="","",LOOKUP(AC27,$B$49:$B$59,$S$49:$S$59)*AD27)</f>
        <v/>
      </c>
      <c r="DR27" s="1430" t="str">
        <f aca="false">IF(AE27="","",LOOKUP(AE27,$B$49:$B$59,$S$49:$S$59)*AF27)</f>
        <v/>
      </c>
      <c r="DS27" s="1430" t="str">
        <f aca="false">IF(AG27="","",LOOKUP(AG27,$B$49:$B$59,$S$49:$S$59)*AH27)</f>
        <v/>
      </c>
      <c r="DT27" s="1430" t="str">
        <f aca="false">IF(AI27="","",LOOKUP(AI27,$B$49:$B$59,$S$49:$S$59)*AJ27)</f>
        <v/>
      </c>
      <c r="DU27" s="1430" t="str">
        <f aca="false">IF(AK27="","",LOOKUP(AK27,$B$49:$B$59,$S$49:$S$59)*AL27)</f>
        <v/>
      </c>
      <c r="DV27" s="1430" t="str">
        <f aca="false">IF(AM27="","",LOOKUP(AM27,$B$49:$B$59,$S$49:$S$59)*AN27)</f>
        <v/>
      </c>
      <c r="DW27" s="1430" t="str">
        <f aca="false">IF(AO27="","",LOOKUP(AO27,$B$49:$B$59,$S$49:$S$59)*AP27)</f>
        <v/>
      </c>
      <c r="DX27" s="1535" t="n">
        <f aca="false">SUM(DQ27:DW27)-(D27-EF27)*(S$45-F27)/324</f>
        <v>0</v>
      </c>
      <c r="DY27" s="1430" t="str">
        <f aca="false">IF(AC27="","",LOOKUP(AC27,$B$49:$B$59,$T$49:$T$59)*AD27)</f>
        <v/>
      </c>
      <c r="DZ27" s="1430" t="str">
        <f aca="false">IF(AE27="","",LOOKUP(AE27,$B$49:$B$59,$T$49:$T$59)*AF27)</f>
        <v/>
      </c>
      <c r="EA27" s="1430" t="str">
        <f aca="false">IF(AG27="","",LOOKUP(AG27,$B$49:$B$59,$T$49:$T$59)*AH27)</f>
        <v/>
      </c>
      <c r="EB27" s="1430" t="str">
        <f aca="false">IF(AI27="","",LOOKUP(AI27,$B$49:$B$59,$T$49:$T$59)*AJ27)</f>
        <v/>
      </c>
      <c r="EC27" s="1430" t="str">
        <f aca="false">IF(AK27="","",LOOKUP(AK27,$B$49:$B$59,$T$49:$T$59)*AL27)</f>
        <v/>
      </c>
      <c r="ED27" s="1430" t="str">
        <f aca="false">IF(AM27="","",LOOKUP(AM27,$B$49:$B$59,$T$49:$T$59)*AN27)</f>
        <v/>
      </c>
      <c r="EE27" s="1430" t="str">
        <f aca="false">IF(AO27="","",LOOKUP(AO27,$B$49:$B$59,$T$49:$T$59)*AP27)</f>
        <v/>
      </c>
      <c r="EF27" s="1535" t="n">
        <f aca="false">SUM(DY27:EE27)</f>
        <v>0</v>
      </c>
    </row>
    <row r="28" customFormat="false" ht="19.5" hidden="false" customHeight="true" outlineLevel="0" collapsed="false">
      <c r="A28" s="16" t="s">
        <v>1572</v>
      </c>
      <c r="B28" s="920"/>
      <c r="C28" s="1506"/>
      <c r="D28" s="1507"/>
      <c r="E28" s="1508"/>
      <c r="F28" s="1074"/>
      <c r="G28" s="1553"/>
      <c r="H28" s="1074"/>
      <c r="I28" s="1553"/>
      <c r="J28" s="1074"/>
      <c r="K28" s="1583"/>
      <c r="L28" s="528"/>
      <c r="M28" s="895"/>
      <c r="N28" s="1513"/>
      <c r="O28" s="1514"/>
      <c r="P28" s="1515" t="n">
        <f aca="false">IF(BQ28=0,0,BN28/BQ28)</f>
        <v>0</v>
      </c>
      <c r="Q28" s="1516" t="n">
        <f aca="false">(D28*F28/324)*(1+K$65)+BB28</f>
        <v>0</v>
      </c>
      <c r="R28" s="1517" t="n">
        <f aca="false">IF(D28=0,0,S28/D28)</f>
        <v>0</v>
      </c>
      <c r="S28" s="1518" t="n">
        <f aca="false">SUM(CM28-DE28)*(1+M$45)</f>
        <v>0</v>
      </c>
      <c r="T28" s="1519" t="n">
        <f aca="false">CF28+CG28+CH28</f>
        <v>0</v>
      </c>
      <c r="U28" s="1520" t="n">
        <f aca="false">IF(P28-(D28*0.35)&lt;0,0,P28-(D28*0.35))</f>
        <v>0</v>
      </c>
      <c r="V28" s="1521" t="n">
        <f aca="false">IF(D28="",0,IF(D28/-30+Q28&lt;1,0,D28/-30+Q28))</f>
        <v>0</v>
      </c>
      <c r="W28" s="528"/>
      <c r="X28" s="1526"/>
      <c r="Y28" s="528"/>
      <c r="Z28" s="1574"/>
      <c r="AA28" s="528"/>
      <c r="AB28" s="1574"/>
      <c r="AC28" s="1585"/>
      <c r="AD28" s="1526"/>
      <c r="AE28" s="528"/>
      <c r="AF28" s="1527"/>
      <c r="AG28" s="1531"/>
      <c r="AH28" s="1527"/>
      <c r="AI28" s="1529"/>
      <c r="AJ28" s="1530"/>
      <c r="AK28" s="1531"/>
      <c r="AL28" s="1582"/>
      <c r="AM28" s="528"/>
      <c r="AN28" s="1575"/>
      <c r="AO28" s="528"/>
      <c r="AP28" s="1574"/>
      <c r="AQ28" s="1435" t="e">
        <f aca="false">D28/Q28</f>
        <v>#DIV/0!</v>
      </c>
      <c r="AR28" s="1533" t="str">
        <f aca="false">IF(W28="","",LOOKUP(W28,$B$49:$B$59,$R$49:$R$59)*X28)</f>
        <v/>
      </c>
      <c r="AS28" s="1430" t="str">
        <f aca="false">IF(Y28="","",LOOKUP(Y28,$B$49:$B$59,$R$49:$R$59)*Z28)</f>
        <v/>
      </c>
      <c r="AT28" s="1430" t="str">
        <f aca="false">IF(AB28="","",LOOKUP(AA28,$B$49:$B$59,$R$49:$R$59)*AB28)</f>
        <v/>
      </c>
      <c r="AU28" s="1430" t="str">
        <f aca="false">IF(AC28="","",LOOKUP(AC28,$B$49:$B$59,$R$49:$R$59)*AD28)</f>
        <v/>
      </c>
      <c r="AV28" s="1430" t="str">
        <f aca="false">IF(AE28="","",LOOKUP(AE28,$B$49:$B$59,$R$49:$R$59)*AF28)</f>
        <v/>
      </c>
      <c r="AW28" s="1430" t="str">
        <f aca="false">IF(AG28="","",LOOKUP(AG28,$B$49:$B$59,$R$49:$R$59)*AH28)</f>
        <v/>
      </c>
      <c r="AX28" s="1430" t="str">
        <f aca="false">IF(AI28="","",LOOKUP(AI28,$B$49:$B$59,$R$49:$R$59)*AJ28)</f>
        <v/>
      </c>
      <c r="AY28" s="1430" t="str">
        <f aca="false">IF(AK28="","",LOOKUP(AK28,$B$49:$B$59,$R$49:$R$59)*AL28)</f>
        <v/>
      </c>
      <c r="AZ28" s="1430" t="str">
        <f aca="false">IF(AM28="","",LOOKUP(AM28,$B$49:$B$59,$R$49:$R$59)*AN28)</f>
        <v/>
      </c>
      <c r="BA28" s="1430" t="str">
        <f aca="false">IF(AO28="","",LOOKUP(AO28,$B$49:$B$59,$R$49:$R$59)*AP28)</f>
        <v/>
      </c>
      <c r="BB28" s="1535" t="n">
        <f aca="false">SUM(AR28:BA28)</f>
        <v>0</v>
      </c>
      <c r="BC28" s="1533" t="str">
        <f aca="false">IF(W28="","",LOOKUP(W28,$B$49:$B$59,$P$49:$P$59)*X28)</f>
        <v/>
      </c>
      <c r="BD28" s="654" t="str">
        <f aca="false">IF(Y28="","",LOOKUP(Y28,$B$49:$B$59,$P$49:$P$59)*Z28)</f>
        <v/>
      </c>
      <c r="BE28" s="1430"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584" t="n">
        <f aca="false">SUM(BC28:BL28)*BQ28</f>
        <v>0</v>
      </c>
      <c r="BN28" s="1536" t="n">
        <f aca="false">BM28+BO28</f>
        <v>0</v>
      </c>
      <c r="BO28" s="1536" t="n">
        <f aca="false">IF(M28=0,0,(M28/12+M28/12)/(M28/12*M28/12)*D28*((L28/16*L28/16)*10.6870159))*(1+K$70)*BQ28</f>
        <v>0</v>
      </c>
      <c r="BP28" s="1536" t="n">
        <f aca="false">IF(O28="Y",D28*(1+K$71)*BQ28,0)</f>
        <v>0</v>
      </c>
      <c r="BQ28" s="1538" t="n">
        <f aca="false">G28</f>
        <v>0</v>
      </c>
      <c r="BR28" s="1411" t="n">
        <f aca="false">IF(O28="y",D28,0)</f>
        <v>0</v>
      </c>
      <c r="BS28" s="1567" t="n">
        <f aca="false">IF($I28=1,$Q28,0)*BQ28</f>
        <v>0</v>
      </c>
      <c r="BT28" s="1536" t="n">
        <f aca="false">IF($I28=2,$Q28,0)*BQ28</f>
        <v>0</v>
      </c>
      <c r="BU28" s="1536" t="n">
        <f aca="false">IF($I28=3,$Q28,0)*BQ28</f>
        <v>0</v>
      </c>
      <c r="BV28" s="1536" t="n">
        <f aca="false">IF($I28=4,$Q28,0)*BQ28</f>
        <v>0</v>
      </c>
      <c r="BW28" s="1536" t="n">
        <f aca="false">IF($I28=5,$Q28,0)*BQ28</f>
        <v>0</v>
      </c>
      <c r="BX28" s="1536" t="n">
        <f aca="false">IF($I28=6,$Q28,0)*$BQ28</f>
        <v>0</v>
      </c>
      <c r="BY28" s="1536" t="n">
        <f aca="false">IF($I28=7,$Q28,0)*$BQ28</f>
        <v>0</v>
      </c>
      <c r="BZ28" s="1536" t="n">
        <f aca="false">IF($I28=8,$Q28,0)*$BQ28</f>
        <v>0</v>
      </c>
      <c r="CA28" s="1536" t="n">
        <f aca="false">IF($I28=9,$Q28,0)*$BQ28</f>
        <v>0</v>
      </c>
      <c r="CB28" s="1568" t="n">
        <f aca="false">IF($I28=10,$Q28,0)*$BQ28</f>
        <v>0</v>
      </c>
      <c r="CC28" s="1538" t="n">
        <f aca="false">SUM(BS28:BX28)</f>
        <v>0</v>
      </c>
      <c r="CD28" s="1538" t="n">
        <f aca="false">IF(H28="N",0,D28)*BQ28</f>
        <v>0</v>
      </c>
      <c r="CE28" s="1538" t="n">
        <f aca="false">K28*BQ28</f>
        <v>0</v>
      </c>
      <c r="CF28" s="1542" t="n">
        <f aca="false">ROUND(IF(W28="",0,LOOKUP(W28,B$49:B$59,D$49:D$59)*X28/12),0)</f>
        <v>0</v>
      </c>
      <c r="CG28" s="1542" t="n">
        <f aca="false">ROUND(IF(Y28="",0,LOOKUP(Y28,B$49:B$59,D$49:D$59)*Z28/12),0)</f>
        <v>0</v>
      </c>
      <c r="CH28" s="1542" t="n">
        <f aca="false">ROUND(IF(AA28="",0,LOOKUP(AA28,B$49:B$59,D$49:D$59)*AB28/12),0)</f>
        <v>0</v>
      </c>
      <c r="CI28" s="1538" t="n">
        <f aca="false">D28*BQ28</f>
        <v>0</v>
      </c>
      <c r="CJ28" s="1538" t="n">
        <f aca="false">D28*J28/324*(1+K$73)*G28</f>
        <v>0</v>
      </c>
      <c r="CK28" s="1538" t="str">
        <f aca="false">IF(N28="","",N28)</f>
        <v/>
      </c>
      <c r="CL28" s="1538" t="n">
        <f aca="false">P28*BQ28</f>
        <v>0</v>
      </c>
      <c r="CM28" s="1543"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544" t="n">
        <f aca="false">C28*D28</f>
        <v>0</v>
      </c>
      <c r="CQ28" s="656" t="n">
        <f aca="false">IF(I$79=0,0,D28*(SUM(O$79:P$82)+O$85)/I$79*BQ28)</f>
        <v>0</v>
      </c>
      <c r="CR28" s="656" t="n">
        <f aca="false">IF(CF28="",0,CF28*E$83)+IF(CG28="",0,CG28*E$83)+IF(CH28="",0,CH28*E$83)</f>
        <v>0</v>
      </c>
      <c r="CS28" s="656"/>
      <c r="CT28" s="1545"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546" t="n">
        <f aca="false">O$110/I$79*D28</f>
        <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569" t="n">
        <f aca="false">D28</f>
        <v>0</v>
      </c>
      <c r="DQ28" s="1430" t="str">
        <f aca="false">IF(AC28="","",LOOKUP(AC28,$B$49:$B$59,$S$49:$S$59)*AD28)</f>
        <v/>
      </c>
      <c r="DR28" s="1430" t="str">
        <f aca="false">IF(AE28="","",LOOKUP(AE28,$B$49:$B$59,$S$49:$S$59)*AF28)</f>
        <v/>
      </c>
      <c r="DS28" s="1430" t="str">
        <f aca="false">IF(AG28="","",LOOKUP(AG28,$B$49:$B$59,$S$49:$S$59)*AH28)</f>
        <v/>
      </c>
      <c r="DT28" s="1430" t="str">
        <f aca="false">IF(AI28="","",LOOKUP(AI28,$B$49:$B$59,$S$49:$S$59)*AJ28)</f>
        <v/>
      </c>
      <c r="DU28" s="1430" t="str">
        <f aca="false">IF(AK28="","",LOOKUP(AK28,$B$49:$B$59,$S$49:$S$59)*AL28)</f>
        <v/>
      </c>
      <c r="DV28" s="1430" t="str">
        <f aca="false">IF(AM28="","",LOOKUP(AM28,$B$49:$B$59,$S$49:$S$59)*AN28)</f>
        <v/>
      </c>
      <c r="DW28" s="1430" t="str">
        <f aca="false">IF(AO28="","",LOOKUP(AO28,$B$49:$B$59,$S$49:$S$59)*AP28)</f>
        <v/>
      </c>
      <c r="DX28" s="1535" t="n">
        <f aca="false">SUM(DQ28:DW28)-(D28-EF28)*(S$45-F28)/324</f>
        <v>0</v>
      </c>
      <c r="DY28" s="1430" t="str">
        <f aca="false">IF(AC28="","",LOOKUP(AC28,$B$49:$B$59,$T$49:$T$59)*AD28)</f>
        <v/>
      </c>
      <c r="DZ28" s="1430" t="str">
        <f aca="false">IF(AE28="","",LOOKUP(AE28,$B$49:$B$59,$T$49:$T$59)*AF28)</f>
        <v/>
      </c>
      <c r="EA28" s="1430" t="str">
        <f aca="false">IF(AG28="","",LOOKUP(AG28,$B$49:$B$59,$T$49:$T$59)*AH28)</f>
        <v/>
      </c>
      <c r="EB28" s="1430" t="str">
        <f aca="false">IF(AI28="","",LOOKUP(AI28,$B$49:$B$59,$T$49:$T$59)*AJ28)</f>
        <v/>
      </c>
      <c r="EC28" s="1430" t="str">
        <f aca="false">IF(AK28="","",LOOKUP(AK28,$B$49:$B$59,$T$49:$T$59)*AL28)</f>
        <v/>
      </c>
      <c r="ED28" s="1430" t="str">
        <f aca="false">IF(AM28="","",LOOKUP(AM28,$B$49:$B$59,$T$49:$T$59)*AN28)</f>
        <v/>
      </c>
      <c r="EE28" s="1430" t="str">
        <f aca="false">IF(AO28="","",LOOKUP(AO28,$B$49:$B$59,$T$49:$T$59)*AP28)</f>
        <v/>
      </c>
      <c r="EF28" s="1535" t="n">
        <f aca="false">SUM(DY28:EE28)</f>
        <v>0</v>
      </c>
    </row>
    <row r="29" customFormat="false" ht="19.5" hidden="false" customHeight="true" outlineLevel="0" collapsed="false">
      <c r="A29" s="16" t="s">
        <v>1573</v>
      </c>
      <c r="B29" s="1549"/>
      <c r="C29" s="1550"/>
      <c r="D29" s="1551"/>
      <c r="E29" s="1552"/>
      <c r="F29" s="1074"/>
      <c r="G29" s="1553"/>
      <c r="H29" s="1074"/>
      <c r="I29" s="1553"/>
      <c r="J29" s="1074"/>
      <c r="K29" s="1583"/>
      <c r="L29" s="1555"/>
      <c r="M29" s="1556"/>
      <c r="N29" s="1557"/>
      <c r="O29" s="1558"/>
      <c r="P29" s="1515" t="n">
        <f aca="false">IF(BQ29=0,0,BN29/BQ29)</f>
        <v>0</v>
      </c>
      <c r="Q29" s="1516" t="n">
        <f aca="false">(D29*F29/324)*(1+K$65)+BB29</f>
        <v>0</v>
      </c>
      <c r="R29" s="1517" t="n">
        <f aca="false">IF(D29=0,0,S29/D29)</f>
        <v>0</v>
      </c>
      <c r="S29" s="1518" t="n">
        <f aca="false">SUM(CM29-DE29)*(1+M$45)</f>
        <v>0</v>
      </c>
      <c r="T29" s="1519" t="n">
        <f aca="false">CF29+CG29+CH29</f>
        <v>0</v>
      </c>
      <c r="U29" s="1520" t="n">
        <f aca="false">IF(P29-(D29*0.35)&lt;0,0,P29-(D29*0.35))</f>
        <v>0</v>
      </c>
      <c r="V29" s="1521" t="n">
        <f aca="false">IF(D29="",0,IF(D29/-30+Q29&lt;1,0,D29/-30+Q29))</f>
        <v>0</v>
      </c>
      <c r="W29" s="1559"/>
      <c r="X29" s="1560"/>
      <c r="Y29" s="1559"/>
      <c r="Z29" s="1561"/>
      <c r="AA29" s="1559"/>
      <c r="AB29" s="1561"/>
      <c r="AC29" s="1562"/>
      <c r="AD29" s="1560"/>
      <c r="AE29" s="1559"/>
      <c r="AF29" s="1563"/>
      <c r="AG29" s="1564"/>
      <c r="AH29" s="1563"/>
      <c r="AI29" s="1565"/>
      <c r="AJ29" s="1560"/>
      <c r="AK29" s="1565"/>
      <c r="AL29" s="1581"/>
      <c r="AM29" s="1559"/>
      <c r="AN29" s="1566"/>
      <c r="AO29" s="1559"/>
      <c r="AP29" s="1561"/>
      <c r="AQ29" s="1435" t="e">
        <f aca="false">D29/Q29</f>
        <v>#DIV/0!</v>
      </c>
      <c r="AR29" s="1533" t="str">
        <f aca="false">IF(W29="","",LOOKUP(W29,$B$49:$B$59,$R$49:$R$59)*X29)</f>
        <v/>
      </c>
      <c r="AS29" s="1430" t="str">
        <f aca="false">IF(Y29="","",LOOKUP(Y29,$B$49:$B$59,$R$49:$R$59)*Z29)</f>
        <v/>
      </c>
      <c r="AT29" s="1430" t="str">
        <f aca="false">IF(AB29="","",LOOKUP(AA29,$B$49:$B$59,$R$49:$R$59)*AB29)</f>
        <v/>
      </c>
      <c r="AU29" s="1430" t="str">
        <f aca="false">IF(AC29="","",LOOKUP(AC29,$B$49:$B$59,$R$49:$R$59)*AD29)</f>
        <v/>
      </c>
      <c r="AV29" s="1430" t="str">
        <f aca="false">IF(AE29="","",LOOKUP(AE29,$B$49:$B$59,$R$49:$R$59)*AF29)</f>
        <v/>
      </c>
      <c r="AW29" s="1430" t="str">
        <f aca="false">IF(AG29="","",LOOKUP(AG29,$B$49:$B$59,$R$49:$R$59)*AH29)</f>
        <v/>
      </c>
      <c r="AX29" s="1430" t="str">
        <f aca="false">IF(AI29="","",LOOKUP(AI29,$B$49:$B$59,$R$49:$R$59)*AJ29)</f>
        <v/>
      </c>
      <c r="AY29" s="1430" t="str">
        <f aca="false">IF(AK29="","",LOOKUP(AK29,$B$49:$B$59,$R$49:$R$59)*AL29)</f>
        <v/>
      </c>
      <c r="AZ29" s="1430" t="str">
        <f aca="false">IF(AM29="","",LOOKUP(AM29,$B$49:$B$59,$R$49:$R$59)*AN29)</f>
        <v/>
      </c>
      <c r="BA29" s="1430" t="str">
        <f aca="false">IF(AO29="","",LOOKUP(AO29,$B$49:$B$59,$R$49:$R$59)*AP29)</f>
        <v/>
      </c>
      <c r="BB29" s="1535" t="n">
        <f aca="false">SUM(AR29:BA29)</f>
        <v>0</v>
      </c>
      <c r="BC29" s="1533" t="str">
        <f aca="false">IF(W29="","",LOOKUP(W29,$B$49:$B$59,$P$49:$P$59)*X29)</f>
        <v/>
      </c>
      <c r="BD29" s="654" t="str">
        <f aca="false">IF(Y29="","",LOOKUP(Y29,$B$49:$B$59,$P$49:$P$59)*Z29)</f>
        <v/>
      </c>
      <c r="BE29" s="1430"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584" t="n">
        <f aca="false">SUM(BC29:BL29)*BQ29</f>
        <v>0</v>
      </c>
      <c r="BN29" s="1536" t="n">
        <f aca="false">BM29+BO29</f>
        <v>0</v>
      </c>
      <c r="BO29" s="1536" t="n">
        <f aca="false">IF(M29=0,0,(M29/12+M29/12)/(M29/12*M29/12)*D29*((L29/16*L29/16)*10.6870159))*(1+K$70)*BQ29</f>
        <v>0</v>
      </c>
      <c r="BP29" s="1536" t="n">
        <f aca="false">IF(O29="Y",D29*(1+K$71)*BQ29,0)</f>
        <v>0</v>
      </c>
      <c r="BQ29" s="1538" t="n">
        <f aca="false">G29</f>
        <v>0</v>
      </c>
      <c r="BR29" s="1411" t="n">
        <f aca="false">IF(O29="y",D29,0)</f>
        <v>0</v>
      </c>
      <c r="BS29" s="1567" t="n">
        <f aca="false">IF($I29=1,$Q29,0)*BQ29</f>
        <v>0</v>
      </c>
      <c r="BT29" s="1536" t="n">
        <f aca="false">IF($I29=2,$Q29,0)*BQ29</f>
        <v>0</v>
      </c>
      <c r="BU29" s="1536" t="n">
        <f aca="false">IF($I29=3,$Q29,0)*BQ29</f>
        <v>0</v>
      </c>
      <c r="BV29" s="1536" t="n">
        <f aca="false">IF($I29=4,$Q29,0)*BQ29</f>
        <v>0</v>
      </c>
      <c r="BW29" s="1536" t="n">
        <f aca="false">IF($I29=5,$Q29,0)*BQ29</f>
        <v>0</v>
      </c>
      <c r="BX29" s="1536" t="n">
        <f aca="false">IF($I29=6,$Q29,0)*$BQ29</f>
        <v>0</v>
      </c>
      <c r="BY29" s="1536" t="n">
        <f aca="false">IF($I29=7,$Q29,0)*$BQ29</f>
        <v>0</v>
      </c>
      <c r="BZ29" s="1536" t="n">
        <f aca="false">IF($I29=8,$Q29,0)*$BQ29</f>
        <v>0</v>
      </c>
      <c r="CA29" s="1536" t="n">
        <f aca="false">IF($I29=9,$Q29,0)*$BQ29</f>
        <v>0</v>
      </c>
      <c r="CB29" s="1568" t="n">
        <f aca="false">IF($I29=10,$Q29,0)*$BQ29</f>
        <v>0</v>
      </c>
      <c r="CC29" s="1538" t="n">
        <f aca="false">SUM(BS29:BX29)</f>
        <v>0</v>
      </c>
      <c r="CD29" s="1538" t="n">
        <f aca="false">IF(H29="N",0,D29)*BQ29</f>
        <v>0</v>
      </c>
      <c r="CE29" s="1538" t="n">
        <f aca="false">K29*BQ29</f>
        <v>0</v>
      </c>
      <c r="CF29" s="1542" t="n">
        <f aca="false">ROUND(IF(W29="",0,LOOKUP(W29,B$49:B$59,D$49:D$59)*X29/12),0)</f>
        <v>0</v>
      </c>
      <c r="CG29" s="1542" t="n">
        <f aca="false">ROUND(IF(Y29="",0,LOOKUP(Y29,B$49:B$59,D$49:D$59)*Z29/12),0)</f>
        <v>0</v>
      </c>
      <c r="CH29" s="1542" t="n">
        <f aca="false">ROUND(IF(AA29="",0,LOOKUP(AA29,B$49:B$59,D$49:D$59)*AB29/12),0)</f>
        <v>0</v>
      </c>
      <c r="CI29" s="1538" t="n">
        <f aca="false">D29*BQ29</f>
        <v>0</v>
      </c>
      <c r="CJ29" s="1538" t="n">
        <f aca="false">D29*J29/324*(1+K$73)*G29</f>
        <v>0</v>
      </c>
      <c r="CK29" s="1538" t="str">
        <f aca="false">IF(N29="","",N29)</f>
        <v/>
      </c>
      <c r="CL29" s="1538" t="n">
        <f aca="false">P29*BQ29</f>
        <v>0</v>
      </c>
      <c r="CM29" s="1543"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544" t="n">
        <f aca="false">C29*D29</f>
        <v>0</v>
      </c>
      <c r="CQ29" s="656" t="n">
        <f aca="false">IF(I$79=0,0,D29*(SUM(O$79:P$82)+O$85)/I$79*BQ29)</f>
        <v>0</v>
      </c>
      <c r="CR29" s="656" t="n">
        <f aca="false">IF(CF29="",0,CF29*E$83)+IF(CG29="",0,CG29*E$83)+IF(CH29="",0,CH29*E$83)</f>
        <v>0</v>
      </c>
      <c r="CS29" s="656"/>
      <c r="CT29" s="1545"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546" t="n">
        <f aca="false">O$110/I$79*D29</f>
        <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569" t="n">
        <f aca="false">D29</f>
        <v>0</v>
      </c>
      <c r="DQ29" s="1430" t="str">
        <f aca="false">IF(AC29="","",LOOKUP(AC29,$B$49:$B$59,$S$49:$S$59)*AD29)</f>
        <v/>
      </c>
      <c r="DR29" s="1430" t="str">
        <f aca="false">IF(AE29="","",LOOKUP(AE29,$B$49:$B$59,$S$49:$S$59)*AF29)</f>
        <v/>
      </c>
      <c r="DS29" s="1430" t="str">
        <f aca="false">IF(AG29="","",LOOKUP(AG29,$B$49:$B$59,$S$49:$S$59)*AH29)</f>
        <v/>
      </c>
      <c r="DT29" s="1430" t="str">
        <f aca="false">IF(AI29="","",LOOKUP(AI29,$B$49:$B$59,$S$49:$S$59)*AJ29)</f>
        <v/>
      </c>
      <c r="DU29" s="1430" t="str">
        <f aca="false">IF(AK29="","",LOOKUP(AK29,$B$49:$B$59,$S$49:$S$59)*AL29)</f>
        <v/>
      </c>
      <c r="DV29" s="1430" t="str">
        <f aca="false">IF(AM29="","",LOOKUP(AM29,$B$49:$B$59,$S$49:$S$59)*AN29)</f>
        <v/>
      </c>
      <c r="DW29" s="1430" t="str">
        <f aca="false">IF(AO29="","",LOOKUP(AO29,$B$49:$B$59,$S$49:$S$59)*AP29)</f>
        <v/>
      </c>
      <c r="DX29" s="1535" t="n">
        <f aca="false">SUM(DQ29:DW29)-(D29-EF29)*(S$45-F29)/324</f>
        <v>0</v>
      </c>
      <c r="DY29" s="1430" t="str">
        <f aca="false">IF(AC29="","",LOOKUP(AC29,$B$49:$B$59,$T$49:$T$59)*AD29)</f>
        <v/>
      </c>
      <c r="DZ29" s="1430" t="str">
        <f aca="false">IF(AE29="","",LOOKUP(AE29,$B$49:$B$59,$T$49:$T$59)*AF29)</f>
        <v/>
      </c>
      <c r="EA29" s="1430" t="str">
        <f aca="false">IF(AG29="","",LOOKUP(AG29,$B$49:$B$59,$T$49:$T$59)*AH29)</f>
        <v/>
      </c>
      <c r="EB29" s="1430" t="str">
        <f aca="false">IF(AI29="","",LOOKUP(AI29,$B$49:$B$59,$T$49:$T$59)*AJ29)</f>
        <v/>
      </c>
      <c r="EC29" s="1430" t="str">
        <f aca="false">IF(AK29="","",LOOKUP(AK29,$B$49:$B$59,$T$49:$T$59)*AL29)</f>
        <v/>
      </c>
      <c r="ED29" s="1430" t="str">
        <f aca="false">IF(AM29="","",LOOKUP(AM29,$B$49:$B$59,$T$49:$T$59)*AN29)</f>
        <v/>
      </c>
      <c r="EE29" s="1430" t="str">
        <f aca="false">IF(AO29="","",LOOKUP(AO29,$B$49:$B$59,$T$49:$T$59)*AP29)</f>
        <v/>
      </c>
      <c r="EF29" s="1535" t="n">
        <f aca="false">SUM(DY29:EE29)</f>
        <v>0</v>
      </c>
    </row>
    <row r="30" customFormat="false" ht="19.5" hidden="false" customHeight="true" outlineLevel="0" collapsed="false">
      <c r="A30" s="16" t="s">
        <v>1574</v>
      </c>
      <c r="B30" s="920"/>
      <c r="C30" s="1506"/>
      <c r="D30" s="1507"/>
      <c r="E30" s="1508"/>
      <c r="F30" s="1074"/>
      <c r="G30" s="1553"/>
      <c r="H30" s="1074"/>
      <c r="I30" s="1553"/>
      <c r="J30" s="1074"/>
      <c r="K30" s="1583"/>
      <c r="L30" s="528"/>
      <c r="M30" s="895"/>
      <c r="N30" s="1513"/>
      <c r="O30" s="1514"/>
      <c r="P30" s="1515" t="n">
        <f aca="false">IF(BQ30=0,0,BN30/BQ30)</f>
        <v>0</v>
      </c>
      <c r="Q30" s="1516" t="n">
        <f aca="false">(D30*F30/324)*(1+K$65)+BB30</f>
        <v>0</v>
      </c>
      <c r="R30" s="1517" t="n">
        <f aca="false">IF(D30=0,0,S30/D30)</f>
        <v>0</v>
      </c>
      <c r="S30" s="1518" t="n">
        <f aca="false">SUM(CM30-DE30)*(1+M$45)</f>
        <v>0</v>
      </c>
      <c r="T30" s="1519" t="n">
        <f aca="false">CF30+CG30+CH30</f>
        <v>0</v>
      </c>
      <c r="U30" s="1520" t="n">
        <f aca="false">IF(P30-(D30*0.35)&lt;0,0,P30-(D30*0.35))</f>
        <v>0</v>
      </c>
      <c r="V30" s="1521" t="n">
        <f aca="false">IF(D30="",0,IF(D30/-30+Q30&lt;1,0,D30/-30+Q30))</f>
        <v>0</v>
      </c>
      <c r="W30" s="528"/>
      <c r="X30" s="1526"/>
      <c r="Y30" s="1511"/>
      <c r="Z30" s="1524"/>
      <c r="AA30" s="1511"/>
      <c r="AB30" s="1524"/>
      <c r="AC30" s="1525"/>
      <c r="AD30" s="1526"/>
      <c r="AE30" s="1511"/>
      <c r="AF30" s="1527"/>
      <c r="AG30" s="1528"/>
      <c r="AH30" s="1527"/>
      <c r="AI30" s="1529"/>
      <c r="AJ30" s="1526"/>
      <c r="AK30" s="1572"/>
      <c r="AL30" s="1573"/>
      <c r="AM30" s="1511"/>
      <c r="AN30" s="1532"/>
      <c r="AO30" s="1511"/>
      <c r="AP30" s="1524"/>
      <c r="AQ30" s="1435" t="e">
        <f aca="false">D30/Q30</f>
        <v>#DIV/0!</v>
      </c>
      <c r="AR30" s="1533" t="str">
        <f aca="false">IF(W30="","",LOOKUP(W30,$B$49:$B$59,$R$49:$R$59)*X30)</f>
        <v/>
      </c>
      <c r="AS30" s="1430" t="str">
        <f aca="false">IF(Y30="","",LOOKUP(Y30,$B$49:$B$59,$R$49:$R$59)*Z30)</f>
        <v/>
      </c>
      <c r="AT30" s="1430" t="str">
        <f aca="false">IF(AB30="","",LOOKUP(AA30,$B$49:$B$59,$R$49:$R$59)*AB30)</f>
        <v/>
      </c>
      <c r="AU30" s="1430" t="str">
        <f aca="false">IF(AC30="","",LOOKUP(AC30,$B$49:$B$59,$R$49:$R$59)*AD30)</f>
        <v/>
      </c>
      <c r="AV30" s="1430" t="str">
        <f aca="false">IF(AE30="","",LOOKUP(AE30,$B$49:$B$59,$R$49:$R$59)*AF30)</f>
        <v/>
      </c>
      <c r="AW30" s="1430" t="str">
        <f aca="false">IF(AG30="","",LOOKUP(AG30,$B$49:$B$59,$R$49:$R$59)*AH30)</f>
        <v/>
      </c>
      <c r="AX30" s="1430" t="str">
        <f aca="false">IF(AI30="","",LOOKUP(AI30,$B$49:$B$59,$R$49:$R$59)*AJ30)</f>
        <v/>
      </c>
      <c r="AY30" s="1430" t="str">
        <f aca="false">IF(AK30="","",LOOKUP(AK30,$B$49:$B$59,$R$49:$R$59)*AL30)</f>
        <v/>
      </c>
      <c r="AZ30" s="1430" t="str">
        <f aca="false">IF(AM30="","",LOOKUP(AM30,$B$49:$B$59,$R$49:$R$59)*AN30)</f>
        <v/>
      </c>
      <c r="BA30" s="1430" t="str">
        <f aca="false">IF(AO30="","",LOOKUP(AO30,$B$49:$B$59,$R$49:$R$59)*AP30)</f>
        <v/>
      </c>
      <c r="BB30" s="1535" t="n">
        <f aca="false">SUM(AR30:BA30)</f>
        <v>0</v>
      </c>
      <c r="BC30" s="1533" t="str">
        <f aca="false">IF(W30="","",LOOKUP(W30,$B$49:$B$59,$P$49:$P$59)*X30)</f>
        <v/>
      </c>
      <c r="BD30" s="654" t="str">
        <f aca="false">IF(Y30="","",LOOKUP(Y30,$B$49:$B$59,$P$49:$P$59)*Z30)</f>
        <v/>
      </c>
      <c r="BE30" s="1430"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584" t="n">
        <f aca="false">SUM(BC30:BL30)*BQ30</f>
        <v>0</v>
      </c>
      <c r="BN30" s="1536" t="n">
        <f aca="false">BM30+BO30</f>
        <v>0</v>
      </c>
      <c r="BO30" s="1536" t="n">
        <f aca="false">IF(M30=0,0,(M30/12+M30/12)/(M30/12*M30/12)*D30*((L30/16*L30/16)*10.6870159))*(1+K$70)*BQ30</f>
        <v>0</v>
      </c>
      <c r="BP30" s="1536" t="n">
        <f aca="false">IF(O30="Y",D30*(1+K$71)*BQ30,0)</f>
        <v>0</v>
      </c>
      <c r="BQ30" s="1538" t="n">
        <f aca="false">G30</f>
        <v>0</v>
      </c>
      <c r="BR30" s="1411" t="n">
        <f aca="false">IF(O30="y",D30,0)</f>
        <v>0</v>
      </c>
      <c r="BS30" s="1567" t="n">
        <f aca="false">IF($I30=1,$Q30,0)*BQ30</f>
        <v>0</v>
      </c>
      <c r="BT30" s="1536" t="n">
        <f aca="false">IF($I30=2,$Q30,0)*BQ30</f>
        <v>0</v>
      </c>
      <c r="BU30" s="1536" t="n">
        <f aca="false">IF($I30=3,$Q30,0)*BQ30</f>
        <v>0</v>
      </c>
      <c r="BV30" s="1536" t="n">
        <f aca="false">IF($I30=4,$Q30,0)*BQ30</f>
        <v>0</v>
      </c>
      <c r="BW30" s="1536" t="n">
        <f aca="false">IF($I30=5,$Q30,0)*BQ30</f>
        <v>0</v>
      </c>
      <c r="BX30" s="1536" t="n">
        <f aca="false">IF($I30=6,$Q30,0)*$BQ30</f>
        <v>0</v>
      </c>
      <c r="BY30" s="1536" t="n">
        <f aca="false">IF($I30=7,$Q30,0)*$BQ30</f>
        <v>0</v>
      </c>
      <c r="BZ30" s="1536" t="n">
        <f aca="false">IF($I30=8,$Q30,0)*$BQ30</f>
        <v>0</v>
      </c>
      <c r="CA30" s="1536" t="n">
        <f aca="false">IF($I30=9,$Q30,0)*$BQ30</f>
        <v>0</v>
      </c>
      <c r="CB30" s="1568" t="n">
        <f aca="false">IF($I30=10,$Q30,0)*$BQ30</f>
        <v>0</v>
      </c>
      <c r="CC30" s="1538" t="n">
        <f aca="false">SUM(BS30:BX30)</f>
        <v>0</v>
      </c>
      <c r="CD30" s="1538" t="n">
        <f aca="false">IF(H30="N",0,D30)*BQ30</f>
        <v>0</v>
      </c>
      <c r="CE30" s="1538" t="n">
        <f aca="false">K30*BQ30</f>
        <v>0</v>
      </c>
      <c r="CF30" s="1542" t="n">
        <f aca="false">ROUND(IF(W30="",0,LOOKUP(W30,B$49:B$59,D$49:D$59)*X30/12),0)</f>
        <v>0</v>
      </c>
      <c r="CG30" s="1542" t="n">
        <f aca="false">ROUND(IF(Y30="",0,LOOKUP(Y30,B$49:B$59,D$49:D$59)*Z30/12),0)</f>
        <v>0</v>
      </c>
      <c r="CH30" s="1542" t="n">
        <f aca="false">ROUND(IF(AA30="",0,LOOKUP(AA30,B$49:B$59,D$49:D$59)*AB30/12),0)</f>
        <v>0</v>
      </c>
      <c r="CI30" s="1538" t="n">
        <f aca="false">D30*BQ30</f>
        <v>0</v>
      </c>
      <c r="CJ30" s="1538" t="n">
        <f aca="false">D30*J30/324*(1+K$73)*G30</f>
        <v>0</v>
      </c>
      <c r="CK30" s="1538" t="str">
        <f aca="false">IF(N30="","",N30)</f>
        <v/>
      </c>
      <c r="CL30" s="1538" t="n">
        <f aca="false">P30*BQ30</f>
        <v>0</v>
      </c>
      <c r="CM30" s="1543"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544" t="n">
        <f aca="false">C30*D30</f>
        <v>0</v>
      </c>
      <c r="CQ30" s="656" t="n">
        <f aca="false">IF(I$79=0,0,D30*(SUM(O$79:P$82)+O$85)/I$79*BQ30)</f>
        <v>0</v>
      </c>
      <c r="CR30" s="656" t="n">
        <f aca="false">IF(CF30="",0,CF30*E$83)+IF(CG30="",0,CG30*E$83)+IF(CH30="",0,CH30*E$83)</f>
        <v>0</v>
      </c>
      <c r="CS30" s="656"/>
      <c r="CT30" s="1545"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546" t="n">
        <f aca="false">O$110/I$79*D30</f>
        <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569" t="n">
        <f aca="false">D30</f>
        <v>0</v>
      </c>
      <c r="DQ30" s="1430" t="str">
        <f aca="false">IF(AC30="","",LOOKUP(AC30,$B$49:$B$59,$S$49:$S$59)*AD30)</f>
        <v/>
      </c>
      <c r="DR30" s="1430" t="str">
        <f aca="false">IF(AE30="","",LOOKUP(AE30,$B$49:$B$59,$S$49:$S$59)*AF30)</f>
        <v/>
      </c>
      <c r="DS30" s="1430" t="str">
        <f aca="false">IF(AG30="","",LOOKUP(AG30,$B$49:$B$59,$S$49:$S$59)*AH30)</f>
        <v/>
      </c>
      <c r="DT30" s="1430" t="str">
        <f aca="false">IF(AI30="","",LOOKUP(AI30,$B$49:$B$59,$S$49:$S$59)*AJ30)</f>
        <v/>
      </c>
      <c r="DU30" s="1430" t="str">
        <f aca="false">IF(AK30="","",LOOKUP(AK30,$B$49:$B$59,$S$49:$S$59)*AL30)</f>
        <v/>
      </c>
      <c r="DV30" s="1430" t="str">
        <f aca="false">IF(AM30="","",LOOKUP(AM30,$B$49:$B$59,$S$49:$S$59)*AN30)</f>
        <v/>
      </c>
      <c r="DW30" s="1430" t="str">
        <f aca="false">IF(AO30="","",LOOKUP(AO30,$B$49:$B$59,$S$49:$S$59)*AP30)</f>
        <v/>
      </c>
      <c r="DX30" s="1535" t="n">
        <f aca="false">SUM(DQ30:DW30)-(D30-EF30)*(S$45-F30)/324</f>
        <v>0</v>
      </c>
      <c r="DY30" s="1430" t="str">
        <f aca="false">IF(AC30="","",LOOKUP(AC30,$B$49:$B$59,$T$49:$T$59)*AD30)</f>
        <v/>
      </c>
      <c r="DZ30" s="1430" t="str">
        <f aca="false">IF(AE30="","",LOOKUP(AE30,$B$49:$B$59,$T$49:$T$59)*AF30)</f>
        <v/>
      </c>
      <c r="EA30" s="1430" t="str">
        <f aca="false">IF(AG30="","",LOOKUP(AG30,$B$49:$B$59,$T$49:$T$59)*AH30)</f>
        <v/>
      </c>
      <c r="EB30" s="1430" t="str">
        <f aca="false">IF(AI30="","",LOOKUP(AI30,$B$49:$B$59,$T$49:$T$59)*AJ30)</f>
        <v/>
      </c>
      <c r="EC30" s="1430" t="str">
        <f aca="false">IF(AK30="","",LOOKUP(AK30,$B$49:$B$59,$T$49:$T$59)*AL30)</f>
        <v/>
      </c>
      <c r="ED30" s="1430" t="str">
        <f aca="false">IF(AM30="","",LOOKUP(AM30,$B$49:$B$59,$T$49:$T$59)*AN30)</f>
        <v/>
      </c>
      <c r="EE30" s="1430" t="str">
        <f aca="false">IF(AO30="","",LOOKUP(AO30,$B$49:$B$59,$T$49:$T$59)*AP30)</f>
        <v/>
      </c>
      <c r="EF30" s="1535" t="n">
        <f aca="false">SUM(DY30:EE30)</f>
        <v>0</v>
      </c>
    </row>
    <row r="31" customFormat="false" ht="19.5" hidden="false" customHeight="true" outlineLevel="0" collapsed="false">
      <c r="A31" s="16" t="s">
        <v>1575</v>
      </c>
      <c r="B31" s="1549"/>
      <c r="C31" s="1550"/>
      <c r="D31" s="1551"/>
      <c r="E31" s="1552"/>
      <c r="F31" s="1074"/>
      <c r="G31" s="1553"/>
      <c r="H31" s="1074"/>
      <c r="I31" s="1553"/>
      <c r="J31" s="1074"/>
      <c r="K31" s="1583"/>
      <c r="L31" s="1559"/>
      <c r="M31" s="1556"/>
      <c r="N31" s="1557"/>
      <c r="O31" s="1558"/>
      <c r="P31" s="1515" t="n">
        <f aca="false">IF(BQ31=0,0,BN31/BQ31)</f>
        <v>0</v>
      </c>
      <c r="Q31" s="1516" t="n">
        <f aca="false">(D31*F31/324)*(1+K$65)+BB31</f>
        <v>0</v>
      </c>
      <c r="R31" s="1517" t="n">
        <f aca="false">IF(D31=0,0,S31/D31)</f>
        <v>0</v>
      </c>
      <c r="S31" s="1518" t="n">
        <f aca="false">SUM(CM31-DE31)*(1+M$45)</f>
        <v>0</v>
      </c>
      <c r="T31" s="1519" t="n">
        <f aca="false">CF31+CG31+CH31</f>
        <v>0</v>
      </c>
      <c r="U31" s="1520" t="n">
        <f aca="false">IF(P31-(D31*0.35)&lt;0,0,P31-(D31*0.35))</f>
        <v>0</v>
      </c>
      <c r="V31" s="1521" t="n">
        <f aca="false">IF(D31="",0,IF(D31/-30+Q31&lt;1,0,D31/-30+Q31))</f>
        <v>0</v>
      </c>
      <c r="W31" s="1559"/>
      <c r="X31" s="1560"/>
      <c r="Y31" s="1559"/>
      <c r="Z31" s="1561"/>
      <c r="AA31" s="1559"/>
      <c r="AB31" s="1561"/>
      <c r="AC31" s="1562"/>
      <c r="AD31" s="1560"/>
      <c r="AE31" s="1559"/>
      <c r="AF31" s="1563"/>
      <c r="AG31" s="1564"/>
      <c r="AH31" s="1563"/>
      <c r="AI31" s="1565"/>
      <c r="AJ31" s="1560"/>
      <c r="AK31" s="1565"/>
      <c r="AL31" s="1581"/>
      <c r="AM31" s="1559"/>
      <c r="AN31" s="1566"/>
      <c r="AO31" s="1559"/>
      <c r="AP31" s="1561"/>
      <c r="AQ31" s="1435" t="e">
        <f aca="false">D31/Q31</f>
        <v>#DIV/0!</v>
      </c>
      <c r="AR31" s="1533" t="str">
        <f aca="false">IF(W31="","",LOOKUP(W31,$B$49:$B$59,$R$49:$R$59)*X31)</f>
        <v/>
      </c>
      <c r="AS31" s="1430" t="str">
        <f aca="false">IF(Y31="","",LOOKUP(Y31,$B$49:$B$59,$R$49:$R$59)*Z31)</f>
        <v/>
      </c>
      <c r="AT31" s="1430" t="str">
        <f aca="false">IF(AB31="","",LOOKUP(AA31,$B$49:$B$59,$R$49:$R$59)*AB31)</f>
        <v/>
      </c>
      <c r="AU31" s="1430" t="str">
        <f aca="false">IF(AC31="","",LOOKUP(AC31,$B$49:$B$59,$R$49:$R$59)*AD31)</f>
        <v/>
      </c>
      <c r="AV31" s="1430" t="str">
        <f aca="false">IF(AE31="","",LOOKUP(AE31,$B$49:$B$59,$R$49:$R$59)*AF31)</f>
        <v/>
      </c>
      <c r="AW31" s="1430" t="str">
        <f aca="false">IF(AG31="","",LOOKUP(AG31,$B$49:$B$59,$R$49:$R$59)*AH31)</f>
        <v/>
      </c>
      <c r="AX31" s="1430" t="str">
        <f aca="false">IF(AI31="","",LOOKUP(AI31,$B$49:$B$59,$R$49:$R$59)*AJ31)</f>
        <v/>
      </c>
      <c r="AY31" s="1430" t="str">
        <f aca="false">IF(AK31="","",LOOKUP(AK31,$B$49:$B$59,$R$49:$R$59)*AL31)</f>
        <v/>
      </c>
      <c r="AZ31" s="1430" t="str">
        <f aca="false">IF(AM31="","",LOOKUP(AM31,$B$49:$B$59,$R$49:$R$59)*AN31)</f>
        <v/>
      </c>
      <c r="BA31" s="1430" t="str">
        <f aca="false">IF(AO31="","",LOOKUP(AO31,$B$49:$B$59,$R$49:$R$59)*AP31)</f>
        <v/>
      </c>
      <c r="BB31" s="1535" t="n">
        <f aca="false">SUM(AR31:BA31)</f>
        <v>0</v>
      </c>
      <c r="BC31" s="1533" t="str">
        <f aca="false">IF(W31="","",LOOKUP(W31,$B$49:$B$59,$P$49:$P$59)*X31)</f>
        <v/>
      </c>
      <c r="BD31" s="654" t="str">
        <f aca="false">IF(Y31="","",LOOKUP(Y31,$B$49:$B$59,$P$49:$P$59)*Z31)</f>
        <v/>
      </c>
      <c r="BE31" s="1430"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584" t="n">
        <f aca="false">SUM(BC31:BL31)*BQ31</f>
        <v>0</v>
      </c>
      <c r="BN31" s="1536" t="n">
        <f aca="false">BM31+BO31</f>
        <v>0</v>
      </c>
      <c r="BO31" s="1536" t="n">
        <f aca="false">IF(M31=0,0,(M31/12+M31/12)/(M31/12*M31/12)*D31*((L31/16*L31/16)*10.6870159))*(1+K$70)*BQ31</f>
        <v>0</v>
      </c>
      <c r="BP31" s="1536" t="n">
        <f aca="false">IF(O31="Y",D31*(1+K$71)*BQ31,0)</f>
        <v>0</v>
      </c>
      <c r="BQ31" s="1538" t="n">
        <f aca="false">G31</f>
        <v>0</v>
      </c>
      <c r="BR31" s="1411" t="n">
        <f aca="false">IF(O31="y",D31,0)</f>
        <v>0</v>
      </c>
      <c r="BS31" s="1567" t="n">
        <f aca="false">IF($I31=1,$Q31,0)*BQ31</f>
        <v>0</v>
      </c>
      <c r="BT31" s="1536" t="n">
        <f aca="false">IF($I31=2,$Q31,0)*BQ31</f>
        <v>0</v>
      </c>
      <c r="BU31" s="1536" t="n">
        <f aca="false">IF($I31=3,$Q31,0)*BQ31</f>
        <v>0</v>
      </c>
      <c r="BV31" s="1536" t="n">
        <f aca="false">IF($I31=4,$Q31,0)*BQ31</f>
        <v>0</v>
      </c>
      <c r="BW31" s="1536" t="n">
        <f aca="false">IF($I31=5,$Q31,0)*BQ31</f>
        <v>0</v>
      </c>
      <c r="BX31" s="1536" t="n">
        <f aca="false">IF($I31=6,$Q31,0)*$BQ31</f>
        <v>0</v>
      </c>
      <c r="BY31" s="1536" t="n">
        <f aca="false">IF($I31=7,$Q31,0)*$BQ31</f>
        <v>0</v>
      </c>
      <c r="BZ31" s="1536" t="n">
        <f aca="false">IF($I31=8,$Q31,0)*$BQ31</f>
        <v>0</v>
      </c>
      <c r="CA31" s="1536" t="n">
        <f aca="false">IF($I31=9,$Q31,0)*$BQ31</f>
        <v>0</v>
      </c>
      <c r="CB31" s="1568" t="n">
        <f aca="false">IF($I31=10,$Q31,0)*$BQ31</f>
        <v>0</v>
      </c>
      <c r="CC31" s="1538" t="n">
        <f aca="false">SUM(BS31:BX31)</f>
        <v>0</v>
      </c>
      <c r="CD31" s="1538" t="n">
        <f aca="false">IF(H31="N",0,D31)*BQ31</f>
        <v>0</v>
      </c>
      <c r="CE31" s="1538" t="n">
        <f aca="false">K31*BQ31</f>
        <v>0</v>
      </c>
      <c r="CF31" s="1542" t="n">
        <f aca="false">ROUND(IF(W31="",0,LOOKUP(W31,B$49:B$59,D$49:D$59)*X31/12),0)</f>
        <v>0</v>
      </c>
      <c r="CG31" s="1542" t="n">
        <f aca="false">ROUND(IF(Y31="",0,LOOKUP(Y31,B$49:B$59,D$49:D$59)*Z31/12),0)</f>
        <v>0</v>
      </c>
      <c r="CH31" s="1542" t="n">
        <f aca="false">ROUND(IF(AA31="",0,LOOKUP(AA31,B$49:B$59,D$49:D$59)*AB31/12),0)</f>
        <v>0</v>
      </c>
      <c r="CI31" s="1538" t="n">
        <f aca="false">D31*BQ31</f>
        <v>0</v>
      </c>
      <c r="CJ31" s="1538" t="n">
        <f aca="false">D31*J31/324*(1+K$73)*G31</f>
        <v>0</v>
      </c>
      <c r="CK31" s="1538" t="str">
        <f aca="false">IF(N31="","",N31)</f>
        <v/>
      </c>
      <c r="CL31" s="1538" t="n">
        <f aca="false">P31*BQ31</f>
        <v>0</v>
      </c>
      <c r="CM31" s="1543"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544" t="n">
        <f aca="false">C31*D31</f>
        <v>0</v>
      </c>
      <c r="CQ31" s="656" t="n">
        <f aca="false">IF(I$79=0,0,D31*(SUM(O$79:P$82)+O$85)/I$79*BQ31)</f>
        <v>0</v>
      </c>
      <c r="CR31" s="656" t="n">
        <f aca="false">IF(CF31="",0,CF31*E$83)+IF(CG31="",0,CG31*E$83)+IF(CH31="",0,CH31*E$83)</f>
        <v>0</v>
      </c>
      <c r="CS31" s="656"/>
      <c r="CT31" s="1545"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546" t="n">
        <f aca="false">O$110/I$79*D31</f>
        <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569" t="n">
        <f aca="false">D31</f>
        <v>0</v>
      </c>
      <c r="DQ31" s="1430" t="str">
        <f aca="false">IF(AC31="","",LOOKUP(AC31,$B$49:$B$59,$S$49:$S$59)*AD31)</f>
        <v/>
      </c>
      <c r="DR31" s="1430" t="str">
        <f aca="false">IF(AE31="","",LOOKUP(AE31,$B$49:$B$59,$S$49:$S$59)*AF31)</f>
        <v/>
      </c>
      <c r="DS31" s="1430" t="str">
        <f aca="false">IF(AG31="","",LOOKUP(AG31,$B$49:$B$59,$S$49:$S$59)*AH31)</f>
        <v/>
      </c>
      <c r="DT31" s="1430" t="str">
        <f aca="false">IF(AI31="","",LOOKUP(AI31,$B$49:$B$59,$S$49:$S$59)*AJ31)</f>
        <v/>
      </c>
      <c r="DU31" s="1430" t="str">
        <f aca="false">IF(AK31="","",LOOKUP(AK31,$B$49:$B$59,$S$49:$S$59)*AL31)</f>
        <v/>
      </c>
      <c r="DV31" s="1430" t="str">
        <f aca="false">IF(AM31="","",LOOKUP(AM31,$B$49:$B$59,$S$49:$S$59)*AN31)</f>
        <v/>
      </c>
      <c r="DW31" s="1430" t="str">
        <f aca="false">IF(AO31="","",LOOKUP(AO31,$B$49:$B$59,$S$49:$S$59)*AP31)</f>
        <v/>
      </c>
      <c r="DX31" s="1535" t="n">
        <f aca="false">SUM(DQ31:DW31)-(D31-EF31)*(S$45-F31)/324</f>
        <v>0</v>
      </c>
      <c r="DY31" s="1430" t="str">
        <f aca="false">IF(AC31="","",LOOKUP(AC31,$B$49:$B$59,$T$49:$T$59)*AD31)</f>
        <v/>
      </c>
      <c r="DZ31" s="1430" t="str">
        <f aca="false">IF(AE31="","",LOOKUP(AE31,$B$49:$B$59,$T$49:$T$59)*AF31)</f>
        <v/>
      </c>
      <c r="EA31" s="1430" t="str">
        <f aca="false">IF(AG31="","",LOOKUP(AG31,$B$49:$B$59,$T$49:$T$59)*AH31)</f>
        <v/>
      </c>
      <c r="EB31" s="1430" t="str">
        <f aca="false">IF(AI31="","",LOOKUP(AI31,$B$49:$B$59,$T$49:$T$59)*AJ31)</f>
        <v/>
      </c>
      <c r="EC31" s="1430" t="str">
        <f aca="false">IF(AK31="","",LOOKUP(AK31,$B$49:$B$59,$T$49:$T$59)*AL31)</f>
        <v/>
      </c>
      <c r="ED31" s="1430" t="str">
        <f aca="false">IF(AM31="","",LOOKUP(AM31,$B$49:$B$59,$T$49:$T$59)*AN31)</f>
        <v/>
      </c>
      <c r="EE31" s="1430" t="str">
        <f aca="false">IF(AO31="","",LOOKUP(AO31,$B$49:$B$59,$T$49:$T$59)*AP31)</f>
        <v/>
      </c>
      <c r="EF31" s="1535" t="n">
        <f aca="false">SUM(DY31:EE31)</f>
        <v>0</v>
      </c>
    </row>
    <row r="32" customFormat="false" ht="19.5" hidden="false" customHeight="true" outlineLevel="0" collapsed="false">
      <c r="A32" s="16" t="s">
        <v>1576</v>
      </c>
      <c r="B32" s="920"/>
      <c r="C32" s="1506"/>
      <c r="D32" s="1586"/>
      <c r="E32" s="1587"/>
      <c r="F32" s="1074"/>
      <c r="G32" s="1553"/>
      <c r="H32" s="1074"/>
      <c r="I32" s="1553"/>
      <c r="J32" s="1074"/>
      <c r="K32" s="1588"/>
      <c r="L32" s="528"/>
      <c r="M32" s="895"/>
      <c r="N32" s="1513"/>
      <c r="O32" s="1514"/>
      <c r="P32" s="1515" t="n">
        <f aca="false">IF(BQ32=0,0,BN32/BQ32)</f>
        <v>0</v>
      </c>
      <c r="Q32" s="1516" t="n">
        <f aca="false">(D32*F32/324)*(1+K$65)+BB32</f>
        <v>0</v>
      </c>
      <c r="R32" s="1517" t="n">
        <f aca="false">IF(D32=0,0,S32/D32)</f>
        <v>0</v>
      </c>
      <c r="S32" s="1518" t="n">
        <f aca="false">SUM(CM32-DE32)*(1+M$45)</f>
        <v>0</v>
      </c>
      <c r="T32" s="1519" t="n">
        <f aca="false">CF32+CG32+CH32</f>
        <v>0</v>
      </c>
      <c r="U32" s="1520" t="n">
        <f aca="false">IF(P32-(D32*0.35)&lt;0,0,P32-(D32*0.35))</f>
        <v>0</v>
      </c>
      <c r="V32" s="1521" t="n">
        <f aca="false">IF(D32="",0,IF(D32/-30+Q32&lt;1,0,D32/-30+Q32))</f>
        <v>0</v>
      </c>
      <c r="W32" s="528"/>
      <c r="X32" s="1526"/>
      <c r="Y32" s="1511"/>
      <c r="Z32" s="1524"/>
      <c r="AA32" s="1511"/>
      <c r="AB32" s="1524"/>
      <c r="AC32" s="1585"/>
      <c r="AD32" s="1526"/>
      <c r="AE32" s="528"/>
      <c r="AF32" s="1527"/>
      <c r="AG32" s="1531"/>
      <c r="AH32" s="1527"/>
      <c r="AI32" s="1531"/>
      <c r="AJ32" s="1589"/>
      <c r="AK32" s="1531"/>
      <c r="AL32" s="1527"/>
      <c r="AM32" s="1511"/>
      <c r="AN32" s="1532"/>
      <c r="AO32" s="1511"/>
      <c r="AP32" s="1524"/>
      <c r="AQ32" s="1435" t="e">
        <f aca="false">D32/Q32</f>
        <v>#DIV/0!</v>
      </c>
      <c r="AR32" s="1533" t="str">
        <f aca="false">IF(W32="","",LOOKUP(W32,$B$49:$B$59,$R$49:$R$59)*X32)</f>
        <v/>
      </c>
      <c r="AS32" s="1430" t="str">
        <f aca="false">IF(Y32="","",LOOKUP(Y32,$B$49:$B$59,$R$49:$R$59)*Z32)</f>
        <v/>
      </c>
      <c r="AT32" s="1430" t="str">
        <f aca="false">IF(AB32="","",LOOKUP(AA32,$B$49:$B$59,$R$49:$R$59)*AB32)</f>
        <v/>
      </c>
      <c r="AU32" s="1430" t="str">
        <f aca="false">IF(AC32="","",LOOKUP(AC32,$B$49:$B$59,$R$49:$R$59)*AD32)</f>
        <v/>
      </c>
      <c r="AV32" s="1430" t="str">
        <f aca="false">IF(AE32="","",LOOKUP(AE32,$B$49:$B$59,$R$49:$R$59)*AF32)</f>
        <v/>
      </c>
      <c r="AW32" s="1430" t="str">
        <f aca="false">IF(AG32="","",LOOKUP(AG32,$B$49:$B$59,$R$49:$R$59)*AH32)</f>
        <v/>
      </c>
      <c r="AX32" s="1430" t="str">
        <f aca="false">IF(AI32="","",LOOKUP(AI32,$B$49:$B$59,$R$49:$R$59)*AJ32)</f>
        <v/>
      </c>
      <c r="AY32" s="1430" t="str">
        <f aca="false">IF(AK32="","",LOOKUP(AK32,$B$49:$B$59,$R$49:$R$59)*AL32)</f>
        <v/>
      </c>
      <c r="AZ32" s="1430" t="str">
        <f aca="false">IF(AM32="","",LOOKUP(AM32,$B$49:$B$59,$R$49:$R$59)*AN32)</f>
        <v/>
      </c>
      <c r="BA32" s="1430" t="str">
        <f aca="false">IF(AO32="","",LOOKUP(AO32,$B$49:$B$59,$R$49:$R$59)*AP32)</f>
        <v/>
      </c>
      <c r="BB32" s="1535" t="n">
        <f aca="false">SUM(AR32:BA32)</f>
        <v>0</v>
      </c>
      <c r="BC32" s="1533" t="str">
        <f aca="false">IF(W32="","",LOOKUP(W32,$B$49:$B$59,$P$49:$P$59)*X32)</f>
        <v/>
      </c>
      <c r="BD32" s="654" t="str">
        <f aca="false">IF(Y32="","",LOOKUP(Y32,$B$49:$B$59,$P$49:$P$59)*Z32)</f>
        <v/>
      </c>
      <c r="BE32" s="1430"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584" t="n">
        <f aca="false">SUM(BC32:BL32)*BQ32</f>
        <v>0</v>
      </c>
      <c r="BN32" s="1536" t="n">
        <f aca="false">BM32+BO32</f>
        <v>0</v>
      </c>
      <c r="BO32" s="1536" t="n">
        <f aca="false">IF(M32=0,0,(M32/12+M32/12)/(M32/12*M32/12)*D32*((L32/16*L32/16)*10.6870159))*(1+K$70)*BQ32</f>
        <v>0</v>
      </c>
      <c r="BP32" s="1536" t="n">
        <f aca="false">IF(O32="Y",D32*(1+K$71)*BQ32,0)</f>
        <v>0</v>
      </c>
      <c r="BQ32" s="1538" t="n">
        <f aca="false">G32</f>
        <v>0</v>
      </c>
      <c r="BR32" s="1411" t="n">
        <f aca="false">IF(O32="y",D32,0)</f>
        <v>0</v>
      </c>
      <c r="BS32" s="1567" t="n">
        <f aca="false">IF($I32=1,$Q32,0)*BQ32</f>
        <v>0</v>
      </c>
      <c r="BT32" s="1536" t="n">
        <f aca="false">IF($I32=2,$Q32,0)*BQ32</f>
        <v>0</v>
      </c>
      <c r="BU32" s="1536" t="n">
        <f aca="false">IF($I32=3,$Q32,0)*BQ32</f>
        <v>0</v>
      </c>
      <c r="BV32" s="1536" t="n">
        <f aca="false">IF($I32=4,$Q32,0)*BQ32</f>
        <v>0</v>
      </c>
      <c r="BW32" s="1536" t="n">
        <f aca="false">IF($I32=5,$Q32,0)*BQ32</f>
        <v>0</v>
      </c>
      <c r="BX32" s="1536" t="n">
        <f aca="false">IF($I32=6,$Q32,0)*$BQ32</f>
        <v>0</v>
      </c>
      <c r="BY32" s="1536" t="n">
        <f aca="false">IF($I32=7,$Q32,0)*$BQ32</f>
        <v>0</v>
      </c>
      <c r="BZ32" s="1536" t="n">
        <f aca="false">IF($I32=8,$Q32,0)*$BQ32</f>
        <v>0</v>
      </c>
      <c r="CA32" s="1536" t="n">
        <f aca="false">IF($I32=9,$Q32,0)*$BQ32</f>
        <v>0</v>
      </c>
      <c r="CB32" s="1568" t="n">
        <f aca="false">IF($I32=10,$Q32,0)*$BQ32</f>
        <v>0</v>
      </c>
      <c r="CC32" s="1538" t="n">
        <f aca="false">SUM(BS32:BX32)</f>
        <v>0</v>
      </c>
      <c r="CD32" s="1538" t="n">
        <f aca="false">IF(H32="N",0,D32)*BQ32</f>
        <v>0</v>
      </c>
      <c r="CE32" s="1538" t="n">
        <f aca="false">K32*BQ32</f>
        <v>0</v>
      </c>
      <c r="CF32" s="1542" t="n">
        <f aca="false">ROUND(IF(W32="",0,LOOKUP(W32,B$49:B$59,D$49:D$59)*X32/12),0)</f>
        <v>0</v>
      </c>
      <c r="CG32" s="1542" t="n">
        <f aca="false">ROUND(IF(Y32="",0,LOOKUP(Y32,B$49:B$59,D$49:D$59)*Z32/12),0)</f>
        <v>0</v>
      </c>
      <c r="CH32" s="1542" t="n">
        <f aca="false">ROUND(IF(AA32="",0,LOOKUP(AA32,B$49:B$59,D$49:D$59)*AB32/12),0)</f>
        <v>0</v>
      </c>
      <c r="CI32" s="1538" t="n">
        <f aca="false">D32*BQ32</f>
        <v>0</v>
      </c>
      <c r="CJ32" s="1538" t="n">
        <f aca="false">D32*J32/324*(1+K$73)*G32</f>
        <v>0</v>
      </c>
      <c r="CK32" s="1538" t="str">
        <f aca="false">IF(N32="","",N32)</f>
        <v/>
      </c>
      <c r="CL32" s="1538" t="n">
        <f aca="false">P32*BQ32</f>
        <v>0</v>
      </c>
      <c r="CM32" s="1543"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544" t="n">
        <f aca="false">C32*D32</f>
        <v>0</v>
      </c>
      <c r="CQ32" s="656" t="n">
        <f aca="false">IF(I$79=0,0,D32*(SUM(O$79:P$82)+O$85)/I$79*BQ32)</f>
        <v>0</v>
      </c>
      <c r="CR32" s="656" t="n">
        <f aca="false">IF(CF32="",0,CF32*E$83)+IF(CG32="",0,CG32*E$83)+IF(CH32="",0,CH32*E$83)</f>
        <v>0</v>
      </c>
      <c r="CS32" s="656"/>
      <c r="CT32" s="1545"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546" t="n">
        <f aca="false">O$110/I$79*D32</f>
        <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569" t="n">
        <f aca="false">D32</f>
        <v>0</v>
      </c>
      <c r="DQ32" s="1430" t="str">
        <f aca="false">IF(AC32="","",LOOKUP(AC32,$B$49:$B$59,$S$49:$S$59)*AD32)</f>
        <v/>
      </c>
      <c r="DR32" s="1430" t="str">
        <f aca="false">IF(AE32="","",LOOKUP(AE32,$B$49:$B$59,$S$49:$S$59)*AF32)</f>
        <v/>
      </c>
      <c r="DS32" s="1430" t="str">
        <f aca="false">IF(AG32="","",LOOKUP(AG32,$B$49:$B$59,$S$49:$S$59)*AH32)</f>
        <v/>
      </c>
      <c r="DT32" s="1430" t="str">
        <f aca="false">IF(AI32="","",LOOKUP(AI32,$B$49:$B$59,$S$49:$S$59)*AJ32)</f>
        <v/>
      </c>
      <c r="DU32" s="1430" t="str">
        <f aca="false">IF(AK32="","",LOOKUP(AK32,$B$49:$B$59,$S$49:$S$59)*AL32)</f>
        <v/>
      </c>
      <c r="DV32" s="1430" t="str">
        <f aca="false">IF(AM32="","",LOOKUP(AM32,$B$49:$B$59,$S$49:$S$59)*AN32)</f>
        <v/>
      </c>
      <c r="DW32" s="1430" t="str">
        <f aca="false">IF(AO32="","",LOOKUP(AO32,$B$49:$B$59,$S$49:$S$59)*AP32)</f>
        <v/>
      </c>
      <c r="DX32" s="1535" t="n">
        <f aca="false">SUM(DQ32:DW32)-(D32-EF32)*(S$45-F32)/324</f>
        <v>0</v>
      </c>
      <c r="DY32" s="1430" t="str">
        <f aca="false">IF(AC32="","",LOOKUP(AC32,$B$49:$B$59,$T$49:$T$59)*AD32)</f>
        <v/>
      </c>
      <c r="DZ32" s="1430" t="str">
        <f aca="false">IF(AE32="","",LOOKUP(AE32,$B$49:$B$59,$T$49:$T$59)*AF32)</f>
        <v/>
      </c>
      <c r="EA32" s="1430" t="str">
        <f aca="false">IF(AG32="","",LOOKUP(AG32,$B$49:$B$59,$T$49:$T$59)*AH32)</f>
        <v/>
      </c>
      <c r="EB32" s="1430" t="str">
        <f aca="false">IF(AI32="","",LOOKUP(AI32,$B$49:$B$59,$T$49:$T$59)*AJ32)</f>
        <v/>
      </c>
      <c r="EC32" s="1430" t="str">
        <f aca="false">IF(AK32="","",LOOKUP(AK32,$B$49:$B$59,$T$49:$T$59)*AL32)</f>
        <v/>
      </c>
      <c r="ED32" s="1430" t="str">
        <f aca="false">IF(AM32="","",LOOKUP(AM32,$B$49:$B$59,$T$49:$T$59)*AN32)</f>
        <v/>
      </c>
      <c r="EE32" s="1430" t="str">
        <f aca="false">IF(AO32="","",LOOKUP(AO32,$B$49:$B$59,$T$49:$T$59)*AP32)</f>
        <v/>
      </c>
      <c r="EF32" s="1535" t="n">
        <f aca="false">SUM(DY32:EE32)</f>
        <v>0</v>
      </c>
    </row>
    <row r="33" customFormat="false" ht="19.5" hidden="false" customHeight="true" outlineLevel="0" collapsed="false">
      <c r="A33" s="16" t="s">
        <v>1577</v>
      </c>
      <c r="B33" s="1549"/>
      <c r="C33" s="1550"/>
      <c r="D33" s="1551"/>
      <c r="E33" s="1552"/>
      <c r="F33" s="1074"/>
      <c r="G33" s="1553"/>
      <c r="H33" s="1074"/>
      <c r="I33" s="1553"/>
      <c r="J33" s="1074"/>
      <c r="K33" s="1583"/>
      <c r="L33" s="1559"/>
      <c r="M33" s="1556"/>
      <c r="N33" s="1557"/>
      <c r="O33" s="1558"/>
      <c r="P33" s="1515" t="n">
        <f aca="false">IF(BQ33=0,0,BN33/BQ33)</f>
        <v>0</v>
      </c>
      <c r="Q33" s="1516" t="n">
        <f aca="false">(D33*F33/324)*(1+K$65)+BB33</f>
        <v>0</v>
      </c>
      <c r="R33" s="1517" t="n">
        <f aca="false">IF(D33=0,0,S33/D33)</f>
        <v>0</v>
      </c>
      <c r="S33" s="1518" t="n">
        <f aca="false">SUM(CM33-DE33)*(1+M$45)</f>
        <v>0</v>
      </c>
      <c r="T33" s="1519" t="n">
        <f aca="false">CF33+CG33+CH33</f>
        <v>0</v>
      </c>
      <c r="U33" s="1520" t="n">
        <f aca="false">IF(P33-(D33*0.35)&lt;0,0,P33-(D33*0.35))</f>
        <v>0</v>
      </c>
      <c r="V33" s="1521" t="n">
        <f aca="false">IF(D33="",0,IF(D33/-30+Q33&lt;1,0,D33/-30+Q33))</f>
        <v>0</v>
      </c>
      <c r="W33" s="1559"/>
      <c r="X33" s="1560"/>
      <c r="Y33" s="1559"/>
      <c r="Z33" s="1561"/>
      <c r="AA33" s="1559"/>
      <c r="AB33" s="1561"/>
      <c r="AC33" s="1562"/>
      <c r="AD33" s="1560"/>
      <c r="AE33" s="1559"/>
      <c r="AF33" s="1563"/>
      <c r="AG33" s="1564"/>
      <c r="AH33" s="1563"/>
      <c r="AI33" s="1565"/>
      <c r="AJ33" s="1581"/>
      <c r="AK33" s="1565"/>
      <c r="AL33" s="1581"/>
      <c r="AM33" s="1559"/>
      <c r="AN33" s="1561"/>
      <c r="AO33" s="1559"/>
      <c r="AP33" s="1561"/>
      <c r="AQ33" s="1435" t="e">
        <f aca="false">D33/Q33</f>
        <v>#DIV/0!</v>
      </c>
      <c r="AR33" s="1533" t="str">
        <f aca="false">IF(W33="","",LOOKUP(W33,$B$49:$B$59,$R$49:$R$59)*X33)</f>
        <v/>
      </c>
      <c r="AS33" s="1430" t="str">
        <f aca="false">IF(Y33="","",LOOKUP(Y33,$B$49:$B$59,$R$49:$R$59)*Z33)</f>
        <v/>
      </c>
      <c r="AT33" s="1430" t="str">
        <f aca="false">IF(AB33="","",LOOKUP(AA33,$B$49:$B$59,$R$49:$R$59)*AB33)</f>
        <v/>
      </c>
      <c r="AU33" s="1430" t="str">
        <f aca="false">IF(AC33="","",LOOKUP(AC33,$B$49:$B$59,$R$49:$R$59)*AD33)</f>
        <v/>
      </c>
      <c r="AV33" s="1430" t="str">
        <f aca="false">IF(AE33="","",LOOKUP(AE33,$B$49:$B$59,$R$49:$R$59)*AF33)</f>
        <v/>
      </c>
      <c r="AW33" s="1430" t="str">
        <f aca="false">IF(AG33="","",LOOKUP(AG33,$B$49:$B$59,$R$49:$R$59)*AH33)</f>
        <v/>
      </c>
      <c r="AX33" s="1430" t="str">
        <f aca="false">IF(AI33="","",LOOKUP(AI33,$B$49:$B$59,$R$49:$R$59)*AJ33)</f>
        <v/>
      </c>
      <c r="AY33" s="1430" t="str">
        <f aca="false">IF(AK33="","",LOOKUP(AK33,$B$49:$B$59,$R$49:$R$59)*AL33)</f>
        <v/>
      </c>
      <c r="AZ33" s="1430" t="str">
        <f aca="false">IF(AM33="","",LOOKUP(AM33,$B$49:$B$59,$R$49:$R$59)*AN33)</f>
        <v/>
      </c>
      <c r="BA33" s="1430" t="str">
        <f aca="false">IF(AO33="","",LOOKUP(AO33,$B$49:$B$59,$R$49:$R$59)*AP33)</f>
        <v/>
      </c>
      <c r="BB33" s="1535" t="n">
        <f aca="false">SUM(AR33:BA33)</f>
        <v>0</v>
      </c>
      <c r="BC33" s="1533" t="str">
        <f aca="false">IF(W33="","",LOOKUP(W33,$B$49:$B$59,$P$49:$P$59)*X33)</f>
        <v/>
      </c>
      <c r="BD33" s="654" t="str">
        <f aca="false">IF(Y33="","",LOOKUP(Y33,$B$49:$B$59,$P$49:$P$59)*Z33)</f>
        <v/>
      </c>
      <c r="BE33" s="1430"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584" t="n">
        <f aca="false">SUM(BC33:BL33)*BQ33</f>
        <v>0</v>
      </c>
      <c r="BN33" s="1536" t="n">
        <f aca="false">BM33+BO33</f>
        <v>0</v>
      </c>
      <c r="BO33" s="1536" t="n">
        <f aca="false">IF(M33=0,0,(M33/12+M33/12)/(M33/12*M33/12)*D33*((L33/16*L33/16)*10.6870159))*(1+K$70)*BQ33</f>
        <v>0</v>
      </c>
      <c r="BP33" s="1536" t="n">
        <f aca="false">IF(O33="Y",D33*(1+K$71)*BQ33,0)</f>
        <v>0</v>
      </c>
      <c r="BQ33" s="1538" t="n">
        <f aca="false">G33</f>
        <v>0</v>
      </c>
      <c r="BR33" s="1411" t="n">
        <f aca="false">IF(O33="y",D33,0)</f>
        <v>0</v>
      </c>
      <c r="BS33" s="1567" t="n">
        <f aca="false">IF($I33=1,$Q33,0)*BQ33</f>
        <v>0</v>
      </c>
      <c r="BT33" s="1536" t="n">
        <f aca="false">IF($I33=2,$Q33,0)*BQ33</f>
        <v>0</v>
      </c>
      <c r="BU33" s="1536" t="n">
        <f aca="false">IF($I33=3,$Q33,0)*BQ33</f>
        <v>0</v>
      </c>
      <c r="BV33" s="1536" t="n">
        <f aca="false">IF($I33=4,$Q33,0)*BQ33</f>
        <v>0</v>
      </c>
      <c r="BW33" s="1536" t="n">
        <f aca="false">IF($I33=5,$Q33,0)*BQ33</f>
        <v>0</v>
      </c>
      <c r="BX33" s="1536" t="n">
        <f aca="false">IF($I33=6,$Q33,0)*$BQ33</f>
        <v>0</v>
      </c>
      <c r="BY33" s="1536" t="n">
        <f aca="false">IF($I33=7,$Q33,0)*$BQ33</f>
        <v>0</v>
      </c>
      <c r="BZ33" s="1536" t="n">
        <f aca="false">IF($I33=8,$Q33,0)*$BQ33</f>
        <v>0</v>
      </c>
      <c r="CA33" s="1536" t="n">
        <f aca="false">IF($I33=9,$Q33,0)*$BQ33</f>
        <v>0</v>
      </c>
      <c r="CB33" s="1568" t="n">
        <f aca="false">IF($I33=10,$Q33,0)*$BQ33</f>
        <v>0</v>
      </c>
      <c r="CC33" s="1538" t="n">
        <f aca="false">SUM(BS33:BX33)</f>
        <v>0</v>
      </c>
      <c r="CD33" s="1538" t="n">
        <f aca="false">IF(H33="N",0,D33)*BQ33</f>
        <v>0</v>
      </c>
      <c r="CE33" s="1538" t="n">
        <f aca="false">K33*BQ33</f>
        <v>0</v>
      </c>
      <c r="CF33" s="1542" t="n">
        <f aca="false">ROUND(IF(W33="",0,LOOKUP(W33,B$49:B$59,D$49:D$59)*X33/12),0)</f>
        <v>0</v>
      </c>
      <c r="CG33" s="1542" t="n">
        <f aca="false">ROUND(IF(Y33="",0,LOOKUP(Y33,B$49:B$59,D$49:D$59)*Z33/12),0)</f>
        <v>0</v>
      </c>
      <c r="CH33" s="1542" t="n">
        <f aca="false">ROUND(IF(AA33="",0,LOOKUP(AA33,B$49:B$59,D$49:D$59)*AB33/12),0)</f>
        <v>0</v>
      </c>
      <c r="CI33" s="1538" t="n">
        <f aca="false">D33*BQ33</f>
        <v>0</v>
      </c>
      <c r="CJ33" s="1538" t="n">
        <f aca="false">D33*J33/324*(1+K$73)*G33</f>
        <v>0</v>
      </c>
      <c r="CK33" s="1538" t="str">
        <f aca="false">IF(N33="","",N33)</f>
        <v/>
      </c>
      <c r="CL33" s="1538" t="n">
        <f aca="false">P33*BQ33</f>
        <v>0</v>
      </c>
      <c r="CM33" s="1543"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544" t="n">
        <f aca="false">C33*D33</f>
        <v>0</v>
      </c>
      <c r="CQ33" s="656" t="n">
        <f aca="false">IF(I$79=0,0,D33*(SUM(O$79:P$82)+O$85)/I$79*BQ33)</f>
        <v>0</v>
      </c>
      <c r="CR33" s="656" t="n">
        <f aca="false">IF(CF33="",0,CF33*E$83)+IF(CG33="",0,CG33*E$83)+IF(CH33="",0,CH33*E$83)</f>
        <v>0</v>
      </c>
      <c r="CS33" s="656"/>
      <c r="CT33" s="1545"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546" t="n">
        <f aca="false">O$110/I$79*D33</f>
        <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569" t="n">
        <f aca="false">D33</f>
        <v>0</v>
      </c>
      <c r="DQ33" s="1430" t="str">
        <f aca="false">IF(AC33="","",LOOKUP(AC33,$B$49:$B$59,$S$49:$S$59)*AD33)</f>
        <v/>
      </c>
      <c r="DR33" s="1430" t="str">
        <f aca="false">IF(AE33="","",LOOKUP(AE33,$B$49:$B$59,$S$49:$S$59)*AF33)</f>
        <v/>
      </c>
      <c r="DS33" s="1430" t="str">
        <f aca="false">IF(AG33="","",LOOKUP(AG33,$B$49:$B$59,$S$49:$S$59)*AH33)</f>
        <v/>
      </c>
      <c r="DT33" s="1430" t="str">
        <f aca="false">IF(AI33="","",LOOKUP(AI33,$B$49:$B$59,$S$49:$S$59)*AJ33)</f>
        <v/>
      </c>
      <c r="DU33" s="1430" t="str">
        <f aca="false">IF(AK33="","",LOOKUP(AK33,$B$49:$B$59,$S$49:$S$59)*AL33)</f>
        <v/>
      </c>
      <c r="DV33" s="1430" t="str">
        <f aca="false">IF(AM33="","",LOOKUP(AM33,$B$49:$B$59,$S$49:$S$59)*AN33)</f>
        <v/>
      </c>
      <c r="DW33" s="1430" t="str">
        <f aca="false">IF(AO33="","",LOOKUP(AO33,$B$49:$B$59,$S$49:$S$59)*AP33)</f>
        <v/>
      </c>
      <c r="DX33" s="1535" t="n">
        <f aca="false">SUM(DQ33:DW33)-(D33-EF33)*(S$45-F33)/324</f>
        <v>0</v>
      </c>
      <c r="DY33" s="1430" t="str">
        <f aca="false">IF(AC33="","",LOOKUP(AC33,$B$49:$B$59,$T$49:$T$59)*AD33)</f>
        <v/>
      </c>
      <c r="DZ33" s="1430" t="str">
        <f aca="false">IF(AE33="","",LOOKUP(AE33,$B$49:$B$59,$T$49:$T$59)*AF33)</f>
        <v/>
      </c>
      <c r="EA33" s="1430" t="str">
        <f aca="false">IF(AG33="","",LOOKUP(AG33,$B$49:$B$59,$T$49:$T$59)*AH33)</f>
        <v/>
      </c>
      <c r="EB33" s="1430" t="str">
        <f aca="false">IF(AI33="","",LOOKUP(AI33,$B$49:$B$59,$T$49:$T$59)*AJ33)</f>
        <v/>
      </c>
      <c r="EC33" s="1430" t="str">
        <f aca="false">IF(AK33="","",LOOKUP(AK33,$B$49:$B$59,$T$49:$T$59)*AL33)</f>
        <v/>
      </c>
      <c r="ED33" s="1430" t="str">
        <f aca="false">IF(AM33="","",LOOKUP(AM33,$B$49:$B$59,$T$49:$T$59)*AN33)</f>
        <v/>
      </c>
      <c r="EE33" s="1430" t="str">
        <f aca="false">IF(AO33="","",LOOKUP(AO33,$B$49:$B$59,$T$49:$T$59)*AP33)</f>
        <v/>
      </c>
      <c r="EF33" s="1535" t="n">
        <f aca="false">SUM(DY33:EE33)</f>
        <v>0</v>
      </c>
    </row>
    <row r="34" customFormat="false" ht="19.5" hidden="false" customHeight="true" outlineLevel="0" collapsed="false">
      <c r="A34" s="16" t="s">
        <v>1578</v>
      </c>
      <c r="B34" s="920" t="s">
        <v>1579</v>
      </c>
      <c r="C34" s="1506"/>
      <c r="D34" s="1586" t="n">
        <v>528</v>
      </c>
      <c r="E34" s="1587"/>
      <c r="F34" s="1074" t="n">
        <v>4</v>
      </c>
      <c r="G34" s="1553" t="n">
        <v>1</v>
      </c>
      <c r="H34" s="1074" t="s">
        <v>1302</v>
      </c>
      <c r="I34" s="1553" t="n">
        <v>1</v>
      </c>
      <c r="J34" s="1074" t="n">
        <v>2</v>
      </c>
      <c r="K34" s="1590" t="n">
        <v>163</v>
      </c>
      <c r="L34" s="528" t="n">
        <v>3</v>
      </c>
      <c r="M34" s="895" t="n">
        <v>18</v>
      </c>
      <c r="N34" s="1513"/>
      <c r="O34" s="1514"/>
      <c r="P34" s="1515" t="n">
        <f aca="false">IF(BQ34=0,0,BN34/BQ34)</f>
        <v>290.9540078775</v>
      </c>
      <c r="Q34" s="1516" t="n">
        <f aca="false">(D34*F34/324)*(1+K$65)+BB34</f>
        <v>6.90962962962963</v>
      </c>
      <c r="R34" s="1517" t="n">
        <f aca="false">IF(D34=0,0,S34/D34)</f>
        <v>8.59482385407584</v>
      </c>
      <c r="S34" s="1518" t="n">
        <f aca="false">SUM(CM34-DE34)*(1+M$45)</f>
        <v>4538.06699495204</v>
      </c>
      <c r="T34" s="1519" t="n">
        <f aca="false">CF34+CG34+CH34</f>
        <v>0</v>
      </c>
      <c r="U34" s="1520" t="n">
        <f aca="false">IF(P34-(D34*0.35)&lt;0,0,P34-(D34*0.35))</f>
        <v>106.1540078775</v>
      </c>
      <c r="V34" s="1521" t="n">
        <f aca="false">IF(D34="",0,IF(D34/-30+Q34&lt;1,0,D34/-30+Q34))</f>
        <v>0</v>
      </c>
      <c r="W34" s="528"/>
      <c r="X34" s="1591"/>
      <c r="Y34" s="1511"/>
      <c r="Z34" s="1524"/>
      <c r="AA34" s="1511"/>
      <c r="AB34" s="1524"/>
      <c r="AC34" s="1525"/>
      <c r="AD34" s="1591"/>
      <c r="AE34" s="1511"/>
      <c r="AF34" s="1592"/>
      <c r="AG34" s="1593"/>
      <c r="AH34" s="1512"/>
      <c r="AI34" s="528"/>
      <c r="AJ34" s="1591"/>
      <c r="AK34" s="528"/>
      <c r="AL34" s="1592"/>
      <c r="AM34" s="1511"/>
      <c r="AN34" s="1524"/>
      <c r="AO34" s="1511"/>
      <c r="AP34" s="1524"/>
      <c r="AQ34" s="1435" t="n">
        <f aca="false">D34/Q34</f>
        <v>76.4150943396226</v>
      </c>
      <c r="AR34" s="1533" t="str">
        <f aca="false">IF(W34="","",LOOKUP(W34,$B$49:$B$59,$R$49:$R$59)*X34)</f>
        <v/>
      </c>
      <c r="AS34" s="1430" t="str">
        <f aca="false">IF(Y34="","",LOOKUP(Y34,$B$49:$B$59,$R$49:$R$59)*Z34)</f>
        <v/>
      </c>
      <c r="AT34" s="1430" t="str">
        <f aca="false">IF(AB34="","",LOOKUP(AA34,$B$49:$B$59,$R$49:$R$59)*AB34)</f>
        <v/>
      </c>
      <c r="AU34" s="1430" t="str">
        <f aca="false">IF(AC34="","",LOOKUP(AC34,$B$49:$B$59,$R$49:$R$59)*AD34)</f>
        <v/>
      </c>
      <c r="AV34" s="1430" t="str">
        <f aca="false">IF(AE34="","",LOOKUP(AE34,$B$49:$B$59,$R$49:$R$59)*AF34)</f>
        <v/>
      </c>
      <c r="AW34" s="1430" t="str">
        <f aca="false">IF(AG34="","",LOOKUP(AG34,$B$49:$B$59,$R$49:$R$59)*AH34)</f>
        <v/>
      </c>
      <c r="AX34" s="1430" t="str">
        <f aca="false">IF(AI34="","",LOOKUP(AI34,$B$49:$B$59,$R$49:$R$59)*AJ34)</f>
        <v/>
      </c>
      <c r="AY34" s="1430" t="str">
        <f aca="false">IF(AK34="","",LOOKUP(AK34,$B$49:$B$59,$R$49:$R$59)*AL34)</f>
        <v/>
      </c>
      <c r="AZ34" s="1430" t="str">
        <f aca="false">IF(AM34="","",LOOKUP(AM34,$B$49:$B$59,$R$49:$R$59)*AN34)</f>
        <v/>
      </c>
      <c r="BA34" s="1430" t="str">
        <f aca="false">IF(AO34="","",LOOKUP(AO34,$B$49:$B$59,$R$49:$R$59)*AP34)</f>
        <v/>
      </c>
      <c r="BB34" s="1535" t="n">
        <f aca="false">SUM(AR34:BA34)</f>
        <v>0</v>
      </c>
      <c r="BC34" s="1533" t="str">
        <f aca="false">IF(W34="","",LOOKUP(W34,$B$49:$B$59,$P$49:$P$59)*X34)</f>
        <v/>
      </c>
      <c r="BD34" s="654" t="str">
        <f aca="false">IF(Y34="","",LOOKUP(Y34,$B$49:$B$59,$P$49:$P$59)*Z34)</f>
        <v/>
      </c>
      <c r="BE34" s="1430"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584" t="n">
        <f aca="false">SUM(BC34:BL34)*BQ34</f>
        <v>0</v>
      </c>
      <c r="BN34" s="1536" t="n">
        <f aca="false">BM34+BO34</f>
        <v>290.9540078775</v>
      </c>
      <c r="BO34" s="1536" t="n">
        <f aca="false">IF(M34=0,0,(M34/12+M34/12)/(M34/12*M34/12)*D34*((L34/16*L34/16)*10.6870159))*(1+K$70)*BQ34</f>
        <v>290.9540078775</v>
      </c>
      <c r="BP34" s="1536" t="n">
        <f aca="false">IF(O34="Y",D34*(1+K$71)*BQ34,0)</f>
        <v>0</v>
      </c>
      <c r="BQ34" s="1538" t="n">
        <f aca="false">G34</f>
        <v>1</v>
      </c>
      <c r="BR34" s="1411" t="n">
        <f aca="false">IF(O34="y",D34,0)</f>
        <v>0</v>
      </c>
      <c r="BS34" s="1567" t="n">
        <f aca="false">IF($I34=1,$Q34,0)*BQ34</f>
        <v>6.90962962962963</v>
      </c>
      <c r="BT34" s="1536" t="n">
        <f aca="false">IF($I34=2,$Q34,0)*BQ34</f>
        <v>0</v>
      </c>
      <c r="BU34" s="1536" t="n">
        <f aca="false">IF($I34=3,$Q34,0)*BQ34</f>
        <v>0</v>
      </c>
      <c r="BV34" s="1536" t="n">
        <f aca="false">IF($I34=4,$Q34,0)*BQ34</f>
        <v>0</v>
      </c>
      <c r="BW34" s="1536" t="n">
        <f aca="false">IF($I34=5,$Q34,0)*BQ34</f>
        <v>0</v>
      </c>
      <c r="BX34" s="1536" t="n">
        <f aca="false">IF($I34=6,$Q34,0)*$BQ34</f>
        <v>0</v>
      </c>
      <c r="BY34" s="1536" t="n">
        <f aca="false">IF($I34=7,$Q34,0)*$BQ34</f>
        <v>0</v>
      </c>
      <c r="BZ34" s="1536" t="n">
        <f aca="false">IF($I34=8,$Q34,0)*$BQ34</f>
        <v>0</v>
      </c>
      <c r="CA34" s="1536" t="n">
        <f aca="false">IF($I34=9,$Q34,0)*$BQ34</f>
        <v>0</v>
      </c>
      <c r="CB34" s="1568" t="n">
        <f aca="false">IF($I34=10,$Q34,0)*$BQ34</f>
        <v>0</v>
      </c>
      <c r="CC34" s="1538" t="n">
        <f aca="false">SUM(BS34:BX34)</f>
        <v>6.90962962962963</v>
      </c>
      <c r="CD34" s="1538" t="n">
        <f aca="false">IF(H34="N",0,D34)*BQ34</f>
        <v>528</v>
      </c>
      <c r="CE34" s="1538" t="n">
        <f aca="false">K34*BQ34</f>
        <v>163</v>
      </c>
      <c r="CF34" s="1542" t="n">
        <f aca="false">ROUND(IF(W34="",0,LOOKUP(W34,B$49:B$59,D$49:D$59)*X34/12),0)</f>
        <v>0</v>
      </c>
      <c r="CG34" s="1542" t="n">
        <f aca="false">ROUND(IF(Y34="",0,LOOKUP(Y34,B$49:B$59,D$49:D$59)*Z34/12),0)</f>
        <v>0</v>
      </c>
      <c r="CH34" s="1542" t="n">
        <f aca="false">ROUND(IF(AA34="",0,LOOKUP(AA34,B$49:B$59,D$49:D$59)*AB34/12),0)</f>
        <v>0</v>
      </c>
      <c r="CI34" s="1538" t="n">
        <f aca="false">D34*BQ34</f>
        <v>528</v>
      </c>
      <c r="CJ34" s="1538" t="n">
        <f aca="false">D34*J34/324*(1+K$73)*G34</f>
        <v>3.25925925925926</v>
      </c>
      <c r="CK34" s="1538" t="str">
        <f aca="false">IF(N34="","",N34)</f>
        <v/>
      </c>
      <c r="CL34" s="1538" t="n">
        <f aca="false">P34*BQ34</f>
        <v>290.9540078775</v>
      </c>
      <c r="CM34" s="1543" t="n">
        <f aca="false">IF(BQ34=0,0,SUM(CN34:DE34)/BQ34)</f>
        <v>3946.14521300178</v>
      </c>
      <c r="CN34" s="656" t="n">
        <f aca="false">(BS34*Pricing!F$3+BT34*Pricing!G$3+BU34*Pricing!H$3+BV34*Pricing!I$3+BW34*Pricing!J$3+BX34*Pricing!K$3+BY34*Pricing!L$3+BZ34*Pricing!M$3+CA34*Pricing!N$3+CB34*Pricing!O$3)*IF(W$44="N",(1+Y$44),1)</f>
        <v>1002.27632592593</v>
      </c>
      <c r="CO34" s="656" t="n">
        <f aca="false">BN34*G$70*IF(W$44="n",1+Y$44,1)</f>
        <v>188.974628116436</v>
      </c>
      <c r="CP34" s="1544" t="n">
        <f aca="false">C34*D34</f>
        <v>0</v>
      </c>
      <c r="CQ34" s="656" t="n">
        <f aca="false">IF(I$79=0,0,D34*(SUM(O$79:P$82)+O$85)/I$79*BQ34)</f>
        <v>976.8</v>
      </c>
      <c r="CR34" s="656" t="n">
        <f aca="false">IF(CF34="",0,CF34*E$83)+IF(CG34="",0,CG34*E$83)+IF(CH34="",0,CH34*E$83)</f>
        <v>0</v>
      </c>
      <c r="CS34" s="656"/>
      <c r="CT34" s="1545" t="n">
        <f aca="false">(U34/2000)*E$87</f>
        <v>21.2308015755</v>
      </c>
      <c r="CU34" s="656" t="n">
        <f aca="false">IF(I$79=0,0,D34*(O$88)/I$79*BQ34)</f>
        <v>0</v>
      </c>
      <c r="CV34" s="656" t="n">
        <f aca="false">IF(D$42=0,0,SUM(O$91:P$94)/D$42*D34)*BQ34</f>
        <v>167.475</v>
      </c>
      <c r="CW34" s="656" t="n">
        <f aca="false">IF(D$42=0,0,SUM(Z$66:Z$97)/D$42*D34*BQ34)</f>
        <v>422.842285738974</v>
      </c>
      <c r="CX34" s="656" t="n">
        <f aca="false">IF(D$42=0,0,SUM(O$96:P$101)/D$42*D34)*BQ34</f>
        <v>260.108795816527</v>
      </c>
      <c r="CY34" s="656" t="n">
        <f aca="false">IF(D$42=0,0,SUM(O$103:O$109)/D$42)*D34*BQ34</f>
        <v>297.012175130985</v>
      </c>
      <c r="CZ34" s="656" t="n">
        <f aca="false">IF(I$79=0,0,IF(I$79=0,0,SUM(Z$98:Z$109)/I$79*D34))</f>
        <v>35.3954969937266</v>
      </c>
      <c r="DA34" s="656" t="n">
        <f aca="false">IF(J$72&gt;0,J$72/D$42*D34*G34,CD34*(G$72*IF(W$44="n",(1+Y$44),1)))</f>
        <v>485.826</v>
      </c>
      <c r="DB34" s="656" t="n">
        <f aca="false">IF(CK34="",0,CK34*E$86)</f>
        <v>0</v>
      </c>
      <c r="DC34" s="656" t="n">
        <f aca="false">BP34*G$71*IF(W$44="Y",1,1+Y$44)</f>
        <v>0</v>
      </c>
      <c r="DD34" s="656" t="n">
        <f aca="false">CJ34*G$73*IF(W$44="Y",1,1+Y$44)</f>
        <v>88.2037037037037</v>
      </c>
      <c r="DE34" s="1546" t="n">
        <f aca="false">O$110/I$79*D34</f>
        <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569" t="n">
        <f aca="false">D34</f>
        <v>528</v>
      </c>
      <c r="DQ34" s="1430" t="str">
        <f aca="false">IF(AC34="","",LOOKUP(AC34,$B$49:$B$59,$S$49:$S$59)*AD34)</f>
        <v/>
      </c>
      <c r="DR34" s="1430" t="str">
        <f aca="false">IF(AE34="","",LOOKUP(AE34,$B$49:$B$59,$S$49:$S$59)*AF34)</f>
        <v/>
      </c>
      <c r="DS34" s="1430" t="str">
        <f aca="false">IF(AG34="","",LOOKUP(AG34,$B$49:$B$59,$S$49:$S$59)*AH34)</f>
        <v/>
      </c>
      <c r="DT34" s="1430" t="str">
        <f aca="false">IF(AI34="","",LOOKUP(AI34,$B$49:$B$59,$S$49:$S$59)*AJ34)</f>
        <v/>
      </c>
      <c r="DU34" s="1430" t="str">
        <f aca="false">IF(AK34="","",LOOKUP(AK34,$B$49:$B$59,$S$49:$S$59)*AL34)</f>
        <v/>
      </c>
      <c r="DV34" s="1430" t="str">
        <f aca="false">IF(AM34="","",LOOKUP(AM34,$B$49:$B$59,$S$49:$S$59)*AN34)</f>
        <v/>
      </c>
      <c r="DW34" s="1430" t="str">
        <f aca="false">IF(AO34="","",LOOKUP(AO34,$B$49:$B$59,$S$49:$S$59)*AP34)</f>
        <v/>
      </c>
      <c r="DX34" s="1535" t="n">
        <f aca="false">SUM(DQ34:DW34)-(D34-EF34)*(S$45-F34)/324</f>
        <v>-9.77777777777778</v>
      </c>
      <c r="DY34" s="1430" t="str">
        <f aca="false">IF(AC34="","",LOOKUP(AC34,$B$49:$B$59,$T$49:$T$59)*AD34)</f>
        <v/>
      </c>
      <c r="DZ34" s="1430" t="str">
        <f aca="false">IF(AE34="","",LOOKUP(AE34,$B$49:$B$59,$T$49:$T$59)*AF34)</f>
        <v/>
      </c>
      <c r="EA34" s="1430" t="str">
        <f aca="false">IF(AG34="","",LOOKUP(AG34,$B$49:$B$59,$T$49:$T$59)*AH34)</f>
        <v/>
      </c>
      <c r="EB34" s="1430" t="str">
        <f aca="false">IF(AI34="","",LOOKUP(AI34,$B$49:$B$59,$T$49:$T$59)*AJ34)</f>
        <v/>
      </c>
      <c r="EC34" s="1430" t="str">
        <f aca="false">IF(AK34="","",LOOKUP(AK34,$B$49:$B$59,$T$49:$T$59)*AL34)</f>
        <v/>
      </c>
      <c r="ED34" s="1430" t="str">
        <f aca="false">IF(AM34="","",LOOKUP(AM34,$B$49:$B$59,$T$49:$T$59)*AN34)</f>
        <v/>
      </c>
      <c r="EE34" s="1430" t="str">
        <f aca="false">IF(AO34="","",LOOKUP(AO34,$B$49:$B$59,$T$49:$T$59)*AP34)</f>
        <v/>
      </c>
      <c r="EF34" s="1535" t="n">
        <f aca="false">SUM(DY34:EE34)</f>
        <v>0</v>
      </c>
    </row>
    <row r="35" customFormat="false" ht="19.5" hidden="false" customHeight="true" outlineLevel="0" collapsed="false">
      <c r="A35" s="16" t="s">
        <v>1580</v>
      </c>
      <c r="B35" s="1549"/>
      <c r="C35" s="1550"/>
      <c r="D35" s="1551"/>
      <c r="E35" s="1552"/>
      <c r="F35" s="1074"/>
      <c r="G35" s="1553"/>
      <c r="H35" s="1074"/>
      <c r="I35" s="1553"/>
      <c r="J35" s="1074"/>
      <c r="K35" s="1583"/>
      <c r="L35" s="1559"/>
      <c r="M35" s="1556"/>
      <c r="N35" s="1557"/>
      <c r="O35" s="1558"/>
      <c r="P35" s="1515" t="n">
        <f aca="false">IF(BQ35=0,0,BN35/BQ35)</f>
        <v>0</v>
      </c>
      <c r="Q35" s="1516" t="n">
        <f aca="false">(D35*F35/324)*(1+K$65)+BB35</f>
        <v>0</v>
      </c>
      <c r="R35" s="1517" t="n">
        <f aca="false">IF(D35=0,0,S35/D35)</f>
        <v>0</v>
      </c>
      <c r="S35" s="1518" t="n">
        <f aca="false">SUM(CM35-DE35)*(1+M$45)</f>
        <v>0</v>
      </c>
      <c r="T35" s="1519" t="n">
        <f aca="false">CF35+CG35+CH35</f>
        <v>0</v>
      </c>
      <c r="U35" s="1520" t="n">
        <f aca="false">IF(P35-(D35*0.35)&lt;0,0,P35-(D35*0.35))</f>
        <v>0</v>
      </c>
      <c r="V35" s="1521" t="n">
        <f aca="false">IF(D35="",0,IF(D35/-30+Q35&lt;1,0,D35/-30+Q35))</f>
        <v>0</v>
      </c>
      <c r="W35" s="1559"/>
      <c r="X35" s="1594"/>
      <c r="Y35" s="1559"/>
      <c r="Z35" s="1561"/>
      <c r="AA35" s="1559"/>
      <c r="AB35" s="1561"/>
      <c r="AC35" s="1562"/>
      <c r="AD35" s="1594"/>
      <c r="AE35" s="1559"/>
      <c r="AF35" s="1556"/>
      <c r="AG35" s="1595"/>
      <c r="AH35" s="1556"/>
      <c r="AI35" s="1559"/>
      <c r="AJ35" s="1556"/>
      <c r="AK35" s="1559"/>
      <c r="AL35" s="1556"/>
      <c r="AM35" s="1559"/>
      <c r="AN35" s="1561"/>
      <c r="AO35" s="1559"/>
      <c r="AP35" s="1561"/>
      <c r="AQ35" s="1435" t="e">
        <f aca="false">D35/Q35</f>
        <v>#DIV/0!</v>
      </c>
      <c r="AR35" s="1533" t="str">
        <f aca="false">IF(W35="","",LOOKUP(W35,$B$49:$B$59,$R$49:$R$59)*X35)</f>
        <v/>
      </c>
      <c r="AS35" s="1430" t="str">
        <f aca="false">IF(Y35="","",LOOKUP(Y35,$B$49:$B$59,$R$49:$R$59)*Z35)</f>
        <v/>
      </c>
      <c r="AT35" s="1430" t="str">
        <f aca="false">IF(AB35="","",LOOKUP(AA35,$B$49:$B$59,$R$49:$R$59)*AB35)</f>
        <v/>
      </c>
      <c r="AU35" s="1430" t="str">
        <f aca="false">IF(AC35="","",LOOKUP(AC35,$B$49:$B$59,$R$49:$R$59)*AD35)</f>
        <v/>
      </c>
      <c r="AV35" s="1430" t="str">
        <f aca="false">IF(AE35="","",LOOKUP(AE35,$B$49:$B$59,$R$49:$R$59)*AF35)</f>
        <v/>
      </c>
      <c r="AW35" s="1430" t="str">
        <f aca="false">IF(AG35="","",LOOKUP(AG35,$B$49:$B$59,$R$49:$R$59)*AH35)</f>
        <v/>
      </c>
      <c r="AX35" s="1430" t="str">
        <f aca="false">IF(AI35="","",LOOKUP(AI35,$B$49:$B$59,$R$49:$R$59)*AJ35)</f>
        <v/>
      </c>
      <c r="AY35" s="1430" t="str">
        <f aca="false">IF(AK35="","",LOOKUP(AK35,$B$49:$B$59,$R$49:$R$59)*AL35)</f>
        <v/>
      </c>
      <c r="AZ35" s="1430" t="str">
        <f aca="false">IF(AM35="","",LOOKUP(AM35,$B$49:$B$59,$R$49:$R$59)*AN35)</f>
        <v/>
      </c>
      <c r="BA35" s="1430" t="str">
        <f aca="false">IF(AO35="","",LOOKUP(AO35,$B$49:$B$59,$R$49:$R$59)*AP35)</f>
        <v/>
      </c>
      <c r="BB35" s="1535" t="n">
        <f aca="false">SUM(AR35:BA35)</f>
        <v>0</v>
      </c>
      <c r="BC35" s="1533" t="str">
        <f aca="false">IF(W35="","",LOOKUP(W35,$B$49:$B$59,$P$49:$P$59)*X35)</f>
        <v/>
      </c>
      <c r="BD35" s="654" t="str">
        <f aca="false">IF(Y35="","",LOOKUP(Y35,$B$49:$B$59,$P$49:$P$59)*Z35)</f>
        <v/>
      </c>
      <c r="BE35" s="1430"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584" t="n">
        <f aca="false">SUM(BC35:BL35)*BQ35</f>
        <v>0</v>
      </c>
      <c r="BN35" s="1536" t="n">
        <f aca="false">BM35+BO35</f>
        <v>0</v>
      </c>
      <c r="BO35" s="1536" t="n">
        <f aca="false">IF(M35=0,0,(M35/12+M35/12)/(M35/12*M35/12)*D35*((L35/16*L35/16)*10.6870159))*(1+K$70)*BQ35</f>
        <v>0</v>
      </c>
      <c r="BP35" s="1536" t="n">
        <f aca="false">IF(O35="Y",D35*(1+K$71)*BQ35,0)</f>
        <v>0</v>
      </c>
      <c r="BQ35" s="1538" t="n">
        <f aca="false">G35</f>
        <v>0</v>
      </c>
      <c r="BR35" s="1411" t="n">
        <f aca="false">IF(O35="y",D35,0)</f>
        <v>0</v>
      </c>
      <c r="BS35" s="1567" t="n">
        <f aca="false">IF($I35=1,$Q35,0)*BQ35</f>
        <v>0</v>
      </c>
      <c r="BT35" s="1536" t="n">
        <f aca="false">IF($I35=2,$Q35,0)*BQ35</f>
        <v>0</v>
      </c>
      <c r="BU35" s="1536" t="n">
        <f aca="false">IF($I35=3,$Q35,0)*BQ35</f>
        <v>0</v>
      </c>
      <c r="BV35" s="1536" t="n">
        <f aca="false">IF($I35=4,$Q35,0)*BQ35</f>
        <v>0</v>
      </c>
      <c r="BW35" s="1536" t="n">
        <f aca="false">IF($I35=5,$Q35,0)*BQ35</f>
        <v>0</v>
      </c>
      <c r="BX35" s="1536" t="n">
        <f aca="false">IF($I35=6,$Q35,0)*$BQ35</f>
        <v>0</v>
      </c>
      <c r="BY35" s="1536" t="n">
        <f aca="false">IF($I35=7,$Q35,0)*$BQ35</f>
        <v>0</v>
      </c>
      <c r="BZ35" s="1536" t="n">
        <f aca="false">IF($I35=8,$Q35,0)*$BQ35</f>
        <v>0</v>
      </c>
      <c r="CA35" s="1536" t="n">
        <f aca="false">IF($I35=9,$Q35,0)*$BQ35</f>
        <v>0</v>
      </c>
      <c r="CB35" s="1568" t="n">
        <f aca="false">IF($I35=10,$Q35,0)*$BQ35</f>
        <v>0</v>
      </c>
      <c r="CC35" s="1538" t="n">
        <f aca="false">SUM(BS35:BX35)</f>
        <v>0</v>
      </c>
      <c r="CD35" s="1538" t="n">
        <f aca="false">IF(H35="N",0,D35)*BQ35</f>
        <v>0</v>
      </c>
      <c r="CE35" s="1538" t="n">
        <f aca="false">K35*BQ35</f>
        <v>0</v>
      </c>
      <c r="CF35" s="1542" t="n">
        <f aca="false">ROUND(IF(W35="",0,LOOKUP(W35,B$49:B$59,D$49:D$59)*X35/12),0)</f>
        <v>0</v>
      </c>
      <c r="CG35" s="1542" t="n">
        <f aca="false">ROUND(IF(Y35="",0,LOOKUP(Y35,B$49:B$59,D$49:D$59)*Z35/12),0)</f>
        <v>0</v>
      </c>
      <c r="CH35" s="1542" t="n">
        <f aca="false">ROUND(IF(AA35="",0,LOOKUP(AA35,B$49:B$59,D$49:D$59)*AB35/12),0)</f>
        <v>0</v>
      </c>
      <c r="CI35" s="1538" t="n">
        <f aca="false">D35*BQ35</f>
        <v>0</v>
      </c>
      <c r="CJ35" s="1538" t="n">
        <f aca="false">D35*J35/324*(1+K$73)*G35</f>
        <v>0</v>
      </c>
      <c r="CK35" s="1538" t="str">
        <f aca="false">IF(N35="","",N35)</f>
        <v/>
      </c>
      <c r="CL35" s="1538" t="n">
        <f aca="false">P35*BQ35</f>
        <v>0</v>
      </c>
      <c r="CM35" s="1543"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544" t="n">
        <f aca="false">C35*D35</f>
        <v>0</v>
      </c>
      <c r="CQ35" s="656" t="n">
        <f aca="false">IF(I$79=0,0,D35*(SUM(O$79:P$82)+O$85)/I$79*BQ35)</f>
        <v>0</v>
      </c>
      <c r="CR35" s="656" t="n">
        <f aca="false">IF(CF35="",0,CF35*E$83)+IF(CG35="",0,CG35*E$83)+IF(CH35="",0,CH35*E$83)</f>
        <v>0</v>
      </c>
      <c r="CS35" s="656"/>
      <c r="CT35" s="1545"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546" t="n">
        <f aca="false">O$110/I$79*D35</f>
        <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569" t="n">
        <f aca="false">D35</f>
        <v>0</v>
      </c>
      <c r="DQ35" s="1430" t="str">
        <f aca="false">IF(AC35="","",LOOKUP(AC35,$B$49:$B$59,$S$49:$S$59)*AD35)</f>
        <v/>
      </c>
      <c r="DR35" s="1430" t="str">
        <f aca="false">IF(AE35="","",LOOKUP(AE35,$B$49:$B$59,$S$49:$S$59)*AF35)</f>
        <v/>
      </c>
      <c r="DS35" s="1430" t="str">
        <f aca="false">IF(AG35="","",LOOKUP(AG35,$B$49:$B$59,$S$49:$S$59)*AH35)</f>
        <v/>
      </c>
      <c r="DT35" s="1430" t="str">
        <f aca="false">IF(AI35="","",LOOKUP(AI35,$B$49:$B$59,$S$49:$S$59)*AJ35)</f>
        <v/>
      </c>
      <c r="DU35" s="1430" t="str">
        <f aca="false">IF(AK35="","",LOOKUP(AK35,$B$49:$B$59,$S$49:$S$59)*AL35)</f>
        <v/>
      </c>
      <c r="DV35" s="1430" t="str">
        <f aca="false">IF(AM35="","",LOOKUP(AM35,$B$49:$B$59,$S$49:$S$59)*AN35)</f>
        <v/>
      </c>
      <c r="DW35" s="1430" t="str">
        <f aca="false">IF(AO35="","",LOOKUP(AO35,$B$49:$B$59,$S$49:$S$59)*AP35)</f>
        <v/>
      </c>
      <c r="DX35" s="1535" t="n">
        <f aca="false">SUM(DQ35:DW35)-(D35-EF35)*(S$45-F35)/324</f>
        <v>0</v>
      </c>
      <c r="DY35" s="1430" t="str">
        <f aca="false">IF(AC35="","",LOOKUP(AC35,$B$49:$B$59,$T$49:$T$59)*AD35)</f>
        <v/>
      </c>
      <c r="DZ35" s="1430" t="str">
        <f aca="false">IF(AE35="","",LOOKUP(AE35,$B$49:$B$59,$T$49:$T$59)*AF35)</f>
        <v/>
      </c>
      <c r="EA35" s="1430" t="str">
        <f aca="false">IF(AG35="","",LOOKUP(AG35,$B$49:$B$59,$T$49:$T$59)*AH35)</f>
        <v/>
      </c>
      <c r="EB35" s="1430" t="str">
        <f aca="false">IF(AI35="","",LOOKUP(AI35,$B$49:$B$59,$T$49:$T$59)*AJ35)</f>
        <v/>
      </c>
      <c r="EC35" s="1430" t="str">
        <f aca="false">IF(AK35="","",LOOKUP(AK35,$B$49:$B$59,$T$49:$T$59)*AL35)</f>
        <v/>
      </c>
      <c r="ED35" s="1430" t="str">
        <f aca="false">IF(AM35="","",LOOKUP(AM35,$B$49:$B$59,$T$49:$T$59)*AN35)</f>
        <v/>
      </c>
      <c r="EE35" s="1430" t="str">
        <f aca="false">IF(AO35="","",LOOKUP(AO35,$B$49:$B$59,$T$49:$T$59)*AP35)</f>
        <v/>
      </c>
      <c r="EF35" s="1535" t="n">
        <f aca="false">SUM(DY35:EE35)</f>
        <v>0</v>
      </c>
    </row>
    <row r="36" customFormat="false" ht="19.5" hidden="false" customHeight="true" outlineLevel="0" collapsed="false">
      <c r="A36" s="16" t="s">
        <v>1581</v>
      </c>
      <c r="B36" s="920"/>
      <c r="C36" s="1506"/>
      <c r="D36" s="1507"/>
      <c r="E36" s="1508"/>
      <c r="F36" s="1074"/>
      <c r="G36" s="1553"/>
      <c r="H36" s="1074"/>
      <c r="I36" s="1553"/>
      <c r="J36" s="1074"/>
      <c r="K36" s="1554"/>
      <c r="L36" s="528"/>
      <c r="M36" s="895"/>
      <c r="N36" s="1513"/>
      <c r="O36" s="1514"/>
      <c r="P36" s="1515" t="n">
        <f aca="false">IF(BQ36=0,0,BN36/BQ36)</f>
        <v>0</v>
      </c>
      <c r="Q36" s="1516" t="n">
        <f aca="false">(D36*F36/324)*(1+K$65)+BB36</f>
        <v>0</v>
      </c>
      <c r="R36" s="1517" t="n">
        <f aca="false">IF(D36=0,0,S36/D36)</f>
        <v>0</v>
      </c>
      <c r="S36" s="1518" t="n">
        <f aca="false">SUM(CM36-DE36)*(1+M$45)</f>
        <v>0</v>
      </c>
      <c r="T36" s="1519" t="n">
        <f aca="false">CF36+CG36+CH36</f>
        <v>0</v>
      </c>
      <c r="U36" s="1520" t="n">
        <f aca="false">IF(P36-(D36*0.35)&lt;0,0,P36-(D36*0.35))</f>
        <v>0</v>
      </c>
      <c r="V36" s="1521" t="n">
        <f aca="false">IF(D36="",0,IF(D36/-30+Q36&lt;1,0,D36/-30+Q36))</f>
        <v>0</v>
      </c>
      <c r="W36" s="1511"/>
      <c r="X36" s="1591"/>
      <c r="Y36" s="1511"/>
      <c r="Z36" s="1524"/>
      <c r="AA36" s="1511"/>
      <c r="AB36" s="1524"/>
      <c r="AC36" s="1585"/>
      <c r="AD36" s="1591"/>
      <c r="AE36" s="528"/>
      <c r="AF36" s="1592"/>
      <c r="AG36" s="528"/>
      <c r="AH36" s="1512"/>
      <c r="AI36" s="1511"/>
      <c r="AJ36" s="1512"/>
      <c r="AK36" s="1511"/>
      <c r="AL36" s="1512"/>
      <c r="AM36" s="1511"/>
      <c r="AN36" s="1524"/>
      <c r="AO36" s="1511"/>
      <c r="AP36" s="1524"/>
      <c r="AQ36" s="1435" t="e">
        <f aca="false">D36/Q36</f>
        <v>#DIV/0!</v>
      </c>
      <c r="AR36" s="1533" t="str">
        <f aca="false">IF(W36="","",LOOKUP(W36,$B$49:$B$59,$R$49:$R$59)*X36)</f>
        <v/>
      </c>
      <c r="AS36" s="1430" t="str">
        <f aca="false">IF(Y36="","",LOOKUP(Y36,$B$49:$B$59,$R$49:$R$59)*Z36)</f>
        <v/>
      </c>
      <c r="AT36" s="1430" t="str">
        <f aca="false">IF(AB36="","",LOOKUP(AA36,$B$49:$B$59,$R$49:$R$59)*AB36)</f>
        <v/>
      </c>
      <c r="AU36" s="1430" t="str">
        <f aca="false">IF(AC36="","",LOOKUP(AC36,$B$49:$B$59,$R$49:$R$59)*AD36)</f>
        <v/>
      </c>
      <c r="AV36" s="1430" t="str">
        <f aca="false">IF(AE36="","",LOOKUP(AE36,$B$49:$B$59,$R$49:$R$59)*AF36)</f>
        <v/>
      </c>
      <c r="AW36" s="1430" t="str">
        <f aca="false">IF(AG36="","",LOOKUP(AG36,$B$49:$B$59,$R$49:$R$59)*AH36)</f>
        <v/>
      </c>
      <c r="AX36" s="1430" t="str">
        <f aca="false">IF(AI36="","",LOOKUP(AI36,$B$49:$B$59,$R$49:$R$59)*AJ36)</f>
        <v/>
      </c>
      <c r="AY36" s="1430" t="str">
        <f aca="false">IF(AK36="","",LOOKUP(AK36,$B$49:$B$59,$R$49:$R$59)*AL36)</f>
        <v/>
      </c>
      <c r="AZ36" s="1430" t="str">
        <f aca="false">IF(AM36="","",LOOKUP(AM36,$B$49:$B$59,$R$49:$R$59)*AN36)</f>
        <v/>
      </c>
      <c r="BA36" s="1430" t="str">
        <f aca="false">IF(AO36="","",LOOKUP(AO36,$B$49:$B$59,$R$49:$R$59)*AP36)</f>
        <v/>
      </c>
      <c r="BB36" s="1535" t="n">
        <f aca="false">SUM(AR36:BA36)</f>
        <v>0</v>
      </c>
      <c r="BC36" s="1533" t="str">
        <f aca="false">IF(W36="","",LOOKUP(W36,$B$49:$B$59,$P$49:$P$59)*X36)</f>
        <v/>
      </c>
      <c r="BD36" s="654" t="str">
        <f aca="false">IF(Y36="","",LOOKUP(Y36,$B$49:$B$59,$P$49:$P$59)*Z36)</f>
        <v/>
      </c>
      <c r="BE36" s="1430"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584" t="n">
        <f aca="false">SUM(BC36:BL36)*BQ36</f>
        <v>0</v>
      </c>
      <c r="BN36" s="1536" t="n">
        <f aca="false">BM36+BO36</f>
        <v>0</v>
      </c>
      <c r="BO36" s="1536" t="n">
        <f aca="false">IF(M36=0,0,(M36/12+M36/12)/(M36/12*M36/12)*D36*((L36/16*L36/16)*10.6870159))*(1+K$70)*BQ36</f>
        <v>0</v>
      </c>
      <c r="BP36" s="1536" t="n">
        <f aca="false">IF(O36="Y",D36*(1+K$71)*BQ36,0)</f>
        <v>0</v>
      </c>
      <c r="BQ36" s="1538" t="n">
        <f aca="false">G36</f>
        <v>0</v>
      </c>
      <c r="BR36" s="1411" t="n">
        <f aca="false">IF(O36="y",D36,0)</f>
        <v>0</v>
      </c>
      <c r="BS36" s="1567" t="n">
        <f aca="false">IF($I36=1,$Q36,0)*BQ36</f>
        <v>0</v>
      </c>
      <c r="BT36" s="1536" t="n">
        <f aca="false">IF($I36=2,$Q36,0)*BQ36</f>
        <v>0</v>
      </c>
      <c r="BU36" s="1536" t="n">
        <f aca="false">IF($I36=3,$Q36,0)*BQ36</f>
        <v>0</v>
      </c>
      <c r="BV36" s="1536" t="n">
        <f aca="false">IF($I36=4,$Q36,0)*BQ36</f>
        <v>0</v>
      </c>
      <c r="BW36" s="1536" t="n">
        <f aca="false">IF($I36=5,$Q36,0)*BQ36</f>
        <v>0</v>
      </c>
      <c r="BX36" s="1536" t="n">
        <f aca="false">IF($I36=6,$Q36,0)*$BQ36</f>
        <v>0</v>
      </c>
      <c r="BY36" s="1536" t="n">
        <f aca="false">IF($I36=7,$Q36,0)*$BQ36</f>
        <v>0</v>
      </c>
      <c r="BZ36" s="1536" t="n">
        <f aca="false">IF($I36=8,$Q36,0)*$BQ36</f>
        <v>0</v>
      </c>
      <c r="CA36" s="1536" t="n">
        <f aca="false">IF($I36=9,$Q36,0)*$BQ36</f>
        <v>0</v>
      </c>
      <c r="CB36" s="1568" t="n">
        <f aca="false">IF($I36=10,$Q36,0)*$BQ36</f>
        <v>0</v>
      </c>
      <c r="CC36" s="1538" t="n">
        <f aca="false">SUM(BS36:BX36)</f>
        <v>0</v>
      </c>
      <c r="CD36" s="1538" t="n">
        <f aca="false">IF(H36="N",0,D36)*BQ36</f>
        <v>0</v>
      </c>
      <c r="CE36" s="1538" t="n">
        <f aca="false">K36*BQ36</f>
        <v>0</v>
      </c>
      <c r="CF36" s="1542" t="n">
        <f aca="false">ROUND(IF(W36="",0,LOOKUP(W36,B$49:B$59,D$49:D$59)*X36/12),0)</f>
        <v>0</v>
      </c>
      <c r="CG36" s="1542" t="n">
        <f aca="false">ROUND(IF(Y36="",0,LOOKUP(Y36,B$49:B$59,D$49:D$59)*Z36/12),0)</f>
        <v>0</v>
      </c>
      <c r="CH36" s="1542" t="n">
        <f aca="false">ROUND(IF(AA36="",0,LOOKUP(AA36,B$49:B$59,D$49:D$59)*AB36/12),0)</f>
        <v>0</v>
      </c>
      <c r="CI36" s="1538" t="n">
        <f aca="false">D36*BQ36</f>
        <v>0</v>
      </c>
      <c r="CJ36" s="1538" t="n">
        <f aca="false">D36*J36/324*(1+K$73)*G36</f>
        <v>0</v>
      </c>
      <c r="CK36" s="1538" t="str">
        <f aca="false">IF(N36="","",N36)</f>
        <v/>
      </c>
      <c r="CL36" s="1538" t="n">
        <f aca="false">P36*BQ36</f>
        <v>0</v>
      </c>
      <c r="CM36" s="1543"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544" t="n">
        <f aca="false">C36*D36</f>
        <v>0</v>
      </c>
      <c r="CQ36" s="656" t="n">
        <f aca="false">IF(I$79=0,0,D36*(SUM(O$79:P$82)+O$85)/I$79*BQ36)</f>
        <v>0</v>
      </c>
      <c r="CR36" s="656" t="n">
        <f aca="false">IF(CF36="",0,CF36*E$83)+IF(CG36="",0,CG36*E$83)+IF(CH36="",0,CH36*E$83)</f>
        <v>0</v>
      </c>
      <c r="CS36" s="656"/>
      <c r="CT36" s="1545"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546" t="n">
        <f aca="false">O$110/I$79*D36</f>
        <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569" t="n">
        <f aca="false">D36</f>
        <v>0</v>
      </c>
      <c r="DQ36" s="1430" t="str">
        <f aca="false">IF(AC36="","",LOOKUP(AC36,$B$49:$B$59,$S$49:$S$59)*AD36)</f>
        <v/>
      </c>
      <c r="DR36" s="1430" t="str">
        <f aca="false">IF(AE36="","",LOOKUP(AE36,$B$49:$B$59,$S$49:$S$59)*AF36)</f>
        <v/>
      </c>
      <c r="DS36" s="1430" t="str">
        <f aca="false">IF(AG36="","",LOOKUP(AG36,$B$49:$B$59,$S$49:$S$59)*AH36)</f>
        <v/>
      </c>
      <c r="DT36" s="1430" t="str">
        <f aca="false">IF(AI36="","",LOOKUP(AI36,$B$49:$B$59,$S$49:$S$59)*AJ36)</f>
        <v/>
      </c>
      <c r="DU36" s="1430" t="str">
        <f aca="false">IF(AK36="","",LOOKUP(AK36,$B$49:$B$59,$S$49:$S$59)*AL36)</f>
        <v/>
      </c>
      <c r="DV36" s="1430" t="str">
        <f aca="false">IF(AM36="","",LOOKUP(AM36,$B$49:$B$59,$S$49:$S$59)*AN36)</f>
        <v/>
      </c>
      <c r="DW36" s="1430" t="str">
        <f aca="false">IF(AO36="","",LOOKUP(AO36,$B$49:$B$59,$S$49:$S$59)*AP36)</f>
        <v/>
      </c>
      <c r="DX36" s="1535" t="n">
        <f aca="false">SUM(DQ36:DW36)-(D36-EF36)*(S$45-F36)/324</f>
        <v>0</v>
      </c>
      <c r="DY36" s="1430" t="str">
        <f aca="false">IF(AC36="","",LOOKUP(AC36,$B$49:$B$59,$T$49:$T$59)*AD36)</f>
        <v/>
      </c>
      <c r="DZ36" s="1430" t="str">
        <f aca="false">IF(AE36="","",LOOKUP(AE36,$B$49:$B$59,$T$49:$T$59)*AF36)</f>
        <v/>
      </c>
      <c r="EA36" s="1430" t="str">
        <f aca="false">IF(AG36="","",LOOKUP(AG36,$B$49:$B$59,$T$49:$T$59)*AH36)</f>
        <v/>
      </c>
      <c r="EB36" s="1430" t="str">
        <f aca="false">IF(AI36="","",LOOKUP(AI36,$B$49:$B$59,$T$49:$T$59)*AJ36)</f>
        <v/>
      </c>
      <c r="EC36" s="1430" t="str">
        <f aca="false">IF(AK36="","",LOOKUP(AK36,$B$49:$B$59,$T$49:$T$59)*AL36)</f>
        <v/>
      </c>
      <c r="ED36" s="1430" t="str">
        <f aca="false">IF(AM36="","",LOOKUP(AM36,$B$49:$B$59,$T$49:$T$59)*AN36)</f>
        <v/>
      </c>
      <c r="EE36" s="1430" t="str">
        <f aca="false">IF(AO36="","",LOOKUP(AO36,$B$49:$B$59,$T$49:$T$59)*AP36)</f>
        <v/>
      </c>
      <c r="EF36" s="1535" t="n">
        <f aca="false">SUM(DY36:EE36)</f>
        <v>0</v>
      </c>
    </row>
    <row r="37" customFormat="false" ht="19.5" hidden="false" customHeight="true" outlineLevel="0" collapsed="false">
      <c r="A37" s="16" t="s">
        <v>1582</v>
      </c>
      <c r="B37" s="1549"/>
      <c r="C37" s="1550"/>
      <c r="D37" s="1551"/>
      <c r="E37" s="1552"/>
      <c r="F37" s="1074"/>
      <c r="G37" s="1553"/>
      <c r="H37" s="1074"/>
      <c r="I37" s="1553"/>
      <c r="J37" s="1074"/>
      <c r="K37" s="1583"/>
      <c r="L37" s="1559"/>
      <c r="M37" s="1556"/>
      <c r="N37" s="1557"/>
      <c r="O37" s="1558"/>
      <c r="P37" s="1515" t="n">
        <f aca="false">IF(BQ37=0,0,BN37/BQ37)</f>
        <v>0</v>
      </c>
      <c r="Q37" s="1516" t="n">
        <f aca="false">(D37*F37/324)*(1+K$65)+BB37</f>
        <v>0</v>
      </c>
      <c r="R37" s="1517" t="n">
        <f aca="false">IF(D37=0,0,S37/D37)</f>
        <v>0</v>
      </c>
      <c r="S37" s="1518" t="n">
        <f aca="false">SUM(CM37-DE37)*(1+M$45)</f>
        <v>0</v>
      </c>
      <c r="T37" s="1519" t="n">
        <f aca="false">CF37+CG37+CH37</f>
        <v>0</v>
      </c>
      <c r="U37" s="1520" t="n">
        <f aca="false">IF(P37-(D37*0.35)&lt;0,0,P37-(D37*0.35))</f>
        <v>0</v>
      </c>
      <c r="V37" s="1521" t="n">
        <f aca="false">IF(D37="",0,IF(D37/-30+Q37&lt;1,0,D37/-30+Q37))</f>
        <v>0</v>
      </c>
      <c r="W37" s="1559"/>
      <c r="X37" s="1594"/>
      <c r="Y37" s="1559"/>
      <c r="Z37" s="1561"/>
      <c r="AA37" s="1559"/>
      <c r="AB37" s="1561"/>
      <c r="AC37" s="1562"/>
      <c r="AD37" s="1594"/>
      <c r="AE37" s="1559"/>
      <c r="AF37" s="1556"/>
      <c r="AG37" s="1595"/>
      <c r="AH37" s="1556"/>
      <c r="AI37" s="1559"/>
      <c r="AJ37" s="1556"/>
      <c r="AK37" s="1559"/>
      <c r="AL37" s="1556"/>
      <c r="AM37" s="1559"/>
      <c r="AN37" s="1561"/>
      <c r="AO37" s="1559"/>
      <c r="AP37" s="1561"/>
      <c r="AQ37" s="1435" t="e">
        <f aca="false">D37/Q37</f>
        <v>#DIV/0!</v>
      </c>
      <c r="AR37" s="1533" t="str">
        <f aca="false">IF(W37="","",LOOKUP(W37,$B$49:$B$59,$R$49:$R$59)*X37)</f>
        <v/>
      </c>
      <c r="AS37" s="1430" t="str">
        <f aca="false">IF(Y37="","",LOOKUP(Y37,$B$49:$B$59,$R$49:$R$59)*Z37)</f>
        <v/>
      </c>
      <c r="AT37" s="1430" t="str">
        <f aca="false">IF(AB37="","",LOOKUP(AA37,$B$49:$B$59,$R$49:$R$59)*AB37)</f>
        <v/>
      </c>
      <c r="AU37" s="1430" t="str">
        <f aca="false">IF(AC37="","",LOOKUP(AC37,$B$49:$B$59,$R$49:$R$59)*AD37)</f>
        <v/>
      </c>
      <c r="AV37" s="1430" t="str">
        <f aca="false">IF(AE37="","",LOOKUP(AE37,$B$49:$B$59,$R$49:$R$59)*AF37)</f>
        <v/>
      </c>
      <c r="AW37" s="1430" t="str">
        <f aca="false">IF(AG37="","",LOOKUP(AG37,$B$49:$B$59,$R$49:$R$59)*AH37)</f>
        <v/>
      </c>
      <c r="AX37" s="1430" t="str">
        <f aca="false">IF(AI37="","",LOOKUP(AI37,$B$49:$B$59,$R$49:$R$59)*AJ37)</f>
        <v/>
      </c>
      <c r="AY37" s="1430" t="str">
        <f aca="false">IF(AK37="","",LOOKUP(AK37,$B$49:$B$59,$R$49:$R$59)*AL37)</f>
        <v/>
      </c>
      <c r="AZ37" s="1430" t="str">
        <f aca="false">IF(AM37="","",LOOKUP(AM37,$B$49:$B$59,$R$49:$R$59)*AN37)</f>
        <v/>
      </c>
      <c r="BA37" s="1430" t="str">
        <f aca="false">IF(AO37="","",LOOKUP(AO37,$B$49:$B$59,$R$49:$R$59)*AP37)</f>
        <v/>
      </c>
      <c r="BB37" s="1535" t="n">
        <f aca="false">SUM(AR37:BA37)</f>
        <v>0</v>
      </c>
      <c r="BC37" s="1533" t="str">
        <f aca="false">IF(W37="","",LOOKUP(W37,$B$49:$B$59,$P$49:$P$59)*X37)</f>
        <v/>
      </c>
      <c r="BD37" s="654" t="str">
        <f aca="false">IF(Y37="","",LOOKUP(Y37,$B$49:$B$59,$P$49:$P$59)*Z37)</f>
        <v/>
      </c>
      <c r="BE37" s="1430"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584" t="n">
        <f aca="false">SUM(BC37:BL37)*BQ37</f>
        <v>0</v>
      </c>
      <c r="BN37" s="1536" t="n">
        <f aca="false">BM37+BO37</f>
        <v>0</v>
      </c>
      <c r="BO37" s="1536" t="n">
        <f aca="false">IF(M37=0,0,(M37/12+M37/12)/(M37/12*M37/12)*D37*((L37/16*L37/16)*10.6870159))*(1+K$70)*BQ37</f>
        <v>0</v>
      </c>
      <c r="BP37" s="1536" t="n">
        <f aca="false">IF(O37="Y",D37*(1+K$71)*BQ37,0)</f>
        <v>0</v>
      </c>
      <c r="BQ37" s="1538" t="n">
        <f aca="false">G37</f>
        <v>0</v>
      </c>
      <c r="BR37" s="1411" t="n">
        <f aca="false">IF(O37="y",D37,0)</f>
        <v>0</v>
      </c>
      <c r="BS37" s="1567" t="n">
        <f aca="false">IF($I37=1,$Q37,0)*BQ37</f>
        <v>0</v>
      </c>
      <c r="BT37" s="1536" t="n">
        <f aca="false">IF($I37=2,$Q37,0)*BQ37</f>
        <v>0</v>
      </c>
      <c r="BU37" s="1536" t="n">
        <f aca="false">IF($I37=3,$Q37,0)*BQ37</f>
        <v>0</v>
      </c>
      <c r="BV37" s="1536" t="n">
        <f aca="false">IF($I37=4,$Q37,0)*BQ37</f>
        <v>0</v>
      </c>
      <c r="BW37" s="1536" t="n">
        <f aca="false">IF($I37=5,$Q37,0)*BQ37</f>
        <v>0</v>
      </c>
      <c r="BX37" s="1536" t="n">
        <f aca="false">IF($I37=6,$Q37,0)*$BQ37</f>
        <v>0</v>
      </c>
      <c r="BY37" s="1536" t="n">
        <f aca="false">IF($I37=7,$Q37,0)*$BQ37</f>
        <v>0</v>
      </c>
      <c r="BZ37" s="1536" t="n">
        <f aca="false">IF($I37=8,$Q37,0)*$BQ37</f>
        <v>0</v>
      </c>
      <c r="CA37" s="1536" t="n">
        <f aca="false">IF($I37=9,$Q37,0)*$BQ37</f>
        <v>0</v>
      </c>
      <c r="CB37" s="1568" t="n">
        <f aca="false">IF($I37=10,$Q37,0)*$BQ37</f>
        <v>0</v>
      </c>
      <c r="CC37" s="1538" t="n">
        <f aca="false">SUM(BS37:BX37)</f>
        <v>0</v>
      </c>
      <c r="CD37" s="1538" t="n">
        <f aca="false">IF(H37="N",0,D37)*BQ37</f>
        <v>0</v>
      </c>
      <c r="CE37" s="1538" t="n">
        <f aca="false">K37*BQ37</f>
        <v>0</v>
      </c>
      <c r="CF37" s="1542" t="n">
        <f aca="false">ROUND(IF(W37="",0,LOOKUP(W37,B$49:B$59,D$49:D$59)*X37/12),0)</f>
        <v>0</v>
      </c>
      <c r="CG37" s="1542" t="n">
        <f aca="false">ROUND(IF(Y37="",0,LOOKUP(Y37,B$49:B$59,D$49:D$59)*Z37/12),0)</f>
        <v>0</v>
      </c>
      <c r="CH37" s="1542" t="n">
        <f aca="false">ROUND(IF(AA37="",0,LOOKUP(AA37,B$49:B$59,D$49:D$59)*AB37/12),0)</f>
        <v>0</v>
      </c>
      <c r="CI37" s="1538" t="n">
        <f aca="false">D37*BQ37</f>
        <v>0</v>
      </c>
      <c r="CJ37" s="1538" t="n">
        <f aca="false">D37*J37/324*(1+K$73)*G37</f>
        <v>0</v>
      </c>
      <c r="CK37" s="1538" t="str">
        <f aca="false">IF(N37="","",N37)</f>
        <v/>
      </c>
      <c r="CL37" s="1538" t="n">
        <f aca="false">P37*BQ37</f>
        <v>0</v>
      </c>
      <c r="CM37" s="1543"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544" t="n">
        <f aca="false">C37*D37</f>
        <v>0</v>
      </c>
      <c r="CQ37" s="656" t="n">
        <f aca="false">IF(I$79=0,0,D37*(SUM(O$79:P$82)+O$85)/I$79*BQ37)</f>
        <v>0</v>
      </c>
      <c r="CR37" s="656" t="n">
        <f aca="false">IF(CF37="",0,CF37*E$83)+IF(CG37="",0,CG37*E$83)+IF(CH37="",0,CH37*E$83)</f>
        <v>0</v>
      </c>
      <c r="CS37" s="656"/>
      <c r="CT37" s="1545"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546" t="n">
        <f aca="false">O$110/I$79*D37</f>
        <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569" t="n">
        <f aca="false">D37</f>
        <v>0</v>
      </c>
      <c r="DQ37" s="1430" t="str">
        <f aca="false">IF(AC37="","",LOOKUP(AC37,$B$49:$B$59,$S$49:$S$59)*AD37)</f>
        <v/>
      </c>
      <c r="DR37" s="1430" t="str">
        <f aca="false">IF(AE37="","",LOOKUP(AE37,$B$49:$B$59,$S$49:$S$59)*AF37)</f>
        <v/>
      </c>
      <c r="DS37" s="1430" t="str">
        <f aca="false">IF(AG37="","",LOOKUP(AG37,$B$49:$B$59,$S$49:$S$59)*AH37)</f>
        <v/>
      </c>
      <c r="DT37" s="1430" t="str">
        <f aca="false">IF(AI37="","",LOOKUP(AI37,$B$49:$B$59,$S$49:$S$59)*AJ37)</f>
        <v/>
      </c>
      <c r="DU37" s="1430" t="str">
        <f aca="false">IF(AK37="","",LOOKUP(AK37,$B$49:$B$59,$S$49:$S$59)*AL37)</f>
        <v/>
      </c>
      <c r="DV37" s="1430" t="str">
        <f aca="false">IF(AM37="","",LOOKUP(AM37,$B$49:$B$59,$S$49:$S$59)*AN37)</f>
        <v/>
      </c>
      <c r="DW37" s="1430" t="str">
        <f aca="false">IF(AO37="","",LOOKUP(AO37,$B$49:$B$59,$S$49:$S$59)*AP37)</f>
        <v/>
      </c>
      <c r="DX37" s="1535" t="n">
        <f aca="false">SUM(DQ37:DW37)-(D37-EF37)*(S$45-F37)/324</f>
        <v>0</v>
      </c>
      <c r="DY37" s="1430" t="str">
        <f aca="false">IF(AC37="","",LOOKUP(AC37,$B$49:$B$59,$T$49:$T$59)*AD37)</f>
        <v/>
      </c>
      <c r="DZ37" s="1430" t="str">
        <f aca="false">IF(AE37="","",LOOKUP(AE37,$B$49:$B$59,$T$49:$T$59)*AF37)</f>
        <v/>
      </c>
      <c r="EA37" s="1430" t="str">
        <f aca="false">IF(AG37="","",LOOKUP(AG37,$B$49:$B$59,$T$49:$T$59)*AH37)</f>
        <v/>
      </c>
      <c r="EB37" s="1430" t="str">
        <f aca="false">IF(AI37="","",LOOKUP(AI37,$B$49:$B$59,$T$49:$T$59)*AJ37)</f>
        <v/>
      </c>
      <c r="EC37" s="1430" t="str">
        <f aca="false">IF(AK37="","",LOOKUP(AK37,$B$49:$B$59,$T$49:$T$59)*AL37)</f>
        <v/>
      </c>
      <c r="ED37" s="1430" t="str">
        <f aca="false">IF(AM37="","",LOOKUP(AM37,$B$49:$B$59,$T$49:$T$59)*AN37)</f>
        <v/>
      </c>
      <c r="EE37" s="1430" t="str">
        <f aca="false">IF(AO37="","",LOOKUP(AO37,$B$49:$B$59,$T$49:$T$59)*AP37)</f>
        <v/>
      </c>
      <c r="EF37" s="1535" t="n">
        <f aca="false">SUM(DY37:EE37)</f>
        <v>0</v>
      </c>
    </row>
    <row r="38" customFormat="false" ht="19.5" hidden="false" customHeight="true" outlineLevel="0" collapsed="false">
      <c r="A38" s="16" t="s">
        <v>1583</v>
      </c>
      <c r="B38" s="920"/>
      <c r="C38" s="1550"/>
      <c r="D38" s="1507"/>
      <c r="E38" s="1508"/>
      <c r="F38" s="1074"/>
      <c r="G38" s="1553"/>
      <c r="H38" s="1074"/>
      <c r="I38" s="1553"/>
      <c r="J38" s="1074"/>
      <c r="K38" s="1583"/>
      <c r="L38" s="1511"/>
      <c r="M38" s="1512"/>
      <c r="N38" s="1513"/>
      <c r="O38" s="1514"/>
      <c r="P38" s="1515" t="n">
        <f aca="false">IF(BQ38=0,0,BN38/BQ38)</f>
        <v>0</v>
      </c>
      <c r="Q38" s="1516" t="n">
        <f aca="false">(D38*F38/324)*(1+K$65)+BB38</f>
        <v>0</v>
      </c>
      <c r="R38" s="1517" t="n">
        <f aca="false">IF(D38=0,0,S38/D38)</f>
        <v>0</v>
      </c>
      <c r="S38" s="1518" t="n">
        <f aca="false">SUM(CM38-DE38)*(1+M$45)</f>
        <v>0</v>
      </c>
      <c r="T38" s="1519" t="n">
        <f aca="false">CF38+CG38+CH38</f>
        <v>0</v>
      </c>
      <c r="U38" s="1520" t="n">
        <f aca="false">IF(P38-(D38*0.35)&lt;0,0,P38-(D38*0.35))</f>
        <v>0</v>
      </c>
      <c r="V38" s="1521" t="n">
        <f aca="false">IF(D38="",0,IF(D38/-30+Q38&lt;1,0,D38/-30+Q38))</f>
        <v>0</v>
      </c>
      <c r="W38" s="1511"/>
      <c r="X38" s="1596"/>
      <c r="Y38" s="1511"/>
      <c r="Z38" s="1524"/>
      <c r="AA38" s="1511"/>
      <c r="AB38" s="1524"/>
      <c r="AC38" s="1525"/>
      <c r="AD38" s="1596"/>
      <c r="AE38" s="1511"/>
      <c r="AF38" s="1512"/>
      <c r="AG38" s="1593"/>
      <c r="AH38" s="1512"/>
      <c r="AI38" s="1511"/>
      <c r="AJ38" s="1512"/>
      <c r="AK38" s="1511"/>
      <c r="AL38" s="1512"/>
      <c r="AM38" s="1511"/>
      <c r="AN38" s="1524"/>
      <c r="AO38" s="1511"/>
      <c r="AP38" s="1524"/>
      <c r="AQ38" s="1435" t="e">
        <f aca="false">D38/Q38</f>
        <v>#DIV/0!</v>
      </c>
      <c r="AR38" s="1533" t="str">
        <f aca="false">IF(W38="","",LOOKUP(W38,$B$49:$B$59,$R$49:$R$59)*X38)</f>
        <v/>
      </c>
      <c r="AS38" s="1430" t="str">
        <f aca="false">IF(Y38="","",LOOKUP(Y38,$B$49:$B$59,$R$49:$R$59)*Z38)</f>
        <v/>
      </c>
      <c r="AT38" s="1430" t="str">
        <f aca="false">IF(AB38="","",LOOKUP(AA38,$B$49:$B$59,$R$49:$R$59)*AB38)</f>
        <v/>
      </c>
      <c r="AU38" s="1430" t="str">
        <f aca="false">IF(AC38="","",LOOKUP(AC38,$B$49:$B$59,$R$49:$R$59)*AD38)</f>
        <v/>
      </c>
      <c r="AV38" s="1430" t="str">
        <f aca="false">IF(AE38="","",LOOKUP(AE38,$B$49:$B$59,$R$49:$R$59)*AF38)</f>
        <v/>
      </c>
      <c r="AW38" s="1430" t="str">
        <f aca="false">IF(AG38="","",LOOKUP(AG38,$B$49:$B$59,$R$49:$R$59)*AH38)</f>
        <v/>
      </c>
      <c r="AX38" s="1430" t="str">
        <f aca="false">IF(AI38="","",LOOKUP(AI38,$B$49:$B$59,$R$49:$R$59)*AJ38)</f>
        <v/>
      </c>
      <c r="AY38" s="1430" t="str">
        <f aca="false">IF(AK38="","",LOOKUP(AK38,$B$49:$B$59,$R$49:$R$59)*AL38)</f>
        <v/>
      </c>
      <c r="AZ38" s="1430" t="str">
        <f aca="false">IF(AM38="","",LOOKUP(AM38,$B$49:$B$59,$R$49:$R$59)*AN38)</f>
        <v/>
      </c>
      <c r="BA38" s="1430" t="str">
        <f aca="false">IF(AO38="","",LOOKUP(AO38,$B$49:$B$59,$R$49:$R$59)*AP38)</f>
        <v/>
      </c>
      <c r="BB38" s="1535" t="n">
        <f aca="false">SUM(AR38:BA38)</f>
        <v>0</v>
      </c>
      <c r="BC38" s="1533" t="str">
        <f aca="false">IF(W38="","",LOOKUP(W38,$B$49:$B$59,$P$49:$P$59)*X38)</f>
        <v/>
      </c>
      <c r="BD38" s="654" t="str">
        <f aca="false">IF(Y38="","",LOOKUP(Y38,$B$49:$B$59,$P$49:$P$59)*Z38)</f>
        <v/>
      </c>
      <c r="BE38" s="1430"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584" t="n">
        <f aca="false">SUM(BC38:BL38)*BQ38</f>
        <v>0</v>
      </c>
      <c r="BN38" s="1536" t="n">
        <f aca="false">BM38+BO38</f>
        <v>0</v>
      </c>
      <c r="BO38" s="1536" t="n">
        <f aca="false">IF(M38=0,0,(M38/12+M38/12)/(M38/12*M38/12)*D38*((L38/16*L38/16)*10.6870159))*(1+K$70)*BQ38</f>
        <v>0</v>
      </c>
      <c r="BP38" s="1536" t="n">
        <f aca="false">IF(O38="Y",D38*(1+K$71)*BQ38,0)</f>
        <v>0</v>
      </c>
      <c r="BQ38" s="1538" t="n">
        <f aca="false">G38</f>
        <v>0</v>
      </c>
      <c r="BR38" s="1411" t="n">
        <f aca="false">IF(O38="y",D38,0)</f>
        <v>0</v>
      </c>
      <c r="BS38" s="1567" t="n">
        <f aca="false">IF($I38=1,$Q38,0)*BQ38</f>
        <v>0</v>
      </c>
      <c r="BT38" s="1536" t="n">
        <f aca="false">IF($I38=2,$Q38,0)*BQ38</f>
        <v>0</v>
      </c>
      <c r="BU38" s="1536" t="n">
        <f aca="false">IF($I38=3,$Q38,0)*BQ38</f>
        <v>0</v>
      </c>
      <c r="BV38" s="1536" t="n">
        <f aca="false">IF($I38=4,$Q38,0)*BQ38</f>
        <v>0</v>
      </c>
      <c r="BW38" s="1536" t="n">
        <f aca="false">IF($I38=5,$Q38,0)*BQ38</f>
        <v>0</v>
      </c>
      <c r="BX38" s="1536" t="n">
        <f aca="false">IF($I38=6,$Q38,0)*$BQ38</f>
        <v>0</v>
      </c>
      <c r="BY38" s="1536" t="n">
        <f aca="false">IF($I38=7,$Q38,0)*$BQ38</f>
        <v>0</v>
      </c>
      <c r="BZ38" s="1536" t="n">
        <f aca="false">IF($I38=8,$Q38,0)*$BQ38</f>
        <v>0</v>
      </c>
      <c r="CA38" s="1536" t="n">
        <f aca="false">IF($I38=9,$Q38,0)*$BQ38</f>
        <v>0</v>
      </c>
      <c r="CB38" s="1568" t="n">
        <f aca="false">IF($I38=10,$Q38,0)*$BQ38</f>
        <v>0</v>
      </c>
      <c r="CC38" s="1538" t="n">
        <f aca="false">SUM(BS38:BX38)</f>
        <v>0</v>
      </c>
      <c r="CD38" s="1538" t="n">
        <f aca="false">IF(H38="N",0,D38)*BQ38</f>
        <v>0</v>
      </c>
      <c r="CE38" s="1538" t="n">
        <f aca="false">K38*BQ38</f>
        <v>0</v>
      </c>
      <c r="CF38" s="1542" t="n">
        <f aca="false">ROUND(IF(W38="",0,LOOKUP(W38,B$49:B$59,D$49:D$59)*X38/12),0)</f>
        <v>0</v>
      </c>
      <c r="CG38" s="1542" t="n">
        <f aca="false">ROUND(IF(Y38="",0,LOOKUP(Y38,B$49:B$59,D$49:D$59)*Z38/12),0)</f>
        <v>0</v>
      </c>
      <c r="CH38" s="1542" t="n">
        <f aca="false">ROUND(IF(AA38="",0,LOOKUP(AA38,B$49:B$59,D$49:D$59)*AB38/12),0)</f>
        <v>0</v>
      </c>
      <c r="CI38" s="1538" t="n">
        <f aca="false">D38*BQ38</f>
        <v>0</v>
      </c>
      <c r="CJ38" s="1538" t="n">
        <f aca="false">D38*J38/324*(1+K$73)*G38</f>
        <v>0</v>
      </c>
      <c r="CK38" s="1538" t="str">
        <f aca="false">IF(N38="","",N38)</f>
        <v/>
      </c>
      <c r="CL38" s="1538" t="n">
        <f aca="false">P38*BQ38</f>
        <v>0</v>
      </c>
      <c r="CM38" s="1543"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544" t="n">
        <f aca="false">C38*D38</f>
        <v>0</v>
      </c>
      <c r="CQ38" s="656" t="n">
        <f aca="false">IF(I$79=0,0,D38*(SUM(O$79:P$82)+O$85)/I$79*BQ38)</f>
        <v>0</v>
      </c>
      <c r="CR38" s="656" t="n">
        <f aca="false">IF(CF38="",0,CF38*E$83)+IF(CG38="",0,CG38*E$83)+IF(CH38="",0,CH38*E$83)</f>
        <v>0</v>
      </c>
      <c r="CS38" s="656"/>
      <c r="CT38" s="1545"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546" t="n">
        <f aca="false">O$110/I$79*D38</f>
        <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569" t="n">
        <f aca="false">D38</f>
        <v>0</v>
      </c>
      <c r="DQ38" s="1430" t="str">
        <f aca="false">IF(AC38="","",LOOKUP(AC38,$B$49:$B$59,$S$49:$S$59)*AD38)</f>
        <v/>
      </c>
      <c r="DR38" s="1430" t="str">
        <f aca="false">IF(AE38="","",LOOKUP(AE38,$B$49:$B$59,$S$49:$S$59)*AF38)</f>
        <v/>
      </c>
      <c r="DS38" s="1430" t="str">
        <f aca="false">IF(AG38="","",LOOKUP(AG38,$B$49:$B$59,$S$49:$S$59)*AH38)</f>
        <v/>
      </c>
      <c r="DT38" s="1430" t="str">
        <f aca="false">IF(AI38="","",LOOKUP(AI38,$B$49:$B$59,$S$49:$S$59)*AJ38)</f>
        <v/>
      </c>
      <c r="DU38" s="1430" t="str">
        <f aca="false">IF(AK38="","",LOOKUP(AK38,$B$49:$B$59,$S$49:$S$59)*AL38)</f>
        <v/>
      </c>
      <c r="DV38" s="1430" t="str">
        <f aca="false">IF(AM38="","",LOOKUP(AM38,$B$49:$B$59,$S$49:$S$59)*AN38)</f>
        <v/>
      </c>
      <c r="DW38" s="1430" t="str">
        <f aca="false">IF(AO38="","",LOOKUP(AO38,$B$49:$B$59,$S$49:$S$59)*AP38)</f>
        <v/>
      </c>
      <c r="DX38" s="1535" t="n">
        <f aca="false">SUM(DQ38:DW38)-(D38-EF38)*(S$45-F38)/324</f>
        <v>0</v>
      </c>
      <c r="DY38" s="1430" t="str">
        <f aca="false">IF(AC38="","",LOOKUP(AC38,$B$49:$B$59,$T$49:$T$59)*AD38)</f>
        <v/>
      </c>
      <c r="DZ38" s="1430" t="str">
        <f aca="false">IF(AE38="","",LOOKUP(AE38,$B$49:$B$59,$T$49:$T$59)*AF38)</f>
        <v/>
      </c>
      <c r="EA38" s="1430" t="str">
        <f aca="false">IF(AG38="","",LOOKUP(AG38,$B$49:$B$59,$T$49:$T$59)*AH38)</f>
        <v/>
      </c>
      <c r="EB38" s="1430" t="str">
        <f aca="false">IF(AI38="","",LOOKUP(AI38,$B$49:$B$59,$T$49:$T$59)*AJ38)</f>
        <v/>
      </c>
      <c r="EC38" s="1430" t="str">
        <f aca="false">IF(AK38="","",LOOKUP(AK38,$B$49:$B$59,$T$49:$T$59)*AL38)</f>
        <v/>
      </c>
      <c r="ED38" s="1430" t="str">
        <f aca="false">IF(AM38="","",LOOKUP(AM38,$B$49:$B$59,$T$49:$T$59)*AN38)</f>
        <v/>
      </c>
      <c r="EE38" s="1430" t="str">
        <f aca="false">IF(AO38="","",LOOKUP(AO38,$B$49:$B$59,$T$49:$T$59)*AP38)</f>
        <v/>
      </c>
      <c r="EF38" s="1535" t="n">
        <f aca="false">SUM(DY38:EE38)</f>
        <v>0</v>
      </c>
    </row>
    <row r="39" customFormat="false" ht="19.5" hidden="false" customHeight="true" outlineLevel="0" collapsed="false">
      <c r="A39" s="16" t="s">
        <v>1584</v>
      </c>
      <c r="B39" s="1549"/>
      <c r="C39" s="1550"/>
      <c r="D39" s="1551"/>
      <c r="E39" s="1552"/>
      <c r="F39" s="1074"/>
      <c r="G39" s="1553"/>
      <c r="H39" s="1074"/>
      <c r="I39" s="1553"/>
      <c r="J39" s="1597"/>
      <c r="K39" s="1583"/>
      <c r="L39" s="1559"/>
      <c r="M39" s="1556"/>
      <c r="N39" s="1557"/>
      <c r="O39" s="1558"/>
      <c r="P39" s="1515" t="n">
        <f aca="false">IF(BQ39=0,0,BN39/BQ39)</f>
        <v>0</v>
      </c>
      <c r="Q39" s="1516" t="n">
        <f aca="false">(D39*F39/324)*(1+K$65)+BB39</f>
        <v>0</v>
      </c>
      <c r="R39" s="1517" t="n">
        <f aca="false">IF(D39=0,0,S39/D39)</f>
        <v>0</v>
      </c>
      <c r="S39" s="1518" t="n">
        <f aca="false">SUM(CM39-DE39)*(1+M$45)</f>
        <v>0</v>
      </c>
      <c r="T39" s="1519" t="n">
        <f aca="false">CF39+CG39+CH39</f>
        <v>0</v>
      </c>
      <c r="U39" s="1520" t="n">
        <f aca="false">IF(P39-(D39*0.35)&lt;0,0,P39-(D39*0.35))</f>
        <v>0</v>
      </c>
      <c r="V39" s="1521" t="n">
        <f aca="false">IF(D39="",0,IF(D39/-30+Q39&lt;1,0,D39/-30+Q39))</f>
        <v>0</v>
      </c>
      <c r="W39" s="1559"/>
      <c r="X39" s="1594"/>
      <c r="Y39" s="1559"/>
      <c r="Z39" s="1561"/>
      <c r="AA39" s="1559"/>
      <c r="AB39" s="1561"/>
      <c r="AC39" s="1595"/>
      <c r="AD39" s="1594"/>
      <c r="AE39" s="1559"/>
      <c r="AF39" s="1556"/>
      <c r="AG39" s="1595"/>
      <c r="AH39" s="1556"/>
      <c r="AI39" s="1559"/>
      <c r="AJ39" s="1556"/>
      <c r="AK39" s="1559"/>
      <c r="AL39" s="1556"/>
      <c r="AM39" s="1559"/>
      <c r="AN39" s="1561"/>
      <c r="AO39" s="1559"/>
      <c r="AP39" s="1561"/>
      <c r="AQ39" s="1435" t="e">
        <f aca="false">D39/Q39</f>
        <v>#DIV/0!</v>
      </c>
      <c r="AR39" s="1533" t="str">
        <f aca="false">IF(W39="","",LOOKUP(W39,$B$49:$B$59,$R$49:$R$59)*X39)</f>
        <v/>
      </c>
      <c r="AS39" s="1430" t="str">
        <f aca="false">IF(Y39="","",LOOKUP(Y39,$B$49:$B$59,$R$49:$R$59)*Z39)</f>
        <v/>
      </c>
      <c r="AT39" s="1430" t="str">
        <f aca="false">IF(AB39="","",LOOKUP(AA39,$B$49:$B$59,$R$49:$R$59)*AB39)</f>
        <v/>
      </c>
      <c r="AU39" s="1430" t="str">
        <f aca="false">IF(AC39="","",LOOKUP(AC39,$B$49:$B$59,$R$49:$R$59)*AD39)</f>
        <v/>
      </c>
      <c r="AV39" s="1430" t="str">
        <f aca="false">IF(AE39="","",LOOKUP(AE39,$B$49:$B$59,$R$49:$R$59)*AF39)</f>
        <v/>
      </c>
      <c r="AW39" s="1430" t="str">
        <f aca="false">IF(AG39="","",LOOKUP(AG39,$B$49:$B$59,$R$49:$R$59)*AH39)</f>
        <v/>
      </c>
      <c r="AX39" s="1430" t="str">
        <f aca="false">IF(AI39="","",LOOKUP(AI39,$B$49:$B$59,$R$49:$R$59)*AJ39)</f>
        <v/>
      </c>
      <c r="AY39" s="1430" t="str">
        <f aca="false">IF(AK39="","",LOOKUP(AK39,$B$49:$B$59,$R$49:$R$59)*AL39)</f>
        <v/>
      </c>
      <c r="AZ39" s="1430" t="str">
        <f aca="false">IF(AM39="","",LOOKUP(AM39,$B$49:$B$59,$R$49:$R$59)*AN39)</f>
        <v/>
      </c>
      <c r="BA39" s="1430" t="str">
        <f aca="false">IF(AO39="","",LOOKUP(AO39,$B$49:$B$59,$R$49:$R$59)*AP39)</f>
        <v/>
      </c>
      <c r="BB39" s="1535" t="n">
        <f aca="false">SUM(AR39:BA39)</f>
        <v>0</v>
      </c>
      <c r="BC39" s="1533" t="str">
        <f aca="false">IF(W39="","",LOOKUP(W39,$B$49:$B$59,$P$49:$P$59)*X39)</f>
        <v/>
      </c>
      <c r="BD39" s="654" t="str">
        <f aca="false">IF(Y39="","",LOOKUP(Y39,$B$49:$B$59,$P$49:$P$59)*Z39)</f>
        <v/>
      </c>
      <c r="BE39" s="1430"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584" t="n">
        <f aca="false">SUM(BC39:BL39)*BQ39</f>
        <v>0</v>
      </c>
      <c r="BN39" s="1536" t="n">
        <f aca="false">BM39+BO39</f>
        <v>0</v>
      </c>
      <c r="BO39" s="1536" t="n">
        <f aca="false">IF(M39=0,0,(M39/12+M39/12)/(M39/12*M39/12)*D39*((L39/16*L39/16)*10.6870159))*(1+K$70)*BQ39</f>
        <v>0</v>
      </c>
      <c r="BP39" s="1536" t="n">
        <f aca="false">IF(O39="Y",D39*(1+K$71)*BQ39,0)</f>
        <v>0</v>
      </c>
      <c r="BQ39" s="1538" t="n">
        <f aca="false">G39</f>
        <v>0</v>
      </c>
      <c r="BR39" s="1411" t="n">
        <f aca="false">IF(O39="y",D39,0)</f>
        <v>0</v>
      </c>
      <c r="BS39" s="1567" t="n">
        <f aca="false">IF($I39=1,$Q39,0)*BQ39</f>
        <v>0</v>
      </c>
      <c r="BT39" s="1536" t="n">
        <f aca="false">IF($I39=2,$Q39,0)*BQ39</f>
        <v>0</v>
      </c>
      <c r="BU39" s="1536" t="n">
        <f aca="false">IF($I39=3,$Q39,0)*BQ39</f>
        <v>0</v>
      </c>
      <c r="BV39" s="1536" t="n">
        <f aca="false">IF($I39=4,$Q39,0)*BQ39</f>
        <v>0</v>
      </c>
      <c r="BW39" s="1536" t="n">
        <f aca="false">IF($I39=5,$Q39,0)*BQ39</f>
        <v>0</v>
      </c>
      <c r="BX39" s="1536" t="n">
        <f aca="false">IF($I39=6,$Q39,0)*$BQ39</f>
        <v>0</v>
      </c>
      <c r="BY39" s="1536" t="n">
        <f aca="false">IF($I39=7,$Q39,0)*$BQ39</f>
        <v>0</v>
      </c>
      <c r="BZ39" s="1536" t="n">
        <f aca="false">IF($I39=8,$Q39,0)*$BQ39</f>
        <v>0</v>
      </c>
      <c r="CA39" s="1536" t="n">
        <f aca="false">IF($I39=9,$Q39,0)*$BQ39</f>
        <v>0</v>
      </c>
      <c r="CB39" s="1568" t="n">
        <f aca="false">IF($I39=10,$Q39,0)*$BQ39</f>
        <v>0</v>
      </c>
      <c r="CC39" s="1538" t="n">
        <f aca="false">SUM(BS39:BX39)</f>
        <v>0</v>
      </c>
      <c r="CD39" s="1538" t="n">
        <f aca="false">IF(H39="N",0,D39)*BQ39</f>
        <v>0</v>
      </c>
      <c r="CE39" s="1538" t="n">
        <f aca="false">K39*BQ39</f>
        <v>0</v>
      </c>
      <c r="CF39" s="1542" t="n">
        <f aca="false">ROUND(IF(W39="",0,LOOKUP(W39,B$49:B$59,D$49:D$59)*X39/12),0)</f>
        <v>0</v>
      </c>
      <c r="CG39" s="1542" t="n">
        <f aca="false">ROUND(IF(Y39="",0,LOOKUP(Y39,B$49:B$59,D$49:D$59)*Z39/12),0)</f>
        <v>0</v>
      </c>
      <c r="CH39" s="1542" t="n">
        <f aca="false">ROUND(IF(AA39="",0,LOOKUP(AA39,B$49:B$59,D$49:D$59)*AB39/12),0)</f>
        <v>0</v>
      </c>
      <c r="CI39" s="1538" t="n">
        <f aca="false">D39*BQ39</f>
        <v>0</v>
      </c>
      <c r="CJ39" s="1538" t="n">
        <f aca="false">D39*J39/324*(1+K$73)*G39</f>
        <v>0</v>
      </c>
      <c r="CK39" s="1538" t="str">
        <f aca="false">IF(N39="","",N39)</f>
        <v/>
      </c>
      <c r="CL39" s="1538" t="n">
        <f aca="false">P39*BQ39</f>
        <v>0</v>
      </c>
      <c r="CM39" s="1543"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544" t="n">
        <f aca="false">C39*D39</f>
        <v>0</v>
      </c>
      <c r="CQ39" s="656" t="n">
        <f aca="false">IF(I$79=0,0,D39*(SUM(O$79:P$82)+O$85)/I$79*BQ39)</f>
        <v>0</v>
      </c>
      <c r="CR39" s="656" t="n">
        <f aca="false">IF(CF39="",0,CF39*E$83)+IF(CG39="",0,CG39*E$83)+IF(CH39="",0,CH39*E$83)</f>
        <v>0</v>
      </c>
      <c r="CS39" s="656"/>
      <c r="CT39" s="1545"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546" t="n">
        <f aca="false">O$110/I$79*D39</f>
        <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569" t="n">
        <f aca="false">D39</f>
        <v>0</v>
      </c>
      <c r="DQ39" s="1430" t="str">
        <f aca="false">IF(AC39="","",LOOKUP(AC39,$B$49:$B$59,$S$49:$S$59)*AD39)</f>
        <v/>
      </c>
      <c r="DR39" s="1430" t="str">
        <f aca="false">IF(AE39="","",LOOKUP(AE39,$B$49:$B$59,$S$49:$S$59)*AF39)</f>
        <v/>
      </c>
      <c r="DS39" s="1430" t="str">
        <f aca="false">IF(AG39="","",LOOKUP(AG39,$B$49:$B$59,$S$49:$S$59)*AH39)</f>
        <v/>
      </c>
      <c r="DT39" s="1430" t="str">
        <f aca="false">IF(AI39="","",LOOKUP(AI39,$B$49:$B$59,$S$49:$S$59)*AJ39)</f>
        <v/>
      </c>
      <c r="DU39" s="1430" t="str">
        <f aca="false">IF(AK39="","",LOOKUP(AK39,$B$49:$B$59,$S$49:$S$59)*AL39)</f>
        <v/>
      </c>
      <c r="DV39" s="1430" t="str">
        <f aca="false">IF(AM39="","",LOOKUP(AM39,$B$49:$B$59,$S$49:$S$59)*AN39)</f>
        <v/>
      </c>
      <c r="DW39" s="1430" t="str">
        <f aca="false">IF(AO39="","",LOOKUP(AO39,$B$49:$B$59,$S$49:$S$59)*AP39)</f>
        <v/>
      </c>
      <c r="DX39" s="1535" t="n">
        <f aca="false">SUM(DQ39:DW39)-(D39-EF39)*(S$45-F39)/324</f>
        <v>0</v>
      </c>
      <c r="DY39" s="1430" t="str">
        <f aca="false">IF(AC39="","",LOOKUP(AC39,$B$49:$B$59,$T$49:$T$59)*AD39)</f>
        <v/>
      </c>
      <c r="DZ39" s="1430" t="str">
        <f aca="false">IF(AE39="","",LOOKUP(AE39,$B$49:$B$59,$T$49:$T$59)*AF39)</f>
        <v/>
      </c>
      <c r="EA39" s="1430" t="str">
        <f aca="false">IF(AG39="","",LOOKUP(AG39,$B$49:$B$59,$T$49:$T$59)*AH39)</f>
        <v/>
      </c>
      <c r="EB39" s="1430" t="str">
        <f aca="false">IF(AI39="","",LOOKUP(AI39,$B$49:$B$59,$T$49:$T$59)*AJ39)</f>
        <v/>
      </c>
      <c r="EC39" s="1430" t="str">
        <f aca="false">IF(AK39="","",LOOKUP(AK39,$B$49:$B$59,$T$49:$T$59)*AL39)</f>
        <v/>
      </c>
      <c r="ED39" s="1430" t="str">
        <f aca="false">IF(AM39="","",LOOKUP(AM39,$B$49:$B$59,$T$49:$T$59)*AN39)</f>
        <v/>
      </c>
      <c r="EE39" s="1430" t="str">
        <f aca="false">IF(AO39="","",LOOKUP(AO39,$B$49:$B$59,$T$49:$T$59)*AP39)</f>
        <v/>
      </c>
      <c r="EF39" s="1535" t="n">
        <f aca="false">SUM(DY39:EE39)</f>
        <v>0</v>
      </c>
    </row>
    <row r="40" customFormat="false" ht="19.5" hidden="false" customHeight="true" outlineLevel="0" collapsed="false">
      <c r="A40" s="16" t="s">
        <v>1585</v>
      </c>
      <c r="B40" s="1598"/>
      <c r="C40" s="1550"/>
      <c r="D40" s="1586"/>
      <c r="E40" s="1587"/>
      <c r="F40" s="1074"/>
      <c r="G40" s="1553"/>
      <c r="H40" s="1074"/>
      <c r="I40" s="1553"/>
      <c r="J40" s="1597"/>
      <c r="K40" s="1583"/>
      <c r="L40" s="528"/>
      <c r="M40" s="895"/>
      <c r="N40" s="1513"/>
      <c r="O40" s="1514"/>
      <c r="P40" s="1515" t="n">
        <f aca="false">IF(BQ40=0,0,BN40/BQ40)</f>
        <v>0</v>
      </c>
      <c r="Q40" s="1516" t="n">
        <f aca="false">(D40*F40/324)*(1+K$65)+BB40</f>
        <v>0</v>
      </c>
      <c r="R40" s="1517" t="n">
        <f aca="false">IF(D40=0,0,S40/D40)</f>
        <v>0</v>
      </c>
      <c r="S40" s="1518" t="n">
        <f aca="false">SUM(CM40-DE40)*(1+M$45)</f>
        <v>0</v>
      </c>
      <c r="T40" s="1519" t="n">
        <f aca="false">CF40+CG40+CH40</f>
        <v>0</v>
      </c>
      <c r="U40" s="1520" t="n">
        <f aca="false">IF(P40-(D40*0.35)&lt;0,0,P40-(D40*0.35))</f>
        <v>0</v>
      </c>
      <c r="V40" s="1521" t="n">
        <f aca="false">IF(D40="",0,IF(D40/-30+Q40&lt;1,0,D40/-30+Q40))</f>
        <v>0</v>
      </c>
      <c r="W40" s="528"/>
      <c r="X40" s="895"/>
      <c r="Y40" s="528"/>
      <c r="Z40" s="1574"/>
      <c r="AA40" s="528"/>
      <c r="AB40" s="1574"/>
      <c r="AC40" s="1593"/>
      <c r="AD40" s="1591"/>
      <c r="AE40" s="528"/>
      <c r="AF40" s="895"/>
      <c r="AG40" s="1593"/>
      <c r="AH40" s="895"/>
      <c r="AI40" s="528"/>
      <c r="AJ40" s="895"/>
      <c r="AK40" s="528"/>
      <c r="AL40" s="895"/>
      <c r="AM40" s="528"/>
      <c r="AN40" s="1574"/>
      <c r="AO40" s="528"/>
      <c r="AP40" s="1574"/>
      <c r="AQ40" s="1435" t="e">
        <f aca="false">D40/Q40</f>
        <v>#DIV/0!</v>
      </c>
      <c r="AR40" s="1533" t="str">
        <f aca="false">IF(W40="","",LOOKUP(W40,$B$49:$B$59,$R$49:$R$59)*X40)</f>
        <v/>
      </c>
      <c r="AS40" s="1430" t="str">
        <f aca="false">IF(Y40="","",LOOKUP(Y40,$B$49:$B$59,$R$49:$R$59)*Z40)</f>
        <v/>
      </c>
      <c r="AT40" s="1430" t="str">
        <f aca="false">IF(AB40="","",LOOKUP(AA40,$B$49:$B$59,$R$49:$R$59)*AB40)</f>
        <v/>
      </c>
      <c r="AU40" s="1430" t="str">
        <f aca="false">IF(AC40="","",LOOKUP(AC40,$B$49:$B$59,$R$49:$R$59)*AD40)</f>
        <v/>
      </c>
      <c r="AV40" s="1430" t="str">
        <f aca="false">IF(AE40="","",LOOKUP(AE40,$B$49:$B$59,$R$49:$R$59)*AF40)</f>
        <v/>
      </c>
      <c r="AW40" s="1430" t="str">
        <f aca="false">IF(AG40="","",LOOKUP(AG40,$B$49:$B$59,$R$49:$R$59)*AH40)</f>
        <v/>
      </c>
      <c r="AX40" s="1430" t="str">
        <f aca="false">IF(AI40="","",LOOKUP(AI40,$B$49:$B$59,$R$49:$R$59)*AJ40)</f>
        <v/>
      </c>
      <c r="AY40" s="1430" t="str">
        <f aca="false">IF(AK40="","",LOOKUP(AK40,$B$49:$B$59,$R$49:$R$59)*AL40)</f>
        <v/>
      </c>
      <c r="AZ40" s="1430" t="str">
        <f aca="false">IF(AM40="","",LOOKUP(AM40,$B$49:$B$59,$R$49:$R$59)*AN40)</f>
        <v/>
      </c>
      <c r="BA40" s="1430" t="str">
        <f aca="false">IF(AO40="","",LOOKUP(AO40,$B$49:$B$59,$R$49:$R$59)*AP40)</f>
        <v/>
      </c>
      <c r="BB40" s="1535" t="n">
        <f aca="false">SUM(AR40:BA40)</f>
        <v>0</v>
      </c>
      <c r="BC40" s="1533" t="str">
        <f aca="false">IF(W40="","",LOOKUP(W40,$B$49:$B$59,$P$49:$P$59)*X40)</f>
        <v/>
      </c>
      <c r="BD40" s="654" t="str">
        <f aca="false">IF(Y40="","",LOOKUP(Y40,$B$49:$B$59,$P$49:$P$59)*Z40)</f>
        <v/>
      </c>
      <c r="BE40" s="1430"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584" t="n">
        <f aca="false">SUM(BC40:BL40)*BQ40</f>
        <v>0</v>
      </c>
      <c r="BN40" s="1536" t="n">
        <f aca="false">BM40+BO40</f>
        <v>0</v>
      </c>
      <c r="BO40" s="1536" t="n">
        <f aca="false">IF(M40=0,0,(M40/12+M40/12)/(M40/12*M40/12)*D40*((L40/16*L40/16)*10.6870159))*(1+K$70)*BQ40</f>
        <v>0</v>
      </c>
      <c r="BP40" s="1536" t="n">
        <f aca="false">IF(O40="Y",D40*(1+K$71)*BQ40,0)</f>
        <v>0</v>
      </c>
      <c r="BQ40" s="1538" t="n">
        <f aca="false">G40</f>
        <v>0</v>
      </c>
      <c r="BR40" s="1411" t="n">
        <f aca="false">IF(O40="y",D40,0)</f>
        <v>0</v>
      </c>
      <c r="BS40" s="1567" t="n">
        <f aca="false">IF($I40=1,$Q40,0)*BQ40</f>
        <v>0</v>
      </c>
      <c r="BT40" s="1536" t="n">
        <f aca="false">IF($I40=2,$Q40,0)*BQ40</f>
        <v>0</v>
      </c>
      <c r="BU40" s="1536" t="n">
        <f aca="false">IF($I40=3,$Q40,0)*BQ40</f>
        <v>0</v>
      </c>
      <c r="BV40" s="1536" t="n">
        <f aca="false">IF($I40=4,$Q40,0)*BQ40</f>
        <v>0</v>
      </c>
      <c r="BW40" s="1536" t="n">
        <f aca="false">IF($I40=5,$Q40,0)*BQ40</f>
        <v>0</v>
      </c>
      <c r="BX40" s="1536" t="n">
        <f aca="false">IF($I40=6,$Q40,0)*$BQ40</f>
        <v>0</v>
      </c>
      <c r="BY40" s="1536" t="n">
        <f aca="false">IF($I40=7,$Q40,0)*$BQ40</f>
        <v>0</v>
      </c>
      <c r="BZ40" s="1536" t="n">
        <f aca="false">IF($I40=8,$Q40,0)*$BQ40</f>
        <v>0</v>
      </c>
      <c r="CA40" s="1536" t="n">
        <f aca="false">IF($I40=9,$Q40,0)*$BQ40</f>
        <v>0</v>
      </c>
      <c r="CB40" s="1568" t="n">
        <f aca="false">IF($I40=10,$Q40,0)*$BQ40</f>
        <v>0</v>
      </c>
      <c r="CC40" s="1538" t="n">
        <f aca="false">SUM(BS40:BX40)</f>
        <v>0</v>
      </c>
      <c r="CD40" s="1538" t="n">
        <f aca="false">IF(H40="N",0,D40)*BQ40</f>
        <v>0</v>
      </c>
      <c r="CE40" s="1538" t="n">
        <f aca="false">K40*BQ40</f>
        <v>0</v>
      </c>
      <c r="CF40" s="1542" t="n">
        <f aca="false">ROUND(IF(W40="",0,LOOKUP(W40,B$49:B$59,D$49:D$59)*X40/12),0)</f>
        <v>0</v>
      </c>
      <c r="CG40" s="1542" t="n">
        <f aca="false">ROUND(IF(Y40="",0,LOOKUP(Y40,B$49:B$59,D$49:D$59)*Z40/12),0)</f>
        <v>0</v>
      </c>
      <c r="CH40" s="1542" t="n">
        <f aca="false">ROUND(IF(AA40="",0,LOOKUP(AA40,B$49:B$59,D$49:D$59)*AB40/12),0)</f>
        <v>0</v>
      </c>
      <c r="CI40" s="1538" t="n">
        <f aca="false">D40*BQ40</f>
        <v>0</v>
      </c>
      <c r="CJ40" s="1538" t="n">
        <f aca="false">D40*J40/324*(1+K$73)*G40</f>
        <v>0</v>
      </c>
      <c r="CK40" s="1538" t="str">
        <f aca="false">IF(N40="","",N40)</f>
        <v/>
      </c>
      <c r="CL40" s="1538" t="n">
        <f aca="false">P40*BQ40</f>
        <v>0</v>
      </c>
      <c r="CM40" s="1543"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544" t="n">
        <f aca="false">C40*D40</f>
        <v>0</v>
      </c>
      <c r="CQ40" s="656" t="n">
        <f aca="false">IF(I$79=0,0,D40*(SUM(O$79:P$82)+O$85)/I$79*BQ40)</f>
        <v>0</v>
      </c>
      <c r="CR40" s="656" t="n">
        <f aca="false">IF(CF40="",0,CF40*E$83)+IF(CG40="",0,CG40*E$83)+IF(CH40="",0,CH40*E$83)</f>
        <v>0</v>
      </c>
      <c r="CS40" s="656"/>
      <c r="CT40" s="1545"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546" t="n">
        <f aca="false">O$110/I$79*D40</f>
        <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569" t="n">
        <f aca="false">D40</f>
        <v>0</v>
      </c>
      <c r="DQ40" s="1430" t="str">
        <f aca="false">IF(AC40="","",LOOKUP(AC40,$B$49:$B$59,$S$49:$S$59)*AD40)</f>
        <v/>
      </c>
      <c r="DR40" s="1430" t="str">
        <f aca="false">IF(AE40="","",LOOKUP(AE40,$B$49:$B$59,$S$49:$S$59)*AF40)</f>
        <v/>
      </c>
      <c r="DS40" s="1430" t="str">
        <f aca="false">IF(AG40="","",LOOKUP(AG40,$B$49:$B$59,$S$49:$S$59)*AH40)</f>
        <v/>
      </c>
      <c r="DT40" s="1430" t="str">
        <f aca="false">IF(AI40="","",LOOKUP(AI40,$B$49:$B$59,$S$49:$S$59)*AJ40)</f>
        <v/>
      </c>
      <c r="DU40" s="1430" t="str">
        <f aca="false">IF(AK40="","",LOOKUP(AK40,$B$49:$B$59,$S$49:$S$59)*AL40)</f>
        <v/>
      </c>
      <c r="DV40" s="1430" t="str">
        <f aca="false">IF(AM40="","",LOOKUP(AM40,$B$49:$B$59,$S$49:$S$59)*AN40)</f>
        <v/>
      </c>
      <c r="DW40" s="1430" t="str">
        <f aca="false">IF(AO40="","",LOOKUP(AO40,$B$49:$B$59,$S$49:$S$59)*AP40)</f>
        <v/>
      </c>
      <c r="DX40" s="1535" t="n">
        <f aca="false">SUM(DQ40:DW40)-(D40-EF40)*(S$45-F40)/324</f>
        <v>0</v>
      </c>
      <c r="DY40" s="1430" t="str">
        <f aca="false">IF(AC40="","",LOOKUP(AC40,$B$49:$B$59,$T$49:$T$59)*AD40)</f>
        <v/>
      </c>
      <c r="DZ40" s="1430" t="str">
        <f aca="false">IF(AE40="","",LOOKUP(AE40,$B$49:$B$59,$T$49:$T$59)*AF40)</f>
        <v/>
      </c>
      <c r="EA40" s="1430" t="str">
        <f aca="false">IF(AG40="","",LOOKUP(AG40,$B$49:$B$59,$T$49:$T$59)*AH40)</f>
        <v/>
      </c>
      <c r="EB40" s="1430" t="str">
        <f aca="false">IF(AI40="","",LOOKUP(AI40,$B$49:$B$59,$T$49:$T$59)*AJ40)</f>
        <v/>
      </c>
      <c r="EC40" s="1430" t="str">
        <f aca="false">IF(AK40="","",LOOKUP(AK40,$B$49:$B$59,$T$49:$T$59)*AL40)</f>
        <v/>
      </c>
      <c r="ED40" s="1430" t="str">
        <f aca="false">IF(AM40="","",LOOKUP(AM40,$B$49:$B$59,$T$49:$T$59)*AN40)</f>
        <v/>
      </c>
      <c r="EE40" s="1430" t="str">
        <f aca="false">IF(AO40="","",LOOKUP(AO40,$B$49:$B$59,$T$49:$T$59)*AP40)</f>
        <v/>
      </c>
      <c r="EF40" s="1535" t="n">
        <f aca="false">SUM(DY40:EE40)</f>
        <v>0</v>
      </c>
    </row>
    <row r="41" customFormat="false" ht="19.5" hidden="false" customHeight="true" outlineLevel="0" collapsed="false">
      <c r="A41" s="16" t="s">
        <v>1586</v>
      </c>
      <c r="B41" s="1599"/>
      <c r="C41" s="1600"/>
      <c r="D41" s="1601"/>
      <c r="E41" s="1602"/>
      <c r="F41" s="1603"/>
      <c r="G41" s="1604"/>
      <c r="H41" s="1605"/>
      <c r="I41" s="1606"/>
      <c r="J41" s="1607"/>
      <c r="K41" s="1608"/>
      <c r="L41" s="1605"/>
      <c r="M41" s="1609"/>
      <c r="N41" s="1610"/>
      <c r="O41" s="1611"/>
      <c r="P41" s="1612" t="n">
        <f aca="false">IF(BQ41=0,0,BN41/BQ41)</f>
        <v>0</v>
      </c>
      <c r="Q41" s="1613" t="n">
        <f aca="false">(D41*F41/324)*(1+K$65)+BB41</f>
        <v>0</v>
      </c>
      <c r="R41" s="1614" t="n">
        <f aca="false">IF(D41=0,0,S41/D41)</f>
        <v>0</v>
      </c>
      <c r="S41" s="1518" t="n">
        <f aca="false">SUM(CM41-DE41)*(1+M$45)</f>
        <v>0</v>
      </c>
      <c r="T41" s="1519" t="n">
        <f aca="false">CF41+CG41+CH41</f>
        <v>0</v>
      </c>
      <c r="U41" s="1520" t="n">
        <f aca="false">IF(P41-(D41*0.35)&lt;0,0,P41-(D41*0.35))</f>
        <v>0</v>
      </c>
      <c r="V41" s="1521" t="n">
        <f aca="false">IF(D41="",0,IF(D41/-30+Q41&lt;1,0,D41/-30+Q41))</f>
        <v>0</v>
      </c>
      <c r="W41" s="1605"/>
      <c r="X41" s="1609"/>
      <c r="Y41" s="1605"/>
      <c r="Z41" s="1615"/>
      <c r="AA41" s="1605"/>
      <c r="AB41" s="1615"/>
      <c r="AC41" s="1605"/>
      <c r="AD41" s="1609"/>
      <c r="AE41" s="1605"/>
      <c r="AF41" s="1609"/>
      <c r="AG41" s="1605"/>
      <c r="AH41" s="1609"/>
      <c r="AI41" s="1605"/>
      <c r="AJ41" s="1609"/>
      <c r="AK41" s="1605"/>
      <c r="AL41" s="1609"/>
      <c r="AM41" s="1605"/>
      <c r="AN41" s="1615"/>
      <c r="AO41" s="1605"/>
      <c r="AP41" s="1615"/>
      <c r="AQ41" s="1435" t="e">
        <f aca="false">D41/Q41</f>
        <v>#DIV/0!</v>
      </c>
      <c r="AR41" s="1533" t="str">
        <f aca="false">IF(W41="","",LOOKUP(W41,$B$49:$B$59,$R$49:$R$59)*X41)</f>
        <v/>
      </c>
      <c r="AS41" s="1616" t="str">
        <f aca="false">IF(Y41="","",LOOKUP(Y41,$B$49:$B$59,$R$49:$R$59)*Z41)</f>
        <v/>
      </c>
      <c r="AT41" s="1616" t="str">
        <f aca="false">IF(AB41="","",LOOKUP(AA41,$B$49:$B$59,$R$49:$R$59)*AB41)</f>
        <v/>
      </c>
      <c r="AU41" s="1616" t="str">
        <f aca="false">IF(AC41="","",LOOKUP(AC41,$B$49:$B$59,$R$49:$R$59)*AD41)</f>
        <v/>
      </c>
      <c r="AV41" s="1616" t="str">
        <f aca="false">IF(AE41="","",LOOKUP(AE41,$B$49:$B$59,$R$49:$R$59)*AF41)</f>
        <v/>
      </c>
      <c r="AW41" s="1616" t="str">
        <f aca="false">IF(AG41="","",LOOKUP(AG41,$B$49:$B$59,$R$49:$R$59)*AH41)</f>
        <v/>
      </c>
      <c r="AX41" s="1616" t="str">
        <f aca="false">IF(AI41="","",LOOKUP(AI41,$B$49:$B$59,$R$49:$R$59)*AJ41)</f>
        <v/>
      </c>
      <c r="AY41" s="1616" t="str">
        <f aca="false">IF(AK41="","",LOOKUP(AK41,$B$49:$B$59,$R$49:$R$59)*AL41)</f>
        <v/>
      </c>
      <c r="AZ41" s="1616" t="str">
        <f aca="false">IF(AM41="","",LOOKUP(AM41,$B$49:$B$59,$R$49:$R$59)*AN41)</f>
        <v/>
      </c>
      <c r="BA41" s="1616" t="str">
        <f aca="false">IF(AO41="","",LOOKUP(AO41,$B$49:$B$59,$R$49:$R$59)*AP41)</f>
        <v/>
      </c>
      <c r="BB41" s="1617" t="n">
        <f aca="false">SUM(AR41:BA41)</f>
        <v>0</v>
      </c>
      <c r="BC41" s="1618" t="str">
        <f aca="false">IF(W41="","",LOOKUP(W41,$B$49:$B$59,$P$49:$P$59)*X41)</f>
        <v/>
      </c>
      <c r="BD41" s="726" t="str">
        <f aca="false">IF(Y41="","",LOOKUP(Y41,$B$49:$B$59,$P$49:$P$59)*Z41)</f>
        <v/>
      </c>
      <c r="BE41" s="1616" t="str">
        <f aca="false">IF(AA41="","",LOOKUP(AA41,$B$49:$B$59,$P$49:$P$59)*AB41)</f>
        <v/>
      </c>
      <c r="BF41" s="726" t="str">
        <f aca="false">IF(AC41="","",LOOKUP(AC41,$B$49:$B$59,$P$49:$P$59)*AD41)</f>
        <v/>
      </c>
      <c r="BG41" s="726" t="str">
        <f aca="false">IF(AE41="","",LOOKUP(AE41,$B$49:$B$59,$P$49:$P$59)*AF41)</f>
        <v/>
      </c>
      <c r="BH41" s="726" t="str">
        <f aca="false">IF(AG41="","",LOOKUP(AG41,$B$49:$B$59,$P$49:$P$59)*AH41)</f>
        <v/>
      </c>
      <c r="BI41" s="726" t="str">
        <f aca="false">IF(AI41="","",LOOKUP(AI41,$B$49:$B$59,$P$49:$P$59)*AJ41)</f>
        <v/>
      </c>
      <c r="BJ41" s="726" t="str">
        <f aca="false">IF(AK41="","",LOOKUP(AK41,$B$49:$B$59,$P$49:$P$59)*AL41)</f>
        <v/>
      </c>
      <c r="BK41" s="726" t="str">
        <f aca="false">IF(AM41="","",LOOKUP(AM41,$B$49:$B$59,$P$49:$P$59)*AN41)</f>
        <v/>
      </c>
      <c r="BL41" s="726" t="str">
        <f aca="false">IF(AO41="","",LOOKUP(AO41,$B$49:$B$59,$P$49:$P$59)*AP41)</f>
        <v/>
      </c>
      <c r="BM41" s="1619" t="n">
        <f aca="false">SUM(BC41:BL41)*BQ41</f>
        <v>0</v>
      </c>
      <c r="BN41" s="1536" t="n">
        <f aca="false">BM41+BO41</f>
        <v>0</v>
      </c>
      <c r="BO41" s="1536" t="n">
        <f aca="false">IF(M41=0,0,(M41/12+M41/12)/(M41/12*M41/12)*D41*((L41/16*L41/16)*10.6870159))*(1+K$70)*BQ41</f>
        <v>0</v>
      </c>
      <c r="BP41" s="1536" t="n">
        <f aca="false">IF(O41="Y",D41*(1+K$71)*BQ41,0)</f>
        <v>0</v>
      </c>
      <c r="BQ41" s="1538" t="n">
        <f aca="false">G41</f>
        <v>0</v>
      </c>
      <c r="BR41" s="1411" t="n">
        <f aca="false">IF(O41="y",D41,0)</f>
        <v>0</v>
      </c>
      <c r="BS41" s="1620" t="n">
        <f aca="false">IF($I41=1,$Q41,0)*BQ41</f>
        <v>0</v>
      </c>
      <c r="BT41" s="1621" t="n">
        <f aca="false">IF($I41=2,$Q41,0)*BQ41</f>
        <v>0</v>
      </c>
      <c r="BU41" s="1621" t="n">
        <f aca="false">IF($I41=3,$Q41,0)*BQ41</f>
        <v>0</v>
      </c>
      <c r="BV41" s="1621" t="n">
        <f aca="false">IF($I41=4,$Q41,0)*BQ41</f>
        <v>0</v>
      </c>
      <c r="BW41" s="1621" t="n">
        <f aca="false">IF($I41=5,$Q41,0)*BQ41</f>
        <v>0</v>
      </c>
      <c r="BX41" s="1621" t="n">
        <f aca="false">IF($I41=6,$Q41,0)*$BQ41</f>
        <v>0</v>
      </c>
      <c r="BY41" s="1621" t="n">
        <f aca="false">IF($I41=7,$Q41,0)*$BQ41</f>
        <v>0</v>
      </c>
      <c r="BZ41" s="1621" t="n">
        <f aca="false">IF($I41=8,$Q41,0)*$BQ41</f>
        <v>0</v>
      </c>
      <c r="CA41" s="1621" t="n">
        <f aca="false">IF($I41=9,$Q41,0)*$BQ41</f>
        <v>0</v>
      </c>
      <c r="CB41" s="1622" t="n">
        <f aca="false">IF($I41=10,$Q41,0)*$BQ41</f>
        <v>0</v>
      </c>
      <c r="CC41" s="1538" t="n">
        <f aca="false">SUM(BS41:BX41)</f>
        <v>0</v>
      </c>
      <c r="CD41" s="1538" t="n">
        <f aca="false">IF(H41="N",0,D41)*BQ41</f>
        <v>0</v>
      </c>
      <c r="CE41" s="1538" t="n">
        <f aca="false">K41*BQ41</f>
        <v>0</v>
      </c>
      <c r="CF41" s="1542" t="n">
        <f aca="false">ROUND(IF(W41="",0,LOOKUP(W41,B$49:B$59,D$49:D$59)*X41/12),0)</f>
        <v>0</v>
      </c>
      <c r="CG41" s="1542" t="n">
        <f aca="false">ROUND(IF(Y41="",0,LOOKUP(Y41,B$49:B$59,D$49:D$59)*Z41/12),0)</f>
        <v>0</v>
      </c>
      <c r="CH41" s="1542" t="n">
        <f aca="false">ROUND(IF(AA41="",0,LOOKUP(AA41,B$49:B$59,D$49:D$59)*AB41/12),0)</f>
        <v>0</v>
      </c>
      <c r="CI41" s="1538" t="n">
        <f aca="false">D41*BQ41</f>
        <v>0</v>
      </c>
      <c r="CJ41" s="1538" t="n">
        <f aca="false">D41*J41/324*(1+K$73)*G41</f>
        <v>0</v>
      </c>
      <c r="CK41" s="1538" t="str">
        <f aca="false">IF(N41="","",N41)</f>
        <v/>
      </c>
      <c r="CL41" s="1538" t="n">
        <f aca="false">P41*BQ41</f>
        <v>0</v>
      </c>
      <c r="CM41" s="1543"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544" t="n">
        <f aca="false">C41*D41</f>
        <v>0</v>
      </c>
      <c r="CQ41" s="656" t="n">
        <f aca="false">IF(I$79=0,0,D41*(SUM(O$79:P$82)+O$85)/I$79*BQ41)</f>
        <v>0</v>
      </c>
      <c r="CR41" s="656" t="n">
        <f aca="false">IF(CF41="",0,CF41*E$83)+IF(CG41="",0,CG41*E$83)+IF(CH41="",0,CH41*E$83)</f>
        <v>0</v>
      </c>
      <c r="CS41" s="656"/>
      <c r="CT41" s="1545"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546" t="n">
        <f aca="false">O$110/I$79*D41</f>
        <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569" t="n">
        <f aca="false">D41</f>
        <v>0</v>
      </c>
      <c r="DQ41" s="1430" t="str">
        <f aca="false">IF(AC41="","",LOOKUP(AC41,$B$49:$B$59,$S$49:$S$59)*AD41)</f>
        <v/>
      </c>
      <c r="DR41" s="1430" t="str">
        <f aca="false">IF(AE41="","",LOOKUP(AE41,$B$49:$B$59,$S$49:$S$59)*AF41)</f>
        <v/>
      </c>
      <c r="DS41" s="1430" t="str">
        <f aca="false">IF(AG41="","",LOOKUP(AG41,$B$49:$B$59,$S$49:$S$59)*AH41)</f>
        <v/>
      </c>
      <c r="DT41" s="1430" t="str">
        <f aca="false">IF(AI41="","",LOOKUP(AI41,$B$49:$B$59,$S$49:$S$59)*AJ41)</f>
        <v/>
      </c>
      <c r="DU41" s="1430" t="str">
        <f aca="false">IF(AK41="","",LOOKUP(AK41,$B$49:$B$59,$S$49:$S$59)*AL41)</f>
        <v/>
      </c>
      <c r="DV41" s="1430" t="str">
        <f aca="false">IF(AM41="","",LOOKUP(AM41,$B$49:$B$59,$S$49:$S$59)*AN41)</f>
        <v/>
      </c>
      <c r="DW41" s="1430" t="str">
        <f aca="false">IF(AO41="","",LOOKUP(AO41,$B$49:$B$59,$S$49:$S$59)*AP41)</f>
        <v/>
      </c>
      <c r="DX41" s="1535" t="n">
        <f aca="false">SUM(DQ41:DW41)-(D41-EF41)*(S$45-F41)/324</f>
        <v>0</v>
      </c>
      <c r="DY41" s="1430" t="str">
        <f aca="false">IF(AC41="","",LOOKUP(AC41,$B$49:$B$59,$T$49:$T$59)*AD41)</f>
        <v/>
      </c>
      <c r="DZ41" s="1430" t="str">
        <f aca="false">IF(AE41="","",LOOKUP(AE41,$B$49:$B$59,$T$49:$T$59)*AF41)</f>
        <v/>
      </c>
      <c r="EA41" s="1430" t="str">
        <f aca="false">IF(AG41="","",LOOKUP(AG41,$B$49:$B$59,$T$49:$T$59)*AH41)</f>
        <v/>
      </c>
      <c r="EB41" s="1430" t="str">
        <f aca="false">IF(AI41="","",LOOKUP(AI41,$B$49:$B$59,$T$49:$T$59)*AJ41)</f>
        <v/>
      </c>
      <c r="EC41" s="1430" t="str">
        <f aca="false">IF(AK41="","",LOOKUP(AK41,$B$49:$B$59,$T$49:$T$59)*AL41)</f>
        <v/>
      </c>
      <c r="ED41" s="1430" t="str">
        <f aca="false">IF(AM41="","",LOOKUP(AM41,$B$49:$B$59,$T$49:$T$59)*AN41)</f>
        <v/>
      </c>
      <c r="EE41" s="1430" t="str">
        <f aca="false">IF(AO41="","",LOOKUP(AO41,$B$49:$B$59,$T$49:$T$59)*AP41)</f>
        <v/>
      </c>
      <c r="EF41" s="1535" t="n">
        <f aca="false">SUM(DY41:EE41)</f>
        <v>0</v>
      </c>
    </row>
    <row r="42" customFormat="false" ht="34.5" hidden="false" customHeight="true" outlineLevel="0" collapsed="false">
      <c r="C42" s="5" t="s">
        <v>1587</v>
      </c>
      <c r="D42" s="1623" t="n">
        <f aca="false">CI42</f>
        <v>62723</v>
      </c>
      <c r="E42" s="1623"/>
      <c r="G42" s="405" t="n">
        <f aca="false">SUM(G10:G41)</f>
        <v>17</v>
      </c>
      <c r="H42" s="654"/>
      <c r="I42" s="654"/>
      <c r="J42" s="654"/>
      <c r="K42" s="1624" t="n">
        <f aca="false">SUM(K10:K41)</f>
        <v>4890</v>
      </c>
      <c r="L42" s="654"/>
      <c r="M42" s="654"/>
      <c r="N42" s="654"/>
      <c r="O42" s="1537" t="n">
        <f aca="false">SUM(O10:O41)</f>
        <v>0</v>
      </c>
      <c r="P42" s="654"/>
      <c r="Q42" s="1625" t="n">
        <f aca="false">SUM(Q10:Q41)</f>
        <v>2205.19586419753</v>
      </c>
      <c r="R42" s="1626" t="n">
        <f aca="false">S42-E45</f>
        <v>0</v>
      </c>
      <c r="S42" s="656" t="n">
        <f aca="false">SUM(S10:S41)</f>
        <v>808755.175867466</v>
      </c>
      <c r="T42" s="656"/>
      <c r="U42" s="1627" t="n">
        <f aca="false">SUM(U10:U41)</f>
        <v>44108.961344383</v>
      </c>
      <c r="V42" s="656"/>
      <c r="W42" s="1414"/>
      <c r="X42" s="1628" t="s">
        <v>1588</v>
      </c>
      <c r="Y42" s="1629"/>
      <c r="Z42" s="1537"/>
      <c r="AA42" s="1414"/>
      <c r="AB42" s="1414"/>
      <c r="AC42" s="1465"/>
      <c r="AD42" s="1630"/>
      <c r="AE42" s="246"/>
      <c r="AF42" s="246"/>
      <c r="AG42" s="1058"/>
      <c r="AH42" s="1058"/>
      <c r="AI42" s="1058"/>
      <c r="AJ42" s="1058"/>
      <c r="AK42" s="1058"/>
      <c r="AL42" s="726"/>
      <c r="AM42" s="1258"/>
      <c r="AN42" s="654"/>
      <c r="AO42" s="654"/>
      <c r="AP42" s="654"/>
      <c r="AQ42" s="654"/>
      <c r="AR42" s="654"/>
      <c r="AS42" s="654"/>
      <c r="AT42" s="654"/>
      <c r="AU42" s="654"/>
      <c r="AV42" s="654"/>
      <c r="AW42" s="654"/>
      <c r="AX42" s="654"/>
      <c r="AY42" s="654"/>
      <c r="AZ42" s="654"/>
      <c r="BA42" s="654"/>
      <c r="BB42" s="1536" t="n">
        <f aca="false">SUM(BB10:BB41)</f>
        <v>1384.37635802469</v>
      </c>
      <c r="BC42" s="654"/>
      <c r="BD42" s="654"/>
      <c r="BE42" s="654"/>
      <c r="BF42" s="654"/>
      <c r="BG42" s="654"/>
      <c r="BH42" s="654"/>
      <c r="BI42" s="654"/>
      <c r="BJ42" s="654"/>
      <c r="BK42" s="654"/>
      <c r="BL42" s="654"/>
      <c r="BM42" s="1536" t="n">
        <f aca="false">SUM(BM10:BM41)</f>
        <v>65771.0573365055</v>
      </c>
      <c r="BN42" s="1537" t="n">
        <f aca="false">SUM(BN10:BN41)</f>
        <v>66062.011344383</v>
      </c>
      <c r="BO42" s="1536" t="n">
        <f aca="false">SUM(BO10:BO41)</f>
        <v>290.9540078775</v>
      </c>
      <c r="BP42" s="654" t="n">
        <f aca="false">SUM(BP10:BP41)</f>
        <v>0</v>
      </c>
      <c r="BQ42" s="1538" t="n">
        <f aca="false">SUM(BQ10:BQ41)/2</f>
        <v>8.5</v>
      </c>
      <c r="BR42" s="1538" t="n">
        <f aca="false">SUM(BR10:BR41)</f>
        <v>0</v>
      </c>
      <c r="BS42" s="1430" t="n">
        <f aca="false">SUM(BS10:BS41)</f>
        <v>2205.19586419753</v>
      </c>
      <c r="BT42" s="1430" t="n">
        <f aca="false">SUM(BT10:BT41)</f>
        <v>0</v>
      </c>
      <c r="BU42" s="1430" t="n">
        <f aca="false">SUM(BU10:BU41)</f>
        <v>0</v>
      </c>
      <c r="BV42" s="1430" t="n">
        <f aca="false">SUM(BV10:BV41)</f>
        <v>0</v>
      </c>
      <c r="BW42" s="1430" t="n">
        <f aca="false">SUM(BW10:BW41)</f>
        <v>0</v>
      </c>
      <c r="BX42" s="1430" t="n">
        <f aca="false">SUM(BX10:BX41)</f>
        <v>0</v>
      </c>
      <c r="BY42" s="1430" t="n">
        <f aca="false">SUM(BY10:BY41)</f>
        <v>0</v>
      </c>
      <c r="BZ42" s="1430" t="n">
        <f aca="false">SUM(BZ10:BZ41)</f>
        <v>0</v>
      </c>
      <c r="CA42" s="1430" t="n">
        <f aca="false">SUM(CA10:CA41)</f>
        <v>0</v>
      </c>
      <c r="CB42" s="1430" t="n">
        <f aca="false">SUM(CB10:CB41)</f>
        <v>0</v>
      </c>
      <c r="CC42" s="1430" t="n">
        <f aca="false">SUM(CC10:CC41)</f>
        <v>2205.19586419753</v>
      </c>
      <c r="CD42" s="1430" t="n">
        <f aca="false">SUM(CD10:CD41)</f>
        <v>62723</v>
      </c>
      <c r="CE42" s="1430" t="n">
        <f aca="false">SUM(CE10:CE41)</f>
        <v>4890</v>
      </c>
      <c r="CF42" s="1430" t="n">
        <f aca="false">SUM(CF10:CF41)</f>
        <v>865</v>
      </c>
      <c r="CG42" s="1430" t="n">
        <f aca="false">SUM(CG10:CG41)</f>
        <v>0</v>
      </c>
      <c r="CH42" s="1537" t="n">
        <f aca="false">SUM(CH10:CH41)</f>
        <v>0</v>
      </c>
      <c r="CI42" s="1537" t="n">
        <f aca="false">SUM(CI10:CI41)</f>
        <v>62723</v>
      </c>
      <c r="CJ42" s="1537" t="n">
        <f aca="false">SUM(CJ10:CJ41)</f>
        <v>387.179012345679</v>
      </c>
      <c r="CK42" s="1537" t="n">
        <f aca="false">SUM(CK10:CK41)</f>
        <v>0</v>
      </c>
      <c r="CL42" s="1537" t="n">
        <f aca="false">SUM(CL10:CL41)</f>
        <v>66062.011344383</v>
      </c>
      <c r="CM42" s="1631" t="n">
        <f aca="false">SUM(CM10:CM41)</f>
        <v>703265.370319536</v>
      </c>
      <c r="CN42" s="1632" t="n">
        <f aca="false">SUM(CN10:CN41)</f>
        <v>319874.686081173</v>
      </c>
      <c r="CO42" s="1632" t="n">
        <f aca="false">SUM(CO10:CO41)</f>
        <v>42907.2763681767</v>
      </c>
      <c r="CP42" s="1633" t="n">
        <f aca="false">SUM(CP10:CP41)</f>
        <v>0</v>
      </c>
      <c r="CQ42" s="1634" t="n">
        <f aca="false">SUM(CQ10:CQ41)</f>
        <v>116037.55</v>
      </c>
      <c r="CR42" s="1634" t="n">
        <f aca="false">SUM(CR10:CR41)</f>
        <v>6920</v>
      </c>
      <c r="CS42" s="1634" t="n">
        <f aca="false">SUM(CS10:CS41)</f>
        <v>0</v>
      </c>
      <c r="CT42" s="1635" t="n">
        <f aca="false">SUM(CT10:CT41)</f>
        <v>8821.79226887659</v>
      </c>
      <c r="CU42" s="1635" t="n">
        <f aca="false">SUM(CU10:CU41)</f>
        <v>0</v>
      </c>
      <c r="CV42" s="1632" t="n">
        <f aca="false">SUM(CV10:CV41)</f>
        <v>19894.9515625</v>
      </c>
      <c r="CW42" s="1632" t="n">
        <f aca="false">SUM(CW10:CW41)</f>
        <v>50230.940697738</v>
      </c>
      <c r="CX42" s="1632" t="n">
        <f aca="false">SUM(CX10:CX41)</f>
        <v>30899.25</v>
      </c>
      <c r="CY42" s="1632" t="n">
        <f aca="false">SUM(CY10:CY41)</f>
        <v>35283.1338271605</v>
      </c>
      <c r="CZ42" s="1632" t="n">
        <f aca="false">SUM(CZ10:CZ41)</f>
        <v>4204.75711730589</v>
      </c>
      <c r="DA42" s="1632" t="n">
        <f aca="false">SUM(DA10:DA41)</f>
        <v>57713.000375</v>
      </c>
      <c r="DB42" s="1632" t="n">
        <f aca="false">SUM(DB10:DB41)</f>
        <v>0</v>
      </c>
      <c r="DC42" s="1632" t="n">
        <f aca="false">SUM(DC10:DC41)</f>
        <v>0</v>
      </c>
      <c r="DD42" s="1632" t="n">
        <f aca="false">SUM(DC10:DD41)</f>
        <v>10478.0320216049</v>
      </c>
      <c r="DE42" s="1636" t="n">
        <f aca="false">SUM(DE10:DE41)</f>
        <v>0</v>
      </c>
      <c r="DF42" s="1637" t="n">
        <f aca="false">SUM(DF10:DF41)</f>
        <v>1730</v>
      </c>
      <c r="DG42" s="1637" t="n">
        <f aca="false">SUM(DG10:DG41)</f>
        <v>0</v>
      </c>
      <c r="DH42" s="1637"/>
      <c r="DI42" s="1637" t="n">
        <f aca="false">SUM(DI10:DI41)</f>
        <v>25210.6666666667</v>
      </c>
      <c r="DJ42" s="1637" t="n">
        <f aca="false">SUM(DJ10:DJ41)</f>
        <v>45140</v>
      </c>
      <c r="DK42" s="1637" t="n">
        <f aca="false">SUM(DK10:DK41)</f>
        <v>4505</v>
      </c>
      <c r="DL42" s="1637" t="n">
        <f aca="false">SUM(DL10:DL41)</f>
        <v>0</v>
      </c>
      <c r="DM42" s="1637" t="n">
        <f aca="false">SUM(DM10:DM41)</f>
        <v>4426.66666666667</v>
      </c>
      <c r="DN42" s="1637" t="n">
        <f aca="false">SUM(DN10:DN41)</f>
        <v>0</v>
      </c>
      <c r="DO42" s="1637" t="n">
        <f aca="false">SUM(DO10:DO41)</f>
        <v>0</v>
      </c>
      <c r="DP42" s="1638" t="n">
        <f aca="false">SUM(DP10:DP41)</f>
        <v>62723</v>
      </c>
      <c r="DQ42" s="654"/>
      <c r="DR42" s="654"/>
      <c r="DS42" s="654"/>
      <c r="DT42" s="654"/>
      <c r="DU42" s="654"/>
      <c r="DV42" s="654"/>
      <c r="DW42" s="654"/>
      <c r="DX42" s="654"/>
      <c r="DY42" s="654"/>
    </row>
    <row r="43" customFormat="false" ht="19.5" hidden="false" customHeight="true" outlineLevel="0" collapsed="false">
      <c r="B43" s="949"/>
      <c r="C43" s="950"/>
      <c r="D43" s="951" t="s">
        <v>1261</v>
      </c>
      <c r="E43" s="1639"/>
      <c r="F43" s="1639"/>
      <c r="G43" s="950"/>
      <c r="H43" s="950"/>
      <c r="I43" s="950"/>
      <c r="J43" s="950"/>
      <c r="K43" s="950"/>
      <c r="L43" s="954"/>
      <c r="M43" s="950"/>
      <c r="N43" s="950"/>
      <c r="O43" s="950"/>
      <c r="P43" s="950"/>
      <c r="Q43" s="1640"/>
      <c r="R43" s="1640"/>
      <c r="S43" s="950"/>
      <c r="T43" s="950"/>
      <c r="U43" s="950"/>
      <c r="V43" s="950"/>
      <c r="W43" s="950"/>
      <c r="X43" s="950"/>
      <c r="Y43" s="950"/>
      <c r="Z43" s="1641"/>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03" t="n">
        <f aca="false">SUM(CN43:DE43)</f>
        <v>703265.370319536</v>
      </c>
      <c r="CN43" s="1003" t="n">
        <f aca="false">O65+O66+O69</f>
        <v>319874.686081173</v>
      </c>
      <c r="CO43" s="1003" t="n">
        <f aca="false">O70</f>
        <v>42907.2763681768</v>
      </c>
      <c r="CP43" s="1003" t="n">
        <f aca="false">O84</f>
        <v>0</v>
      </c>
      <c r="CQ43" s="1003" t="n">
        <f aca="false">SUM(O79:P85)-O83-O84+O88</f>
        <v>116037.55</v>
      </c>
      <c r="CR43" s="1003" t="n">
        <f aca="false">O83</f>
        <v>6920</v>
      </c>
      <c r="CS43" s="1003"/>
      <c r="CT43" s="1003" t="n">
        <f aca="false">O87</f>
        <v>8821.7922688766</v>
      </c>
      <c r="CU43" s="1003"/>
      <c r="CV43" s="1003" t="n">
        <f aca="false">M92+O94</f>
        <v>19894.9515625</v>
      </c>
      <c r="CW43" s="1003" t="n">
        <f aca="false">SUM(Z66:Z97)</f>
        <v>50230.940697738</v>
      </c>
      <c r="CX43" s="1003" t="n">
        <f aca="false">SUM(O96:P101)</f>
        <v>30899.25</v>
      </c>
      <c r="CY43" s="1003" t="n">
        <f aca="false">SUM(O103:P109)</f>
        <v>35283.1338271605</v>
      </c>
      <c r="CZ43" s="1003" t="n">
        <f aca="false">Z98+Z99+Z100+Z105+Z109</f>
        <v>4204.75711730589</v>
      </c>
      <c r="DA43" s="1003" t="n">
        <f aca="false">O72</f>
        <v>57713.000375</v>
      </c>
      <c r="DB43" s="1003" t="n">
        <f aca="false">O86</f>
        <v>0</v>
      </c>
      <c r="DC43" s="1003" t="n">
        <f aca="false">O71</f>
        <v>0</v>
      </c>
      <c r="DD43" s="1003" t="n">
        <f aca="false">O73</f>
        <v>10478.0320216049</v>
      </c>
      <c r="DE43" s="1003"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642" t="s">
        <v>1262</v>
      </c>
      <c r="C44" s="1643"/>
      <c r="D44" s="1643"/>
      <c r="E44" s="1642" t="s">
        <v>982</v>
      </c>
      <c r="F44" s="1644"/>
      <c r="G44" s="1643" t="s">
        <v>1263</v>
      </c>
      <c r="H44" s="1643"/>
      <c r="I44" s="1644"/>
      <c r="J44" s="1167" t="s">
        <v>1264</v>
      </c>
      <c r="K44" s="1168"/>
      <c r="L44" s="1169"/>
      <c r="M44" s="1170" t="s">
        <v>1265</v>
      </c>
      <c r="N44" s="1171"/>
      <c r="O44" s="1171"/>
      <c r="P44" s="1172"/>
      <c r="Q44" s="1645"/>
      <c r="R44" s="1646" t="n">
        <f aca="false">O107*(1+M45)</f>
        <v>0</v>
      </c>
      <c r="S44" s="1647" t="s">
        <v>1589</v>
      </c>
      <c r="T44" s="599" t="s">
        <v>1266</v>
      </c>
      <c r="V44" s="16" t="s">
        <v>1267</v>
      </c>
      <c r="W44" s="962" t="str">
        <f aca="false">Summary!P62</f>
        <v>N</v>
      </c>
      <c r="X44" s="833" t="s">
        <v>1268</v>
      </c>
      <c r="Y44" s="963" t="n">
        <f aca="false">Summary!R62</f>
        <v>0.0825</v>
      </c>
      <c r="Z44" s="964"/>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648" t="n">
        <f aca="false">CM42-CM43</f>
        <v>0</v>
      </c>
      <c r="CN44" s="1648" t="n">
        <f aca="false">CN42-CN43</f>
        <v>0</v>
      </c>
      <c r="CO44" s="1648" t="n">
        <f aca="false">CO42-CO43</f>
        <v>0</v>
      </c>
      <c r="CP44" s="1648" t="n">
        <f aca="false">CP42-CP43</f>
        <v>0</v>
      </c>
      <c r="CQ44" s="1648" t="n">
        <f aca="false">CQ42-CQ43</f>
        <v>0</v>
      </c>
      <c r="CR44" s="1648" t="n">
        <f aca="false">CR42-CR43</f>
        <v>0</v>
      </c>
      <c r="CS44" s="1648" t="n">
        <f aca="false">CS42-CS43</f>
        <v>0</v>
      </c>
      <c r="CT44" s="1648" t="n">
        <f aca="false">CT42-CT43</f>
        <v>0</v>
      </c>
      <c r="CU44" s="1648"/>
      <c r="CV44" s="1648" t="n">
        <f aca="false">CV42-CV43</f>
        <v>0</v>
      </c>
      <c r="CW44" s="1648" t="n">
        <f aca="false">CW42-CW43</f>
        <v>0</v>
      </c>
      <c r="CX44" s="1648" t="n">
        <f aca="false">CX42-CX43</f>
        <v>0</v>
      </c>
      <c r="CY44" s="1648" t="n">
        <f aca="false">CY42-CY43</f>
        <v>0</v>
      </c>
      <c r="CZ44" s="1648" t="n">
        <f aca="false">CZ42-CZ43</f>
        <v>0</v>
      </c>
      <c r="DA44" s="1648" t="n">
        <f aca="false">DA42-DA43</f>
        <v>0</v>
      </c>
      <c r="DB44" s="1648" t="n">
        <f aca="false">DB42-DB43</f>
        <v>0</v>
      </c>
      <c r="DC44" s="1648" t="n">
        <f aca="false">DC42-DC43</f>
        <v>0</v>
      </c>
      <c r="DD44" s="1648" t="n">
        <f aca="false">DD42-DD43</f>
        <v>0</v>
      </c>
      <c r="DE44" s="1648" t="n">
        <f aca="false">DE42-DE43</f>
        <v>0</v>
      </c>
      <c r="DF44" s="654"/>
      <c r="DG44" s="654"/>
      <c r="DH44" s="654"/>
      <c r="DI44" s="654"/>
      <c r="DJ44" s="654"/>
      <c r="DK44" s="654"/>
      <c r="DL44" s="654"/>
      <c r="DM44" s="654"/>
      <c r="DN44" s="654"/>
      <c r="DO44" s="654"/>
    </row>
    <row r="45" customFormat="false" ht="18" hidden="false" customHeight="true" outlineLevel="0" collapsed="false">
      <c r="B45" s="965" t="s">
        <v>1269</v>
      </c>
      <c r="C45" s="1649" t="n">
        <f aca="false">IF(I79=0,0,E45/I79)</f>
        <v>12.8940767480424</v>
      </c>
      <c r="D45" s="1649"/>
      <c r="E45" s="967" t="n">
        <f aca="false">(V45-O110)*(1+M45)</f>
        <v>808755.175867466</v>
      </c>
      <c r="F45" s="967"/>
      <c r="G45" s="1650" t="n">
        <f aca="false">IF(H45=0,0,H45/E45)</f>
        <v>0.130434782608696</v>
      </c>
      <c r="H45" s="736" t="n">
        <f aca="false">(E45-V45)</f>
        <v>105489.80554793</v>
      </c>
      <c r="I45" s="736"/>
      <c r="J45" s="1651" t="n">
        <f aca="false">IF(D42=0,0,V45/D42)</f>
        <v>11.2122406504717</v>
      </c>
      <c r="K45" s="1652"/>
      <c r="L45" s="1653"/>
      <c r="M45" s="1654" t="n">
        <v>0.15</v>
      </c>
      <c r="N45" s="1655"/>
      <c r="O45" s="1655"/>
      <c r="P45" s="1656"/>
      <c r="Q45" s="1645"/>
      <c r="R45" s="1646"/>
      <c r="S45" s="1657" t="n">
        <v>10</v>
      </c>
      <c r="T45" s="970" t="s">
        <v>980</v>
      </c>
      <c r="V45" s="1658" t="n">
        <f aca="false">SUM(O65:P77)+SUM(O79:P88)+SUM(L79:M88)+SUM(O91:P93)+SUM(O96:P101)+SUM(O103:P110)+Z110+O94</f>
        <v>703265.370319536</v>
      </c>
      <c r="W45" s="1658"/>
      <c r="X45" s="1659"/>
      <c r="Y45" s="16"/>
      <c r="Z45" s="964"/>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03" t="n">
        <f aca="false">CM42*(1+M45)</f>
        <v>808755.175867466</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660"/>
      <c r="C46" s="955"/>
      <c r="D46" s="1661" t="str">
        <f aca="false">IF(ROUND(E46,0)=0,"BINGO!!",IF(ROUND(E46,0)&lt;0,"To Low","T0 High"))</f>
        <v>T0 High</v>
      </c>
      <c r="E46" s="1662" t="n">
        <f aca="false">E45-E43</f>
        <v>808755.175867466</v>
      </c>
      <c r="F46" s="1662"/>
      <c r="G46" s="1663"/>
      <c r="H46" s="1663"/>
      <c r="I46" s="976" t="s">
        <v>1270</v>
      </c>
      <c r="J46" s="977"/>
      <c r="K46" s="1664"/>
      <c r="L46" s="1664"/>
      <c r="M46" s="979"/>
      <c r="N46" s="980" t="n">
        <f aca="false">IF(K46&gt;0,(K46-E45)/(1+M45),0)</f>
        <v>0</v>
      </c>
      <c r="O46" s="1665"/>
      <c r="P46" s="961"/>
      <c r="Q46" s="1645"/>
      <c r="R46" s="1645"/>
      <c r="S46" s="1265"/>
      <c r="T46" s="1666"/>
      <c r="U46" s="961"/>
      <c r="V46" s="1667" t="n">
        <f aca="false">D119</f>
        <v>703265.370319536</v>
      </c>
      <c r="W46" s="1667"/>
      <c r="X46" s="1668" t="n">
        <f aca="false">V45-V46</f>
        <v>0</v>
      </c>
      <c r="Y46" s="961"/>
      <c r="Z46" s="964"/>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669"/>
      <c r="C47" s="1068" t="s">
        <v>1356</v>
      </c>
      <c r="D47" s="1068"/>
      <c r="E47" s="1670" t="s">
        <v>1357</v>
      </c>
      <c r="F47" s="1671"/>
      <c r="G47" s="1670" t="s">
        <v>1590</v>
      </c>
      <c r="H47" s="1671"/>
      <c r="I47" s="1670" t="s">
        <v>1359</v>
      </c>
      <c r="J47" s="1671"/>
      <c r="K47" s="1670" t="s">
        <v>1360</v>
      </c>
      <c r="L47" s="1671"/>
      <c r="M47" s="1670" t="s">
        <v>1361</v>
      </c>
      <c r="N47" s="1202"/>
      <c r="O47" s="865"/>
      <c r="P47" s="1452" t="s">
        <v>1591</v>
      </c>
      <c r="Q47" s="1672"/>
      <c r="R47" s="1452" t="s">
        <v>1592</v>
      </c>
      <c r="S47" s="1673"/>
      <c r="U47" s="1674" t="n">
        <f aca="false">IF(I79=0,0,I79/SUM(L65:L69))</f>
        <v>28.4432784490211</v>
      </c>
      <c r="V47" s="1675" t="s">
        <v>1593</v>
      </c>
      <c r="W47" s="1435" t="n">
        <f aca="false">SUM(Z49:Z58)*(1+K70)</f>
        <v>0</v>
      </c>
      <c r="X47" s="654" t="s">
        <v>612</v>
      </c>
      <c r="Y47" s="1414" t="n">
        <f aca="false">W47/25</f>
        <v>0</v>
      </c>
      <c r="Z47" s="1414"/>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430"/>
      <c r="CU47" s="1430"/>
      <c r="CV47" s="1430"/>
      <c r="CW47" s="1430"/>
      <c r="CX47" s="1430"/>
      <c r="CY47" s="1676"/>
      <c r="CZ47" s="1469"/>
      <c r="DA47" s="1469"/>
      <c r="DB47" s="1469" t="s">
        <v>1594</v>
      </c>
      <c r="DC47" s="1677" t="n">
        <f aca="false">SUM(DF42:DP42)</f>
        <v>143735.333333333</v>
      </c>
      <c r="DD47" s="1469" t="s">
        <v>1418</v>
      </c>
      <c r="DE47" s="1469"/>
      <c r="DF47" s="1469"/>
      <c r="DG47" s="1469"/>
      <c r="DH47" s="1470"/>
      <c r="DI47" s="654"/>
      <c r="DJ47" s="654"/>
      <c r="DK47" s="654"/>
      <c r="DL47" s="654"/>
      <c r="DM47" s="654"/>
      <c r="DN47" s="654"/>
      <c r="DO47" s="654"/>
    </row>
    <row r="48" customFormat="false" ht="42.75" hidden="false" customHeight="true" outlineLevel="0" collapsed="false">
      <c r="B48" s="1678" t="s">
        <v>1595</v>
      </c>
      <c r="C48" s="1226" t="s">
        <v>1367</v>
      </c>
      <c r="D48" s="1225" t="s">
        <v>1596</v>
      </c>
      <c r="E48" s="1226" t="s">
        <v>1369</v>
      </c>
      <c r="F48" s="1225" t="s">
        <v>1215</v>
      </c>
      <c r="G48" s="1226" t="s">
        <v>1369</v>
      </c>
      <c r="H48" s="1225" t="s">
        <v>1215</v>
      </c>
      <c r="I48" s="1226" t="s">
        <v>1369</v>
      </c>
      <c r="J48" s="1225" t="s">
        <v>1215</v>
      </c>
      <c r="K48" s="1226" t="s">
        <v>1215</v>
      </c>
      <c r="L48" s="1679" t="s">
        <v>1216</v>
      </c>
      <c r="M48" s="1226" t="s">
        <v>1215</v>
      </c>
      <c r="N48" s="1227" t="s">
        <v>1597</v>
      </c>
      <c r="O48" s="1680" t="s">
        <v>1598</v>
      </c>
      <c r="P48" s="1480" t="s">
        <v>1599</v>
      </c>
      <c r="Q48" s="1681"/>
      <c r="R48" s="1480" t="s">
        <v>998</v>
      </c>
      <c r="S48" s="1682" t="s">
        <v>1600</v>
      </c>
      <c r="T48" s="1683" t="s">
        <v>1601</v>
      </c>
      <c r="U48" s="1684" t="s">
        <v>1602</v>
      </c>
      <c r="V48" s="1684"/>
      <c r="W48" s="1301" t="s">
        <v>1259</v>
      </c>
      <c r="X48" s="1302" t="s">
        <v>1215</v>
      </c>
      <c r="Y48" s="1303" t="s">
        <v>1369</v>
      </c>
      <c r="Z48" s="1304" t="s">
        <v>1414</v>
      </c>
      <c r="AS48" s="16" t="s">
        <v>1603</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411"/>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536" t="n">
        <f aca="false">CO42-CC47</f>
        <v>42907.2763681767</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c r="DQ48" s="654"/>
      <c r="DR48" s="654"/>
      <c r="DS48" s="654"/>
      <c r="DT48" s="654"/>
      <c r="DU48" s="654"/>
      <c r="DV48" s="654"/>
      <c r="DW48" s="654"/>
      <c r="DX48" s="654"/>
      <c r="DY48" s="654"/>
      <c r="DZ48" s="654"/>
      <c r="EA48" s="654"/>
    </row>
    <row r="49" customFormat="false" ht="19.5" hidden="false" customHeight="true" outlineLevel="0" collapsed="false">
      <c r="B49" s="1685" t="n">
        <v>1</v>
      </c>
      <c r="C49" s="1686" t="n">
        <v>12</v>
      </c>
      <c r="D49" s="895" t="n">
        <v>32</v>
      </c>
      <c r="E49" s="528" t="n">
        <v>2</v>
      </c>
      <c r="F49" s="1582" t="n">
        <v>5</v>
      </c>
      <c r="G49" s="528"/>
      <c r="H49" s="895"/>
      <c r="I49" s="528"/>
      <c r="J49" s="895"/>
      <c r="K49" s="528" t="n">
        <v>3</v>
      </c>
      <c r="L49" s="895" t="n">
        <v>24</v>
      </c>
      <c r="M49" s="1686"/>
      <c r="N49" s="528"/>
      <c r="O49" s="1575"/>
      <c r="P49" s="1687" t="n">
        <f aca="false">IF(C49=0,0,(E49*F49/16*F49/16*10.680159)+((G49*H49/16*H49/16*10.680159)+(I49*2*J49/16*J49/16*10.680159)+IF(L49=0,0,((K49/16*K49/16)*3.145*0.2836*((((C49*2))+(D49*2))*12/L49))))+(M49/16*M49/16*10.680159*(12/IF(N49=0,1,N49))*O49))*(1+K$70)</f>
        <v>3.81222643828125</v>
      </c>
      <c r="Q49" s="1688"/>
      <c r="R49" s="1689" t="n">
        <f aca="false">(C49/12*D49/324)*(1+K$65)</f>
        <v>0.104691358024691</v>
      </c>
      <c r="S49" s="1690" t="n">
        <f aca="false">(C49/12*(D49-S$45)/324)</f>
        <v>0.0679012345679012</v>
      </c>
      <c r="T49" s="264" t="n">
        <f aca="false">C49/12</f>
        <v>1</v>
      </c>
      <c r="U49" s="1691" t="n">
        <f aca="false">IF(I79=0,0,L70/I79)</f>
        <v>1.05323424173561</v>
      </c>
      <c r="V49" s="1691"/>
      <c r="W49" s="149"/>
      <c r="X49" s="150"/>
      <c r="Y49" s="151"/>
      <c r="Z49" s="152" t="n">
        <f aca="false">W49*(X49*X49*0.04180884375)*Y49</f>
        <v>0</v>
      </c>
      <c r="AA49" s="360" t="n">
        <f aca="false">SUM(Z49:Z58)*1.1</f>
        <v>0</v>
      </c>
      <c r="AS49" s="16" t="n">
        <f aca="false">D49*2/12</f>
        <v>5.33333333333333</v>
      </c>
    </row>
    <row r="50" customFormat="false" ht="19.5" hidden="false" customHeight="true" outlineLevel="0" collapsed="false">
      <c r="B50" s="1692" t="n">
        <v>2</v>
      </c>
      <c r="C50" s="1686" t="n">
        <v>10</v>
      </c>
      <c r="D50" s="895" t="n">
        <v>30</v>
      </c>
      <c r="E50" s="528" t="n">
        <v>2</v>
      </c>
      <c r="F50" s="1582" t="n">
        <v>5</v>
      </c>
      <c r="G50" s="528"/>
      <c r="H50" s="895"/>
      <c r="I50" s="528"/>
      <c r="J50" s="895"/>
      <c r="K50" s="528" t="n">
        <v>3</v>
      </c>
      <c r="L50" s="895" t="n">
        <v>24</v>
      </c>
      <c r="M50" s="1686"/>
      <c r="N50" s="528"/>
      <c r="O50" s="1574"/>
      <c r="P50" s="1687" t="n">
        <f aca="false">IF(C50=0,0,(E50*F50/16*F50/16*10.680159)+((G50*H50/16*H50/16*10.680159)+(I50*2*J50/16*J50/16*10.680159)+IF(L50=0,0,((K50/16*K50/16)*3.145*0.2836*((((C50*2))+(D50*2))*12/L50))))+(M50/16*M50/16*10.680159*(12/IF(N50=0,1,N50))*O50))*(1+K$70)</f>
        <v>3.67425725390625</v>
      </c>
      <c r="Q50" s="1688"/>
      <c r="R50" s="1693" t="n">
        <f aca="false">(C50/12*D50/324)*(1+K$65)</f>
        <v>0.0817901234567901</v>
      </c>
      <c r="S50" s="1690" t="n">
        <f aca="false">(C50/12*(D50-S$45)/324)</f>
        <v>0.051440329218107</v>
      </c>
      <c r="T50" s="264" t="n">
        <f aca="false">C50/12</f>
        <v>0.833333333333333</v>
      </c>
      <c r="U50" s="1691"/>
      <c r="V50" s="1691"/>
      <c r="W50" s="149"/>
      <c r="X50" s="150"/>
      <c r="Y50" s="151"/>
      <c r="Z50" s="152" t="n">
        <f aca="false">W50*(X50*X50*0.04180884375)*Y50</f>
        <v>0</v>
      </c>
      <c r="AS50" s="16" t="n">
        <f aca="false">D50*2/12</f>
        <v>5</v>
      </c>
    </row>
    <row r="51" customFormat="false" ht="19.5" hidden="false" customHeight="true" outlineLevel="0" collapsed="false">
      <c r="B51" s="1685" t="n">
        <v>3</v>
      </c>
      <c r="C51" s="1686" t="n">
        <v>10</v>
      </c>
      <c r="D51" s="895" t="n">
        <v>30</v>
      </c>
      <c r="E51" s="528" t="n">
        <v>2</v>
      </c>
      <c r="F51" s="895" t="n">
        <v>5</v>
      </c>
      <c r="G51" s="528" t="n">
        <v>2</v>
      </c>
      <c r="H51" s="895" t="n">
        <v>5</v>
      </c>
      <c r="I51" s="528"/>
      <c r="J51" s="895"/>
      <c r="K51" s="528" t="n">
        <v>3</v>
      </c>
      <c r="L51" s="895" t="n">
        <v>16</v>
      </c>
      <c r="M51" s="1686"/>
      <c r="N51" s="528"/>
      <c r="O51" s="1574"/>
      <c r="P51" s="1687" t="n">
        <f aca="false">IF(C51=0,0,(E51*F51/16*F51/16*10.680159)+((G51*H51/16*H51/16*10.680159)+(I51*2*J51/16*J51/16*10.680159)+IF(L51=0,0,((K51/16*K51/16)*3.145*0.2836*((((C51*2))+(D51*2))*12/L51))))+(M51/16*M51/16*10.680159*(12/IF(N51=0,1,N51))*O51))*(1+K$70)</f>
        <v>6.6586685859375</v>
      </c>
      <c r="Q51" s="1688"/>
      <c r="R51" s="1693" t="n">
        <f aca="false">(C51/12*D51/324)*(1+K$65)</f>
        <v>0.0817901234567901</v>
      </c>
      <c r="S51" s="1690" t="n">
        <f aca="false">(C51/12*(D51-S$45)/324)</f>
        <v>0.051440329218107</v>
      </c>
      <c r="T51" s="264" t="n">
        <f aca="false">C51/12</f>
        <v>0.833333333333333</v>
      </c>
      <c r="U51" s="1694" t="s">
        <v>1604</v>
      </c>
      <c r="V51" s="1694"/>
      <c r="W51" s="149"/>
      <c r="X51" s="150"/>
      <c r="Y51" s="151"/>
      <c r="Z51" s="152" t="n">
        <f aca="false">W51*(X51*X51*0.04180884375)*Y51</f>
        <v>0</v>
      </c>
      <c r="AS51" s="16" t="n">
        <f aca="false">D51*2/12</f>
        <v>5</v>
      </c>
    </row>
    <row r="52" customFormat="false" ht="19.5" hidden="false" customHeight="true" outlineLevel="0" collapsed="false">
      <c r="B52" s="1685" t="n">
        <v>4</v>
      </c>
      <c r="C52" s="1686" t="n">
        <v>36</v>
      </c>
      <c r="D52" s="895" t="n">
        <v>12</v>
      </c>
      <c r="E52" s="528" t="n">
        <v>2</v>
      </c>
      <c r="F52" s="895" t="n">
        <v>5</v>
      </c>
      <c r="G52" s="528"/>
      <c r="H52" s="895"/>
      <c r="I52" s="528"/>
      <c r="J52" s="895"/>
      <c r="K52" s="528" t="n">
        <v>3</v>
      </c>
      <c r="L52" s="895" t="n">
        <v>24</v>
      </c>
      <c r="M52" s="1686"/>
      <c r="N52" s="528"/>
      <c r="O52" s="1574"/>
      <c r="P52" s="1687" t="n">
        <f aca="false">IF(C52=0,0,(E52*F52/16*F52/16*10.680159)+((G52*H52/16*H52/16*10.680159)+(I52*2*J52/16*J52/16*10.680159)+IF(L52=0,0,((K52/16*K52/16)*3.145*0.2836*((((C52*2))+(D52*2))*12/L52))))+(M52/16*M52/16*10.680159*(12/IF(N52=0,1,N52))*O52))*(1+K$70)</f>
        <v>3.95019562265625</v>
      </c>
      <c r="Q52" s="1688"/>
      <c r="R52" s="1693" t="n">
        <f aca="false">(C52/12*D52/324)*(1+K$65)</f>
        <v>0.117777777777778</v>
      </c>
      <c r="S52" s="1690" t="n">
        <f aca="false">(C52/12*(D52-S$45)/324)</f>
        <v>0.0185185185185185</v>
      </c>
      <c r="T52" s="264" t="n">
        <f aca="false">C52/12</f>
        <v>3</v>
      </c>
      <c r="U52" s="1695" t="n">
        <f aca="false">Summary!M16</f>
        <v>5.09979889484197</v>
      </c>
      <c r="V52" s="1695"/>
      <c r="W52" s="149"/>
      <c r="X52" s="150"/>
      <c r="Y52" s="151"/>
      <c r="Z52" s="152" t="n">
        <f aca="false">W52*(X52*X52*0.04180884375)*Y52</f>
        <v>0</v>
      </c>
      <c r="AS52" s="16" t="n">
        <f aca="false">D52*2/12</f>
        <v>2</v>
      </c>
    </row>
    <row r="53" customFormat="false" ht="19.5" hidden="false" customHeight="true" outlineLevel="0" collapsed="false">
      <c r="B53" s="1685" t="n">
        <v>5</v>
      </c>
      <c r="C53" s="1686" t="n">
        <v>6</v>
      </c>
      <c r="D53" s="895" t="n">
        <v>32</v>
      </c>
      <c r="E53" s="528" t="n">
        <v>2</v>
      </c>
      <c r="F53" s="895" t="n">
        <v>5</v>
      </c>
      <c r="G53" s="528"/>
      <c r="H53" s="895"/>
      <c r="I53" s="528"/>
      <c r="J53" s="895"/>
      <c r="K53" s="528" t="n">
        <v>3</v>
      </c>
      <c r="L53" s="895" t="n">
        <v>16</v>
      </c>
      <c r="M53" s="1686"/>
      <c r="N53" s="528"/>
      <c r="O53" s="1574"/>
      <c r="P53" s="1687" t="n">
        <f aca="false">IF(C53=0,0,(E53*F53/16*F53/16*10.680159)+((G53*H53/16*H53/16*10.680159)+(I53*2*J53/16*J53/16*10.680159)+IF(L53=0,0,((K53/16*K53/16)*3.145*0.2836*((((C53*2))+(D53*2))*12/L53))))+(M53/16*M53/16*10.680159*(12/IF(N53=0,1,N53))*O53))*(1+K$70)</f>
        <v>4.2606262875</v>
      </c>
      <c r="Q53" s="1688"/>
      <c r="R53" s="1693" t="n">
        <f aca="false">(C53/12*D53/324)*(1+K$65)</f>
        <v>0.0523456790123457</v>
      </c>
      <c r="S53" s="1690" t="n">
        <f aca="false">(C53/12*(D53-S$45)/324)</f>
        <v>0.0339506172839506</v>
      </c>
      <c r="T53" s="264" t="n">
        <f aca="false">C53/12</f>
        <v>0.5</v>
      </c>
      <c r="U53" s="1695"/>
      <c r="V53" s="1695"/>
      <c r="W53" s="1322"/>
      <c r="X53" s="1323"/>
      <c r="Y53" s="1324"/>
      <c r="Z53" s="1325" t="n">
        <f aca="false">W53*(X53*X53*0.04180884375)*Y53</f>
        <v>0</v>
      </c>
      <c r="AS53" s="16" t="n">
        <f aca="false">D53*2/12</f>
        <v>5.33333333333333</v>
      </c>
    </row>
    <row r="54" customFormat="false" ht="19.5" hidden="false" customHeight="true" outlineLevel="0" collapsed="false">
      <c r="B54" s="1685" t="n">
        <v>6</v>
      </c>
      <c r="C54" s="1686" t="n">
        <v>12</v>
      </c>
      <c r="D54" s="895" t="n">
        <v>30</v>
      </c>
      <c r="E54" s="528" t="n">
        <v>2</v>
      </c>
      <c r="F54" s="1582" t="n">
        <v>5</v>
      </c>
      <c r="G54" s="1686" t="n">
        <v>2</v>
      </c>
      <c r="H54" s="895" t="n">
        <v>5</v>
      </c>
      <c r="I54" s="528"/>
      <c r="J54" s="895"/>
      <c r="K54" s="528" t="n">
        <v>3</v>
      </c>
      <c r="L54" s="895" t="n">
        <v>16</v>
      </c>
      <c r="M54" s="1686"/>
      <c r="N54" s="1696"/>
      <c r="O54" s="1574"/>
      <c r="P54" s="1687" t="n">
        <f aca="false">IF(C54=0,0,(E54*F54/16*F54/16*10.680159)+((G54*H54/16*H54/16*10.680159)+(I54*2*J54/16*J54/16*10.680159)+IF(L54=0,0,((K54/16*K54/16)*3.145*0.2836*((((C54*2))+(D54*2))*12/L54))))+(M54/16*M54/16*10.680159*(12/IF(N54=0,1,N54))*O54))*(1+K$70)</f>
        <v>6.76214547421875</v>
      </c>
      <c r="Q54" s="1688"/>
      <c r="R54" s="1693" t="n">
        <f aca="false">(C54/12*D54/324)*(1+K$65)</f>
        <v>0.0981481481481482</v>
      </c>
      <c r="S54" s="1690" t="n">
        <f aca="false">(C54/12*(D54-S$45)/324)</f>
        <v>0.0617283950617284</v>
      </c>
      <c r="T54" s="264" t="n">
        <f aca="false">C54/12</f>
        <v>1</v>
      </c>
      <c r="W54" s="149"/>
      <c r="X54" s="150"/>
      <c r="Y54" s="151"/>
      <c r="Z54" s="152" t="n">
        <f aca="false">W54*(X54*X54*0.04180884375)*Y54</f>
        <v>0</v>
      </c>
      <c r="AS54" s="16" t="n">
        <f aca="false">D54*2/12</f>
        <v>5</v>
      </c>
    </row>
    <row r="55" customFormat="false" ht="19.5" hidden="false" customHeight="true" outlineLevel="0" collapsed="false">
      <c r="B55" s="1685" t="n">
        <v>7</v>
      </c>
      <c r="C55" s="1686" t="n">
        <v>12</v>
      </c>
      <c r="D55" s="895" t="n">
        <v>18</v>
      </c>
      <c r="E55" s="528" t="n">
        <v>2</v>
      </c>
      <c r="F55" s="1582" t="n">
        <v>5</v>
      </c>
      <c r="G55" s="528"/>
      <c r="H55" s="895"/>
      <c r="I55" s="528"/>
      <c r="J55" s="895"/>
      <c r="K55" s="528" t="n">
        <v>3</v>
      </c>
      <c r="L55" s="895" t="n">
        <v>16</v>
      </c>
      <c r="M55" s="1686"/>
      <c r="N55" s="1696"/>
      <c r="O55" s="1574"/>
      <c r="P55" s="1687" t="n">
        <f aca="false">IF(C55=0,0,(E55*F55/16*F55/16*10.680159)+((G55*H55/16*H55/16*10.680159)+(I55*2*J55/16*J55/16*10.680159)+IF(L55=0,0,((K55/16*K55/16)*3.145*0.2836*((((C55*2))+(D55*2))*12/L55))))+(M55/16*M55/16*10.680159*(12/IF(N55=0,1,N55))*O55))*(1+K$70)</f>
        <v>3.846718734375</v>
      </c>
      <c r="Q55" s="1688"/>
      <c r="R55" s="1693" t="n">
        <f aca="false">(C55/12*D55/324)*(1+K$65)</f>
        <v>0.0588888888888889</v>
      </c>
      <c r="S55" s="1690" t="n">
        <f aca="false">(C55/12*(D55-S$45)/324)</f>
        <v>0.0246913580246914</v>
      </c>
      <c r="T55" s="264" t="n">
        <f aca="false">C55/12</f>
        <v>1</v>
      </c>
      <c r="W55" s="149"/>
      <c r="X55" s="150"/>
      <c r="Y55" s="151"/>
      <c r="Z55" s="152" t="n">
        <f aca="false">W55*(X55*X55*0.04180884375)*Y55</f>
        <v>0</v>
      </c>
      <c r="AS55" s="16" t="n">
        <f aca="false">D55*2/12</f>
        <v>3</v>
      </c>
    </row>
    <row r="56" customFormat="false" ht="19.5" hidden="false" customHeight="true" outlineLevel="0" collapsed="false">
      <c r="B56" s="1685" t="n">
        <v>8</v>
      </c>
      <c r="C56" s="1686" t="n">
        <v>12</v>
      </c>
      <c r="D56" s="895" t="n">
        <v>30</v>
      </c>
      <c r="E56" s="528" t="n">
        <v>2</v>
      </c>
      <c r="F56" s="895" t="n">
        <v>5</v>
      </c>
      <c r="G56" s="528" t="n">
        <v>2</v>
      </c>
      <c r="H56" s="895" t="n">
        <v>5</v>
      </c>
      <c r="I56" s="528"/>
      <c r="J56" s="895"/>
      <c r="K56" s="528" t="n">
        <v>3</v>
      </c>
      <c r="L56" s="895" t="n">
        <v>16</v>
      </c>
      <c r="M56" s="1686"/>
      <c r="N56" s="528"/>
      <c r="O56" s="1574"/>
      <c r="P56" s="1687" t="n">
        <f aca="false">IF(C56=0,0,(E56*F56/16*F56/16*10.680159)+((G56*H56/16*H56/16*10.680159)+(I56*2*J56/16*J56/16*10.680159)+IF(L56=0,0,((K56/16*K56/16)*3.145*0.2836*((((C56*2))+(D56*2))*12/L56))))+(M56/16*M56/16*10.680159*(12/IF(N56=0,1,N56))*O56))*(1+K$70)</f>
        <v>6.76214547421875</v>
      </c>
      <c r="Q56" s="1688"/>
      <c r="R56" s="1693" t="n">
        <f aca="false">(C56/12*D56/324)*(1+K$65)</f>
        <v>0.0981481481481482</v>
      </c>
      <c r="S56" s="1690" t="n">
        <f aca="false">(C56/12*(D56-S$45)/324)</f>
        <v>0.0617283950617284</v>
      </c>
      <c r="T56" s="264" t="n">
        <f aca="false">C56/12</f>
        <v>1</v>
      </c>
      <c r="U56" s="16" t="n">
        <f aca="false">1718/60</f>
        <v>28.6333333333333</v>
      </c>
      <c r="W56" s="149"/>
      <c r="X56" s="150"/>
      <c r="Y56" s="151"/>
      <c r="Z56" s="152" t="n">
        <f aca="false">W56*(X56*X56*0.04180884375)*Y56</f>
        <v>0</v>
      </c>
      <c r="AS56" s="16" t="n">
        <f aca="false">D56*2/12</f>
        <v>5</v>
      </c>
    </row>
    <row r="57" customFormat="false" ht="19.5" hidden="false" customHeight="true" outlineLevel="0" collapsed="false">
      <c r="B57" s="1685" t="n">
        <v>9</v>
      </c>
      <c r="C57" s="1686" t="n">
        <v>12</v>
      </c>
      <c r="D57" s="895" t="n">
        <v>12</v>
      </c>
      <c r="E57" s="528" t="n">
        <v>2</v>
      </c>
      <c r="F57" s="895" t="n">
        <v>5</v>
      </c>
      <c r="G57" s="528" t="n">
        <v>2</v>
      </c>
      <c r="H57" s="895" t="n">
        <v>5</v>
      </c>
      <c r="I57" s="528"/>
      <c r="J57" s="895"/>
      <c r="K57" s="528" t="n">
        <v>3</v>
      </c>
      <c r="L57" s="895" t="n">
        <v>16</v>
      </c>
      <c r="M57" s="1686"/>
      <c r="N57" s="528"/>
      <c r="O57" s="1574"/>
      <c r="P57" s="1687" t="n">
        <f aca="false">IF(C57=0,0,(E57*F57/16*F57/16*10.680159)+((G57*H57/16*H57/16*10.680159)+(I57*2*J57/16*J57/16*10.680159)+IF(L57=0,0,((K57/16*K57/16)*3.145*0.2836*((((C57*2))+(D57*2))*12/L57))))+(M57/16*M57/16*10.680159*(12/IF(N57=0,1,N57))*O57))*(1+K$70)</f>
        <v>5.8308534796875</v>
      </c>
      <c r="Q57" s="1688"/>
      <c r="R57" s="1693" t="n">
        <f aca="false">(C57/12*D57/324)*(1+K$65)</f>
        <v>0.0392592592592593</v>
      </c>
      <c r="S57" s="1690" t="n">
        <f aca="false">(C57/12*(D57-S$45)/324)</f>
        <v>0.00617283950617284</v>
      </c>
      <c r="T57" s="264" t="n">
        <f aca="false">C57/12</f>
        <v>1</v>
      </c>
      <c r="W57" s="1335"/>
      <c r="X57" s="150"/>
      <c r="Y57" s="151"/>
      <c r="Z57" s="152" t="n">
        <f aca="false">W57*(X57*X57*0.04180884375)*Y57</f>
        <v>0</v>
      </c>
      <c r="AS57" s="16" t="n">
        <f aca="false">D57*2/12</f>
        <v>2</v>
      </c>
    </row>
    <row r="58" customFormat="false" ht="19.5" hidden="false" customHeight="true" outlineLevel="0" collapsed="false">
      <c r="B58" s="1685" t="n">
        <v>10</v>
      </c>
      <c r="C58" s="1686" t="n">
        <v>12</v>
      </c>
      <c r="D58" s="895" t="n">
        <v>12</v>
      </c>
      <c r="E58" s="528" t="n">
        <v>2</v>
      </c>
      <c r="F58" s="895" t="n">
        <v>5</v>
      </c>
      <c r="G58" s="528"/>
      <c r="H58" s="895"/>
      <c r="I58" s="528"/>
      <c r="J58" s="895"/>
      <c r="K58" s="528"/>
      <c r="L58" s="895"/>
      <c r="M58" s="1686"/>
      <c r="N58" s="528"/>
      <c r="O58" s="1574"/>
      <c r="P58" s="1687" t="n">
        <f aca="false">IF(C58=0,0,(E58*F58/16*F58/16*10.680159)+((G58*H58/16*H58/16*10.680159)+(I58*2*J58/16*J58/16*10.680159)+IF(L58=0,0,((K58/16*K58/16)*3.145*0.2836*((((C58*2))+(D58*2))*12/L58))))+(M58/16*M58/16*10.680159*(12/IF(N58=0,1,N58))*O58))*(1+K$70)</f>
        <v>2.29456541015625</v>
      </c>
      <c r="Q58" s="1688"/>
      <c r="R58" s="1693" t="n">
        <f aca="false">(C58/12*D58/324)*(1+K$65)</f>
        <v>0.0392592592592593</v>
      </c>
      <c r="S58" s="1690" t="n">
        <f aca="false">(C58/12*(D58-S$45)/324)</f>
        <v>0.00617283950617284</v>
      </c>
      <c r="T58" s="264" t="n">
        <f aca="false">C58/12</f>
        <v>1</v>
      </c>
      <c r="W58" s="1322"/>
      <c r="X58" s="1323"/>
      <c r="Y58" s="1324"/>
      <c r="Z58" s="1325" t="n">
        <f aca="false">W58*(X58*X58*0.04180884375)*Y58</f>
        <v>0</v>
      </c>
      <c r="AS58" s="16" t="n">
        <f aca="false">D58*2/12</f>
        <v>2</v>
      </c>
    </row>
    <row r="59" customFormat="false" ht="19.5" hidden="false" customHeight="true" outlineLevel="0" collapsed="false">
      <c r="B59" s="1697" t="n">
        <v>11</v>
      </c>
      <c r="C59" s="1555"/>
      <c r="D59" s="1556"/>
      <c r="E59" s="1559"/>
      <c r="F59" s="1556"/>
      <c r="G59" s="1559"/>
      <c r="H59" s="1556"/>
      <c r="I59" s="1559"/>
      <c r="J59" s="1556"/>
      <c r="K59" s="1559"/>
      <c r="L59" s="1556"/>
      <c r="M59" s="1555"/>
      <c r="N59" s="1559"/>
      <c r="O59" s="1561"/>
      <c r="P59" s="1698" t="n">
        <f aca="false">IF(C59=0,0,(E59*F59/16*F59/16*10.680159)+((G59*H59/16*H59/16*10.680159)+(I59*2*J59/16*J59/16*10.680159)+IF(L59=0,0,((K59/16*K59/16)*3.145*0.2836*((((C59*2))+(D59*2))*12/L59))))+(M59/16*M59/16*10.680159*(12/IF(N59=0,1,N59))*O59))*(1+K$70)</f>
        <v>0</v>
      </c>
      <c r="Q59" s="1699"/>
      <c r="R59" s="1700" t="n">
        <f aca="false">(C59/12*D59/324)*(1+K$65)</f>
        <v>0</v>
      </c>
      <c r="S59" s="1701" t="n">
        <f aca="false">(C59/12*(D59-S$45)/324)</f>
        <v>-0</v>
      </c>
      <c r="T59" s="1702" t="n">
        <f aca="false">C59/12</f>
        <v>0</v>
      </c>
      <c r="U59" s="1703" t="n">
        <f aca="false">SUM(CN42:DD42)</f>
        <v>703265.370319536</v>
      </c>
      <c r="V59" s="1703"/>
      <c r="W59" s="1703"/>
      <c r="X59" s="1704" t="n">
        <f aca="false">V45-U59</f>
        <v>0</v>
      </c>
      <c r="Y59" s="1705"/>
      <c r="Z59" s="1705"/>
      <c r="AS59" s="16" t="n">
        <f aca="false">D59*2/12</f>
        <v>0</v>
      </c>
    </row>
    <row r="60" customFormat="false" ht="21.75" hidden="false" customHeight="true" outlineLevel="0" collapsed="false">
      <c r="B60" s="829" t="s">
        <v>1271</v>
      </c>
      <c r="C60" s="1706"/>
      <c r="D60" s="1707"/>
      <c r="E60" s="1708"/>
      <c r="F60" s="1709"/>
      <c r="G60" s="1710"/>
      <c r="H60" s="1271"/>
      <c r="I60" s="1271"/>
      <c r="J60" s="1271"/>
      <c r="K60" s="1271"/>
      <c r="L60" s="1271"/>
      <c r="M60" s="1271"/>
      <c r="N60" s="1271"/>
      <c r="O60" s="990" t="s">
        <v>721</v>
      </c>
      <c r="P60" s="990"/>
      <c r="Q60" s="1274" t="s">
        <v>1272</v>
      </c>
      <c r="R60" s="373"/>
      <c r="S60" s="1690" t="n">
        <f aca="false">18+18+75+75+75+75+75+75+75+76+76+76+76+76+76+76+76+76+76+65+65+65+65+65+65+65+65+60+60+25+25</f>
        <v>2011</v>
      </c>
      <c r="AA60" s="16"/>
    </row>
    <row r="61" customFormat="false" ht="21.75" hidden="false" customHeight="true" outlineLevel="0" collapsed="false">
      <c r="B61" s="1711" t="n">
        <f aca="false">E89-E81</f>
        <v>1.45097320391047</v>
      </c>
      <c r="C61" s="1712"/>
      <c r="D61" s="1713"/>
      <c r="E61" s="1714"/>
      <c r="F61" s="1715"/>
      <c r="G61" s="1709"/>
      <c r="H61" s="1271"/>
      <c r="I61" s="1271"/>
      <c r="J61" s="1271"/>
      <c r="K61" s="1271"/>
      <c r="L61" s="1271"/>
      <c r="M61" s="1716"/>
      <c r="N61" s="1271"/>
      <c r="O61" s="1000" t="s">
        <v>1274</v>
      </c>
      <c r="P61" s="1001"/>
      <c r="Q61" s="1002"/>
      <c r="S61" s="1690" t="n">
        <f aca="false">46+46+46+46+69+67+67+69+69+69+64+64+64+64+64+64+65+65+65+59+26+26</f>
        <v>1284</v>
      </c>
      <c r="AA61" s="16"/>
    </row>
    <row r="62" customFormat="false" ht="21.75" hidden="false" customHeight="true" outlineLevel="0" collapsed="false">
      <c r="B62" s="421"/>
      <c r="C62" s="1712"/>
      <c r="D62" s="1713"/>
      <c r="E62" s="1717"/>
      <c r="F62" s="1718"/>
      <c r="G62" s="1713"/>
      <c r="H62" s="1271"/>
      <c r="I62" s="1271"/>
      <c r="J62" s="1271"/>
      <c r="K62" s="1271"/>
      <c r="L62" s="1719"/>
      <c r="M62" s="1271"/>
      <c r="N62" s="1271"/>
      <c r="O62" s="1008" t="s">
        <v>1276</v>
      </c>
      <c r="P62" s="1009" t="n">
        <f aca="false">L70+'06-Walls &amp; Footings'!V15+SUM('06-Walls &amp; Footings'!V15:V26)</f>
        <v>93384.9466904896</v>
      </c>
      <c r="Q62" s="1010" t="n">
        <f aca="false">O70</f>
        <v>42907.2763681768</v>
      </c>
      <c r="S62" s="16" t="n">
        <f aca="false">54*8.5</f>
        <v>459</v>
      </c>
      <c r="T62" s="1720" t="n">
        <f aca="false">SUM(S60:S61)*0.85</f>
        <v>2800.75</v>
      </c>
      <c r="AA62" s="16"/>
    </row>
    <row r="63" customFormat="false" ht="21.75" hidden="false" customHeight="true" outlineLevel="0" collapsed="false">
      <c r="B63" s="421"/>
      <c r="C63" s="1721"/>
      <c r="D63" s="1713"/>
      <c r="E63" s="1713"/>
      <c r="F63" s="1710"/>
      <c r="G63" s="1713"/>
      <c r="H63" s="1271"/>
      <c r="I63" s="1271"/>
      <c r="J63" s="1271"/>
      <c r="K63" s="1271"/>
      <c r="L63" s="1271"/>
      <c r="M63" s="1271"/>
      <c r="N63" s="1271"/>
      <c r="O63" s="1271"/>
      <c r="P63" s="1722"/>
      <c r="AA63" s="16"/>
    </row>
    <row r="64" customFormat="false" ht="38.25" hidden="false" customHeight="true" outlineLevel="0" collapsed="false">
      <c r="B64" s="1723" t="s">
        <v>1280</v>
      </c>
      <c r="C64" s="1296" t="s">
        <v>1281</v>
      </c>
      <c r="D64" s="1019"/>
      <c r="E64" s="1019"/>
      <c r="F64" s="1019"/>
      <c r="G64" s="1019"/>
      <c r="H64" s="1019"/>
      <c r="I64" s="1019"/>
      <c r="J64" s="1019"/>
      <c r="K64" s="1019" t="s">
        <v>1282</v>
      </c>
      <c r="L64" s="1724" t="str">
        <f aca="false">IF(SUM(L65:L69)=Q42,"Good","Missing Concrete!!!")</f>
        <v>Good</v>
      </c>
      <c r="M64" s="1724"/>
      <c r="N64" s="1019"/>
      <c r="O64" s="1019"/>
      <c r="P64" s="1021"/>
      <c r="R64" s="1039" t="s">
        <v>1284</v>
      </c>
      <c r="S64" s="1022" t="s">
        <v>1283</v>
      </c>
      <c r="T64" s="1223"/>
      <c r="U64" s="879" t="s">
        <v>835</v>
      </c>
      <c r="V64" s="1023"/>
      <c r="W64" s="1024" t="s">
        <v>518</v>
      </c>
      <c r="X64" s="1023"/>
      <c r="Y64" s="1025"/>
      <c r="Z64" s="1299"/>
    </row>
    <row r="65" customFormat="false" ht="21.75" hidden="false" customHeight="true" outlineLevel="0" collapsed="false">
      <c r="B65" s="1725" t="n">
        <v>1</v>
      </c>
      <c r="C65" s="16" t="str">
        <f aca="false">IF(B65=1,Pricing!F$2,IF(B65=2,Pricing!G$2,IF(B65=3,Pricing!H$2,IF(B65=4,Pricing!I$2,IF(B65=5,Pricing!J$2,IF(B65=6,Pricing!K$2,IF(B65=7,Pricing!L$2,IF(B65=8,Pricing!M$2,IF(B65=9,Pricing!N$2,IF(B65=10,Pricing!O$2,0))))))))))</f>
        <v>3,000 PSI 5sk /Ash and Air</v>
      </c>
      <c r="D65" s="1726"/>
      <c r="E65" s="1726"/>
      <c r="F65" s="1726"/>
      <c r="G65" s="1727" t="n">
        <f aca="false">IF(B65=1,Pricing!F$3,IF(B65=2,Pricing!G$3,IF(B65=3,Pricing!H$3,IF(B65=4,Pricing!I$3,IF(B65=5,Pricing!J$3,IF(B65=6,Pricing!K$3,IF(B65=7,Pricing!L$3,IF(B65=8,Pricing!M$3,IF(B65=9,Pricing!N$3,IF(B65=10,Pricing!O$3,0))))))))))</f>
        <v>134</v>
      </c>
      <c r="H65" s="1726" t="s">
        <v>1285</v>
      </c>
      <c r="I65" s="1728"/>
      <c r="J65" s="1729"/>
      <c r="K65" s="1334" t="n">
        <v>0.06</v>
      </c>
      <c r="L65" s="1051" t="n">
        <f aca="false">IF(B65=1,BS$42,IF(B65=2,BT$42,IF(B65=3,BU$42,IF(B65=4,BV$42,IF(B65=5,BW$42,IF(B65=6,BX$42,IF(B65=7,BY$42,IF(B65=8,BZ$42,IF(B65=9,CA$42,IF(B65=10,CB$42))))))))))</f>
        <v>2205.19586419753</v>
      </c>
      <c r="M65" s="1051"/>
      <c r="N65" s="1034" t="s">
        <v>1286</v>
      </c>
      <c r="O65" s="1052" t="n">
        <f aca="false">L65*G65*(IF(W$44="N",1+Y$44,1))</f>
        <v>319874.686081173</v>
      </c>
      <c r="P65" s="1052"/>
      <c r="R65" s="1147"/>
      <c r="S65" s="920"/>
      <c r="T65" s="1311"/>
      <c r="U65" s="78" t="s">
        <v>1415</v>
      </c>
      <c r="W65" s="1730" t="n">
        <v>0.5</v>
      </c>
      <c r="X65" s="1308" t="s">
        <v>1605</v>
      </c>
      <c r="Y65" s="1731" t="n">
        <f aca="false">IF(I79=0,0,Z110/I79)</f>
        <v>0.867874588508903</v>
      </c>
      <c r="Z65" s="1732"/>
      <c r="AT65" s="654"/>
      <c r="AU65" s="654"/>
    </row>
    <row r="66" customFormat="false" ht="21.75" hidden="false" customHeight="true" outlineLevel="0" collapsed="false">
      <c r="B66" s="1733" t="n">
        <v>2</v>
      </c>
      <c r="C66" s="16" t="str">
        <f aca="false">IF(B66=1,Pricing!F$2,IF(B66=2,Pricing!G$2,IF(B66=3,Pricing!H$2,IF(B66=4,Pricing!I$2,IF(B66=5,Pricing!J$2,IF(B66=6,Pricing!K$2,IF(B66=7,Pricing!L$2,IF(B66=8,Pricing!M$2,IF(B66=9,Pricing!N$2,IF(B66=10,Pricing!O$2,0))))))))))</f>
        <v>3,000 PSI / Ash no Air</v>
      </c>
      <c r="G66" s="1319" t="n">
        <f aca="false">IF(B66=1,Pricing!F$3,IF(B66=2,Pricing!G$3,IF(B66=3,Pricing!H$3,IF(B66=4,Pricing!I$3,IF(B66=5,Pricing!J$3,IF(B66=6,Pricing!K$3,IF(B66=7,Pricing!L$3,IF(B66=8,Pricing!M$3,IF(B66=9,Pricing!N$3,IF(B66=10,Pricing!O$3,0))))))))))</f>
        <v>145</v>
      </c>
      <c r="H66" s="16" t="s">
        <v>1285</v>
      </c>
      <c r="I66" s="1734"/>
      <c r="J66" s="1735"/>
      <c r="K66" s="1334"/>
      <c r="L66" s="1310" t="n">
        <f aca="false">IF(B66=1,BS$42,IF(B66=2,BT$42,IF(B66=3,BU$42,IF(B66=4,BV$42,IF(B66=5,BW$42,IF(B66=6,BX$42,IF(B66=7,BY$42,IF(B66=8,BZ$42,IF(B66=9,CA$42,IF(B66=10,CB$42))))))))))</f>
        <v>0</v>
      </c>
      <c r="M66" s="1310"/>
      <c r="N66" s="15" t="s">
        <v>1286</v>
      </c>
      <c r="O66" s="1035" t="n">
        <f aca="false">L66*G66*(IF(W$44="N",1+Y$44,1))</f>
        <v>0</v>
      </c>
      <c r="P66" s="1035"/>
      <c r="R66" s="1039" t="s">
        <v>1069</v>
      </c>
      <c r="S66" s="920" t="s">
        <v>526</v>
      </c>
      <c r="T66" s="78"/>
      <c r="V66" s="1311" t="n">
        <f aca="false">(V69*3+I83)*W65</f>
        <v>4100</v>
      </c>
      <c r="W66" s="78" t="s">
        <v>1259</v>
      </c>
      <c r="X66" s="1308" t="n">
        <f aca="false">Pricing!Q4</f>
        <v>0.859375</v>
      </c>
      <c r="Y66" s="78" t="s">
        <v>527</v>
      </c>
      <c r="Z66" s="1736" t="n">
        <f aca="false">IF(W$44="Y",V66*X66,V66*X66*(1+Y$44))</f>
        <v>3814.12109375</v>
      </c>
      <c r="AA66" s="373"/>
      <c r="AT66" s="654"/>
      <c r="AU66" s="654"/>
    </row>
    <row r="67" customFormat="false" ht="21.75" hidden="false" customHeight="true" outlineLevel="0" collapsed="false">
      <c r="B67" s="1737" t="n">
        <v>4</v>
      </c>
      <c r="C67" s="16" t="str">
        <f aca="false">IF(B67=1,Pricing!F$2,IF(B67=2,Pricing!G$2,IF(B67=3,Pricing!H$2,IF(B67=4,Pricing!I$2,IF(B67=5,Pricing!J$2,IF(B67=6,Pricing!K$2,IF(B67=7,Pricing!L$2,IF(B67=8,Pricing!M$2,IF(B67=9,Pricing!N$2,IF(B67=10,Pricing!O$2,0))))))))))</f>
        <v>3,500 PSI /Ash No Air</v>
      </c>
      <c r="G67" s="1319" t="n">
        <f aca="false">IF(B67=1,Pricing!F$3,IF(B67=2,Pricing!G$3,IF(B67=3,Pricing!H$3,IF(B67=4,Pricing!I$3,IF(B67=5,Pricing!J$3,IF(B67=6,Pricing!K$3,IF(B67=7,Pricing!L$3,IF(B67=8,Pricing!M$3,IF(B67=9,Pricing!N$3,IF(B67=10,Pricing!O$3,0))))))))))</f>
        <v>140</v>
      </c>
      <c r="I67" s="1734"/>
      <c r="J67" s="1735"/>
      <c r="K67" s="1334"/>
      <c r="L67" s="1310" t="n">
        <f aca="false">IF(B67=1,BS$42,IF(B67=2,BT$42,IF(B67=3,BU$42,IF(B67=4,BV$42,IF(B67=5,BW$42,IF(B67=6,BX$42,IF(B67=7,BY$42,IF(B67=8,BZ$42,IF(B67=9,CA$42,IF(B67=10,CB$42))))))))))</f>
        <v>0</v>
      </c>
      <c r="M67" s="1310"/>
      <c r="N67" s="15" t="s">
        <v>1286</v>
      </c>
      <c r="O67" s="1035" t="n">
        <f aca="false">L67*G67*(IF(W$44="N",1+Y$44,1))</f>
        <v>0</v>
      </c>
      <c r="P67" s="1035"/>
      <c r="R67" s="1039"/>
      <c r="S67" s="920"/>
      <c r="T67" s="78"/>
      <c r="V67" s="1311"/>
      <c r="W67" s="78"/>
      <c r="X67" s="1308"/>
      <c r="Y67" s="78"/>
      <c r="Z67" s="1736" t="n">
        <f aca="false">IF(W$44="Y",V67*X67,V67*X67*(1+Y$44))</f>
        <v>0</v>
      </c>
      <c r="AA67" s="373"/>
      <c r="AT67" s="654"/>
      <c r="AU67" s="654"/>
    </row>
    <row r="68" customFormat="false" ht="21.75" hidden="false" customHeight="true" outlineLevel="0" collapsed="false">
      <c r="B68" s="1737" t="n">
        <v>7</v>
      </c>
      <c r="C68" s="16" t="str">
        <f aca="false">IF(B68=1,Pricing!F$2,IF(B68=2,Pricing!G$2,IF(B68=3,Pricing!H$2,IF(B68=4,Pricing!I$2,IF(B68=5,Pricing!J$2,IF(B68=6,Pricing!K$2,IF(B68=7,Pricing!L$2,IF(B68=8,Pricing!M$2,IF(B68=9,Pricing!N$2,IF(B68=10,Pricing!O$2,0))))))))))</f>
        <v>4,500 PSI / Ash and Air</v>
      </c>
      <c r="G68" s="1319" t="n">
        <f aca="false">IF(B68=1,Pricing!F$3,IF(B68=2,Pricing!G$3,IF(B68=3,Pricing!H$3,IF(B68=4,Pricing!I$3,IF(B68=5,Pricing!J$3,IF(B68=6,Pricing!K$3,IF(B68=7,Pricing!L$3,IF(B68=8,Pricing!M$3,IF(B68=9,Pricing!N$3,IF(B68=10,Pricing!O$3,0))))))))))</f>
        <v>158</v>
      </c>
      <c r="I68" s="1734"/>
      <c r="J68" s="1735"/>
      <c r="K68" s="1334"/>
      <c r="L68" s="1310" t="n">
        <f aca="false">IF(B68=1,BS$42,IF(B68=2,BT$42,IF(B68=3,BU$42,IF(B68=4,BV$42,IF(B68=5,BW$42,IF(B68=6,BX$42,IF(B68=7,BY$42,IF(B68=8,BZ$42,IF(B68=9,CA$42,IF(B68=10,CB$42))))))))))</f>
        <v>0</v>
      </c>
      <c r="M68" s="1310"/>
      <c r="N68" s="15" t="s">
        <v>1286</v>
      </c>
      <c r="O68" s="1035" t="n">
        <f aca="false">L68*G68*(IF(W$44="N",1+Y$44,1))</f>
        <v>0</v>
      </c>
      <c r="P68" s="1035"/>
      <c r="R68" s="1039"/>
      <c r="S68" s="920"/>
      <c r="T68" s="78"/>
      <c r="V68" s="1311"/>
      <c r="W68" s="78"/>
      <c r="X68" s="1308"/>
      <c r="Y68" s="78"/>
      <c r="Z68" s="1736" t="n">
        <f aca="false">IF(W$44="Y",V68*X68,V68*X68*(1+Y$44))</f>
        <v>0</v>
      </c>
      <c r="AA68" s="373"/>
      <c r="AT68" s="654"/>
      <c r="AU68" s="654"/>
    </row>
    <row r="69" customFormat="false" ht="21.75" hidden="false" customHeight="true" outlineLevel="0" collapsed="false">
      <c r="B69" s="1738" t="n">
        <v>8</v>
      </c>
      <c r="C69" s="1044" t="str">
        <f aca="false">IF(B69=1,Pricing!F$2,IF(B69=2,Pricing!G$2,IF(B69=3,Pricing!H$2,IF(B69=4,Pricing!I$2,IF(B69=5,Pricing!J$2,IF(B69=6,Pricing!K$2,IF(B69=7,Pricing!L$2,IF(B69=8,Pricing!M$2,IF(B69=9,Pricing!N$2,IF(B69=10,Pricing!O$2,0))))))))))</f>
        <v>5,000 PSI / Ash no Air</v>
      </c>
      <c r="D69" s="397"/>
      <c r="E69" s="397"/>
      <c r="F69" s="397"/>
      <c r="G69" s="1315" t="n">
        <f aca="false">IF(B69=1,Pricing!F$3,IF(B69=2,Pricing!G$3,IF(B69=3,Pricing!H$3,IF(B69=4,Pricing!I$3,IF(B69=5,Pricing!J$3,IF(B69=6,Pricing!K$3,IF(B69=7,Pricing!L$3,IF(B69=8,Pricing!M$3,IF(B69=9,Pricing!N$3,IF(B69=10,Pricing!O$3,0))))))))))</f>
        <v>170</v>
      </c>
      <c r="H69" s="397" t="s">
        <v>1285</v>
      </c>
      <c r="I69" s="1739"/>
      <c r="J69" s="1030"/>
      <c r="K69" s="1334"/>
      <c r="L69" s="1310" t="n">
        <f aca="false">IF(B69=1,BS$42,IF(B69=2,BT$42,IF(B69=3,BU$42,IF(B69=4,BV$42,IF(B69=5,BW$42,IF(B69=6,BX$42,IF(B69=7,BY$42,IF(B69=8,BZ$42,IF(B69=9,CA$42,IF(B69=10,CB$42))))))))))</f>
        <v>0</v>
      </c>
      <c r="M69" s="1310"/>
      <c r="N69" s="1046" t="s">
        <v>1286</v>
      </c>
      <c r="O69" s="1740" t="n">
        <f aca="false">L69*G69*(IF(W$44="N",1+Y$44,1))</f>
        <v>0</v>
      </c>
      <c r="P69" s="1740"/>
      <c r="R69" s="1147" t="s">
        <v>1069</v>
      </c>
      <c r="S69" s="920" t="s">
        <v>534</v>
      </c>
      <c r="T69" s="78"/>
      <c r="V69" s="1311" t="n">
        <f aca="false">K42*W65</f>
        <v>2445</v>
      </c>
      <c r="W69" s="78" t="s">
        <v>1259</v>
      </c>
      <c r="X69" s="1308" t="n">
        <f aca="false">Pricing!Q5</f>
        <v>1.4453125</v>
      </c>
      <c r="Y69" s="78" t="s">
        <v>527</v>
      </c>
      <c r="Z69" s="1732" t="n">
        <f aca="false">IF(W$44="Y",V69*X69,V69*X69*(1+Y$44))</f>
        <v>3825.32666015625</v>
      </c>
      <c r="AT69" s="654"/>
      <c r="AU69" s="654"/>
    </row>
    <row r="70" customFormat="false" ht="21.75" hidden="false" customHeight="true" outlineLevel="0" collapsed="false">
      <c r="B70" s="1741" t="str">
        <f aca="false">Summary!V60</f>
        <v>Import</v>
      </c>
      <c r="C70" s="1312" t="s">
        <v>1287</v>
      </c>
      <c r="D70" s="1312"/>
      <c r="E70" s="1312"/>
      <c r="F70" s="1312"/>
      <c r="G70" s="1048" t="n">
        <f aca="false">Pricing!D22</f>
        <v>0.6</v>
      </c>
      <c r="H70" s="16" t="s">
        <v>555</v>
      </c>
      <c r="I70" s="833"/>
      <c r="J70" s="1742"/>
      <c r="K70" s="1743" t="n">
        <v>0.1</v>
      </c>
      <c r="L70" s="1051" t="n">
        <f aca="false">SUM(BM10:BM41)+SUM(BO10:BO41)</f>
        <v>66062.011344383</v>
      </c>
      <c r="M70" s="1051"/>
      <c r="N70" s="16" t="s">
        <v>1288</v>
      </c>
      <c r="O70" s="1052" t="n">
        <f aca="false">G70*L70*(IF(W44="N",1+Y44,1))</f>
        <v>42907.2763681768</v>
      </c>
      <c r="P70" s="1052"/>
      <c r="R70" s="1147" t="s">
        <v>1069</v>
      </c>
      <c r="S70" s="920" t="s">
        <v>1606</v>
      </c>
      <c r="T70" s="78"/>
      <c r="V70" s="1311" t="n">
        <f aca="false">SUM(W10:X41)*3</f>
        <v>3027</v>
      </c>
      <c r="W70" s="78" t="s">
        <v>1259</v>
      </c>
      <c r="X70" s="1308" t="n">
        <f aca="false">X66*0.65</f>
        <v>0.55859375</v>
      </c>
      <c r="Y70" s="78" t="s">
        <v>527</v>
      </c>
      <c r="Z70" s="1732" t="n">
        <f aca="false">IF(W$44="Y",V70*X70,V70*X70*(1+Y$44))</f>
        <v>1830.35950195313</v>
      </c>
      <c r="AP70" s="654"/>
      <c r="AQ70" s="654"/>
      <c r="AR70" s="654"/>
      <c r="AS70" s="654"/>
      <c r="AT70" s="654"/>
      <c r="AU70" s="654"/>
    </row>
    <row r="71" customFormat="false" ht="21.75" hidden="false" customHeight="true" outlineLevel="0" collapsed="false">
      <c r="B71" s="507" t="s">
        <v>598</v>
      </c>
      <c r="C71" s="1312"/>
      <c r="D71" s="1312"/>
      <c r="E71" s="1312"/>
      <c r="F71" s="1312"/>
      <c r="G71" s="1319" t="n">
        <f aca="false">Pricing!D26</f>
        <v>0.4</v>
      </c>
      <c r="H71" s="16" t="s">
        <v>600</v>
      </c>
      <c r="I71" s="833"/>
      <c r="J71" s="1742"/>
      <c r="K71" s="1321" t="n">
        <v>0.1</v>
      </c>
      <c r="L71" s="1744" t="n">
        <f aca="false">O42</f>
        <v>0</v>
      </c>
      <c r="M71" s="1744"/>
      <c r="N71" s="16" t="s">
        <v>1418</v>
      </c>
      <c r="O71" s="1035" t="n">
        <f aca="false">G71*L71*(IF(W$44="N",1+Y$44,1))</f>
        <v>0</v>
      </c>
      <c r="P71" s="1035"/>
      <c r="R71" s="1147" t="s">
        <v>1069</v>
      </c>
      <c r="S71" s="920" t="s">
        <v>538</v>
      </c>
      <c r="T71" s="78"/>
      <c r="V71" s="1311" t="n">
        <f aca="false">CE42*W65*2</f>
        <v>4890</v>
      </c>
      <c r="W71" s="78" t="s">
        <v>1259</v>
      </c>
      <c r="X71" s="1308" t="n">
        <f aca="false">Pricing!Q7</f>
        <v>1.09375</v>
      </c>
      <c r="Y71" s="78" t="s">
        <v>527</v>
      </c>
      <c r="Z71" s="1732" t="n">
        <f aca="false">IF(W$44="Y",V71*X71,V71*X71*(1+Y$44))</f>
        <v>5789.68359375</v>
      </c>
      <c r="AP71" s="654"/>
      <c r="AQ71" s="654"/>
      <c r="AR71" s="654"/>
      <c r="AS71" s="654"/>
      <c r="AT71" s="654"/>
      <c r="AU71" s="654"/>
    </row>
    <row r="72" customFormat="false" ht="21.75" hidden="false" customHeight="true" outlineLevel="0" collapsed="false">
      <c r="B72" s="507" t="s">
        <v>1419</v>
      </c>
      <c r="C72" s="1074" t="s">
        <v>1607</v>
      </c>
      <c r="D72" s="1074"/>
      <c r="E72" s="1074" t="s">
        <v>1608</v>
      </c>
      <c r="F72" s="1074"/>
      <c r="G72" s="1319" t="n">
        <v>0.85</v>
      </c>
      <c r="H72" s="1142" t="s">
        <v>600</v>
      </c>
      <c r="I72" s="782" t="s">
        <v>1291</v>
      </c>
      <c r="J72" s="1745"/>
      <c r="K72" s="1745"/>
      <c r="L72" s="1746" t="n">
        <f aca="false">CD42*0.4</f>
        <v>25089.2</v>
      </c>
      <c r="M72" s="1746"/>
      <c r="N72" s="16" t="s">
        <v>1288</v>
      </c>
      <c r="O72" s="1038" t="n">
        <f aca="false">IF(J72=0,CD42*G72*IF(W44="n",(1+Y44),1),J72)</f>
        <v>57713.000375</v>
      </c>
      <c r="P72" s="1038"/>
      <c r="R72" s="1147" t="s">
        <v>1069</v>
      </c>
      <c r="S72" s="920" t="s">
        <v>1292</v>
      </c>
      <c r="T72" s="78"/>
      <c r="V72" s="1311" t="n">
        <f aca="false">ROUNDUP(SUM(K10:K41)*0.03/16,0)</f>
        <v>10</v>
      </c>
      <c r="W72" s="78" t="s">
        <v>1609</v>
      </c>
      <c r="X72" s="1308" t="n">
        <f aca="false">Pricing!Q9</f>
        <v>20</v>
      </c>
      <c r="Y72" s="78" t="s">
        <v>1610</v>
      </c>
      <c r="Z72" s="1732" t="n">
        <f aca="false">IF(W$44="Y",V72*X72,V72*X72*(1+Y$44))</f>
        <v>216.5</v>
      </c>
      <c r="AP72" s="654"/>
      <c r="AQ72" s="654"/>
      <c r="AR72" s="654"/>
      <c r="AS72" s="654"/>
      <c r="AT72" s="654"/>
      <c r="AU72" s="654"/>
    </row>
    <row r="73" customFormat="false" ht="21.75" hidden="false" customHeight="true" outlineLevel="0" collapsed="false">
      <c r="B73" s="1747" t="s">
        <v>1611</v>
      </c>
      <c r="C73" s="1748"/>
      <c r="D73" s="1748"/>
      <c r="E73" s="1748"/>
      <c r="F73" s="1748"/>
      <c r="G73" s="1315" t="n">
        <f aca="false">Pricing!D19</f>
        <v>25</v>
      </c>
      <c r="H73" s="397" t="s">
        <v>1285</v>
      </c>
      <c r="I73" s="1749"/>
      <c r="J73" s="1750"/>
      <c r="K73" s="1751"/>
      <c r="L73" s="1752" t="n">
        <f aca="false">CJ42</f>
        <v>387.179012345679</v>
      </c>
      <c r="M73" s="1752"/>
      <c r="N73" s="397" t="s">
        <v>1286</v>
      </c>
      <c r="O73" s="1740" t="n">
        <f aca="false">G73*L73*(IF(W$44="N",1+Y$44,1))</f>
        <v>10478.0320216049</v>
      </c>
      <c r="P73" s="1740"/>
      <c r="R73" s="1147" t="s">
        <v>1069</v>
      </c>
      <c r="S73" s="920" t="s">
        <v>540</v>
      </c>
      <c r="T73" s="78"/>
      <c r="V73" s="1311" t="n">
        <f aca="false">I83/32*W65*1.1</f>
        <v>14.8671875</v>
      </c>
      <c r="W73" s="78" t="s">
        <v>1420</v>
      </c>
      <c r="X73" s="1308" t="n">
        <f aca="false">Pricing!Q8</f>
        <v>74.75</v>
      </c>
      <c r="Y73" s="78" t="s">
        <v>541</v>
      </c>
      <c r="Z73" s="1732" t="n">
        <f aca="false">IF(W$44="Y",V73*X73,V73*X73*(1+Y$44))</f>
        <v>1203.00635253906</v>
      </c>
      <c r="AP73" s="654"/>
      <c r="AQ73" s="654"/>
      <c r="AR73" s="654"/>
      <c r="AS73" s="654"/>
      <c r="AT73" s="654"/>
      <c r="AU73" s="654"/>
    </row>
    <row r="74" customFormat="false" ht="21.75" hidden="false" customHeight="true" outlineLevel="0" collapsed="false">
      <c r="B74" s="599" t="s">
        <v>1612</v>
      </c>
      <c r="E74" s="1753" t="s">
        <v>1613</v>
      </c>
      <c r="F74" s="1754"/>
      <c r="G74" s="1755" t="n">
        <v>1</v>
      </c>
      <c r="H74" s="16" t="s">
        <v>1259</v>
      </c>
      <c r="I74" s="833"/>
      <c r="J74" s="1742"/>
      <c r="K74" s="1756" t="n">
        <v>0.1</v>
      </c>
      <c r="L74" s="1757"/>
      <c r="M74" s="1757"/>
      <c r="N74" s="16" t="s">
        <v>1418</v>
      </c>
      <c r="O74" s="1052" t="n">
        <f aca="false">L74*G74*(IF(W$44="N",1+Y$44,1))</f>
        <v>0</v>
      </c>
      <c r="P74" s="1052"/>
      <c r="R74" s="1147" t="s">
        <v>1069</v>
      </c>
      <c r="S74" s="920" t="s">
        <v>1298</v>
      </c>
      <c r="T74" s="78"/>
      <c r="V74" s="1311" t="n">
        <f aca="false">ROUND(V71/25,0)</f>
        <v>196</v>
      </c>
      <c r="W74" s="78" t="s">
        <v>1299</v>
      </c>
      <c r="X74" s="1308" t="n">
        <f aca="false">Pricing!Q15</f>
        <v>24</v>
      </c>
      <c r="Y74" s="78" t="s">
        <v>1300</v>
      </c>
      <c r="Z74" s="1732" t="n">
        <f aca="false">IF(W$44="Y",V74*X74,V74*X74*(1+Y$44))</f>
        <v>5092.08</v>
      </c>
      <c r="AP74" s="654"/>
      <c r="AQ74" s="654"/>
      <c r="AR74" s="654"/>
      <c r="AS74" s="654"/>
      <c r="AT74" s="654"/>
      <c r="AU74" s="654"/>
    </row>
    <row r="75" customFormat="false" ht="23.25" hidden="false" customHeight="true" outlineLevel="0" collapsed="false">
      <c r="B75" s="599" t="s">
        <v>1614</v>
      </c>
      <c r="E75" s="1753"/>
      <c r="F75" s="1173" t="s">
        <v>1047</v>
      </c>
      <c r="G75" s="1755" t="n">
        <v>1.35</v>
      </c>
      <c r="H75" s="16" t="s">
        <v>600</v>
      </c>
      <c r="K75" s="1758" t="n">
        <v>0.1</v>
      </c>
      <c r="L75" s="1759" t="n">
        <f aca="false">IF(F75="Y",SUM(D$42)*(1+K$75),0)</f>
        <v>0</v>
      </c>
      <c r="M75" s="1759"/>
      <c r="N75" s="16" t="s">
        <v>1418</v>
      </c>
      <c r="O75" s="1035" t="n">
        <f aca="false">L75*G75*(IF(W$44="N",1+Y$44,1))</f>
        <v>0</v>
      </c>
      <c r="P75" s="1035"/>
      <c r="R75" s="1147" t="s">
        <v>1069</v>
      </c>
      <c r="S75" s="920" t="s">
        <v>561</v>
      </c>
      <c r="T75" s="78"/>
      <c r="V75" s="1311" t="n">
        <f aca="false">ROUNDUP((SUM(K10:K41))*1.25/500,0)</f>
        <v>13</v>
      </c>
      <c r="W75" s="78" t="s">
        <v>1303</v>
      </c>
      <c r="X75" s="1308" t="n">
        <f aca="false">Pricing!Q16</f>
        <v>68.2</v>
      </c>
      <c r="Y75" s="78" t="s">
        <v>562</v>
      </c>
      <c r="Z75" s="1732" t="n">
        <f aca="false">IF(W$44="Y",V75*X75,V75*X75*(1+Y$44))</f>
        <v>959.7445</v>
      </c>
      <c r="AP75" s="654"/>
      <c r="AQ75" s="654"/>
      <c r="AR75" s="654"/>
      <c r="AS75" s="654"/>
      <c r="AT75" s="654"/>
      <c r="AU75" s="654" t="s">
        <v>860</v>
      </c>
    </row>
    <row r="76" customFormat="false" ht="21.75" hidden="false" customHeight="true" outlineLevel="0" collapsed="false">
      <c r="B76" s="599" t="s">
        <v>1615</v>
      </c>
      <c r="E76" s="1753"/>
      <c r="F76" s="1173" t="s">
        <v>1047</v>
      </c>
      <c r="G76" s="1337" t="n">
        <v>0.35</v>
      </c>
      <c r="H76" s="16" t="s">
        <v>600</v>
      </c>
      <c r="I76" s="405"/>
      <c r="J76" s="1320"/>
      <c r="K76" s="1758"/>
      <c r="L76" s="1759" t="n">
        <f aca="false">IF(F76="Y",SUM(D$42)*(1+K$75),0)</f>
        <v>0</v>
      </c>
      <c r="M76" s="1759"/>
      <c r="N76" s="16" t="s">
        <v>1418</v>
      </c>
      <c r="O76" s="1035" t="n">
        <f aca="false">L76*G76*(IF(W$44="N",1+Y$44,1))</f>
        <v>0</v>
      </c>
      <c r="P76" s="1035"/>
      <c r="R76" s="1147" t="s">
        <v>1069</v>
      </c>
      <c r="S76" s="920" t="s">
        <v>563</v>
      </c>
      <c r="T76" s="78"/>
      <c r="V76" s="1311" t="n">
        <f aca="false">ROUNDUP((SUM(K11:K42))*1.25/500,0)</f>
        <v>24</v>
      </c>
      <c r="W76" s="78" t="s">
        <v>1303</v>
      </c>
      <c r="X76" s="1308" t="n">
        <f aca="false">Pricing!Q17</f>
        <v>68.2</v>
      </c>
      <c r="Y76" s="78" t="s">
        <v>562</v>
      </c>
      <c r="Z76" s="1732" t="n">
        <f aca="false">IF(W$44="Y",V76*X76,V76*X76*(1+Y$44))</f>
        <v>1771.836</v>
      </c>
      <c r="AP76" s="654"/>
      <c r="AQ76" s="654"/>
      <c r="AR76" s="654"/>
      <c r="AS76" s="654"/>
      <c r="AT76" s="654"/>
      <c r="AU76" s="654"/>
    </row>
    <row r="77" customFormat="false" ht="21.75" hidden="false" customHeight="true" outlineLevel="0" collapsed="false">
      <c r="B77" s="1109" t="s">
        <v>1067</v>
      </c>
      <c r="C77" s="855"/>
      <c r="D77" s="855"/>
      <c r="E77" s="855"/>
      <c r="F77" s="1760"/>
      <c r="G77" s="1371" t="n">
        <v>20</v>
      </c>
      <c r="H77" s="1058" t="s">
        <v>1616</v>
      </c>
      <c r="I77" s="855"/>
      <c r="J77" s="855"/>
      <c r="K77" s="1761" t="n">
        <v>0.1</v>
      </c>
      <c r="L77" s="1762" t="n">
        <v>0</v>
      </c>
      <c r="M77" s="1762"/>
      <c r="N77" s="1058" t="s">
        <v>1463</v>
      </c>
      <c r="O77" s="1763" t="n">
        <f aca="false">L77*G77*(IF(W$44="N",1+Y$44,1))</f>
        <v>0</v>
      </c>
      <c r="P77" s="1763"/>
      <c r="R77" s="1147" t="s">
        <v>1069</v>
      </c>
      <c r="S77" s="920" t="s">
        <v>1617</v>
      </c>
      <c r="T77" s="78"/>
      <c r="V77" s="1311" t="n">
        <f aca="false">ROUNDUP((SUM(K12:K47))*1.25/500,0)</f>
        <v>24</v>
      </c>
      <c r="W77" s="78" t="s">
        <v>1303</v>
      </c>
      <c r="X77" s="1308" t="n">
        <f aca="false">Pricing!Q16</f>
        <v>68.2</v>
      </c>
      <c r="Y77" s="78" t="s">
        <v>562</v>
      </c>
      <c r="Z77" s="1732" t="n">
        <f aca="false">IF(W$44="Y",V77*X77,V77*X77*(1+Y$44))</f>
        <v>1771.836</v>
      </c>
      <c r="AP77" s="654"/>
      <c r="AQ77" s="654"/>
      <c r="AR77" s="654"/>
      <c r="AS77" s="654"/>
      <c r="AT77" s="654"/>
      <c r="AU77" s="654"/>
    </row>
    <row r="78" customFormat="false" ht="21.75" hidden="false" customHeight="true" outlineLevel="0" collapsed="false">
      <c r="B78" s="1764" t="s">
        <v>1434</v>
      </c>
      <c r="C78" s="1765"/>
      <c r="D78" s="1765" t="s">
        <v>1296</v>
      </c>
      <c r="E78" s="1765"/>
      <c r="F78" s="1765"/>
      <c r="G78" s="1765"/>
      <c r="H78" s="1345"/>
      <c r="I78" s="1765"/>
      <c r="J78" s="1765"/>
      <c r="K78" s="1765"/>
      <c r="L78" s="1765" t="s">
        <v>973</v>
      </c>
      <c r="M78" s="1765"/>
      <c r="N78" s="1765" t="s">
        <v>1297</v>
      </c>
      <c r="O78" s="1765"/>
      <c r="P78" s="1766"/>
      <c r="R78" s="1147" t="s">
        <v>1069</v>
      </c>
      <c r="S78" s="920" t="s">
        <v>1310</v>
      </c>
      <c r="T78" s="78"/>
      <c r="V78" s="1311" t="n">
        <f aca="false">CE42/150</f>
        <v>32.6</v>
      </c>
      <c r="W78" s="78" t="s">
        <v>1303</v>
      </c>
      <c r="X78" s="1308" t="n">
        <f aca="false">Pricing!Q34</f>
        <v>45.24</v>
      </c>
      <c r="Y78" s="78" t="s">
        <v>562</v>
      </c>
      <c r="Z78" s="1732" t="n">
        <f aca="false">IF(W$44="Y",V78*X78,V78*X78*(1+Y$44))</f>
        <v>1596.49698</v>
      </c>
      <c r="AP78" s="654"/>
      <c r="AQ78" s="654"/>
      <c r="AR78" s="654"/>
      <c r="AS78" s="654"/>
      <c r="AT78" s="654"/>
      <c r="AU78" s="654"/>
    </row>
    <row r="79" customFormat="false" ht="21.75" hidden="false" customHeight="true" outlineLevel="0" collapsed="false">
      <c r="B79" s="1347" t="s">
        <v>1437</v>
      </c>
      <c r="C79" s="695"/>
      <c r="D79" s="1066" t="s">
        <v>1302</v>
      </c>
      <c r="E79" s="1767" t="n">
        <v>0.45</v>
      </c>
      <c r="F79" s="1767"/>
      <c r="G79" s="1068" t="s">
        <v>1618</v>
      </c>
      <c r="H79" s="1768" t="n">
        <f aca="false">SUM(E79:F82)</f>
        <v>1.85</v>
      </c>
      <c r="I79" s="1769" t="n">
        <f aca="false">D42</f>
        <v>62723</v>
      </c>
      <c r="J79" s="1769"/>
      <c r="K79" s="1068" t="s">
        <v>1418</v>
      </c>
      <c r="L79" s="1770" t="n">
        <f aca="false">IF(D79="N",E79*I$79,0)</f>
        <v>0</v>
      </c>
      <c r="M79" s="1770"/>
      <c r="N79" s="175"/>
      <c r="O79" s="1102" t="n">
        <f aca="false">IF(D79="y",I$79*E79,0)</f>
        <v>28225.35</v>
      </c>
      <c r="P79" s="1102"/>
      <c r="R79" s="1147" t="s">
        <v>1069</v>
      </c>
      <c r="S79" s="920" t="s">
        <v>571</v>
      </c>
      <c r="T79" s="78"/>
      <c r="V79" s="1311"/>
      <c r="W79" s="78" t="s">
        <v>1259</v>
      </c>
      <c r="X79" s="1308" t="n">
        <f aca="false">Pricing!Q19</f>
        <v>0.95</v>
      </c>
      <c r="Y79" s="78" t="s">
        <v>527</v>
      </c>
      <c r="Z79" s="1732" t="n">
        <f aca="false">IF(W$44="Y",V79*X79,V79*X79*(1+Y$44))</f>
        <v>0</v>
      </c>
      <c r="AP79" s="654"/>
      <c r="AQ79" s="654"/>
      <c r="AR79" s="654"/>
      <c r="AS79" s="654"/>
      <c r="AT79" s="654"/>
      <c r="AU79" s="656"/>
    </row>
    <row r="80" customFormat="false" ht="21.75" hidden="false" customHeight="true" outlineLevel="0" collapsed="false">
      <c r="B80" s="507" t="s">
        <v>1619</v>
      </c>
      <c r="C80" s="1771"/>
      <c r="D80" s="1074" t="s">
        <v>1302</v>
      </c>
      <c r="E80" s="1772" t="n">
        <v>0.65</v>
      </c>
      <c r="F80" s="1772"/>
      <c r="G80" s="16" t="s">
        <v>600</v>
      </c>
      <c r="H80" s="1768"/>
      <c r="I80" s="1769"/>
      <c r="J80" s="1769"/>
      <c r="K80" s="1771" t="s">
        <v>1418</v>
      </c>
      <c r="L80" s="1773" t="n">
        <f aca="false">IF(D80="N",E80*I$79,0)</f>
        <v>0</v>
      </c>
      <c r="M80" s="1773"/>
      <c r="O80" s="1038" t="n">
        <f aca="false">IF(D80="y",I$79*E80,0)</f>
        <v>40769.95</v>
      </c>
      <c r="P80" s="1038"/>
      <c r="R80" s="1147" t="s">
        <v>1069</v>
      </c>
      <c r="S80" s="920" t="s">
        <v>576</v>
      </c>
      <c r="T80" s="78"/>
      <c r="V80" s="1311" t="n">
        <v>0</v>
      </c>
      <c r="W80" s="78" t="s">
        <v>1259</v>
      </c>
      <c r="X80" s="1308" t="n">
        <f aca="false">Pricing!Q20</f>
        <v>0.25</v>
      </c>
      <c r="Y80" s="78" t="s">
        <v>527</v>
      </c>
      <c r="Z80" s="1732" t="n">
        <f aca="false">IF(W$44="Y",V80*X80,V80*X80*(1+Y$44))</f>
        <v>0</v>
      </c>
      <c r="AP80" s="654"/>
      <c r="AQ80" s="654"/>
      <c r="AR80" s="654"/>
      <c r="AS80" s="654"/>
      <c r="AT80" s="654"/>
      <c r="AU80" s="656"/>
    </row>
    <row r="81" customFormat="false" ht="21.75" hidden="false" customHeight="true" outlineLevel="0" collapsed="false">
      <c r="B81" s="507" t="s">
        <v>1442</v>
      </c>
      <c r="C81" s="405"/>
      <c r="D81" s="1074" t="s">
        <v>1302</v>
      </c>
      <c r="E81" s="1774" t="n">
        <v>0.65</v>
      </c>
      <c r="F81" s="1774"/>
      <c r="G81" s="16" t="s">
        <v>1618</v>
      </c>
      <c r="H81" s="1768"/>
      <c r="I81" s="1769"/>
      <c r="J81" s="1769"/>
      <c r="K81" s="16" t="s">
        <v>1418</v>
      </c>
      <c r="L81" s="1773" t="n">
        <f aca="false">IF(D81="N",E81*I$79,0)</f>
        <v>0</v>
      </c>
      <c r="M81" s="1773"/>
      <c r="O81" s="1038" t="n">
        <f aca="false">IF(D81="y",I$79*E81,0)</f>
        <v>40769.95</v>
      </c>
      <c r="P81" s="1038"/>
      <c r="R81" s="1147" t="s">
        <v>1069</v>
      </c>
      <c r="S81" s="920" t="s">
        <v>551</v>
      </c>
      <c r="T81" s="78"/>
      <c r="V81" s="1311" t="n">
        <v>0</v>
      </c>
      <c r="W81" s="78" t="s">
        <v>1259</v>
      </c>
      <c r="X81" s="1308" t="n">
        <f aca="false">Pricing!Q12</f>
        <v>1.063125</v>
      </c>
      <c r="Y81" s="78" t="s">
        <v>527</v>
      </c>
      <c r="Z81" s="1732" t="n">
        <f aca="false">IF(W$44="Y",V81*X81,V81*X81*(1+Y$44))</f>
        <v>0</v>
      </c>
    </row>
    <row r="82" customFormat="false" ht="21.75" hidden="false" customHeight="true" outlineLevel="0" collapsed="false">
      <c r="B82" s="507" t="s">
        <v>1443</v>
      </c>
      <c r="C82" s="405"/>
      <c r="D82" s="1074" t="s">
        <v>1302</v>
      </c>
      <c r="E82" s="1775" t="n">
        <v>0.1</v>
      </c>
      <c r="F82" s="1775"/>
      <c r="G82" s="16" t="s">
        <v>1618</v>
      </c>
      <c r="H82" s="1768"/>
      <c r="I82" s="1769"/>
      <c r="J82" s="1769"/>
      <c r="K82" s="16" t="s">
        <v>1418</v>
      </c>
      <c r="L82" s="1773" t="n">
        <f aca="false">IF(D82="N",E82*I$79,0)</f>
        <v>0</v>
      </c>
      <c r="M82" s="1773"/>
      <c r="O82" s="1038" t="n">
        <f aca="false">IF(D82="y",I$79*E82,0)</f>
        <v>6272.3</v>
      </c>
      <c r="P82" s="1038"/>
      <c r="R82" s="1147" t="s">
        <v>1069</v>
      </c>
      <c r="S82" s="920" t="s">
        <v>552</v>
      </c>
      <c r="T82" s="78"/>
      <c r="V82" s="1311" t="n">
        <v>0</v>
      </c>
      <c r="W82" s="78" t="s">
        <v>1259</v>
      </c>
      <c r="X82" s="1308" t="n">
        <f aca="false">Pricing!Q13</f>
        <v>1.494375</v>
      </c>
      <c r="Y82" s="78" t="s">
        <v>527</v>
      </c>
      <c r="Z82" s="1732" t="n">
        <f aca="false">IF(W$44="Y",V82*X82,V82*X82*(1+Y$44))</f>
        <v>0</v>
      </c>
    </row>
    <row r="83" customFormat="false" ht="21.75" hidden="false" customHeight="true" outlineLevel="0" collapsed="false">
      <c r="B83" s="507" t="s">
        <v>1488</v>
      </c>
      <c r="C83" s="405"/>
      <c r="D83" s="1074" t="s">
        <v>1302</v>
      </c>
      <c r="E83" s="1776" t="n">
        <v>8</v>
      </c>
      <c r="F83" s="1776"/>
      <c r="G83" s="16" t="s">
        <v>1620</v>
      </c>
      <c r="I83" s="1777" t="n">
        <f aca="false">SUM(T10:T41)</f>
        <v>865</v>
      </c>
      <c r="J83" s="1777"/>
      <c r="K83" s="16" t="s">
        <v>1621</v>
      </c>
      <c r="L83" s="1773" t="n">
        <f aca="false">IF(D83="N",E83*I$83,0)</f>
        <v>0</v>
      </c>
      <c r="M83" s="1773"/>
      <c r="O83" s="1038" t="n">
        <f aca="false">IF(D83="y",I$83*E83,0)</f>
        <v>6920</v>
      </c>
      <c r="P83" s="1038"/>
      <c r="R83" s="1147" t="s">
        <v>1069</v>
      </c>
      <c r="S83" s="920" t="s">
        <v>1622</v>
      </c>
      <c r="T83" s="78"/>
      <c r="V83" s="1311" t="n">
        <v>0</v>
      </c>
      <c r="W83" s="78" t="s">
        <v>1623</v>
      </c>
      <c r="X83" s="1308" t="n">
        <v>400</v>
      </c>
      <c r="Y83" s="78" t="s">
        <v>1624</v>
      </c>
      <c r="Z83" s="1732" t="n">
        <f aca="false">IF(W$44="Y",V83*X83,V83*X83*(1+Y$44))</f>
        <v>0</v>
      </c>
    </row>
    <row r="84" customFormat="false" ht="21.75" hidden="false" customHeight="true" outlineLevel="0" collapsed="false">
      <c r="B84" s="507" t="s">
        <v>1473</v>
      </c>
      <c r="C84" s="405"/>
      <c r="D84" s="1074" t="s">
        <v>1302</v>
      </c>
      <c r="E84" s="1778"/>
      <c r="F84" s="1779"/>
      <c r="G84" s="1780"/>
      <c r="H84" s="1781"/>
      <c r="I84" s="1782"/>
      <c r="J84" s="1782"/>
      <c r="K84" s="1780"/>
      <c r="L84" s="1783"/>
      <c r="M84" s="1783"/>
      <c r="N84" s="1781"/>
      <c r="O84" s="1038" t="n">
        <f aca="false">SUM(CP10:CP41)</f>
        <v>0</v>
      </c>
      <c r="P84" s="1038"/>
      <c r="R84" s="1147" t="s">
        <v>1069</v>
      </c>
      <c r="S84" s="920" t="s">
        <v>1625</v>
      </c>
      <c r="T84" s="78"/>
      <c r="V84" s="1311" t="n">
        <v>0</v>
      </c>
      <c r="W84" s="78" t="s">
        <v>1623</v>
      </c>
      <c r="X84" s="1308" t="n">
        <v>6.75</v>
      </c>
      <c r="Y84" s="78"/>
      <c r="Z84" s="1732" t="n">
        <f aca="false">IF(W$44="Y",V84*X84,V84*X84*(1+Y$44))</f>
        <v>0</v>
      </c>
    </row>
    <row r="85" customFormat="false" ht="21.75" hidden="false" customHeight="true" outlineLevel="0" collapsed="false">
      <c r="B85" s="507" t="s">
        <v>1626</v>
      </c>
      <c r="C85" s="405"/>
      <c r="D85" s="1074" t="s">
        <v>1302</v>
      </c>
      <c r="E85" s="1776" t="n">
        <v>12</v>
      </c>
      <c r="F85" s="1776"/>
      <c r="G85" s="16" t="s">
        <v>1285</v>
      </c>
      <c r="I85" s="1777" t="n">
        <f aca="false">IF((SUM(L65:M69)-I79/27)&lt;0,0,SUM(L65:M69)-I79/30)</f>
        <v>0</v>
      </c>
      <c r="J85" s="1777"/>
      <c r="K85" s="16" t="s">
        <v>998</v>
      </c>
      <c r="L85" s="1773" t="n">
        <f aca="false">IF(D85="N",E85*I$85,0)</f>
        <v>0</v>
      </c>
      <c r="M85" s="1773"/>
      <c r="O85" s="1038" t="n">
        <f aca="false">IF(D85="y",I$85*E85,0)</f>
        <v>0</v>
      </c>
      <c r="P85" s="1038"/>
      <c r="R85" s="1147" t="s">
        <v>1069</v>
      </c>
      <c r="S85" s="920" t="s">
        <v>1627</v>
      </c>
      <c r="T85" s="78"/>
      <c r="V85" s="1311" t="n">
        <v>0</v>
      </c>
      <c r="W85" s="78" t="s">
        <v>1623</v>
      </c>
      <c r="X85" s="1308" t="n">
        <v>8.5</v>
      </c>
      <c r="Y85" s="78"/>
      <c r="Z85" s="1732" t="n">
        <f aca="false">IF(W$44="Y",V85*X85,V85*X85*(1+Y$44))</f>
        <v>0</v>
      </c>
    </row>
    <row r="86" customFormat="false" ht="21.75" hidden="false" customHeight="true" outlineLevel="0" collapsed="false">
      <c r="B86" s="507" t="s">
        <v>1628</v>
      </c>
      <c r="C86" s="405"/>
      <c r="D86" s="1074" t="s">
        <v>1302</v>
      </c>
      <c r="E86" s="1776" t="n">
        <v>100</v>
      </c>
      <c r="F86" s="1776"/>
      <c r="G86" s="16" t="s">
        <v>1624</v>
      </c>
      <c r="I86" s="1784" t="n">
        <f aca="false">CK42</f>
        <v>0</v>
      </c>
      <c r="J86" s="1784"/>
      <c r="K86" s="16" t="s">
        <v>1000</v>
      </c>
      <c r="L86" s="1773" t="n">
        <f aca="false">IF(D86="N",E86*I$86,0)</f>
        <v>0</v>
      </c>
      <c r="M86" s="1773"/>
      <c r="O86" s="1038" t="n">
        <f aca="false">IF(D86="y",I$86*E86,0)</f>
        <v>0</v>
      </c>
      <c r="P86" s="1038"/>
      <c r="R86" s="1147" t="s">
        <v>1069</v>
      </c>
      <c r="S86" s="1357"/>
      <c r="T86" s="1358"/>
      <c r="U86" s="265"/>
      <c r="V86" s="1359"/>
      <c r="W86" s="1358"/>
      <c r="X86" s="1360"/>
      <c r="Y86" s="1358"/>
      <c r="Z86" s="1785" t="n">
        <f aca="false">IF(W$44="Y",V86*X86,V86*X86*(1+Y$44))</f>
        <v>0</v>
      </c>
    </row>
    <row r="87" customFormat="false" ht="21.75" hidden="false" customHeight="true" outlineLevel="0" collapsed="false">
      <c r="B87" s="507" t="s">
        <v>1307</v>
      </c>
      <c r="C87" s="405"/>
      <c r="D87" s="1074" t="s">
        <v>1302</v>
      </c>
      <c r="E87" s="1786" t="n">
        <v>400</v>
      </c>
      <c r="F87" s="1786"/>
      <c r="G87" s="16" t="s">
        <v>1308</v>
      </c>
      <c r="I87" s="1784" t="n">
        <f aca="false">U42/2000</f>
        <v>22.0544806721915</v>
      </c>
      <c r="J87" s="1784"/>
      <c r="K87" s="16" t="s">
        <v>1309</v>
      </c>
      <c r="L87" s="1773" t="n">
        <f aca="false">IF(D87="N",E87*I$87,0)</f>
        <v>0</v>
      </c>
      <c r="M87" s="1773"/>
      <c r="O87" s="1038" t="n">
        <f aca="false">IF(D87="y",I87*E87,0)</f>
        <v>8821.7922688766</v>
      </c>
      <c r="P87" s="1038"/>
      <c r="R87" s="1039" t="s">
        <v>1077</v>
      </c>
      <c r="S87" s="920" t="s">
        <v>1629</v>
      </c>
      <c r="T87" s="78" t="s">
        <v>1630</v>
      </c>
      <c r="U87" s="54" t="s">
        <v>1047</v>
      </c>
      <c r="V87" s="1311" t="n">
        <f aca="false">IF(U87="Y",DC47/1900,0)</f>
        <v>0</v>
      </c>
      <c r="W87" s="78" t="s">
        <v>1454</v>
      </c>
      <c r="X87" s="1308" t="n">
        <f aca="false">82+25</f>
        <v>107</v>
      </c>
      <c r="Y87" s="78" t="s">
        <v>1631</v>
      </c>
      <c r="Z87" s="1732" t="n">
        <f aca="false">IF(W$44="Y",V87*X87,V87*X87*(1+Y$44))</f>
        <v>0</v>
      </c>
    </row>
    <row r="88" customFormat="false" ht="21.75" hidden="false" customHeight="true" outlineLevel="0" collapsed="false">
      <c r="B88" s="1747" t="s">
        <v>1313</v>
      </c>
      <c r="C88" s="1082"/>
      <c r="D88" s="1083" t="s">
        <v>1302</v>
      </c>
      <c r="E88" s="1787"/>
      <c r="F88" s="1787"/>
      <c r="G88" s="397"/>
      <c r="H88" s="397"/>
      <c r="I88" s="1788"/>
      <c r="J88" s="1788"/>
      <c r="K88" s="397"/>
      <c r="L88" s="1789" t="n">
        <f aca="false">IF(D88="N",E88,0)</f>
        <v>0</v>
      </c>
      <c r="M88" s="1789"/>
      <c r="N88" s="265"/>
      <c r="O88" s="1056" t="n">
        <f aca="false">IF(D88="y",E88,0)</f>
        <v>0</v>
      </c>
      <c r="P88" s="1056"/>
      <c r="R88" s="1039" t="s">
        <v>1077</v>
      </c>
      <c r="S88" s="920" t="s">
        <v>1632</v>
      </c>
      <c r="T88" s="78" t="s">
        <v>1633</v>
      </c>
      <c r="U88" s="54" t="s">
        <v>1306</v>
      </c>
      <c r="V88" s="1311" t="n">
        <f aca="false">IF(U88="Y",DC$47/2940,0)</f>
        <v>48.8895691609977</v>
      </c>
      <c r="W88" s="78" t="s">
        <v>1454</v>
      </c>
      <c r="X88" s="1308" t="n">
        <f aca="false">Pricing!Q58+30</f>
        <v>340</v>
      </c>
      <c r="Y88" s="78" t="s">
        <v>1631</v>
      </c>
      <c r="Z88" s="1732" t="n">
        <f aca="false">IF(W$44="Y",V88*X88,V88*X88*(1+Y$44))</f>
        <v>17993.8059297052</v>
      </c>
    </row>
    <row r="89" customFormat="false" ht="21.75" hidden="false" customHeight="true" outlineLevel="0" collapsed="false">
      <c r="B89" s="1087" t="s">
        <v>1447</v>
      </c>
      <c r="C89" s="1088"/>
      <c r="D89" s="1089"/>
      <c r="E89" s="1090" t="n">
        <f aca="false">IF(I79=0,0,(O89-E88+L89)/I79)</f>
        <v>2.10097320391047</v>
      </c>
      <c r="F89" s="1790"/>
      <c r="G89" s="855"/>
      <c r="H89" s="1058"/>
      <c r="I89" s="1088" t="s">
        <v>980</v>
      </c>
      <c r="J89" s="1088"/>
      <c r="K89" s="1088"/>
      <c r="L89" s="1791" t="n">
        <f aca="false">SUM(L79:M88)</f>
        <v>0</v>
      </c>
      <c r="M89" s="1791"/>
      <c r="N89" s="246"/>
      <c r="O89" s="736" t="n">
        <f aca="false">SUM(O79:P88)</f>
        <v>131779.342268877</v>
      </c>
      <c r="P89" s="736"/>
      <c r="R89" s="1039" t="s">
        <v>1077</v>
      </c>
      <c r="S89" s="920" t="s">
        <v>1634</v>
      </c>
      <c r="T89" s="78" t="s">
        <v>1635</v>
      </c>
      <c r="U89" s="54" t="s">
        <v>1047</v>
      </c>
      <c r="V89" s="1311" t="n">
        <f aca="false">IF(U89="Y",DC$47/1760,0)</f>
        <v>0</v>
      </c>
      <c r="W89" s="78" t="s">
        <v>1454</v>
      </c>
      <c r="X89" s="1308" t="n">
        <f aca="false">Pricing!U56+45</f>
        <v>415</v>
      </c>
      <c r="Y89" s="78" t="s">
        <v>1631</v>
      </c>
      <c r="Z89" s="1732" t="n">
        <f aca="false">IF(W$44="Y",V89*X89,V89*X89*(1+Y$44))</f>
        <v>0</v>
      </c>
    </row>
    <row r="90" customFormat="false" ht="21.75" hidden="false" customHeight="true" outlineLevel="0" collapsed="false">
      <c r="B90" s="1344" t="s">
        <v>1449</v>
      </c>
      <c r="C90" s="1792"/>
      <c r="D90" s="1792"/>
      <c r="E90" s="1792"/>
      <c r="F90" s="1792"/>
      <c r="G90" s="1792"/>
      <c r="H90" s="1792"/>
      <c r="I90" s="1792"/>
      <c r="J90" s="1792"/>
      <c r="K90" s="1792"/>
      <c r="L90" s="1792"/>
      <c r="M90" s="1792"/>
      <c r="N90" s="1792"/>
      <c r="O90" s="1792"/>
      <c r="P90" s="1793"/>
      <c r="R90" s="1039" t="s">
        <v>1077</v>
      </c>
      <c r="S90" s="1357" t="s">
        <v>1636</v>
      </c>
      <c r="T90" s="1358" t="s">
        <v>1637</v>
      </c>
      <c r="U90" s="495" t="s">
        <v>1047</v>
      </c>
      <c r="V90" s="1359" t="n">
        <f aca="false">IF(U90="y",DC47/2360,0)</f>
        <v>0</v>
      </c>
      <c r="W90" s="1358" t="s">
        <v>1454</v>
      </c>
      <c r="X90" s="1360"/>
      <c r="Y90" s="1358" t="s">
        <v>1631</v>
      </c>
      <c r="Z90" s="1785" t="n">
        <f aca="false">IF(W$44="Y",V90*X90,V90*X90*(1+Y$44))</f>
        <v>0</v>
      </c>
    </row>
    <row r="91" customFormat="false" ht="21.75" hidden="false" customHeight="true" outlineLevel="0" collapsed="false">
      <c r="B91" s="1794" t="s">
        <v>1316</v>
      </c>
      <c r="C91" s="1068"/>
      <c r="D91" s="1097" t="n">
        <f aca="false">I79/16000</f>
        <v>3.9201875</v>
      </c>
      <c r="E91" s="1098" t="n">
        <f aca="false">D91*7</f>
        <v>27.4413125</v>
      </c>
      <c r="F91" s="1068" t="s">
        <v>1317</v>
      </c>
      <c r="G91" s="1099" t="n">
        <v>425</v>
      </c>
      <c r="H91" s="1100" t="s">
        <v>620</v>
      </c>
      <c r="I91" s="1068"/>
      <c r="J91" s="1068"/>
      <c r="K91" s="1068"/>
      <c r="L91" s="1068"/>
      <c r="M91" s="1795" t="n">
        <f aca="false">IF(E45=0,0,(SUM(O91:P93))/E45)</f>
        <v>0.0178134118858003</v>
      </c>
      <c r="N91" s="1795"/>
      <c r="O91" s="1102" t="n">
        <f aca="false">E91*G91</f>
        <v>11662.5578125</v>
      </c>
      <c r="P91" s="1102"/>
      <c r="R91" s="1147"/>
      <c r="S91" s="920" t="s">
        <v>1638</v>
      </c>
      <c r="T91" s="78" t="s">
        <v>1627</v>
      </c>
      <c r="U91" s="1796" t="n">
        <f aca="false">19*19/144</f>
        <v>2.50694444444444</v>
      </c>
      <c r="V91" s="1311"/>
      <c r="W91" s="1361"/>
      <c r="X91" s="1239" t="n">
        <f aca="false">U91*V85/27</f>
        <v>0</v>
      </c>
      <c r="Y91" s="78" t="s">
        <v>1639</v>
      </c>
      <c r="Z91" s="1732" t="n">
        <f aca="false">IF(W$44="Y",V91*X91,V91*X91*(1+Y$44))</f>
        <v>0</v>
      </c>
    </row>
    <row r="92" customFormat="false" ht="21.75" hidden="false" customHeight="true" outlineLevel="0" collapsed="false">
      <c r="B92" s="507" t="s">
        <v>1640</v>
      </c>
      <c r="E92" s="1103"/>
      <c r="F92" s="1104" t="s">
        <v>1317</v>
      </c>
      <c r="G92" s="1105" t="n">
        <v>250</v>
      </c>
      <c r="H92" s="1142" t="s">
        <v>620</v>
      </c>
      <c r="M92" s="1797" t="n">
        <f aca="false">SUM(O91:P93)</f>
        <v>14406.6890625</v>
      </c>
      <c r="N92" s="1797"/>
      <c r="O92" s="1038" t="n">
        <f aca="false">E92*G92</f>
        <v>0</v>
      </c>
      <c r="P92" s="1038"/>
      <c r="R92" s="1147"/>
      <c r="S92" s="920"/>
      <c r="T92" s="78" t="s">
        <v>1625</v>
      </c>
      <c r="U92" s="1796" t="n">
        <f aca="false">19*19/144*8.5/12</f>
        <v>1.77575231481481</v>
      </c>
      <c r="V92" s="1311"/>
      <c r="W92" s="1361"/>
      <c r="X92" s="1239" t="n">
        <f aca="false">U92*V84/27</f>
        <v>0</v>
      </c>
      <c r="Y92" s="78" t="s">
        <v>1639</v>
      </c>
      <c r="Z92" s="1732" t="n">
        <f aca="false">IF(W$44="Y",V92*X92,V92*X92*(1+Y$44))</f>
        <v>0</v>
      </c>
    </row>
    <row r="93" customFormat="false" ht="21.75" hidden="false" customHeight="true" outlineLevel="0" collapsed="false">
      <c r="B93" s="507" t="s">
        <v>1320</v>
      </c>
      <c r="E93" s="1103" t="n">
        <f aca="false">E91</f>
        <v>27.4413125</v>
      </c>
      <c r="F93" s="16" t="s">
        <v>1317</v>
      </c>
      <c r="G93" s="1105" t="n">
        <v>100</v>
      </c>
      <c r="H93" s="16" t="s">
        <v>620</v>
      </c>
      <c r="O93" s="1038" t="n">
        <f aca="false">E93*G93</f>
        <v>2744.13125</v>
      </c>
      <c r="P93" s="1038"/>
      <c r="R93" s="1306"/>
      <c r="S93" s="920"/>
      <c r="T93" s="78"/>
      <c r="V93" s="1311"/>
      <c r="W93" s="78"/>
      <c r="X93" s="1308"/>
      <c r="Y93" s="78"/>
      <c r="Z93" s="1732" t="n">
        <f aca="false">IF(W$44="Y",V93*X93,V93*X93*(1+Y$44))</f>
        <v>0</v>
      </c>
    </row>
    <row r="94" customFormat="false" ht="21.75" hidden="false" customHeight="true" outlineLevel="0" collapsed="false">
      <c r="B94" s="1798" t="s">
        <v>1321</v>
      </c>
      <c r="C94" s="1058"/>
      <c r="D94" s="1058"/>
      <c r="E94" s="1110" t="n">
        <f aca="false">E91</f>
        <v>27.4413125</v>
      </c>
      <c r="F94" s="1058"/>
      <c r="G94" s="1126" t="n">
        <v>200</v>
      </c>
      <c r="H94" s="1058"/>
      <c r="I94" s="1058"/>
      <c r="J94" s="1058"/>
      <c r="K94" s="1058"/>
      <c r="L94" s="1058"/>
      <c r="M94" s="1372" t="n">
        <f aca="false">IF(E45=0,0,O94/E45)</f>
        <v>0.00678606167078105</v>
      </c>
      <c r="N94" s="1372"/>
      <c r="O94" s="1038" t="n">
        <f aca="false">E94*G94</f>
        <v>5488.2625</v>
      </c>
      <c r="P94" s="1038"/>
      <c r="R94" s="1306"/>
      <c r="S94" s="920"/>
      <c r="T94" s="78"/>
      <c r="V94" s="1311"/>
      <c r="W94" s="78"/>
      <c r="X94" s="1308"/>
      <c r="Y94" s="78"/>
      <c r="Z94" s="1732" t="n">
        <f aca="false">IF(W$44="Y",V94*X94,V94*X94*(1+Y$44))</f>
        <v>0</v>
      </c>
    </row>
    <row r="95" customFormat="false" ht="21.75" hidden="false" customHeight="true" outlineLevel="0" collapsed="false">
      <c r="B95" s="1344" t="s">
        <v>1325</v>
      </c>
      <c r="C95" s="1792"/>
      <c r="D95" s="1792"/>
      <c r="E95" s="1792"/>
      <c r="F95" s="1792"/>
      <c r="G95" s="1792"/>
      <c r="H95" s="1792"/>
      <c r="I95" s="1792"/>
      <c r="J95" s="1792"/>
      <c r="K95" s="1792"/>
      <c r="L95" s="1792"/>
      <c r="M95" s="1792"/>
      <c r="N95" s="1792"/>
      <c r="O95" s="1792"/>
      <c r="P95" s="1793"/>
      <c r="R95" s="1039" t="s">
        <v>1451</v>
      </c>
      <c r="S95" s="920" t="s">
        <v>1641</v>
      </c>
      <c r="T95" s="78"/>
      <c r="V95" s="1311" t="n">
        <f aca="false">V88*2.5</f>
        <v>122.223922902494</v>
      </c>
      <c r="W95" s="78" t="s">
        <v>1454</v>
      </c>
      <c r="X95" s="1308" t="n">
        <v>33</v>
      </c>
      <c r="Y95" s="78" t="s">
        <v>1642</v>
      </c>
      <c r="Z95" s="1732" t="n">
        <f aca="false">IF(W$44="Y",V95*X95,V95*X95*(1+Y$44))</f>
        <v>4366.14408588435</v>
      </c>
    </row>
    <row r="96" customFormat="false" ht="21.75" hidden="false" customHeight="true" outlineLevel="0" collapsed="false">
      <c r="B96" s="1794" t="s">
        <v>1326</v>
      </c>
      <c r="C96" s="1799"/>
      <c r="D96" s="1800"/>
      <c r="E96" s="1115"/>
      <c r="F96" s="1068" t="s">
        <v>1327</v>
      </c>
      <c r="G96" s="1099" t="n">
        <f aca="false">Pricing!D32</f>
        <v>425</v>
      </c>
      <c r="H96" s="1068" t="s">
        <v>620</v>
      </c>
      <c r="I96" s="1068"/>
      <c r="J96" s="1068"/>
      <c r="K96" s="1068"/>
      <c r="L96" s="1068"/>
      <c r="M96" s="1068"/>
      <c r="N96" s="1068"/>
      <c r="O96" s="1102" t="n">
        <f aca="false">((IF(AND(E96&gt;0,E96&lt;4),E96*G96,0)+IF(AND(E96&gt;3,E96&lt;8),G96*3,0)+IF(AND(E96&gt;7,E96&lt;21),E96/7*G96*3,0)+IF(AND(E96&gt;20,E96&lt;30),G96*9,0)+IF(E96&gt;29,E96/30*G96*9,0)))*(1+$Y$44+J$98)</f>
        <v>0</v>
      </c>
      <c r="P96" s="1102"/>
      <c r="R96" s="1147"/>
      <c r="S96" s="920"/>
      <c r="T96" s="78"/>
      <c r="V96" s="1311"/>
      <c r="W96" s="78"/>
      <c r="X96" s="1308"/>
      <c r="Y96" s="78"/>
      <c r="Z96" s="1732" t="n">
        <f aca="false">IF(W$44="Y",V96*X96,V96*X96*(1+Y$44))</f>
        <v>0</v>
      </c>
    </row>
    <row r="97" customFormat="false" ht="21.75" hidden="false" customHeight="true" outlineLevel="0" collapsed="false">
      <c r="B97" s="507" t="s">
        <v>622</v>
      </c>
      <c r="C97" s="1312"/>
      <c r="D97" s="1801"/>
      <c r="E97" s="1115" t="n">
        <f aca="false">IF(E$91&gt;0,IF(E$91&lt;=3,E$91,7),0)+IF(E$91&gt;5,IF(E$91&lt;=10,7,0),0)+IF(E$91&gt;10,IF(E$91&lt;=15,14,0),0)+IF(E$91&gt;15,IF(E$91&lt;=20,23,0),0)+IF(E$91&gt;20,IF(E$91&lt;=40,53,0),0)+IF(E$91&gt;40,IF(E$91&lt;=60,83,0),0)+IF(E$91&gt;60,IF(E$91&lt;=80,113,0),0)+IF(E$91&gt;80,IF(E$91&lt;=100,143,0),0)+IF(E$91&gt;100,IF(E$91&lt;=120,163,0),0)+IF(E$91&gt;120,IF(E$91&lt;=140,193,0),0)+IF(E$91&gt;140,IF(E$91&lt;=160,223,0),0)</f>
        <v>60</v>
      </c>
      <c r="F97" s="16" t="s">
        <v>1327</v>
      </c>
      <c r="G97" s="1105" t="n">
        <f aca="false">Pricing!D33</f>
        <v>475</v>
      </c>
      <c r="H97" s="16" t="s">
        <v>620</v>
      </c>
      <c r="J97" s="1118" t="s">
        <v>1329</v>
      </c>
      <c r="K97" s="1118"/>
      <c r="M97" s="1119" t="n">
        <f aca="false">IF(E45=0,0,(SUM(O96:P101))/E45)</f>
        <v>0.038205937868475</v>
      </c>
      <c r="N97" s="1119"/>
      <c r="O97" s="1802" t="n">
        <f aca="false">((IF(AND(E97&gt;0,E97&lt;4),E97*G97,0)+IF(AND(E97&gt;3,E97&lt;8),G97*3,0)+IF(AND(E97&gt;7,E97&lt;21),E97/7*G97*3,0)+IF(AND(E97&gt;20,E97&lt;30),G97*9,0)+IF(E97&gt;29,E97/30*G97*9,0)))*(1+$Y$44+J$98)</f>
        <v>13530.375</v>
      </c>
      <c r="P97" s="1802"/>
      <c r="R97" s="1147"/>
      <c r="S97" s="1357" t="s">
        <v>1643</v>
      </c>
      <c r="T97" s="1358"/>
      <c r="U97" s="397"/>
      <c r="V97" s="1359"/>
      <c r="W97" s="1358" t="s">
        <v>1323</v>
      </c>
      <c r="X97" s="1360" t="n">
        <v>250</v>
      </c>
      <c r="Y97" s="1358" t="s">
        <v>1324</v>
      </c>
      <c r="Z97" s="1785" t="n">
        <f aca="false">IF(W$44="Y",V97*X97,V97*X97*(1+Y$44))</f>
        <v>0</v>
      </c>
    </row>
    <row r="98" customFormat="false" ht="21.75" hidden="false" customHeight="true" outlineLevel="0" collapsed="false">
      <c r="B98" s="507" t="s">
        <v>624</v>
      </c>
      <c r="C98" s="1312"/>
      <c r="D98" s="1801"/>
      <c r="E98" s="1115" t="n">
        <f aca="false">E97</f>
        <v>60</v>
      </c>
      <c r="F98" s="78" t="s">
        <v>1327</v>
      </c>
      <c r="G98" s="1105" t="n">
        <f aca="false">Pricing!D34</f>
        <v>325</v>
      </c>
      <c r="H98" s="16" t="s">
        <v>620</v>
      </c>
      <c r="J98" s="1803" t="n">
        <v>0.5</v>
      </c>
      <c r="K98" s="1803"/>
      <c r="M98" s="1106" t="n">
        <f aca="false">SUM(O96:P101)</f>
        <v>30899.25</v>
      </c>
      <c r="N98" s="1106"/>
      <c r="O98" s="1802" t="n">
        <f aca="false">((IF(AND(E98&gt;0,E98&lt;4),E98*G98,0)+IF(AND(E98&gt;3,E98&lt;8),G98*3,0)+IF(AND(E98&gt;7,E98&lt;21),E98/7*G98*3,0)+IF(AND(E98&gt;20,E98&lt;30),G98*9,0)+IF(E98&gt;29,E98/30*G98*9,0)))*(1+$Y$44+J$98)</f>
        <v>9257.625</v>
      </c>
      <c r="P98" s="1802"/>
      <c r="R98" s="1039" t="s">
        <v>1073</v>
      </c>
      <c r="S98" s="920" t="s">
        <v>618</v>
      </c>
      <c r="T98" s="78"/>
      <c r="V98" s="1311" t="n">
        <f aca="false">ROUNDUP(D42/15000,0)</f>
        <v>5</v>
      </c>
      <c r="W98" s="16" t="s">
        <v>1452</v>
      </c>
      <c r="X98" s="1308" t="n">
        <f aca="false">Pricing!Q31</f>
        <v>27</v>
      </c>
      <c r="Y98" s="16" t="s">
        <v>607</v>
      </c>
      <c r="Z98" s="1732" t="n">
        <f aca="false">IF(W$44="Y",V98*X98,V98*X98*(1+Y$44))</f>
        <v>146.1375</v>
      </c>
    </row>
    <row r="99" customFormat="false" ht="21.75" hidden="false" customHeight="true" outlineLevel="0" collapsed="false">
      <c r="B99" s="507" t="s">
        <v>626</v>
      </c>
      <c r="C99" s="1312"/>
      <c r="D99" s="1801"/>
      <c r="E99" s="1115" t="n">
        <f aca="false">IF(E$91&gt;0,IF(E$91&lt;=3,E$91,7),0)+IF(E$91&gt;5,IF(E$91&lt;=10,7,0),0)+IF(E$91&gt;10,IF(E$91&lt;=15,14,0),0)+IF(E$91&gt;15,IF(E$91&lt;=20,23,0),0)+IF(E$91&gt;20,IF(E$91&lt;=40,53,0),0)+IF(E$91&gt;40,IF(E$91&lt;=60,83,0),0)+IF(E$91&gt;60,IF(E$91&lt;=80,113,0),0)+IF(E$91&gt;80,IF(E$91&lt;=100,143,0),0)+IF(E$91&gt;100,IF(E$91&lt;=120,163,0),0)+IF(E$91&gt;120,IF(E$91&lt;=140,193,0),0)+IF(E$91&gt;140,IF(E$91&lt;=160,223,0),0)</f>
        <v>60</v>
      </c>
      <c r="F99" s="16" t="s">
        <v>1327</v>
      </c>
      <c r="G99" s="1105" t="n">
        <v>225</v>
      </c>
      <c r="H99" s="16" t="s">
        <v>620</v>
      </c>
      <c r="J99" s="1803"/>
      <c r="K99" s="1803"/>
      <c r="O99" s="1038" t="n">
        <f aca="false">((IF(AND(E99&gt;0,E99&lt;4),E99*G99,0)+IF(AND(E99&gt;3,E99&lt;8),G99*3,0)+IF(AND(E99&gt;7,E99&lt;21),E99/7*G99*3,0)+IF(AND(E99&gt;20,E99&lt;30),G99*9,0)+IF(E99&gt;29,E99/30*G99*9,0)))*(1+$Y$44+J$98)</f>
        <v>6409.125</v>
      </c>
      <c r="P99" s="1038"/>
      <c r="R99" s="1039" t="s">
        <v>1073</v>
      </c>
      <c r="S99" s="920" t="s">
        <v>629</v>
      </c>
      <c r="T99" s="78"/>
      <c r="V99" s="1311" t="n">
        <f aca="false">I79/15000</f>
        <v>4.18153333333333</v>
      </c>
      <c r="W99" s="16" t="s">
        <v>1644</v>
      </c>
      <c r="X99" s="1308" t="n">
        <f aca="false">Pricing!Q36</f>
        <v>37.8</v>
      </c>
      <c r="Y99" s="16" t="s">
        <v>630</v>
      </c>
      <c r="Z99" s="1732" t="n">
        <f aca="false">IF(W$44="Y",V99*X99,V99*X99*(1+Y$44))</f>
        <v>171.1020717</v>
      </c>
    </row>
    <row r="100" customFormat="false" ht="21.75" hidden="false" customHeight="true" outlineLevel="0" collapsed="false">
      <c r="B100" s="507" t="s">
        <v>1333</v>
      </c>
      <c r="C100" s="1312"/>
      <c r="D100" s="1801"/>
      <c r="E100" s="1115" t="n">
        <f aca="false">IF(E$91&gt;0,IF(E$91&lt;=3,E$91,7),0)+IF(E$91&gt;5,IF(E$91&lt;=10,7,0),0)+IF(E$91&gt;10,IF(E$91&lt;=15,14,0),0)+IF(E$91&gt;15,IF(E$91&lt;=20,23,0),0)+IF(E$91&gt;20,IF(E$91&lt;=40,53,0),0)+IF(E$91&gt;40,IF(E$91&lt;=60,83,0),0)+IF(E$91&gt;60,IF(E$91&lt;=80,113,0),0)+IF(E$91&gt;80,IF(E$91&lt;=100,143,0),0)+IF(E$91&gt;100,IF(E$91&lt;=120,163,0),0)+IF(E$91&gt;120,IF(E$91&lt;=140,193,0),0)+IF(E$91&gt;140,IF(E$91&lt;=160,223,0),0)</f>
        <v>60</v>
      </c>
      <c r="F100" s="16" t="s">
        <v>1327</v>
      </c>
      <c r="G100" s="1105" t="n">
        <v>25</v>
      </c>
      <c r="H100" s="16" t="s">
        <v>620</v>
      </c>
      <c r="O100" s="1038" t="n">
        <f aca="false">((IF(AND(E100&gt;0,E100&lt;4),E100*G100,0)+IF(AND(E100&gt;3,E100&lt;8),G100*3,0)+IF(AND(E100&gt;7,E100&lt;21),E100/7*G100*3,0)+IF(AND(E100&gt;20,E100&lt;30),G100*9,0)+IF(E100&gt;29,E100/30*G100*9,0)))*(1+$Y$44+J$98)</f>
        <v>712.125</v>
      </c>
      <c r="P100" s="1038"/>
      <c r="R100" s="1039" t="s">
        <v>1073</v>
      </c>
      <c r="S100" s="1357" t="s">
        <v>554</v>
      </c>
      <c r="T100" s="1358"/>
      <c r="U100" s="265"/>
      <c r="V100" s="1359" t="n">
        <f aca="false">L70+(L71*0.75)</f>
        <v>66062.011344383</v>
      </c>
      <c r="W100" s="397" t="s">
        <v>1288</v>
      </c>
      <c r="X100" s="1360" t="n">
        <v>0.02</v>
      </c>
      <c r="Y100" s="397" t="s">
        <v>555</v>
      </c>
      <c r="Z100" s="1785" t="n">
        <f aca="false">IF(W$44="Y",V100*X100,V100*X100*(1+Y$44))</f>
        <v>1430.24254560589</v>
      </c>
    </row>
    <row r="101" customFormat="false" ht="21.75" hidden="false" customHeight="true" outlineLevel="0" collapsed="false">
      <c r="B101" s="1798" t="s">
        <v>1067</v>
      </c>
      <c r="C101" s="1804"/>
      <c r="D101" s="1805"/>
      <c r="E101" s="1115" t="n">
        <f aca="false">IF(E$91&gt;0,IF(E$91&lt;=3,E$91,7),0)+IF(E$91&gt;5,IF(E$91&lt;=10,7,0),0)+IF(E$91&gt;10,IF(E$91&lt;=15,14,0),0)+IF(E$91&gt;15,IF(E$91&lt;=20,23,0),0)+IF(E$91&gt;20,IF(E$91&lt;=40,53,0),0)+IF(E$91&gt;40,IF(E$91&lt;=60,83,0),0)+IF(E$91&gt;60,IF(E$91&lt;=80,113,0),0)+IF(E$91&gt;80,IF(E$91&lt;=100,143,0),0)+IF(E$91&gt;100,IF(E$91&lt;=120,163,0),0)+IF(E$91&gt;120,IF(E$91&lt;=140,193,0),0)+IF(E$91&gt;140,IF(E$91&lt;=160,223,0),0)</f>
        <v>60</v>
      </c>
      <c r="F101" s="1058" t="s">
        <v>1645</v>
      </c>
      <c r="G101" s="1126" t="n">
        <v>55</v>
      </c>
      <c r="H101" s="1058" t="s">
        <v>620</v>
      </c>
      <c r="I101" s="1058"/>
      <c r="J101" s="1058"/>
      <c r="K101" s="1058"/>
      <c r="L101" s="1058"/>
      <c r="M101" s="1127"/>
      <c r="N101" s="1058"/>
      <c r="O101" s="736" t="n">
        <f aca="false">((IF(AND(E101&gt;0,E101&lt;4),E101*G101,0)+IF(AND(E101&gt;3,E101&lt;8),G101*3,0)+IF(AND(E101&gt;7,E101&lt;21),E101/7*G101*3,0)+IF(AND(E101&gt;20,E101&lt;30),G101*9,0)+IF(E101&gt;29,E101/30*G101*9,0)))</f>
        <v>990</v>
      </c>
      <c r="P101" s="736"/>
      <c r="R101" s="1039" t="s">
        <v>1078</v>
      </c>
      <c r="S101" s="920" t="s">
        <v>1105</v>
      </c>
      <c r="T101" s="78"/>
      <c r="V101" s="78"/>
      <c r="X101" s="1308"/>
      <c r="Y101" s="16"/>
      <c r="Z101" s="1732" t="n">
        <f aca="false">IF(W$44="Y",V101*X101,V101*X101*(1+Y$44))</f>
        <v>0</v>
      </c>
    </row>
    <row r="102" customFormat="false" ht="21.75" hidden="false" customHeight="true" outlineLevel="0" collapsed="false">
      <c r="B102" s="1344" t="s">
        <v>1336</v>
      </c>
      <c r="C102" s="1792"/>
      <c r="D102" s="1792"/>
      <c r="E102" s="1792"/>
      <c r="F102" s="1792"/>
      <c r="G102" s="1792"/>
      <c r="H102" s="1792"/>
      <c r="I102" s="1792"/>
      <c r="J102" s="1792"/>
      <c r="K102" s="1792"/>
      <c r="L102" s="1792"/>
      <c r="M102" s="1792"/>
      <c r="N102" s="1792"/>
      <c r="O102" s="1792"/>
      <c r="P102" s="1793"/>
      <c r="R102" s="1039" t="s">
        <v>1328</v>
      </c>
      <c r="S102" s="920" t="s">
        <v>1105</v>
      </c>
      <c r="T102" s="78"/>
      <c r="V102" s="78"/>
      <c r="X102" s="1308"/>
      <c r="Y102" s="16"/>
      <c r="Z102" s="1732" t="n">
        <f aca="false">IF(W$44="Y",V102*X102,V102*X102*(1+Y$44))</f>
        <v>0</v>
      </c>
    </row>
    <row r="103" customFormat="false" ht="21.75" hidden="false" customHeight="true" outlineLevel="0" collapsed="false">
      <c r="B103" s="1794" t="s">
        <v>1646</v>
      </c>
      <c r="C103" s="1799"/>
      <c r="D103" s="1800"/>
      <c r="E103" s="1381"/>
      <c r="F103" s="1133" t="s">
        <v>1510</v>
      </c>
      <c r="G103" s="1806" t="n">
        <v>0.2</v>
      </c>
      <c r="H103" s="1807"/>
      <c r="I103" s="1068" t="s">
        <v>600</v>
      </c>
      <c r="J103" s="1068"/>
      <c r="K103" s="1068"/>
      <c r="L103" s="1068"/>
      <c r="M103" s="1068"/>
      <c r="N103" s="1068"/>
      <c r="O103" s="1102" t="n">
        <f aca="false">E103*G103</f>
        <v>0</v>
      </c>
      <c r="P103" s="1102"/>
      <c r="R103" s="1039" t="s">
        <v>1330</v>
      </c>
      <c r="S103" s="1357" t="s">
        <v>1108</v>
      </c>
      <c r="T103" s="1358"/>
      <c r="U103" s="265"/>
      <c r="V103" s="1358"/>
      <c r="W103" s="397"/>
      <c r="X103" s="1360"/>
      <c r="Y103" s="397"/>
      <c r="Z103" s="1785" t="n">
        <f aca="false">IF(W$44="Y",V103*X103,V103*X103*(1+Y$44))</f>
        <v>0</v>
      </c>
    </row>
    <row r="104" customFormat="false" ht="21.75" hidden="false" customHeight="true" outlineLevel="0" collapsed="false">
      <c r="B104" s="507" t="s">
        <v>1647</v>
      </c>
      <c r="C104" s="1312"/>
      <c r="D104" s="1808" t="s">
        <v>1029</v>
      </c>
      <c r="E104" s="1809" t="n">
        <f aca="false">IF(D104="Y",(I79*2/L104),0)</f>
        <v>0</v>
      </c>
      <c r="F104" s="16" t="s">
        <v>1618</v>
      </c>
      <c r="G104" s="1810" t="n">
        <v>0.65</v>
      </c>
      <c r="H104" s="1811"/>
      <c r="I104" s="16" t="s">
        <v>600</v>
      </c>
      <c r="J104" s="1812" t="s">
        <v>1648</v>
      </c>
      <c r="K104" s="1813"/>
      <c r="L104" s="1814" t="n">
        <v>20</v>
      </c>
      <c r="N104" s="525"/>
      <c r="O104" s="1038" t="n">
        <f aca="false">IF(E104=0,0,E104*G104)</f>
        <v>0</v>
      </c>
      <c r="P104" s="1038"/>
      <c r="R104" s="1147"/>
      <c r="S104" s="920"/>
      <c r="T104" s="78"/>
      <c r="V104" s="78"/>
      <c r="X104" s="1308"/>
      <c r="Y104" s="16"/>
      <c r="Z104" s="1732" t="n">
        <f aca="false">IF(W$44="Y",V104*X104,V104*X104*(1+Y$44))</f>
        <v>0</v>
      </c>
    </row>
    <row r="105" customFormat="false" ht="21.75" hidden="false" customHeight="true" outlineLevel="0" collapsed="false">
      <c r="B105" s="507" t="s">
        <v>1462</v>
      </c>
      <c r="C105" s="1312"/>
      <c r="D105" s="1808" t="s">
        <v>1029</v>
      </c>
      <c r="E105" s="1815" t="n">
        <f aca="false">E104</f>
        <v>0</v>
      </c>
      <c r="F105" s="16" t="s">
        <v>1341</v>
      </c>
      <c r="G105" s="1810" t="n">
        <v>0.35</v>
      </c>
      <c r="H105" s="1816"/>
      <c r="I105" s="16" t="s">
        <v>1341</v>
      </c>
      <c r="J105" s="1817"/>
      <c r="K105" s="1813"/>
      <c r="L105" s="1814" t="n">
        <v>20</v>
      </c>
      <c r="O105" s="1038" t="n">
        <f aca="false">E105*G105</f>
        <v>0</v>
      </c>
      <c r="P105" s="1038"/>
      <c r="R105" s="1039" t="s">
        <v>1342</v>
      </c>
      <c r="S105" s="920" t="s">
        <v>646</v>
      </c>
      <c r="T105" s="78"/>
      <c r="V105" s="1311" t="n">
        <f aca="false">ROUNDUP(I79/300/55,0)</f>
        <v>4</v>
      </c>
      <c r="W105" s="16" t="s">
        <v>1649</v>
      </c>
      <c r="X105" s="1308" t="n">
        <f aca="false">Pricing!Q44</f>
        <v>567.5</v>
      </c>
      <c r="Y105" s="16" t="s">
        <v>647</v>
      </c>
      <c r="Z105" s="1732" t="n">
        <f aca="false">IF(W$44="Y",V105*X105,V105*X105*(1+Y$44))</f>
        <v>2457.275</v>
      </c>
    </row>
    <row r="106" customFormat="false" ht="21.75" hidden="false" customHeight="true" outlineLevel="0" collapsed="false">
      <c r="B106" s="507" t="s">
        <v>1343</v>
      </c>
      <c r="C106" s="1312"/>
      <c r="D106" s="1801"/>
      <c r="E106" s="1389" t="n">
        <f aca="false">Q42</f>
        <v>2205.19586419753</v>
      </c>
      <c r="F106" s="1142" t="s">
        <v>998</v>
      </c>
      <c r="G106" s="1810" t="n">
        <v>16</v>
      </c>
      <c r="H106" s="1816"/>
      <c r="I106" s="16" t="s">
        <v>1285</v>
      </c>
      <c r="O106" s="1038" t="n">
        <f aca="false">E106*G106</f>
        <v>35283.1338271605</v>
      </c>
      <c r="P106" s="1038"/>
      <c r="R106" s="1039" t="s">
        <v>1342</v>
      </c>
      <c r="S106" s="1357" t="s">
        <v>649</v>
      </c>
      <c r="T106" s="1358"/>
      <c r="U106" s="265"/>
      <c r="V106" s="1359" t="n">
        <v>0</v>
      </c>
      <c r="W106" s="397" t="s">
        <v>1649</v>
      </c>
      <c r="X106" s="1360" t="n">
        <f aca="false">Pricing!Q45</f>
        <v>542</v>
      </c>
      <c r="Y106" s="397" t="s">
        <v>647</v>
      </c>
      <c r="Z106" s="1785" t="n">
        <f aca="false">IF(W$44="Y",V106*X106,V106*X106*(1+Y$44))</f>
        <v>0</v>
      </c>
    </row>
    <row r="107" customFormat="false" ht="21.75" hidden="false" customHeight="true" outlineLevel="0" collapsed="false">
      <c r="B107" s="507" t="s">
        <v>1234</v>
      </c>
      <c r="C107" s="1312"/>
      <c r="D107" s="1801"/>
      <c r="E107" s="1815" t="n">
        <f aca="false">IF(SUM(DX10:DX41)&lt;0,0,SUM(DX10:DX41)*1.35)</f>
        <v>0</v>
      </c>
      <c r="F107" s="1142" t="s">
        <v>998</v>
      </c>
      <c r="G107" s="1818"/>
      <c r="H107" s="1819"/>
      <c r="I107" s="16" t="s">
        <v>1285</v>
      </c>
      <c r="O107" s="1038" t="n">
        <f aca="false">IF(E107&lt;0,0,E107*G107)</f>
        <v>0</v>
      </c>
      <c r="P107" s="1038"/>
      <c r="R107" s="1147"/>
      <c r="S107" s="920"/>
      <c r="T107" s="78"/>
      <c r="U107" s="78"/>
      <c r="W107" s="78"/>
      <c r="Z107" s="1820"/>
    </row>
    <row r="108" customFormat="false" ht="21.75" hidden="false" customHeight="true" outlineLevel="0" collapsed="false">
      <c r="B108" s="507" t="s">
        <v>1346</v>
      </c>
      <c r="C108" s="1312"/>
      <c r="D108" s="1801"/>
      <c r="E108" s="1144"/>
      <c r="F108" s="922" t="s">
        <v>1347</v>
      </c>
      <c r="G108" s="1810" t="n">
        <v>200</v>
      </c>
      <c r="H108" s="1821"/>
      <c r="I108" s="16" t="s">
        <v>620</v>
      </c>
      <c r="O108" s="1038" t="n">
        <f aca="false">E108*G108</f>
        <v>0</v>
      </c>
      <c r="P108" s="1038"/>
      <c r="R108" s="1147"/>
      <c r="S108" s="1822" t="s">
        <v>1349</v>
      </c>
      <c r="T108" s="1823"/>
      <c r="U108" s="1271" t="n">
        <v>18</v>
      </c>
      <c r="V108" s="16" t="s">
        <v>1350</v>
      </c>
      <c r="W108" s="78"/>
      <c r="Z108" s="1820"/>
    </row>
    <row r="109" customFormat="false" ht="21.75" hidden="false" customHeight="true" outlineLevel="0" collapsed="false">
      <c r="B109" s="1798" t="s">
        <v>1067</v>
      </c>
      <c r="C109" s="1804"/>
      <c r="D109" s="1804"/>
      <c r="E109" s="1110"/>
      <c r="F109" s="1058"/>
      <c r="G109" s="1824" t="n">
        <v>1000</v>
      </c>
      <c r="H109" s="1825"/>
      <c r="I109" s="1058" t="s">
        <v>1348</v>
      </c>
      <c r="J109" s="1058"/>
      <c r="K109" s="1058"/>
      <c r="L109" s="1058"/>
      <c r="M109" s="1058"/>
      <c r="N109" s="1058"/>
      <c r="O109" s="736" t="n">
        <f aca="false">E109*G109</f>
        <v>0</v>
      </c>
      <c r="P109" s="736"/>
      <c r="R109" s="1039" t="s">
        <v>1072</v>
      </c>
      <c r="S109" s="1599" t="s">
        <v>1650</v>
      </c>
      <c r="T109" s="1826"/>
      <c r="U109" s="1826" t="n">
        <f aca="false">ROUNDUP((V79+V81+V82)*12/U108,0)</f>
        <v>0</v>
      </c>
      <c r="V109" s="1058" t="s">
        <v>1354</v>
      </c>
      <c r="W109" s="1827" t="n">
        <v>1.65</v>
      </c>
      <c r="X109" s="1827"/>
      <c r="Y109" s="246"/>
      <c r="Z109" s="1732" t="n">
        <f aca="false">IF(W$44="Y",U109*W109,U109*W109*(1+Y$44))</f>
        <v>0</v>
      </c>
    </row>
    <row r="110" customFormat="false" ht="21.75" hidden="false" customHeight="true" outlineLevel="0" collapsed="false">
      <c r="B110" s="1394" t="s">
        <v>1191</v>
      </c>
      <c r="C110" s="1394"/>
      <c r="D110" s="1394"/>
      <c r="E110" s="1395" t="n">
        <f aca="false">Summary!P60</f>
        <v>0</v>
      </c>
      <c r="F110" s="1396" t="s">
        <v>1465</v>
      </c>
      <c r="G110" s="1828" t="n">
        <f aca="false">(SUM(O65:P77)+SUM(L79:M88)+SUM(O79:P88)+SUM(O91:P93)+SUM(O96:P101)+SUM(O103:P109))*E110</f>
        <v>0</v>
      </c>
      <c r="H110" s="1828"/>
      <c r="I110" s="1398" t="s">
        <v>1039</v>
      </c>
      <c r="J110" s="1398"/>
      <c r="K110" s="1398"/>
      <c r="L110" s="1398"/>
      <c r="M110" s="1398"/>
      <c r="N110" s="1398"/>
      <c r="O110" s="1399" t="n">
        <f aca="false">G110</f>
        <v>0</v>
      </c>
      <c r="P110" s="1399"/>
      <c r="Y110" s="16"/>
      <c r="Z110" s="1393" t="n">
        <f aca="false">SUM(Z66:Z109)</f>
        <v>54435.6978150439</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826"/>
      <c r="R111" s="1826"/>
      <c r="S111" s="1826"/>
      <c r="T111" s="1826"/>
      <c r="U111" s="1058"/>
      <c r="V111" s="1827"/>
      <c r="W111" s="1827"/>
      <c r="X111" s="246"/>
      <c r="Y111" s="246"/>
      <c r="Z111" s="246"/>
    </row>
    <row r="112" customFormat="false" ht="24" hidden="false" customHeight="true" outlineLevel="0" collapsed="false">
      <c r="B112" s="949"/>
      <c r="C112" s="950"/>
      <c r="D112" s="950"/>
      <c r="E112" s="950"/>
      <c r="F112" s="950"/>
      <c r="G112" s="950"/>
      <c r="H112" s="950"/>
      <c r="I112" s="950"/>
      <c r="J112" s="950"/>
      <c r="K112" s="950"/>
      <c r="L112" s="954"/>
      <c r="M112" s="950"/>
      <c r="N112" s="950"/>
      <c r="O112" s="950"/>
      <c r="P112" s="950"/>
      <c r="Q112" s="1640"/>
      <c r="R112" s="1640"/>
      <c r="S112" s="950"/>
      <c r="T112" s="950"/>
      <c r="U112" s="950"/>
      <c r="V112" s="950"/>
      <c r="W112" s="950"/>
      <c r="X112" s="950"/>
      <c r="Y112" s="950"/>
      <c r="Z112" s="957"/>
    </row>
    <row r="113" customFormat="false" ht="28.55" hidden="false" customHeight="false" outlineLevel="0" collapsed="false">
      <c r="B113" s="1642" t="s">
        <v>1262</v>
      </c>
      <c r="C113" s="1643"/>
      <c r="D113" s="1644"/>
      <c r="E113" s="1642" t="s">
        <v>982</v>
      </c>
      <c r="F113" s="1644"/>
      <c r="G113" s="1642" t="s">
        <v>1263</v>
      </c>
      <c r="H113" s="1643"/>
      <c r="I113" s="1644"/>
      <c r="J113" s="1167" t="s">
        <v>1264</v>
      </c>
      <c r="K113" s="1168"/>
      <c r="L113" s="1169"/>
      <c r="M113" s="1170" t="s">
        <v>1265</v>
      </c>
      <c r="N113" s="1171"/>
      <c r="O113" s="1171"/>
      <c r="P113" s="1172"/>
      <c r="Q113" s="1645"/>
      <c r="R113" s="1645"/>
      <c r="S113" s="961"/>
      <c r="T113" s="599" t="s">
        <v>1266</v>
      </c>
      <c r="V113" s="16" t="s">
        <v>1267</v>
      </c>
      <c r="W113" s="1173" t="str">
        <f aca="false">W44</f>
        <v>N</v>
      </c>
      <c r="X113" s="833" t="s">
        <v>1268</v>
      </c>
      <c r="Y113" s="1401" t="n">
        <f aca="false">Y44</f>
        <v>0.0825</v>
      </c>
      <c r="Z113" s="964"/>
    </row>
    <row r="114" customFormat="false" ht="15" hidden="false" customHeight="false" outlineLevel="0" collapsed="false">
      <c r="B114" s="965" t="s">
        <v>1269</v>
      </c>
      <c r="C114" s="1649" t="n">
        <f aca="false">C45</f>
        <v>12.8940767480424</v>
      </c>
      <c r="D114" s="966"/>
      <c r="E114" s="967" t="n">
        <f aca="false">E45</f>
        <v>808755.175867466</v>
      </c>
      <c r="F114" s="967"/>
      <c r="G114" s="968" t="n">
        <f aca="false">G45</f>
        <v>0.130434782608696</v>
      </c>
      <c r="H114" s="736" t="n">
        <f aca="false">H45</f>
        <v>105489.80554793</v>
      </c>
      <c r="I114" s="736"/>
      <c r="J114" s="1651" t="n">
        <f aca="false">J45</f>
        <v>11.2122406504717</v>
      </c>
      <c r="K114" s="1652"/>
      <c r="L114" s="1653"/>
      <c r="M114" s="1829" t="n">
        <f aca="false">M45</f>
        <v>0.15</v>
      </c>
      <c r="N114" s="1655"/>
      <c r="O114" s="1655"/>
      <c r="P114" s="1656"/>
      <c r="Q114" s="1645"/>
      <c r="R114" s="1645"/>
      <c r="S114" s="1265"/>
      <c r="T114" s="970" t="s">
        <v>980</v>
      </c>
      <c r="V114" s="971" t="n">
        <f aca="false">V45</f>
        <v>703265.370319536</v>
      </c>
      <c r="W114" s="971"/>
      <c r="X114" s="1659"/>
      <c r="Y114" s="16"/>
      <c r="Z114" s="964"/>
    </row>
    <row r="115" customFormat="false" ht="21.75" hidden="false" customHeight="true" outlineLevel="0" collapsed="false">
      <c r="B115" s="1660"/>
      <c r="C115" s="961"/>
      <c r="D115" s="961"/>
      <c r="E115" s="961"/>
      <c r="F115" s="961"/>
      <c r="G115" s="961"/>
      <c r="H115" s="961"/>
      <c r="I115" s="961"/>
      <c r="J115" s="961"/>
      <c r="K115" s="961"/>
      <c r="L115" s="961"/>
      <c r="M115" s="961"/>
      <c r="N115" s="961"/>
      <c r="O115" s="961"/>
      <c r="P115" s="961"/>
      <c r="Q115" s="1645"/>
      <c r="R115" s="1645"/>
      <c r="S115" s="961"/>
      <c r="T115" s="961"/>
      <c r="U115" s="961"/>
      <c r="V115" s="961"/>
      <c r="W115" s="961"/>
      <c r="X115" s="961"/>
      <c r="Y115" s="961"/>
      <c r="Z115" s="964"/>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1830"/>
      <c r="H117" s="1831" t="s">
        <v>1651</v>
      </c>
      <c r="I117" s="1832" t="n">
        <f aca="false">SUM(I120:I222)</f>
        <v>42907.2763681767</v>
      </c>
      <c r="J117" s="1833" t="s">
        <v>1093</v>
      </c>
      <c r="K117" s="1832" t="n">
        <f aca="false">SUM(K120:K222)</f>
        <v>57713.000375</v>
      </c>
      <c r="L117" s="1834" t="s">
        <v>1652</v>
      </c>
      <c r="M117" s="1832" t="n">
        <f aca="false">SUM(M120:M222)</f>
        <v>319874.686081173</v>
      </c>
      <c r="N117" s="1833" t="s">
        <v>1653</v>
      </c>
      <c r="O117" s="1832" t="n">
        <f aca="false">SUM(O120:O222)</f>
        <v>131779.342268877</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7" t="s">
        <v>1654</v>
      </c>
      <c r="C118" s="1403" t="s">
        <v>1655</v>
      </c>
      <c r="D118" s="719"/>
      <c r="E118" s="722" t="n">
        <f aca="false">D119-V114</f>
        <v>0</v>
      </c>
      <c r="G118" s="1835"/>
      <c r="H118" s="1630"/>
      <c r="I118" s="732" t="n">
        <f aca="false">I117-E124</f>
        <v>0</v>
      </c>
      <c r="J118" s="1630"/>
      <c r="K118" s="732" t="n">
        <f aca="false">K117-E126</f>
        <v>0</v>
      </c>
      <c r="L118" s="1630"/>
      <c r="M118" s="732" t="n">
        <f aca="false">M117-E127</f>
        <v>0</v>
      </c>
      <c r="N118" s="1630"/>
      <c r="O118" s="732" t="n">
        <f aca="false">O117-E153</f>
        <v>0</v>
      </c>
      <c r="Z118" s="16"/>
      <c r="AA118" s="16"/>
      <c r="AE118" s="16" t="n">
        <f aca="false">90000*1.3</f>
        <v>117000</v>
      </c>
    </row>
    <row r="119" customFormat="false" ht="15" hidden="false" customHeight="true" outlineLevel="0" collapsed="false">
      <c r="B119" s="733" t="str">
        <f aca="false">Summary!T73</f>
        <v>04</v>
      </c>
      <c r="C119" s="735"/>
      <c r="D119" s="736" t="n">
        <f aca="false">SUM(E120:E177)-E153-E163</f>
        <v>703265.370319536</v>
      </c>
      <c r="E119" s="736"/>
      <c r="G119" s="1836"/>
      <c r="H119" s="1837" t="s">
        <v>1055</v>
      </c>
      <c r="I119" s="1838" t="s">
        <v>721</v>
      </c>
      <c r="J119" s="1839"/>
      <c r="K119" s="1838" t="s">
        <v>1093</v>
      </c>
      <c r="L119" s="1837" t="s">
        <v>1055</v>
      </c>
      <c r="M119" s="1838" t="s">
        <v>738</v>
      </c>
      <c r="N119" s="1837" t="s">
        <v>1055</v>
      </c>
      <c r="O119" s="1838" t="s">
        <v>1146</v>
      </c>
      <c r="AA119" s="16"/>
    </row>
    <row r="120" customFormat="false" ht="15" hidden="false" customHeight="true" outlineLevel="0" collapsed="false">
      <c r="B120" s="1404" t="n">
        <f aca="false">Summary!T74</f>
        <v>40001</v>
      </c>
      <c r="C120" s="741" t="str">
        <f aca="false">Summary!U74</f>
        <v>General Requirements</v>
      </c>
      <c r="D120" s="318"/>
      <c r="E120" s="742"/>
      <c r="G120" s="1840" t="n">
        <v>1</v>
      </c>
      <c r="H120" s="1841" t="n">
        <f aca="false">40000+(100*G120)+5</f>
        <v>40105</v>
      </c>
      <c r="I120" s="1842" t="n">
        <f aca="false">CO10</f>
        <v>2261.65620138476</v>
      </c>
      <c r="J120" s="1843" t="n">
        <f aca="false">40000+(100*G120)+7</f>
        <v>40107</v>
      </c>
      <c r="K120" s="1842" t="n">
        <f aca="false">DA10</f>
        <v>2707.00775</v>
      </c>
      <c r="L120" s="1843" t="n">
        <f aca="false">40000+(100*G120)+8</f>
        <v>40108</v>
      </c>
      <c r="M120" s="1842" t="n">
        <f aca="false">CN10</f>
        <v>16172.6206966049</v>
      </c>
      <c r="N120" s="1843" t="n">
        <f aca="false">40000+(100*G120)+40</f>
        <v>40140</v>
      </c>
      <c r="O120" s="1842" t="n">
        <f aca="false">SUM(CP10:CT10)+DB10</f>
        <v>6261.18993114234</v>
      </c>
      <c r="S120" s="1844"/>
    </row>
    <row r="121" customFormat="false" ht="15" hidden="false" customHeight="true" outlineLevel="0" collapsed="false">
      <c r="B121" s="1404" t="n">
        <f aca="false">Summary!T75</f>
        <v>40002</v>
      </c>
      <c r="C121" s="741" t="str">
        <f aca="false">Summary!U75</f>
        <v>Lumber</v>
      </c>
      <c r="D121" s="318"/>
      <c r="E121" s="751" t="n">
        <f aca="false">SUM(Z66:Z86)+Z109</f>
        <v>27870.9906821484</v>
      </c>
      <c r="G121" s="1840" t="n">
        <v>2</v>
      </c>
      <c r="H121" s="1841" t="n">
        <f aca="false">40000+(100*G121)+5</f>
        <v>40205</v>
      </c>
      <c r="I121" s="1845" t="n">
        <f aca="false">CO11</f>
        <v>2463.65665378536</v>
      </c>
      <c r="J121" s="1843" t="n">
        <f aca="false">40000+(100*G121)+7</f>
        <v>40207</v>
      </c>
      <c r="K121" s="1845" t="n">
        <f aca="false">DA11</f>
        <v>3673.139</v>
      </c>
      <c r="L121" s="1843" t="n">
        <f aca="false">40000+(100*G121)+8</f>
        <v>40208</v>
      </c>
      <c r="M121" s="1845" t="n">
        <f aca="false">CN11</f>
        <v>20165.5908700617</v>
      </c>
      <c r="N121" s="1843" t="n">
        <f aca="false">40000+(100*G121)+40</f>
        <v>40240</v>
      </c>
      <c r="O121" s="1842" t="n">
        <f aca="false">SUM(CP11:CT11)+DB11</f>
        <v>7864.39176406016</v>
      </c>
    </row>
    <row r="122" customFormat="false" ht="15" hidden="false" customHeight="true" outlineLevel="0" collapsed="false">
      <c r="B122" s="1404" t="n">
        <f aca="false">Summary!T76</f>
        <v>40003</v>
      </c>
      <c r="C122" s="741" t="str">
        <f aca="false">Summary!U76</f>
        <v>Sand Material</v>
      </c>
      <c r="D122" s="318"/>
      <c r="E122" s="751" t="n">
        <f aca="false">O73</f>
        <v>10478.0320216049</v>
      </c>
      <c r="G122" s="1840" t="n">
        <v>3</v>
      </c>
      <c r="H122" s="1841" t="n">
        <f aca="false">40000+(100*G122)+5</f>
        <v>40305</v>
      </c>
      <c r="I122" s="1845" t="n">
        <f aca="false">CO12</f>
        <v>4111.33899265461</v>
      </c>
      <c r="J122" s="1843" t="n">
        <f aca="false">40000+(100*G122)+7</f>
        <v>40307</v>
      </c>
      <c r="K122" s="1845" t="n">
        <f aca="false">DA12</f>
        <v>5341.325625</v>
      </c>
      <c r="L122" s="1843" t="n">
        <f aca="false">40000+(100*G122)+8</f>
        <v>40308</v>
      </c>
      <c r="M122" s="1845" t="n">
        <f aca="false">CN12</f>
        <v>30082.0520947531</v>
      </c>
      <c r="N122" s="1843" t="n">
        <f aca="false">40000+(100*G122)+40</f>
        <v>40340</v>
      </c>
      <c r="O122" s="1842" t="n">
        <f aca="false">SUM(CP12:CT12)+DB12</f>
        <v>11822.9012294548</v>
      </c>
    </row>
    <row r="123" customFormat="false" ht="15" hidden="false" customHeight="true" outlineLevel="0" collapsed="false">
      <c r="B123" s="1404" t="n">
        <f aca="false">Summary!T77</f>
        <v>40004</v>
      </c>
      <c r="C123" s="741" t="str">
        <f aca="false">Summary!U77</f>
        <v>Rock Material</v>
      </c>
      <c r="D123" s="318"/>
      <c r="E123" s="751"/>
      <c r="G123" s="1840" t="n">
        <v>4</v>
      </c>
      <c r="H123" s="1841" t="n">
        <f aca="false">40000+(100*G123)+5</f>
        <v>40405</v>
      </c>
      <c r="I123" s="1845" t="n">
        <f aca="false">CO13</f>
        <v>3160.87848795498</v>
      </c>
      <c r="J123" s="1843" t="n">
        <f aca="false">40000+(100*G123)+7</f>
        <v>40407</v>
      </c>
      <c r="K123" s="1845" t="n">
        <f aca="false">DA13</f>
        <v>4393.596875</v>
      </c>
      <c r="L123" s="1843" t="n">
        <f aca="false">40000+(100*G123)+8</f>
        <v>40408</v>
      </c>
      <c r="M123" s="1845" t="n">
        <f aca="false">CN13</f>
        <v>23893.7550824074</v>
      </c>
      <c r="N123" s="1843" t="n">
        <f aca="false">40000+(100*G123)+40</f>
        <v>40440</v>
      </c>
      <c r="O123" s="1842" t="n">
        <f aca="false">SUM(CP13:CT13)+DB13</f>
        <v>10136.826709147</v>
      </c>
    </row>
    <row r="124" customFormat="false" ht="15" hidden="false" customHeight="true" outlineLevel="0" collapsed="false">
      <c r="B124" s="1404" t="n">
        <f aca="false">Summary!T78</f>
        <v>40005</v>
      </c>
      <c r="C124" s="741" t="str">
        <f aca="false">Summary!U78</f>
        <v>Reinforcement Material</v>
      </c>
      <c r="D124" s="318"/>
      <c r="E124" s="751" t="n">
        <f aca="false">I117+O71</f>
        <v>42907.2763681767</v>
      </c>
      <c r="G124" s="1840" t="n">
        <v>5</v>
      </c>
      <c r="H124" s="1841" t="n">
        <f aca="false">40000+(100*G124)+5</f>
        <v>40505</v>
      </c>
      <c r="I124" s="1845" t="n">
        <f aca="false">CO14</f>
        <v>3382.49854671022</v>
      </c>
      <c r="J124" s="1843" t="n">
        <f aca="false">40000+(100*G124)+7</f>
        <v>40507</v>
      </c>
      <c r="K124" s="1845" t="n">
        <f aca="false">DA14</f>
        <v>5063.447875</v>
      </c>
      <c r="L124" s="1843" t="n">
        <f aca="false">40000+(100*G124)+8</f>
        <v>40508</v>
      </c>
      <c r="M124" s="1845" t="n">
        <f aca="false">CN14</f>
        <v>26426.9705311728</v>
      </c>
      <c r="N124" s="1843" t="n">
        <f aca="false">40000+(100*G124)+40</f>
        <v>40540</v>
      </c>
      <c r="O124" s="1842" t="n">
        <f aca="false">SUM(CP14:CT14)+DB14</f>
        <v>11164.9099912888</v>
      </c>
    </row>
    <row r="125" customFormat="false" ht="15" hidden="false" customHeight="true" outlineLevel="0" collapsed="false">
      <c r="B125" s="1404" t="n">
        <f aca="false">Summary!T79</f>
        <v>40006</v>
      </c>
      <c r="C125" s="741" t="str">
        <f aca="false">Summary!U79</f>
        <v>Reinforcement Accessories</v>
      </c>
      <c r="D125" s="318"/>
      <c r="E125" s="751" t="n">
        <f aca="false">SUM(Z98:Z100)</f>
        <v>1747.48211730589</v>
      </c>
      <c r="G125" s="1840" t="n">
        <v>6</v>
      </c>
      <c r="H125" s="1841" t="n">
        <f aca="false">40000+(100*G125)+5</f>
        <v>40605</v>
      </c>
      <c r="I125" s="1845" t="n">
        <f aca="false">CO15</f>
        <v>3164.49303319405</v>
      </c>
      <c r="J125" s="1843" t="n">
        <f aca="false">40000+(100*G125)+7</f>
        <v>40607</v>
      </c>
      <c r="K125" s="1845" t="n">
        <f aca="false">DA15</f>
        <v>3200.19475</v>
      </c>
      <c r="L125" s="1843" t="n">
        <f aca="false">40000+(100*G125)+8</f>
        <v>40608</v>
      </c>
      <c r="M125" s="1845" t="n">
        <f aca="false">CN15</f>
        <v>19431.9170064815</v>
      </c>
      <c r="N125" s="1843" t="n">
        <f aca="false">40000+(100*G125)+40</f>
        <v>40640</v>
      </c>
      <c r="O125" s="1842" t="n">
        <f aca="false">SUM(CP15:CT15)+DB15</f>
        <v>8885.27973308516</v>
      </c>
    </row>
    <row r="126" customFormat="false" ht="15" hidden="false" customHeight="true" outlineLevel="0" collapsed="false">
      <c r="B126" s="1404" t="n">
        <f aca="false">Summary!T80</f>
        <v>40007</v>
      </c>
      <c r="C126" s="741" t="str">
        <f aca="false">Summary!U80</f>
        <v>PT Cables</v>
      </c>
      <c r="D126" s="318"/>
      <c r="E126" s="751" t="n">
        <f aca="false">K117</f>
        <v>57713.000375</v>
      </c>
      <c r="G126" s="1840" t="n">
        <v>7</v>
      </c>
      <c r="H126" s="1841" t="n">
        <f aca="false">40000+(100*G126)+5</f>
        <v>40705</v>
      </c>
      <c r="I126" s="1845" t="n">
        <f aca="false">CO16</f>
        <v>2656.0967744894</v>
      </c>
      <c r="J126" s="1843" t="n">
        <f aca="false">40000+(100*G126)+7</f>
        <v>40707</v>
      </c>
      <c r="K126" s="1845" t="n">
        <f aca="false">DA16</f>
        <v>3565.484375</v>
      </c>
      <c r="L126" s="1843" t="n">
        <f aca="false">40000+(100*G126)+8</f>
        <v>40708</v>
      </c>
      <c r="M126" s="1845" t="n">
        <f aca="false">CN16</f>
        <v>19590.895495679</v>
      </c>
      <c r="N126" s="1843" t="n">
        <f aca="false">40000+(100*G126)+40</f>
        <v>40740</v>
      </c>
      <c r="O126" s="1842" t="n">
        <f aca="false">SUM(CP16:CT16)+DB16</f>
        <v>8451.3896919136</v>
      </c>
    </row>
    <row r="127" customFormat="false" ht="15" hidden="false" customHeight="true" outlineLevel="0" collapsed="false">
      <c r="B127" s="1404" t="n">
        <f aca="false">Summary!T81</f>
        <v>40008</v>
      </c>
      <c r="C127" s="741" t="str">
        <f aca="false">Summary!U81</f>
        <v>Concrete Material</v>
      </c>
      <c r="D127" s="318"/>
      <c r="E127" s="751" t="n">
        <f aca="false">SUM(O65:P69)</f>
        <v>319874.686081173</v>
      </c>
      <c r="G127" s="1840" t="n">
        <v>8</v>
      </c>
      <c r="H127" s="1841" t="n">
        <f aca="false">40000+(100*G127)+5</f>
        <v>40805</v>
      </c>
      <c r="I127" s="1845" t="n">
        <f aca="false">CO17</f>
        <v>2518.13403482011</v>
      </c>
      <c r="J127" s="1843" t="n">
        <f aca="false">40000+(100*G127)+7</f>
        <v>40807</v>
      </c>
      <c r="K127" s="1845" t="n">
        <f aca="false">DA17</f>
        <v>3424.70525</v>
      </c>
      <c r="L127" s="1843" t="n">
        <f aca="false">40000+(100*G127)+8</f>
        <v>40808</v>
      </c>
      <c r="M127" s="1845" t="n">
        <f aca="false">CN17</f>
        <v>18820.2057450617</v>
      </c>
      <c r="N127" s="1843" t="n">
        <f aca="false">40000+(100*G127)+40</f>
        <v>40840</v>
      </c>
      <c r="O127" s="1842" t="n">
        <f aca="false">SUM(CP17:CT17)+DB17</f>
        <v>8048.5669391286</v>
      </c>
    </row>
    <row r="128" customFormat="false" ht="15" hidden="false" customHeight="true" outlineLevel="0" collapsed="false">
      <c r="B128" s="1404" t="n">
        <f aca="false">Summary!T82</f>
        <v>40009</v>
      </c>
      <c r="C128" s="741" t="str">
        <f aca="false">Summary!U82</f>
        <v>Carton Forms</v>
      </c>
      <c r="D128" s="318"/>
      <c r="E128" s="751" t="n">
        <f aca="false">SUM(O74:P76)</f>
        <v>0</v>
      </c>
      <c r="G128" s="1840" t="n">
        <v>9</v>
      </c>
      <c r="H128" s="1841" t="n">
        <f aca="false">40000+(100*G128)+5</f>
        <v>40905</v>
      </c>
      <c r="I128" s="1845" t="n">
        <f aca="false">CO18</f>
        <v>2302.1177116422</v>
      </c>
      <c r="J128" s="1843" t="n">
        <f aca="false">40000+(100*G128)+7</f>
        <v>40907</v>
      </c>
      <c r="K128" s="1845" t="n">
        <f aca="false">DA18</f>
        <v>3440.347375</v>
      </c>
      <c r="L128" s="1843" t="n">
        <f aca="false">40000+(100*G128)+8</f>
        <v>40908</v>
      </c>
      <c r="M128" s="1845" t="n">
        <f aca="false">CN18</f>
        <v>18407.3362358025</v>
      </c>
      <c r="N128" s="1843" t="n">
        <f aca="false">40000+(100*G128)+40</f>
        <v>40940</v>
      </c>
      <c r="O128" s="1842" t="n">
        <f aca="false">SUM(CP18:CT18)+DB18</f>
        <v>7364.30921066734</v>
      </c>
    </row>
    <row r="129" customFormat="false" ht="15" hidden="false" customHeight="true" outlineLevel="0" collapsed="false">
      <c r="B129" s="1404" t="n">
        <f aca="false">Summary!T83</f>
        <v>40010</v>
      </c>
      <c r="C129" s="741" t="str">
        <f aca="false">Summary!U83</f>
        <v>Cure/Sealers</v>
      </c>
      <c r="D129" s="318"/>
      <c r="E129" s="751" t="n">
        <f aca="false">SUM(Z104:Z106)</f>
        <v>2457.275</v>
      </c>
      <c r="G129" s="1840" t="n">
        <v>10</v>
      </c>
      <c r="H129" s="1841" t="n">
        <f aca="false">40000+(100*G129)+5</f>
        <v>41005</v>
      </c>
      <c r="I129" s="1845" t="n">
        <f aca="false">CO19</f>
        <v>2574.91218253786</v>
      </c>
      <c r="J129" s="1843" t="n">
        <f aca="false">40000+(100*G129)+7</f>
        <v>41007</v>
      </c>
      <c r="K129" s="1845" t="n">
        <f aca="false">DA19</f>
        <v>3750.4295</v>
      </c>
      <c r="L129" s="1843" t="n">
        <f aca="false">40000+(100*G129)+8</f>
        <v>41008</v>
      </c>
      <c r="M129" s="1845" t="n">
        <f aca="false">CN19</f>
        <v>20435.6170203704</v>
      </c>
      <c r="N129" s="1843" t="n">
        <f aca="false">40000+(100*G129)+40</f>
        <v>41040</v>
      </c>
      <c r="O129" s="1842" t="n">
        <f aca="false">SUM(CP19:CT19)+DB19</f>
        <v>8048.17058738656</v>
      </c>
    </row>
    <row r="130" customFormat="false" ht="15" hidden="false" customHeight="true" outlineLevel="0" collapsed="false">
      <c r="B130" s="1404" t="n">
        <f aca="false">Summary!T84</f>
        <v>40011</v>
      </c>
      <c r="C130" s="741" t="str">
        <f aca="false">Summary!U84</f>
        <v>Patch/Grout</v>
      </c>
      <c r="D130" s="318"/>
      <c r="E130" s="751" t="n">
        <f aca="false">SUM(Z92:Z97)</f>
        <v>4366.14408588435</v>
      </c>
      <c r="G130" s="1840" t="n">
        <v>11</v>
      </c>
      <c r="H130" s="1841" t="n">
        <f aca="false">40000+(100*G130)+5</f>
        <v>41105</v>
      </c>
      <c r="I130" s="1845" t="n">
        <f aca="false">CO20</f>
        <v>4313.71401711889</v>
      </c>
      <c r="J130" s="1843" t="n">
        <f aca="false">40000+(100*G130)+7</f>
        <v>41107</v>
      </c>
      <c r="K130" s="1845" t="n">
        <f aca="false">DA20</f>
        <v>6323.099</v>
      </c>
      <c r="L130" s="1843" t="n">
        <f aca="false">40000+(100*G130)+8</f>
        <v>41108</v>
      </c>
      <c r="M130" s="1845" t="n">
        <f aca="false">CN20</f>
        <v>33511.7163975309</v>
      </c>
      <c r="N130" s="1843" t="n">
        <f aca="false">40000+(100*G130)+40</f>
        <v>41140</v>
      </c>
      <c r="O130" s="1842" t="n">
        <f aca="false">SUM(CP20:CT20)+DB20</f>
        <v>13560.4784040397</v>
      </c>
    </row>
    <row r="131" customFormat="false" ht="15" hidden="false" customHeight="true" outlineLevel="0" collapsed="false">
      <c r="B131" s="1404" t="n">
        <f aca="false">Summary!T85</f>
        <v>40012</v>
      </c>
      <c r="C131" s="741" t="str">
        <f aca="false">Summary!U85</f>
        <v>Poly/Vapor Barrier</v>
      </c>
      <c r="D131" s="318"/>
      <c r="E131" s="751" t="n">
        <f aca="false">SUM(Z87:Z90)</f>
        <v>17993.8059297052</v>
      </c>
      <c r="G131" s="1840" t="n">
        <v>12</v>
      </c>
      <c r="H131" s="1841" t="n">
        <f aca="false">40000+(100*G131)+5</f>
        <v>41205</v>
      </c>
      <c r="I131" s="1845" t="n">
        <f aca="false">CO21</f>
        <v>4797.72856137786</v>
      </c>
      <c r="J131" s="1843" t="n">
        <f aca="false">40000+(100*G131)+7</f>
        <v>41207</v>
      </c>
      <c r="K131" s="1845" t="n">
        <f aca="false">DA21</f>
        <v>5720.417125</v>
      </c>
      <c r="L131" s="1843" t="n">
        <f aca="false">40000+(100*G131)+8</f>
        <v>41208</v>
      </c>
      <c r="M131" s="1845" t="n">
        <f aca="false">CN21</f>
        <v>33574.3586679012</v>
      </c>
      <c r="N131" s="1843" t="n">
        <f aca="false">40000+(100*G131)+40</f>
        <v>41240</v>
      </c>
      <c r="O131" s="1842" t="n">
        <f aca="false">SUM(CP21:CT21)+DB21</f>
        <v>14007.6206039655</v>
      </c>
    </row>
    <row r="132" customFormat="false" ht="15" hidden="false" customHeight="true" outlineLevel="0" collapsed="false">
      <c r="B132" s="1404" t="n">
        <f aca="false">Summary!T86</f>
        <v>40013</v>
      </c>
      <c r="C132" s="741" t="str">
        <f aca="false">Summary!U86</f>
        <v>Special Material</v>
      </c>
      <c r="D132" s="318"/>
      <c r="E132" s="751" t="n">
        <f aca="false">Z101</f>
        <v>0</v>
      </c>
      <c r="G132" s="1840" t="n">
        <v>13</v>
      </c>
      <c r="H132" s="1841" t="n">
        <f aca="false">40000+(100*G132)+5</f>
        <v>41305</v>
      </c>
      <c r="I132" s="1845" t="n">
        <f aca="false">CO22</f>
        <v>1503.25470576371</v>
      </c>
      <c r="J132" s="1843" t="n">
        <f aca="false">40000+(100*G132)+7</f>
        <v>41307</v>
      </c>
      <c r="K132" s="1845" t="n">
        <f aca="false">DA22</f>
        <v>1981.029125</v>
      </c>
      <c r="L132" s="1843" t="n">
        <f aca="false">40000+(100*G132)+8</f>
        <v>41308</v>
      </c>
      <c r="M132" s="1845" t="n">
        <f aca="false">CN22</f>
        <v>11041.6492780864</v>
      </c>
      <c r="N132" s="1843" t="n">
        <f aca="false">40000+(100*G132)+40</f>
        <v>41340</v>
      </c>
      <c r="O132" s="1842" t="n">
        <f aca="false">SUM(CP22:CT22)+DB22</f>
        <v>4639.23598329906</v>
      </c>
    </row>
    <row r="133" customFormat="false" ht="15" hidden="false" customHeight="true" outlineLevel="0" collapsed="false">
      <c r="B133" s="1404" t="n">
        <f aca="false">Summary!T87</f>
        <v>40014</v>
      </c>
      <c r="C133" s="741" t="str">
        <f aca="false">Summary!U87</f>
        <v>Special Material</v>
      </c>
      <c r="D133" s="318"/>
      <c r="E133" s="751" t="n">
        <f aca="false">Z102</f>
        <v>0</v>
      </c>
      <c r="G133" s="1840" t="n">
        <v>14</v>
      </c>
      <c r="H133" s="1841" t="n">
        <f aca="false">40000+(100*G133)+5</f>
        <v>41405</v>
      </c>
      <c r="I133" s="1845" t="n">
        <f aca="false">CO23</f>
        <v>1529.86809317524</v>
      </c>
      <c r="J133" s="1843" t="n">
        <f aca="false">40000+(100*G133)+7</f>
        <v>41407</v>
      </c>
      <c r="K133" s="1845" t="n">
        <f aca="false">DA23</f>
        <v>2245.105</v>
      </c>
      <c r="L133" s="1843" t="n">
        <f aca="false">40000+(100*G133)+8</f>
        <v>41408</v>
      </c>
      <c r="M133" s="1845" t="n">
        <f aca="false">CN23</f>
        <v>12396.0510935185</v>
      </c>
      <c r="N133" s="1843" t="n">
        <f aca="false">40000+(100*G133)+40</f>
        <v>41440</v>
      </c>
      <c r="O133" s="1842" t="n">
        <f aca="false">SUM(CP23:CT23)+DB23</f>
        <v>4814.29102176297</v>
      </c>
    </row>
    <row r="134" customFormat="false" ht="15" hidden="false" customHeight="true" outlineLevel="0" collapsed="false">
      <c r="B134" s="1404" t="n">
        <f aca="false">Summary!T88</f>
        <v>40015</v>
      </c>
      <c r="C134" s="741" t="str">
        <f aca="false">Summary!U88</f>
        <v>PPE/Safety</v>
      </c>
      <c r="D134" s="318"/>
      <c r="E134" s="751" t="n">
        <f aca="false">Z103</f>
        <v>0</v>
      </c>
      <c r="G134" s="1840" t="n">
        <v>15</v>
      </c>
      <c r="H134" s="1841" t="n">
        <f aca="false">40000+(100*G134)+5</f>
        <v>41505</v>
      </c>
      <c r="I134" s="1845" t="n">
        <f aca="false">CO24</f>
        <v>1466.49816200061</v>
      </c>
      <c r="J134" s="1843" t="n">
        <f aca="false">40000+(100*G134)+7</f>
        <v>41507</v>
      </c>
      <c r="K134" s="1845" t="n">
        <f aca="false">DA24</f>
        <v>1923.981375</v>
      </c>
      <c r="L134" s="1843" t="n">
        <f aca="false">40000+(100*G134)+8</f>
        <v>41508</v>
      </c>
      <c r="M134" s="1845" t="n">
        <f aca="false">CN24</f>
        <v>11070.5976</v>
      </c>
      <c r="N134" s="1843" t="n">
        <f aca="false">40000+(100*G134)+40</f>
        <v>41540</v>
      </c>
      <c r="O134" s="1842" t="n">
        <f aca="false">SUM(CP24:CT24)+DB24</f>
        <v>4637.55757105484</v>
      </c>
    </row>
    <row r="135" customFormat="false" ht="15" hidden="false" customHeight="true" outlineLevel="0" collapsed="false">
      <c r="B135" s="1404" t="n">
        <f aca="false">Summary!T89</f>
        <v>40020</v>
      </c>
      <c r="C135" s="741" t="str">
        <f aca="false">Summary!U89</f>
        <v>Supervision</v>
      </c>
      <c r="D135" s="318"/>
      <c r="E135" s="751" t="n">
        <f aca="false">SUM(O91:P92)</f>
        <v>11662.5578125</v>
      </c>
      <c r="G135" s="1840" t="n">
        <v>16</v>
      </c>
      <c r="H135" s="1841" t="n">
        <f aca="false">40000+(100*G135)+5</f>
        <v>41605</v>
      </c>
      <c r="I135" s="1845" t="n">
        <f aca="false">CO25</f>
        <v>511.455581450473</v>
      </c>
      <c r="J135" s="1843" t="n">
        <f aca="false">40000+(100*G135)+7</f>
        <v>41607</v>
      </c>
      <c r="K135" s="1845" t="n">
        <f aca="false">DA25</f>
        <v>473.864375</v>
      </c>
      <c r="L135" s="1843" t="n">
        <f aca="false">40000+(100*G135)+8</f>
        <v>41608</v>
      </c>
      <c r="M135" s="1845" t="n">
        <f aca="false">CN25</f>
        <v>3851.07593981481</v>
      </c>
      <c r="N135" s="1843" t="n">
        <f aca="false">40000+(100*G135)+40</f>
        <v>41640</v>
      </c>
      <c r="O135" s="1842" t="n">
        <f aca="false">SUM(CP25:CT25)+DB25</f>
        <v>1074.19209590469</v>
      </c>
    </row>
    <row r="136" customFormat="false" ht="15" hidden="false" customHeight="true" outlineLevel="0" collapsed="false">
      <c r="B136" s="1404" t="n">
        <f aca="false">Summary!T90</f>
        <v>40021</v>
      </c>
      <c r="C136" s="741" t="str">
        <f aca="false">Summary!U90</f>
        <v>Supervision Expense</v>
      </c>
      <c r="D136" s="318"/>
      <c r="E136" s="751" t="n">
        <f aca="false">O93</f>
        <v>2744.13125</v>
      </c>
      <c r="G136" s="1840" t="n">
        <v>17</v>
      </c>
      <c r="H136" s="1841" t="n">
        <f aca="false">40000+(100*G136)+5</f>
        <v>41705</v>
      </c>
      <c r="I136" s="1845" t="n">
        <f aca="false">CO26</f>
        <v>0</v>
      </c>
      <c r="J136" s="1843" t="n">
        <f aca="false">40000+(100*G136)+7</f>
        <v>41707</v>
      </c>
      <c r="K136" s="1845" t="n">
        <f aca="false">DA26</f>
        <v>0</v>
      </c>
      <c r="L136" s="1843" t="n">
        <f aca="false">40000+(100*G136)+8</f>
        <v>41708</v>
      </c>
      <c r="M136" s="1845" t="n">
        <f aca="false">CN26</f>
        <v>0</v>
      </c>
      <c r="N136" s="1843" t="n">
        <f aca="false">40000+(100*G136)+40</f>
        <v>41740</v>
      </c>
      <c r="O136" s="1842" t="n">
        <f aca="false">SUM(CP26:CT26)+DB26</f>
        <v>0</v>
      </c>
    </row>
    <row r="137" customFormat="false" ht="15" hidden="false" customHeight="true" outlineLevel="0" collapsed="false">
      <c r="B137" s="1404" t="n">
        <f aca="false">Summary!T91</f>
        <v>40022</v>
      </c>
      <c r="C137" s="741" t="str">
        <f aca="false">Summary!U91</f>
        <v>Project Management</v>
      </c>
      <c r="D137" s="318"/>
      <c r="E137" s="751" t="n">
        <f aca="false">O94</f>
        <v>5488.2625</v>
      </c>
      <c r="G137" s="1840" t="n">
        <v>18</v>
      </c>
      <c r="H137" s="1841" t="n">
        <f aca="false">40000+(100*G137)+5</f>
        <v>41805</v>
      </c>
      <c r="I137" s="1845" t="n">
        <f aca="false">CO27</f>
        <v>0</v>
      </c>
      <c r="J137" s="1843" t="n">
        <f aca="false">40000+(100*G137)+7</f>
        <v>41807</v>
      </c>
      <c r="K137" s="1845" t="n">
        <f aca="false">DA27</f>
        <v>0</v>
      </c>
      <c r="L137" s="1843" t="n">
        <f aca="false">40000+(100*G137)+8</f>
        <v>41808</v>
      </c>
      <c r="M137" s="1845" t="n">
        <f aca="false">CN27</f>
        <v>0</v>
      </c>
      <c r="N137" s="1843" t="n">
        <f aca="false">40000+(100*G137)+40</f>
        <v>41840</v>
      </c>
      <c r="O137" s="1842" t="n">
        <f aca="false">SUM(CP27:CT27)+DB27</f>
        <v>0</v>
      </c>
    </row>
    <row r="138" customFormat="false" ht="15" hidden="false" customHeight="true" outlineLevel="0" collapsed="false">
      <c r="B138" s="1404" t="n">
        <f aca="false">Summary!T92</f>
        <v>40023</v>
      </c>
      <c r="C138" s="741" t="str">
        <f aca="false">Summary!U92</f>
        <v>Labor Grade, Poly, Reinf.</v>
      </c>
      <c r="D138" s="318"/>
      <c r="E138" s="751" t="n">
        <f aca="false">L80</f>
        <v>0</v>
      </c>
      <c r="G138" s="1840" t="n">
        <v>19</v>
      </c>
      <c r="H138" s="1841" t="n">
        <f aca="false">40000+(100*G138)+5</f>
        <v>41905</v>
      </c>
      <c r="I138" s="1845" t="n">
        <f aca="false">CO28</f>
        <v>0</v>
      </c>
      <c r="J138" s="1843" t="n">
        <f aca="false">40000+(100*G138)+7</f>
        <v>41907</v>
      </c>
      <c r="K138" s="1845" t="n">
        <f aca="false">DA28</f>
        <v>0</v>
      </c>
      <c r="L138" s="1843" t="n">
        <f aca="false">40000+(100*G138)+8</f>
        <v>41908</v>
      </c>
      <c r="M138" s="1845" t="n">
        <f aca="false">CN28</f>
        <v>0</v>
      </c>
      <c r="N138" s="1843" t="n">
        <f aca="false">40000+(100*G138)+40</f>
        <v>41940</v>
      </c>
      <c r="O138" s="1842" t="n">
        <f aca="false">SUM(CP28:CT28)+DB28</f>
        <v>0</v>
      </c>
    </row>
    <row r="139" customFormat="false" ht="15" hidden="false" customHeight="false" outlineLevel="0" collapsed="false">
      <c r="B139" s="1404" t="n">
        <f aca="false">Summary!T93</f>
        <v>40024</v>
      </c>
      <c r="C139" s="741" t="str">
        <f aca="false">Summary!U93</f>
        <v>Labor Place &amp; Finish</v>
      </c>
      <c r="D139" s="318"/>
      <c r="E139" s="751" t="n">
        <f aca="false">L81</f>
        <v>0</v>
      </c>
      <c r="G139" s="1840" t="n">
        <v>20</v>
      </c>
      <c r="H139" s="1841" t="n">
        <f aca="false">40000+(100*G139)+5</f>
        <v>42005</v>
      </c>
      <c r="I139" s="1845" t="n">
        <f aca="false">CO29</f>
        <v>0</v>
      </c>
      <c r="J139" s="1843" t="n">
        <f aca="false">40000+(100*G139)+7</f>
        <v>42007</v>
      </c>
      <c r="K139" s="1845" t="n">
        <f aca="false">DA29</f>
        <v>0</v>
      </c>
      <c r="L139" s="1843" t="n">
        <f aca="false">40000+(100*G139)+8</f>
        <v>42008</v>
      </c>
      <c r="M139" s="1845" t="n">
        <f aca="false">CN29</f>
        <v>0</v>
      </c>
      <c r="N139" s="1843" t="n">
        <f aca="false">40000+(100*G139)+40</f>
        <v>42040</v>
      </c>
      <c r="O139" s="1842" t="n">
        <f aca="false">SUM(CP29:CT29)+DB29</f>
        <v>0</v>
      </c>
    </row>
    <row r="140" customFormat="false" ht="15" hidden="false" customHeight="false" outlineLevel="0" collapsed="false">
      <c r="B140" s="1404" t="n">
        <f aca="false">Summary!T94</f>
        <v>40025</v>
      </c>
      <c r="C140" s="741" t="str">
        <f aca="false">Summary!U94</f>
        <v>Labor Drops</v>
      </c>
      <c r="D140" s="318"/>
      <c r="E140" s="751" t="n">
        <f aca="false">L83</f>
        <v>0</v>
      </c>
      <c r="G140" s="1840" t="n">
        <v>21</v>
      </c>
      <c r="H140" s="1841" t="n">
        <f aca="false">40000+(100*G140)+5</f>
        <v>42105</v>
      </c>
      <c r="I140" s="1845" t="n">
        <f aca="false">CO30</f>
        <v>0</v>
      </c>
      <c r="J140" s="1843" t="n">
        <f aca="false">40000+(100*G140)+7</f>
        <v>42107</v>
      </c>
      <c r="K140" s="1845" t="n">
        <f aca="false">DA30</f>
        <v>0</v>
      </c>
      <c r="L140" s="1843" t="n">
        <f aca="false">40000+(100*G140)+8</f>
        <v>42108</v>
      </c>
      <c r="M140" s="1845" t="n">
        <f aca="false">CN30</f>
        <v>0</v>
      </c>
      <c r="N140" s="1843" t="n">
        <f aca="false">40000+(100*G140)+40</f>
        <v>42140</v>
      </c>
      <c r="O140" s="1842" t="n">
        <f aca="false">SUM(CP30:CT30)+DB30</f>
        <v>0</v>
      </c>
    </row>
    <row r="141" customFormat="false" ht="15" hidden="false" customHeight="false" outlineLevel="0" collapsed="false">
      <c r="B141" s="1404" t="n">
        <f aca="false">Summary!T95</f>
        <v>40026</v>
      </c>
      <c r="C141" s="741" t="str">
        <f aca="false">Summary!U95</f>
        <v>Labor Strip Forms</v>
      </c>
      <c r="D141" s="318"/>
      <c r="E141" s="751" t="n">
        <f aca="false">L82</f>
        <v>0</v>
      </c>
      <c r="G141" s="1840" t="n">
        <v>22</v>
      </c>
      <c r="H141" s="1841" t="n">
        <f aca="false">40000+(100*G141)+5</f>
        <v>42205</v>
      </c>
      <c r="I141" s="1845" t="n">
        <f aca="false">CO31</f>
        <v>0</v>
      </c>
      <c r="J141" s="1843" t="n">
        <f aca="false">40000+(100*G141)+7</f>
        <v>42207</v>
      </c>
      <c r="K141" s="1845" t="n">
        <f aca="false">DA31</f>
        <v>0</v>
      </c>
      <c r="L141" s="1843" t="n">
        <f aca="false">40000+(100*G141)+8</f>
        <v>42208</v>
      </c>
      <c r="M141" s="1845" t="n">
        <f aca="false">CN31</f>
        <v>0</v>
      </c>
      <c r="N141" s="1843" t="n">
        <f aca="false">40000+(100*G141)+40</f>
        <v>42240</v>
      </c>
      <c r="O141" s="1842" t="n">
        <f aca="false">SUM(CP31:CT31)+DB31</f>
        <v>0</v>
      </c>
    </row>
    <row r="142" customFormat="false" ht="15" hidden="false" customHeight="false" outlineLevel="0" collapsed="false">
      <c r="B142" s="1404" t="n">
        <f aca="false">Summary!T96</f>
        <v>40027</v>
      </c>
      <c r="C142" s="741" t="str">
        <f aca="false">Summary!U96</f>
        <v>Labor Burden</v>
      </c>
      <c r="D142" s="318"/>
      <c r="E142" s="751" t="n">
        <f aca="false">L86</f>
        <v>0</v>
      </c>
      <c r="G142" s="1840" t="n">
        <v>23</v>
      </c>
      <c r="H142" s="1841" t="n">
        <f aca="false">40000+(100*G142)+5</f>
        <v>42305</v>
      </c>
      <c r="I142" s="1845" t="n">
        <f aca="false">CO32</f>
        <v>0</v>
      </c>
      <c r="J142" s="1843" t="n">
        <f aca="false">40000+(100*G142)+7</f>
        <v>42307</v>
      </c>
      <c r="K142" s="1845" t="n">
        <f aca="false">DA32</f>
        <v>0</v>
      </c>
      <c r="L142" s="1843" t="n">
        <f aca="false">40000+(100*G142)+8</f>
        <v>42308</v>
      </c>
      <c r="M142" s="1845" t="n">
        <f aca="false">CN32</f>
        <v>0</v>
      </c>
      <c r="N142" s="1843" t="n">
        <f aca="false">40000+(100*G142)+40</f>
        <v>42340</v>
      </c>
      <c r="O142" s="1842" t="n">
        <f aca="false">SUM(CP32:CT32)+DB32</f>
        <v>0</v>
      </c>
    </row>
    <row r="143" customFormat="false" ht="15" hidden="false" customHeight="false" outlineLevel="0" collapsed="false">
      <c r="B143" s="1404" t="n">
        <f aca="false">Summary!T97</f>
        <v>40028</v>
      </c>
      <c r="C143" s="741" t="str">
        <f aca="false">Summary!U97</f>
        <v>Surveying</v>
      </c>
      <c r="D143" s="318"/>
      <c r="E143" s="751"/>
      <c r="G143" s="1840" t="n">
        <v>24</v>
      </c>
      <c r="H143" s="1841" t="n">
        <f aca="false">40000+(100*G143)+5</f>
        <v>42405</v>
      </c>
      <c r="I143" s="1845" t="n">
        <f aca="false">CO33</f>
        <v>0</v>
      </c>
      <c r="J143" s="1843" t="n">
        <f aca="false">40000+(100*G143)+7</f>
        <v>42407</v>
      </c>
      <c r="K143" s="1845" t="n">
        <f aca="false">DA33</f>
        <v>0</v>
      </c>
      <c r="L143" s="1843" t="n">
        <f aca="false">40000+(100*G143)+8</f>
        <v>42408</v>
      </c>
      <c r="M143" s="1845" t="n">
        <f aca="false">CN33</f>
        <v>0</v>
      </c>
      <c r="N143" s="1843" t="n">
        <f aca="false">40000+(100*G143)+40</f>
        <v>42440</v>
      </c>
      <c r="O143" s="1842" t="n">
        <f aca="false">SUM(CP33:CT33)+DB33</f>
        <v>0</v>
      </c>
    </row>
    <row r="144" customFormat="false" ht="15" hidden="false" customHeight="false" outlineLevel="0" collapsed="false">
      <c r="B144" s="1404" t="n">
        <f aca="false">Summary!T98</f>
        <v>40030</v>
      </c>
      <c r="C144" s="741" t="str">
        <f aca="false">Summary!U98</f>
        <v>Pumping</v>
      </c>
      <c r="D144" s="318"/>
      <c r="E144" s="1846" t="n">
        <f aca="false">O106</f>
        <v>35283.1338271605</v>
      </c>
      <c r="G144" s="1840" t="n">
        <v>25</v>
      </c>
      <c r="H144" s="1841" t="n">
        <f aca="false">40000+(100*G144)+5</f>
        <v>42505</v>
      </c>
      <c r="I144" s="1845" t="n">
        <f aca="false">CO34</f>
        <v>188.974628116436</v>
      </c>
      <c r="J144" s="1843" t="n">
        <f aca="false">40000+(100*G144)+7</f>
        <v>42507</v>
      </c>
      <c r="K144" s="1845" t="n">
        <f aca="false">DA34</f>
        <v>485.826</v>
      </c>
      <c r="L144" s="1843" t="n">
        <f aca="false">40000+(100*G144)+8</f>
        <v>42508</v>
      </c>
      <c r="M144" s="1845" t="n">
        <f aca="false">CN34</f>
        <v>1002.27632592593</v>
      </c>
      <c r="N144" s="1843" t="n">
        <f aca="false">40000+(100*G144)+40</f>
        <v>42540</v>
      </c>
      <c r="O144" s="1842" t="n">
        <f aca="false">SUM(CP34:CT34)+DB34</f>
        <v>998.0308015755</v>
      </c>
    </row>
    <row r="145" customFormat="false" ht="15" hidden="false" customHeight="false" outlineLevel="0" collapsed="false">
      <c r="B145" s="1404" t="n">
        <f aca="false">Summary!T99</f>
        <v>40031</v>
      </c>
      <c r="C145" s="741" t="str">
        <f aca="false">Summary!U99</f>
        <v>Earth Work/Excavation</v>
      </c>
      <c r="D145" s="318"/>
      <c r="E145" s="751"/>
      <c r="G145" s="1840" t="n">
        <v>26</v>
      </c>
      <c r="H145" s="1841" t="n">
        <f aca="false">40000+(100*G145)+5</f>
        <v>42605</v>
      </c>
      <c r="I145" s="1845" t="n">
        <f aca="false">CO35</f>
        <v>0</v>
      </c>
      <c r="J145" s="1843" t="n">
        <f aca="false">40000+(100*G145)+7</f>
        <v>42607</v>
      </c>
      <c r="K145" s="1845" t="n">
        <f aca="false">DA35</f>
        <v>0</v>
      </c>
      <c r="L145" s="1843" t="n">
        <f aca="false">40000+(100*G145)+8</f>
        <v>42608</v>
      </c>
      <c r="M145" s="1845" t="n">
        <f aca="false">CN35</f>
        <v>0</v>
      </c>
      <c r="N145" s="1843" t="n">
        <f aca="false">40000+(100*G145)+40</f>
        <v>42640</v>
      </c>
      <c r="O145" s="1842" t="n">
        <f aca="false">SUM(CP35:CT35)+DB35</f>
        <v>0</v>
      </c>
    </row>
    <row r="146" customFormat="false" ht="15" hidden="false" customHeight="false" outlineLevel="0" collapsed="false">
      <c r="B146" s="1404" t="n">
        <f aca="false">Summary!T100</f>
        <v>40032</v>
      </c>
      <c r="C146" s="741" t="str">
        <f aca="false">Summary!U100</f>
        <v>Drilling</v>
      </c>
      <c r="D146" s="318"/>
      <c r="E146" s="751"/>
      <c r="G146" s="1840" t="n">
        <v>27</v>
      </c>
      <c r="H146" s="1841" t="n">
        <f aca="false">40000+(100*G146)+5</f>
        <v>42705</v>
      </c>
      <c r="I146" s="1845" t="n">
        <f aca="false">CO36</f>
        <v>0</v>
      </c>
      <c r="J146" s="1843" t="n">
        <f aca="false">40000+(100*G146)+7</f>
        <v>42707</v>
      </c>
      <c r="K146" s="1845" t="n">
        <f aca="false">DA36</f>
        <v>0</v>
      </c>
      <c r="L146" s="1843" t="n">
        <f aca="false">40000+(100*G146)+8</f>
        <v>42708</v>
      </c>
      <c r="M146" s="1845" t="n">
        <f aca="false">CN36</f>
        <v>0</v>
      </c>
      <c r="N146" s="1843" t="n">
        <f aca="false">40000+(100*G146)+40</f>
        <v>42740</v>
      </c>
      <c r="O146" s="1842" t="n">
        <f aca="false">SUM(CP36:CT36)+DB36</f>
        <v>0</v>
      </c>
    </row>
    <row r="147" customFormat="false" ht="15" hidden="false" customHeight="false" outlineLevel="0" collapsed="false">
      <c r="B147" s="1404" t="n">
        <f aca="false">Summary!T101</f>
        <v>40033</v>
      </c>
      <c r="C147" s="741" t="str">
        <f aca="false">Summary!U101</f>
        <v>Haul off</v>
      </c>
      <c r="D147" s="318"/>
      <c r="E147" s="751" t="n">
        <f aca="false">O107</f>
        <v>0</v>
      </c>
      <c r="G147" s="1840" t="n">
        <v>28</v>
      </c>
      <c r="H147" s="1841" t="n">
        <f aca="false">40000+(100*G147)+5</f>
        <v>42805</v>
      </c>
      <c r="I147" s="1845" t="n">
        <f aca="false">CO37</f>
        <v>0</v>
      </c>
      <c r="J147" s="1843" t="n">
        <f aca="false">40000+(100*G147)+7</f>
        <v>42807</v>
      </c>
      <c r="K147" s="1845" t="n">
        <f aca="false">DA37</f>
        <v>0</v>
      </c>
      <c r="L147" s="1843" t="n">
        <f aca="false">40000+(100*G147)+8</f>
        <v>42808</v>
      </c>
      <c r="M147" s="1845" t="n">
        <f aca="false">CN37</f>
        <v>0</v>
      </c>
      <c r="N147" s="1843" t="n">
        <f aca="false">40000+(100*G147)+40</f>
        <v>42840</v>
      </c>
      <c r="O147" s="1842" t="n">
        <f aca="false">SUM(CP37:CT37)+DB37</f>
        <v>0</v>
      </c>
    </row>
    <row r="148" customFormat="false" ht="15" hidden="false" customHeight="false" outlineLevel="0" collapsed="false">
      <c r="B148" s="1404" t="n">
        <f aca="false">Summary!T102</f>
        <v>40034</v>
      </c>
      <c r="C148" s="741" t="str">
        <f aca="false">Summary!U102</f>
        <v>Saw Cutting/Sealing</v>
      </c>
      <c r="D148" s="318"/>
      <c r="E148" s="751" t="n">
        <f aca="false">O104+O105</f>
        <v>0</v>
      </c>
      <c r="G148" s="1840" t="n">
        <v>29</v>
      </c>
      <c r="H148" s="1841" t="n">
        <f aca="false">40000+(100*G148)+5</f>
        <v>42905</v>
      </c>
      <c r="I148" s="1845" t="n">
        <f aca="false">CO38</f>
        <v>0</v>
      </c>
      <c r="J148" s="1843" t="n">
        <f aca="false">40000+(100*G148)+7</f>
        <v>42907</v>
      </c>
      <c r="K148" s="1845" t="n">
        <f aca="false">DA38</f>
        <v>0</v>
      </c>
      <c r="L148" s="1843" t="n">
        <f aca="false">40000+(100*G148)+8</f>
        <v>42908</v>
      </c>
      <c r="M148" s="1845" t="n">
        <f aca="false">CN38</f>
        <v>0</v>
      </c>
      <c r="N148" s="1843" t="n">
        <f aca="false">40000+(100*G148)+40</f>
        <v>42940</v>
      </c>
      <c r="O148" s="1842" t="n">
        <f aca="false">SUM(CP38:CT38)+DB38</f>
        <v>0</v>
      </c>
    </row>
    <row r="149" customFormat="false" ht="15" hidden="false" customHeight="false" outlineLevel="0" collapsed="false">
      <c r="B149" s="1404" t="n">
        <f aca="false">Summary!T103</f>
        <v>40035</v>
      </c>
      <c r="C149" s="741" t="str">
        <f aca="false">Summary!U103</f>
        <v>Demolition</v>
      </c>
      <c r="D149" s="318"/>
      <c r="E149" s="751"/>
      <c r="G149" s="1840" t="n">
        <v>30</v>
      </c>
      <c r="H149" s="1841" t="n">
        <f aca="false">40000+(100*G149)+5</f>
        <v>43005</v>
      </c>
      <c r="I149" s="1845" t="n">
        <f aca="false">CO39</f>
        <v>0</v>
      </c>
      <c r="J149" s="1843" t="n">
        <f aca="false">40000+(100*G149)+7</f>
        <v>43007</v>
      </c>
      <c r="K149" s="1845" t="n">
        <f aca="false">DA39</f>
        <v>0</v>
      </c>
      <c r="L149" s="1843" t="n">
        <f aca="false">40000+(100*G149)+8</f>
        <v>43008</v>
      </c>
      <c r="M149" s="1845" t="n">
        <f aca="false">CN39</f>
        <v>0</v>
      </c>
      <c r="N149" s="1843" t="n">
        <f aca="false">40000+(100*G149)+40</f>
        <v>43040</v>
      </c>
      <c r="O149" s="1842" t="n">
        <f aca="false">SUM(CP39:CT39)+DB39</f>
        <v>0</v>
      </c>
    </row>
    <row r="150" customFormat="false" ht="15" hidden="false" customHeight="false" outlineLevel="0" collapsed="false">
      <c r="B150" s="1404" t="n">
        <f aca="false">Summary!T104</f>
        <v>40037</v>
      </c>
      <c r="C150" s="741" t="str">
        <f aca="false">Summary!U104</f>
        <v>Waterproofing</v>
      </c>
      <c r="D150" s="318"/>
      <c r="E150" s="751"/>
      <c r="G150" s="1840" t="n">
        <v>31</v>
      </c>
      <c r="H150" s="1841" t="n">
        <f aca="false">40000+(100*G150)+5</f>
        <v>43105</v>
      </c>
      <c r="I150" s="1845" t="n">
        <f aca="false">CO40</f>
        <v>0</v>
      </c>
      <c r="J150" s="1843" t="n">
        <f aca="false">40000+(100*G150)+7</f>
        <v>43107</v>
      </c>
      <c r="K150" s="1845" t="n">
        <f aca="false">DA40</f>
        <v>0</v>
      </c>
      <c r="L150" s="1843" t="n">
        <f aca="false">40000+(100*G150)+8</f>
        <v>43108</v>
      </c>
      <c r="M150" s="1845" t="n">
        <f aca="false">CN40</f>
        <v>0</v>
      </c>
      <c r="N150" s="1843" t="n">
        <f aca="false">40000+(100*G150)+40</f>
        <v>43140</v>
      </c>
      <c r="O150" s="1842" t="n">
        <f aca="false">SUM(CP40:CT40)+DB40</f>
        <v>0</v>
      </c>
    </row>
    <row r="151" customFormat="false" ht="15" hidden="false" customHeight="false" outlineLevel="0" collapsed="false">
      <c r="B151" s="1404" t="n">
        <f aca="false">Summary!T105</f>
        <v>40038</v>
      </c>
      <c r="C151" s="741" t="str">
        <f aca="false">Summary!U105</f>
        <v>Crain/Hoisting</v>
      </c>
      <c r="D151" s="318"/>
      <c r="E151" s="751"/>
      <c r="G151" s="1840" t="n">
        <v>32</v>
      </c>
      <c r="H151" s="1841" t="n">
        <f aca="false">40000+(100*G151)+5</f>
        <v>43205</v>
      </c>
      <c r="I151" s="1845" t="n">
        <f aca="false">CO41</f>
        <v>0</v>
      </c>
      <c r="J151" s="1843" t="n">
        <f aca="false">40000+(100*G151)+7</f>
        <v>43207</v>
      </c>
      <c r="K151" s="1845" t="n">
        <f aca="false">DA41</f>
        <v>0</v>
      </c>
      <c r="L151" s="1843" t="n">
        <f aca="false">40000+(100*G151)+8</f>
        <v>43208</v>
      </c>
      <c r="M151" s="1845" t="n">
        <f aca="false">CN41</f>
        <v>0</v>
      </c>
      <c r="N151" s="1843" t="n">
        <f aca="false">40000+(100*G151)+40</f>
        <v>43240</v>
      </c>
      <c r="O151" s="1842" t="n">
        <f aca="false">SUM(CP41:CT41)+DB41</f>
        <v>0</v>
      </c>
    </row>
    <row r="152" customFormat="false" ht="15" hidden="false" customHeight="false" outlineLevel="0" collapsed="false">
      <c r="B152" s="1404" t="n">
        <f aca="false">Summary!T106</f>
        <v>40039</v>
      </c>
      <c r="C152" s="741" t="str">
        <f aca="false">Summary!U106</f>
        <v>Forming Systems</v>
      </c>
      <c r="E152" s="792"/>
      <c r="G152" s="1847"/>
      <c r="H152" s="1848"/>
      <c r="I152" s="373"/>
      <c r="J152" s="1849"/>
      <c r="K152" s="373"/>
      <c r="L152" s="1849"/>
      <c r="M152" s="373"/>
      <c r="N152" s="1849"/>
      <c r="O152" s="373"/>
    </row>
    <row r="153" customFormat="false" ht="15" hidden="false" customHeight="false" outlineLevel="0" collapsed="false">
      <c r="B153" s="1850" t="n">
        <f aca="false">Summary!T107</f>
        <v>40040</v>
      </c>
      <c r="C153" s="1851" t="str">
        <f aca="false">Summary!U106</f>
        <v>Forming Systems</v>
      </c>
      <c r="D153" s="1852"/>
      <c r="E153" s="1853" t="n">
        <f aca="false">O117</f>
        <v>131779.342268877</v>
      </c>
    </row>
    <row r="154" customFormat="false" ht="15" hidden="false" customHeight="false" outlineLevel="0" collapsed="false">
      <c r="B154" s="1404" t="n">
        <f aca="false">Summary!T108</f>
        <v>40041</v>
      </c>
      <c r="C154" s="741" t="str">
        <f aca="false">Summary!U108</f>
        <v>Labor Forming</v>
      </c>
      <c r="D154" s="318"/>
      <c r="E154" s="742" t="n">
        <f aca="false">O79</f>
        <v>28225.35</v>
      </c>
    </row>
    <row r="155" customFormat="false" ht="15" hidden="false" customHeight="false" outlineLevel="0" collapsed="false">
      <c r="B155" s="1404" t="n">
        <f aca="false">Summary!T109</f>
        <v>40042</v>
      </c>
      <c r="C155" s="741" t="str">
        <f aca="false">Summary!U109</f>
        <v>Labor Grade, Poly, Reinf.</v>
      </c>
      <c r="D155" s="318"/>
      <c r="E155" s="751" t="n">
        <f aca="false">O80+O85</f>
        <v>40769.95</v>
      </c>
      <c r="Q155" s="170" t="s">
        <v>1656</v>
      </c>
    </row>
    <row r="156" customFormat="false" ht="15" hidden="false" customHeight="false" outlineLevel="0" collapsed="false">
      <c r="B156" s="1404" t="n">
        <f aca="false">Summary!T110</f>
        <v>40043</v>
      </c>
      <c r="C156" s="741" t="str">
        <f aca="false">Summary!U110</f>
        <v>Labor Place &amp; Finish</v>
      </c>
      <c r="D156" s="318"/>
      <c r="E156" s="751" t="n">
        <f aca="false">O81</f>
        <v>40769.95</v>
      </c>
      <c r="G156" s="1847"/>
      <c r="H156" s="1848"/>
      <c r="I156" s="373"/>
      <c r="J156" s="373"/>
      <c r="K156" s="373"/>
      <c r="L156" s="373"/>
    </row>
    <row r="157" customFormat="false" ht="15" hidden="false" customHeight="false" outlineLevel="0" collapsed="false">
      <c r="B157" s="1404" t="n">
        <f aca="false">Summary!T111</f>
        <v>40044</v>
      </c>
      <c r="C157" s="741" t="str">
        <f aca="false">Summary!U111</f>
        <v>Labor Drops</v>
      </c>
      <c r="D157" s="749"/>
      <c r="E157" s="742" t="n">
        <f aca="false">O83</f>
        <v>6920</v>
      </c>
      <c r="G157" s="1847"/>
      <c r="H157" s="1848"/>
      <c r="I157" s="373"/>
      <c r="J157" s="373"/>
      <c r="K157" s="373"/>
      <c r="L157" s="373"/>
    </row>
    <row r="158" customFormat="false" ht="15" hidden="false" customHeight="false" outlineLevel="0" collapsed="false">
      <c r="B158" s="1404" t="n">
        <f aca="false">Summary!T112</f>
        <v>40045</v>
      </c>
      <c r="C158" s="741" t="str">
        <f aca="false">Summary!U112</f>
        <v>Labor Strip Forms</v>
      </c>
      <c r="D158" s="318"/>
      <c r="E158" s="751" t="n">
        <f aca="false">O82</f>
        <v>6272.3</v>
      </c>
      <c r="G158" s="1847"/>
      <c r="H158" s="1848"/>
      <c r="I158" s="373"/>
      <c r="J158" s="373"/>
      <c r="K158" s="373"/>
      <c r="L158" s="373"/>
    </row>
    <row r="159" customFormat="false" ht="15" hidden="false" customHeight="false" outlineLevel="0" collapsed="false">
      <c r="B159" s="1404" t="n">
        <f aca="false">Summary!T113</f>
        <v>40046</v>
      </c>
      <c r="C159" s="741" t="str">
        <f aca="false">Summary!U113</f>
        <v>Labor Burden</v>
      </c>
      <c r="D159" s="318"/>
      <c r="E159" s="751" t="n">
        <f aca="false">O84</f>
        <v>0</v>
      </c>
      <c r="G159" s="1847"/>
      <c r="H159" s="1848"/>
      <c r="I159" s="373"/>
      <c r="J159" s="373"/>
      <c r="K159" s="373"/>
      <c r="L159" s="373"/>
    </row>
    <row r="160" customFormat="false" ht="15" hidden="false" customHeight="false" outlineLevel="0" collapsed="false">
      <c r="B160" s="1404" t="n">
        <f aca="false">Summary!T114</f>
        <v>40047</v>
      </c>
      <c r="C160" s="741" t="str">
        <f aca="false">Summary!U114</f>
        <v>Rebar</v>
      </c>
      <c r="D160" s="749"/>
      <c r="E160" s="742" t="n">
        <f aca="false">O87</f>
        <v>8821.7922688766</v>
      </c>
      <c r="G160" s="1847"/>
      <c r="H160" s="1848"/>
      <c r="I160" s="373"/>
      <c r="J160" s="373"/>
      <c r="K160" s="373"/>
      <c r="L160" s="373"/>
    </row>
    <row r="161" customFormat="false" ht="15" hidden="false" customHeight="false" outlineLevel="0" collapsed="false">
      <c r="B161" s="1854" t="n">
        <f aca="false">Summary!T115</f>
        <v>40048</v>
      </c>
      <c r="C161" s="543" t="str">
        <f aca="false">Summary!U115</f>
        <v>PT Installation</v>
      </c>
      <c r="D161" s="749"/>
      <c r="E161" s="751" t="n">
        <f aca="false">O86</f>
        <v>0</v>
      </c>
    </row>
    <row r="162" customFormat="false" ht="15" hidden="false" customHeight="false" outlineLevel="0" collapsed="false">
      <c r="B162" s="1855" t="n">
        <f aca="false">Summary!T116</f>
        <v>40049</v>
      </c>
      <c r="C162" s="770" t="str">
        <f aca="false">Summary!U116</f>
        <v>Extra Hours</v>
      </c>
      <c r="D162" s="265"/>
      <c r="E162" s="772" t="n">
        <f aca="false">O88</f>
        <v>0</v>
      </c>
    </row>
    <row r="163" customFormat="false" ht="15" hidden="false" customHeight="false" outlineLevel="0" collapsed="false">
      <c r="B163" s="1407" t="n">
        <f aca="false">Summary!T117</f>
        <v>40060</v>
      </c>
      <c r="C163" s="1408" t="str">
        <f aca="false">Summary!U117</f>
        <v>Total Equipment Rental</v>
      </c>
      <c r="D163" s="1409"/>
      <c r="E163" s="1410" t="n">
        <f aca="false">SUM(E164:E171)</f>
        <v>30899.25</v>
      </c>
    </row>
    <row r="164" customFormat="false" ht="15" hidden="false" customHeight="false" outlineLevel="0" collapsed="false">
      <c r="B164" s="1404" t="n">
        <f aca="false">Summary!T118</f>
        <v>40061</v>
      </c>
      <c r="C164" s="741" t="str">
        <f aca="false">Summary!U118</f>
        <v>SkyTrack</v>
      </c>
      <c r="D164" s="318"/>
      <c r="E164" s="742" t="n">
        <f aca="false">O96/(1+$Y$44+J$98)</f>
        <v>0</v>
      </c>
    </row>
    <row r="165" customFormat="false" ht="15" hidden="false" customHeight="false" outlineLevel="0" collapsed="false">
      <c r="B165" s="1404" t="n">
        <f aca="false">Summary!T119</f>
        <v>40062</v>
      </c>
      <c r="C165" s="741" t="str">
        <f aca="false">Summary!U119</f>
        <v>Mini Ex</v>
      </c>
      <c r="D165" s="318"/>
      <c r="E165" s="742" t="n">
        <f aca="false">O97/(1+$Y$44+J$98)</f>
        <v>8550</v>
      </c>
    </row>
    <row r="166" customFormat="false" ht="15" hidden="false" customHeight="false" outlineLevel="0" collapsed="false">
      <c r="B166" s="1404" t="n">
        <f aca="false">Summary!T120</f>
        <v>40063</v>
      </c>
      <c r="C166" s="741" t="str">
        <f aca="false">Summary!U120</f>
        <v>Trencher</v>
      </c>
      <c r="D166" s="318"/>
      <c r="E166" s="742" t="n">
        <f aca="false">O98/(1+$Y$44+J$98)</f>
        <v>5850</v>
      </c>
    </row>
    <row r="167" customFormat="false" ht="15" hidden="false" customHeight="false" outlineLevel="0" collapsed="false">
      <c r="B167" s="1404" t="n">
        <f aca="false">Summary!T121</f>
        <v>40064</v>
      </c>
      <c r="C167" s="741" t="str">
        <f aca="false">Summary!U121</f>
        <v>Skid Steer</v>
      </c>
      <c r="D167" s="318"/>
      <c r="E167" s="742" t="n">
        <f aca="false">O99/(1+$Y$44+J$98)</f>
        <v>4050</v>
      </c>
    </row>
    <row r="168" customFormat="false" ht="15" hidden="false" customHeight="false" outlineLevel="0" collapsed="false">
      <c r="B168" s="1404" t="n">
        <f aca="false">Summary!T122</f>
        <v>40065</v>
      </c>
      <c r="C168" s="741" t="str">
        <f aca="false">Summary!U122</f>
        <v>General Equipment Rental</v>
      </c>
      <c r="D168" s="318"/>
      <c r="E168" s="742" t="n">
        <f aca="false">(O100+O101)/(1+$Y$44+J$98)</f>
        <v>1075.59241706161</v>
      </c>
    </row>
    <row r="169" customFormat="false" ht="15" hidden="false" customHeight="false" outlineLevel="0" collapsed="false">
      <c r="B169" s="1404" t="n">
        <f aca="false">Summary!T123</f>
        <v>40066</v>
      </c>
      <c r="C169" s="741" t="str">
        <f aca="false">Summary!U123</f>
        <v>Fuel</v>
      </c>
      <c r="D169" s="318"/>
      <c r="E169" s="742" t="n">
        <f aca="false">M98-SUM(E164:E168)</f>
        <v>11373.6575829384</v>
      </c>
    </row>
    <row r="170" customFormat="false" ht="15" hidden="false" customHeight="false" outlineLevel="0" collapsed="false">
      <c r="B170" s="1404" t="n">
        <f aca="false">Summary!T124</f>
        <v>40067</v>
      </c>
      <c r="C170" s="741" t="str">
        <f aca="false">Summary!U124</f>
        <v>Purchased Tools</v>
      </c>
      <c r="D170" s="318"/>
      <c r="E170" s="751"/>
    </row>
    <row r="171" customFormat="false" ht="15" hidden="false" customHeight="false" outlineLevel="0" collapsed="false">
      <c r="B171" s="1404" t="n">
        <f aca="false">Summary!T125</f>
        <v>40068</v>
      </c>
      <c r="C171" s="741" t="str">
        <f aca="false">Summary!U125</f>
        <v>Stolen/Damaged</v>
      </c>
      <c r="D171" s="749"/>
      <c r="E171" s="751"/>
    </row>
    <row r="172" customFormat="false" ht="15" hidden="false" customHeight="false" outlineLevel="0" collapsed="false">
      <c r="B172" s="1404" t="n">
        <f aca="false">Summary!T126</f>
        <v>40070</v>
      </c>
      <c r="C172" s="741" t="str">
        <f aca="false">Summary!U126</f>
        <v>Out of Town Expense</v>
      </c>
      <c r="D172" s="318"/>
      <c r="E172" s="742" t="n">
        <f aca="false">O108</f>
        <v>0</v>
      </c>
    </row>
    <row r="173" customFormat="false" ht="15" hidden="false" customHeight="false" outlineLevel="0" collapsed="false">
      <c r="B173" s="1404" t="n">
        <f aca="false">Summary!T127</f>
        <v>40071</v>
      </c>
      <c r="C173" s="741" t="str">
        <f aca="false">Summary!U127</f>
        <v>Miscellaneous</v>
      </c>
      <c r="D173" s="318"/>
      <c r="E173" s="751" t="n">
        <f aca="false">O109</f>
        <v>0</v>
      </c>
    </row>
    <row r="174" customFormat="false" ht="15" hidden="false" customHeight="false" outlineLevel="0" collapsed="false">
      <c r="B174" s="1404" t="n">
        <f aca="false">Summary!T128</f>
        <v>40072</v>
      </c>
      <c r="C174" s="741" t="str">
        <f aca="false">Summary!U128</f>
        <v>Repairs</v>
      </c>
      <c r="D174" s="318"/>
      <c r="E174" s="751"/>
    </row>
    <row r="175" customFormat="false" ht="15" hidden="false" customHeight="false" outlineLevel="0" collapsed="false">
      <c r="B175" s="1404" t="n">
        <f aca="false">Summary!T129</f>
        <v>40073</v>
      </c>
      <c r="C175" s="741" t="str">
        <f aca="false">Summary!U129</f>
        <v>Engineering</v>
      </c>
      <c r="D175" s="318"/>
      <c r="E175" s="751" t="n">
        <f aca="false">O103</f>
        <v>0</v>
      </c>
    </row>
    <row r="176" customFormat="false" ht="15" hidden="false" customHeight="false" outlineLevel="0" collapsed="false">
      <c r="B176" s="1404" t="n">
        <f aca="false">Summary!T130</f>
        <v>40090</v>
      </c>
      <c r="C176" s="741" t="str">
        <f aca="false">Summary!U130</f>
        <v>Not Used</v>
      </c>
      <c r="D176" s="318"/>
      <c r="E176" s="751"/>
    </row>
    <row r="177" customFormat="false" ht="15" hidden="false" customHeight="false" outlineLevel="0" collapsed="false">
      <c r="B177" s="1404" t="n">
        <f aca="false">Summary!T131</f>
        <v>40091</v>
      </c>
      <c r="C177" s="741" t="str">
        <f aca="false">Summary!U131</f>
        <v>Margin Contingency</v>
      </c>
      <c r="D177" s="318"/>
      <c r="E177" s="751"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L64:M64">
    <cfRule type="containsText" priority="2" operator="containsText" aboveAverage="0" equalAverage="0" bottom="0" percent="0" rank="0" text="Missing Concrete" dxfId="2">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63" man="true" max="16383" min="0"/>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2" colorId="64" zoomScale="70" zoomScaleNormal="70" zoomScalePageLayoutView="90" workbookViewId="0">
      <selection pane="topLeft" activeCell="G151" activeCellId="0" sqref="G151"/>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false" outlineLevel="0" max="58" min="43" style="16" width="25.82"/>
    <col collapsed="false" customWidth="true" hidden="false" outlineLevel="0" max="59" min="59" style="1411" width="25.82"/>
    <col collapsed="false" customWidth="true" hidden="fals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29" t="s">
        <v>1355</v>
      </c>
      <c r="D1" s="654"/>
      <c r="E1" s="654"/>
      <c r="F1" s="654"/>
      <c r="G1" s="654"/>
      <c r="H1" s="654"/>
      <c r="I1" s="654"/>
      <c r="J1" s="654"/>
      <c r="K1" s="654"/>
      <c r="L1" s="654"/>
      <c r="M1" s="654"/>
      <c r="N1" s="654"/>
      <c r="O1" s="654"/>
      <c r="P1" s="654"/>
      <c r="Q1" s="654"/>
      <c r="R1" s="654"/>
      <c r="S1" s="654"/>
      <c r="T1" s="654"/>
      <c r="U1" s="1412" t="s">
        <v>1193</v>
      </c>
      <c r="V1" s="1412"/>
      <c r="W1" s="1413" t="n">
        <v>37456</v>
      </c>
      <c r="X1" s="1413"/>
      <c r="Y1" s="1414"/>
      <c r="Z1" s="1414"/>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411"/>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15" t="str">
        <f aca="false">Summary!C1</f>
        <v>Trammell Crow – LBJ</v>
      </c>
      <c r="C2" s="1416"/>
      <c r="D2" s="1416"/>
      <c r="E2" s="1417"/>
      <c r="F2" s="1418" t="s">
        <v>1466</v>
      </c>
      <c r="G2" s="654"/>
      <c r="H2" s="836"/>
      <c r="I2" s="1419" t="s">
        <v>56</v>
      </c>
      <c r="J2" s="1068"/>
      <c r="K2" s="1202" t="s">
        <v>57</v>
      </c>
      <c r="L2" s="1068"/>
      <c r="M2" s="1068"/>
      <c r="N2" s="1068"/>
      <c r="O2" s="1202" t="s">
        <v>1</v>
      </c>
      <c r="P2" s="1202"/>
      <c r="Q2" s="1202" t="s">
        <v>1194</v>
      </c>
      <c r="R2" s="865"/>
      <c r="S2" s="654"/>
      <c r="T2" s="654"/>
      <c r="U2" s="836" t="s">
        <v>957</v>
      </c>
      <c r="V2" s="695"/>
      <c r="W2" s="837" t="n">
        <f aca="false">Information!C7</f>
        <v>0</v>
      </c>
      <c r="X2" s="838"/>
      <c r="Y2" s="1414"/>
      <c r="Z2" s="1414"/>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411"/>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20" t="n">
        <f aca="false">Summary!C2</f>
        <v>0</v>
      </c>
      <c r="C3" s="1421"/>
      <c r="D3" s="1421"/>
      <c r="E3" s="1422"/>
      <c r="F3" s="1418" t="s">
        <v>1467</v>
      </c>
      <c r="G3" s="654"/>
      <c r="H3" s="599"/>
      <c r="I3" s="833" t="s">
        <v>955</v>
      </c>
      <c r="J3" s="1415" t="n">
        <f aca="false">Summary!K2</f>
        <v>0</v>
      </c>
      <c r="K3" s="1416"/>
      <c r="L3" s="1416"/>
      <c r="M3" s="1416"/>
      <c r="N3" s="1416"/>
      <c r="O3" s="1423" t="n">
        <f aca="false">Summary!O2</f>
        <v>0</v>
      </c>
      <c r="P3" s="1423"/>
      <c r="Q3" s="1423" t="n">
        <f aca="false">Summary!P2</f>
        <v>0</v>
      </c>
      <c r="R3" s="1424"/>
      <c r="S3" s="654"/>
      <c r="T3" s="654"/>
      <c r="U3" s="599"/>
      <c r="X3" s="843"/>
      <c r="Y3" s="1414"/>
      <c r="Z3" s="1414"/>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411"/>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25" t="str">
        <f aca="false">Summary!C3</f>
        <v>Dallas, TX</v>
      </c>
      <c r="C4" s="1426"/>
      <c r="D4" s="1426"/>
      <c r="E4" s="1427"/>
      <c r="F4" s="1418" t="s">
        <v>1468</v>
      </c>
      <c r="G4" s="654"/>
      <c r="H4" s="421"/>
      <c r="I4" s="1004" t="s">
        <v>71</v>
      </c>
      <c r="J4" s="1420" t="n">
        <f aca="false">Summary!K3</f>
        <v>0</v>
      </c>
      <c r="K4" s="1421"/>
      <c r="L4" s="1421"/>
      <c r="M4" s="1421"/>
      <c r="N4" s="1421"/>
      <c r="O4" s="1428" t="n">
        <f aca="false">Summary!O3</f>
        <v>0</v>
      </c>
      <c r="P4" s="1428"/>
      <c r="Q4" s="1428" t="n">
        <f aca="false">Summary!P3</f>
        <v>0</v>
      </c>
      <c r="R4" s="1429"/>
      <c r="S4" s="654"/>
      <c r="T4" s="654"/>
      <c r="U4" s="599" t="s">
        <v>958</v>
      </c>
      <c r="W4" s="848"/>
      <c r="X4" s="849"/>
      <c r="Y4" s="1414"/>
      <c r="Z4" s="1414"/>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411"/>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c r="DS4" s="16" t="n">
        <f aca="false">7200*0.42/27</f>
        <v>112</v>
      </c>
    </row>
    <row r="5" customFormat="false" ht="19.5" hidden="false" customHeight="true" outlineLevel="0" collapsed="false">
      <c r="B5" s="405" t="s">
        <v>0</v>
      </c>
      <c r="D5" s="837" t="s">
        <v>1</v>
      </c>
      <c r="E5" s="837"/>
      <c r="F5" s="654"/>
      <c r="G5" s="654"/>
      <c r="H5" s="421"/>
      <c r="I5" s="1004" t="s">
        <v>79</v>
      </c>
      <c r="J5" s="1420" t="n">
        <f aca="false">Summary!K4</f>
        <v>0</v>
      </c>
      <c r="K5" s="1421"/>
      <c r="L5" s="1421"/>
      <c r="M5" s="1421"/>
      <c r="N5" s="1421"/>
      <c r="O5" s="1428" t="n">
        <f aca="false">Summary!O4</f>
        <v>0</v>
      </c>
      <c r="P5" s="1428"/>
      <c r="Q5" s="1428" t="n">
        <f aca="false">Summary!P4</f>
        <v>0</v>
      </c>
      <c r="R5" s="1429"/>
      <c r="S5" s="1430"/>
      <c r="T5" s="654"/>
      <c r="U5" s="599"/>
      <c r="X5" s="843"/>
      <c r="Y5" s="1414"/>
      <c r="Z5" s="1414"/>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411"/>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c r="DX5" s="1431" t="n">
        <f aca="false">(S45-F10)/324</f>
        <v>0.0308641975308642</v>
      </c>
    </row>
    <row r="6" customFormat="false" ht="19.5" hidden="false" customHeight="true" outlineLevel="0" collapsed="false">
      <c r="B6" s="857" t="n">
        <v>0</v>
      </c>
      <c r="D6" s="1432" t="n">
        <v>0</v>
      </c>
      <c r="E6" s="1432"/>
      <c r="F6" s="654"/>
      <c r="G6" s="654"/>
      <c r="H6" s="685"/>
      <c r="I6" s="1212" t="s">
        <v>87</v>
      </c>
      <c r="J6" s="1425" t="n">
        <f aca="false">Summary!K5</f>
        <v>0</v>
      </c>
      <c r="K6" s="1426"/>
      <c r="L6" s="1426"/>
      <c r="M6" s="1426"/>
      <c r="N6" s="1426"/>
      <c r="O6" s="1433" t="n">
        <f aca="false">Summary!O5</f>
        <v>0</v>
      </c>
      <c r="P6" s="1433"/>
      <c r="Q6" s="1433" t="n">
        <f aca="false">Summary!P5</f>
        <v>0</v>
      </c>
      <c r="R6" s="1434"/>
      <c r="S6" s="654"/>
      <c r="T6" s="654"/>
      <c r="U6" s="602" t="s">
        <v>958</v>
      </c>
      <c r="V6" s="855"/>
      <c r="W6" s="855"/>
      <c r="X6" s="856"/>
      <c r="Y6" s="1414"/>
      <c r="Z6" s="1414"/>
      <c r="AI6" s="654"/>
      <c r="AJ6" s="1435"/>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411"/>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1436" t="n">
        <v>0</v>
      </c>
      <c r="C7" s="1125"/>
      <c r="D7" s="1437" t="n">
        <v>0</v>
      </c>
      <c r="E7" s="1438"/>
      <c r="F7" s="726"/>
      <c r="G7" s="1212" t="s">
        <v>1196</v>
      </c>
      <c r="H7" s="1004"/>
      <c r="I7" s="1004"/>
      <c r="J7" s="15" t="str">
        <f aca="false">Pricing!A3</f>
        <v>SRM</v>
      </c>
      <c r="K7" s="15"/>
      <c r="L7" s="15"/>
      <c r="M7" s="15"/>
      <c r="N7" s="15"/>
      <c r="O7" s="654"/>
      <c r="P7" s="654"/>
      <c r="Q7" s="654"/>
      <c r="R7" s="654"/>
      <c r="S7" s="656" t="e">
        <f aca="false">S12+S13</f>
        <v>#DIV/0!</v>
      </c>
      <c r="T7" s="654"/>
      <c r="U7" s="654"/>
      <c r="V7" s="654"/>
      <c r="W7" s="654"/>
      <c r="X7" s="654"/>
      <c r="Y7" s="1414"/>
      <c r="Z7" s="1414"/>
      <c r="AI7" s="654"/>
      <c r="AJ7" s="654"/>
      <c r="AK7" s="654"/>
      <c r="AL7" s="406"/>
      <c r="AM7" s="614"/>
      <c r="AN7" s="614"/>
      <c r="AO7" s="614"/>
      <c r="AP7" s="614"/>
      <c r="AQ7" s="614"/>
      <c r="AR7" s="1439" t="s">
        <v>1469</v>
      </c>
      <c r="AS7" s="1439"/>
      <c r="AT7" s="1439"/>
      <c r="AU7" s="1439"/>
      <c r="AV7" s="1439"/>
      <c r="AW7" s="1439"/>
      <c r="AX7" s="1439"/>
      <c r="AY7" s="1439"/>
      <c r="AZ7" s="1439"/>
      <c r="BA7" s="1439"/>
      <c r="BB7" s="1439"/>
      <c r="BC7" s="1439" t="s">
        <v>721</v>
      </c>
      <c r="BD7" s="1439"/>
      <c r="BE7" s="1439"/>
      <c r="BF7" s="1439"/>
      <c r="BG7" s="1439"/>
      <c r="BH7" s="1439"/>
      <c r="BI7" s="1439"/>
      <c r="BJ7" s="1439"/>
      <c r="BK7" s="1439"/>
      <c r="BL7" s="1439"/>
      <c r="BM7" s="1439"/>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c r="DS7" s="16" t="s">
        <v>1470</v>
      </c>
      <c r="DZ7" s="16" t="s">
        <v>1471</v>
      </c>
    </row>
    <row r="8" customFormat="false" ht="39" hidden="false" customHeight="true" outlineLevel="0" collapsed="false">
      <c r="B8" s="1440" t="s">
        <v>1472</v>
      </c>
      <c r="C8" s="1441" t="s">
        <v>1473</v>
      </c>
      <c r="D8" s="1442" t="s">
        <v>1474</v>
      </c>
      <c r="E8" s="1443"/>
      <c r="F8" s="1444" t="s">
        <v>1475</v>
      </c>
      <c r="G8" s="1445" t="s">
        <v>1476</v>
      </c>
      <c r="H8" s="1446" t="s">
        <v>1477</v>
      </c>
      <c r="I8" s="1447" t="s">
        <v>1209</v>
      </c>
      <c r="J8" s="1444" t="s">
        <v>1478</v>
      </c>
      <c r="K8" s="1444" t="s">
        <v>1479</v>
      </c>
      <c r="L8" s="1448" t="s">
        <v>1480</v>
      </c>
      <c r="M8" s="1449" t="s">
        <v>1481</v>
      </c>
      <c r="N8" s="1450" t="s">
        <v>1482</v>
      </c>
      <c r="O8" s="1450" t="s">
        <v>598</v>
      </c>
      <c r="P8" s="1451" t="s">
        <v>1483</v>
      </c>
      <c r="Q8" s="1452" t="s">
        <v>1219</v>
      </c>
      <c r="R8" s="1453" t="s">
        <v>1484</v>
      </c>
      <c r="S8" s="1454" t="s">
        <v>1485</v>
      </c>
      <c r="T8" s="1455" t="s">
        <v>1486</v>
      </c>
      <c r="U8" s="1456" t="s">
        <v>1487</v>
      </c>
      <c r="V8" s="1454" t="s">
        <v>1250</v>
      </c>
      <c r="W8" s="1457" t="s">
        <v>1488</v>
      </c>
      <c r="X8" s="863"/>
      <c r="Y8" s="1458" t="s">
        <v>1489</v>
      </c>
      <c r="Z8" s="1459"/>
      <c r="AA8" s="1458" t="s">
        <v>1490</v>
      </c>
      <c r="AB8" s="1459"/>
      <c r="AC8" s="1458" t="s">
        <v>1491</v>
      </c>
      <c r="AD8" s="1460"/>
      <c r="AE8" s="1458" t="s">
        <v>1492</v>
      </c>
      <c r="AF8" s="1460"/>
      <c r="AG8" s="1458" t="s">
        <v>1493</v>
      </c>
      <c r="AH8" s="1460"/>
      <c r="AI8" s="1458" t="s">
        <v>1494</v>
      </c>
      <c r="AJ8" s="1460"/>
      <c r="AK8" s="1458" t="s">
        <v>1495</v>
      </c>
      <c r="AL8" s="1460"/>
      <c r="AM8" s="1458" t="s">
        <v>1496</v>
      </c>
      <c r="AN8" s="1460"/>
      <c r="AO8" s="1458" t="s">
        <v>1497</v>
      </c>
      <c r="AP8" s="1460"/>
      <c r="AQ8" s="654"/>
      <c r="AR8" s="1461" t="s">
        <v>1498</v>
      </c>
      <c r="AS8" s="1462" t="s">
        <v>1499</v>
      </c>
      <c r="AT8" s="1462" t="s">
        <v>1499</v>
      </c>
      <c r="AU8" s="1462" t="s">
        <v>1491</v>
      </c>
      <c r="AV8" s="1462" t="s">
        <v>1492</v>
      </c>
      <c r="AW8" s="1462" t="s">
        <v>1500</v>
      </c>
      <c r="AX8" s="1462" t="s">
        <v>1501</v>
      </c>
      <c r="AY8" s="1462" t="s">
        <v>1502</v>
      </c>
      <c r="AZ8" s="1462" t="s">
        <v>1503</v>
      </c>
      <c r="BA8" s="1462" t="s">
        <v>1504</v>
      </c>
      <c r="BB8" s="1463" t="s">
        <v>1505</v>
      </c>
      <c r="BC8" s="1464" t="s">
        <v>1498</v>
      </c>
      <c r="BD8" s="1465" t="str">
        <f aca="false">Y8</f>
        <v>Vertical Stems</v>
      </c>
      <c r="BE8" s="1465" t="str">
        <f aca="false">AA8</f>
        <v>Extended Beams</v>
      </c>
      <c r="BF8" s="1465" t="s">
        <v>1491</v>
      </c>
      <c r="BG8" s="1465" t="s">
        <v>1492</v>
      </c>
      <c r="BH8" s="1465" t="s">
        <v>1500</v>
      </c>
      <c r="BI8" s="1465" t="s">
        <v>1501</v>
      </c>
      <c r="BJ8" s="1465" t="s">
        <v>1502</v>
      </c>
      <c r="BK8" s="1465" t="s">
        <v>1503</v>
      </c>
      <c r="BL8" s="1465" t="s">
        <v>1504</v>
      </c>
      <c r="BM8" s="1466" t="s">
        <v>1506</v>
      </c>
      <c r="BN8" s="1465"/>
      <c r="BO8" s="1465"/>
      <c r="BP8" s="1465"/>
      <c r="BQ8" s="1465"/>
      <c r="BR8" s="1467"/>
      <c r="BS8" s="654"/>
      <c r="BT8" s="654"/>
      <c r="BU8" s="654"/>
      <c r="BV8" s="654"/>
      <c r="BW8" s="654"/>
      <c r="BX8" s="654"/>
      <c r="BY8" s="654"/>
      <c r="BZ8" s="654"/>
      <c r="CA8" s="654"/>
      <c r="CB8" s="654"/>
      <c r="CC8" s="654"/>
      <c r="CD8" s="654"/>
      <c r="CE8" s="654"/>
      <c r="CF8" s="654"/>
      <c r="CG8" s="654"/>
      <c r="CH8" s="654"/>
      <c r="CI8" s="654"/>
      <c r="CJ8" s="654"/>
      <c r="CK8" s="654"/>
      <c r="CL8" s="654"/>
      <c r="CM8" s="1468" t="s">
        <v>1507</v>
      </c>
      <c r="CN8" s="1468"/>
      <c r="CO8" s="1468"/>
      <c r="CP8" s="1468"/>
      <c r="CQ8" s="1468"/>
      <c r="CR8" s="1468"/>
      <c r="CS8" s="1468"/>
      <c r="CT8" s="1468"/>
      <c r="CU8" s="1468"/>
      <c r="CV8" s="1468"/>
      <c r="CW8" s="1468"/>
      <c r="CX8" s="1468"/>
      <c r="CY8" s="1468"/>
      <c r="CZ8" s="1468"/>
      <c r="DA8" s="1468"/>
      <c r="DB8" s="1468"/>
      <c r="DC8" s="1468"/>
      <c r="DD8" s="1468"/>
      <c r="DE8" s="1468"/>
      <c r="DF8" s="1469"/>
      <c r="DG8" s="1469"/>
      <c r="DH8" s="1469"/>
      <c r="DI8" s="1469" t="s">
        <v>1508</v>
      </c>
      <c r="DJ8" s="1469"/>
      <c r="DK8" s="1469"/>
      <c r="DL8" s="1469"/>
      <c r="DM8" s="1469"/>
      <c r="DN8" s="1469"/>
      <c r="DO8" s="1469"/>
      <c r="DP8" s="1470"/>
      <c r="DQ8" s="1462" t="s">
        <v>1491</v>
      </c>
      <c r="DR8" s="1462" t="s">
        <v>1492</v>
      </c>
      <c r="DS8" s="1462" t="s">
        <v>1500</v>
      </c>
      <c r="DT8" s="1462" t="s">
        <v>1501</v>
      </c>
      <c r="DU8" s="1462" t="s">
        <v>1502</v>
      </c>
      <c r="DV8" s="1462" t="s">
        <v>1503</v>
      </c>
      <c r="DW8" s="1462" t="s">
        <v>1504</v>
      </c>
      <c r="DX8" s="1463" t="s">
        <v>1470</v>
      </c>
      <c r="DY8" s="1462" t="s">
        <v>1491</v>
      </c>
      <c r="DZ8" s="1462" t="s">
        <v>1492</v>
      </c>
      <c r="EA8" s="1462" t="s">
        <v>1500</v>
      </c>
      <c r="EB8" s="1462" t="s">
        <v>1501</v>
      </c>
      <c r="EC8" s="1462" t="s">
        <v>1502</v>
      </c>
      <c r="ED8" s="1462" t="s">
        <v>1503</v>
      </c>
      <c r="EE8" s="1462" t="s">
        <v>1504</v>
      </c>
      <c r="EF8" s="1463" t="s">
        <v>1509</v>
      </c>
    </row>
    <row r="9" customFormat="false" ht="19.5" hidden="false" customHeight="true" outlineLevel="0" collapsed="false">
      <c r="B9" s="1471"/>
      <c r="C9" s="1472" t="s">
        <v>1510</v>
      </c>
      <c r="D9" s="1473" t="s">
        <v>1511</v>
      </c>
      <c r="E9" s="1474"/>
      <c r="F9" s="1225"/>
      <c r="G9" s="1475" t="s">
        <v>1512</v>
      </c>
      <c r="H9" s="1476"/>
      <c r="I9" s="1477"/>
      <c r="J9" s="1225" t="s">
        <v>1513</v>
      </c>
      <c r="K9" s="1225"/>
      <c r="L9" s="1229" t="s">
        <v>1215</v>
      </c>
      <c r="M9" s="1478" t="s">
        <v>1514</v>
      </c>
      <c r="N9" s="1475" t="s">
        <v>1515</v>
      </c>
      <c r="O9" s="1475" t="s">
        <v>868</v>
      </c>
      <c r="P9" s="1479"/>
      <c r="Q9" s="1480"/>
      <c r="R9" s="1481"/>
      <c r="S9" s="1482"/>
      <c r="T9" s="1483" t="s">
        <v>1516</v>
      </c>
      <c r="U9" s="1483"/>
      <c r="V9" s="1483"/>
      <c r="W9" s="1230" t="s">
        <v>1517</v>
      </c>
      <c r="X9" s="1478" t="s">
        <v>1259</v>
      </c>
      <c r="Y9" s="1484" t="s">
        <v>1208</v>
      </c>
      <c r="Z9" s="1485" t="s">
        <v>1259</v>
      </c>
      <c r="AA9" s="1484" t="s">
        <v>1208</v>
      </c>
      <c r="AB9" s="1485" t="s">
        <v>1259</v>
      </c>
      <c r="AC9" s="1484" t="s">
        <v>1517</v>
      </c>
      <c r="AD9" s="1486" t="s">
        <v>1259</v>
      </c>
      <c r="AE9" s="1487" t="s">
        <v>1517</v>
      </c>
      <c r="AF9" s="1486" t="s">
        <v>1259</v>
      </c>
      <c r="AG9" s="1484" t="s">
        <v>1208</v>
      </c>
      <c r="AH9" s="1486" t="s">
        <v>1259</v>
      </c>
      <c r="AI9" s="1484" t="s">
        <v>1517</v>
      </c>
      <c r="AJ9" s="1486" t="s">
        <v>1259</v>
      </c>
      <c r="AK9" s="1487" t="s">
        <v>1517</v>
      </c>
      <c r="AL9" s="1486" t="s">
        <v>1259</v>
      </c>
      <c r="AM9" s="1484" t="s">
        <v>1208</v>
      </c>
      <c r="AN9" s="1486" t="s">
        <v>1259</v>
      </c>
      <c r="AO9" s="1484" t="s">
        <v>1208</v>
      </c>
      <c r="AP9" s="1486" t="s">
        <v>1259</v>
      </c>
      <c r="AQ9" s="654"/>
      <c r="AR9" s="1488"/>
      <c r="AS9" s="1489"/>
      <c r="AT9" s="1489"/>
      <c r="AU9" s="1489"/>
      <c r="AV9" s="1489"/>
      <c r="AW9" s="1489"/>
      <c r="AX9" s="1489"/>
      <c r="AY9" s="397"/>
      <c r="AZ9" s="1489"/>
      <c r="BA9" s="1489"/>
      <c r="BB9" s="1490"/>
      <c r="BC9" s="1491"/>
      <c r="BD9" s="1492"/>
      <c r="BE9" s="1492"/>
      <c r="BF9" s="1492"/>
      <c r="BG9" s="1492"/>
      <c r="BH9" s="1492"/>
      <c r="BI9" s="1492"/>
      <c r="BJ9" s="1082"/>
      <c r="BK9" s="1492"/>
      <c r="BL9" s="1492"/>
      <c r="BM9" s="1493"/>
      <c r="BN9" s="1465" t="s">
        <v>1385</v>
      </c>
      <c r="BO9" s="1465" t="s">
        <v>1518</v>
      </c>
      <c r="BP9" s="1465" t="s">
        <v>1519</v>
      </c>
      <c r="BQ9" s="1465" t="s">
        <v>1520</v>
      </c>
      <c r="BR9" s="1467" t="s">
        <v>1521</v>
      </c>
      <c r="BS9" s="1494" t="s">
        <v>1374</v>
      </c>
      <c r="BT9" s="1495" t="s">
        <v>1375</v>
      </c>
      <c r="BU9" s="1495" t="s">
        <v>1376</v>
      </c>
      <c r="BV9" s="1495" t="s">
        <v>1377</v>
      </c>
      <c r="BW9" s="1495" t="s">
        <v>1378</v>
      </c>
      <c r="BX9" s="1495" t="s">
        <v>1522</v>
      </c>
      <c r="BY9" s="1495" t="s">
        <v>1523</v>
      </c>
      <c r="BZ9" s="1495" t="s">
        <v>1524</v>
      </c>
      <c r="CA9" s="1495" t="s">
        <v>1525</v>
      </c>
      <c r="CB9" s="1496" t="s">
        <v>1526</v>
      </c>
      <c r="CC9" s="1497" t="s">
        <v>1527</v>
      </c>
      <c r="CD9" s="1497" t="s">
        <v>1528</v>
      </c>
      <c r="CE9" s="1497" t="s">
        <v>1529</v>
      </c>
      <c r="CF9" s="1497" t="s">
        <v>1530</v>
      </c>
      <c r="CG9" s="1497" t="s">
        <v>1531</v>
      </c>
      <c r="CH9" s="1497" t="s">
        <v>1532</v>
      </c>
      <c r="CI9" s="1497" t="s">
        <v>1533</v>
      </c>
      <c r="CJ9" s="1497" t="s">
        <v>1513</v>
      </c>
      <c r="CK9" s="1497" t="s">
        <v>1534</v>
      </c>
      <c r="CL9" s="1497"/>
      <c r="CM9" s="1498" t="s">
        <v>1535</v>
      </c>
      <c r="CN9" s="1492" t="s">
        <v>1384</v>
      </c>
      <c r="CO9" s="1492" t="s">
        <v>1385</v>
      </c>
      <c r="CP9" s="1499" t="s">
        <v>1536</v>
      </c>
      <c r="CQ9" s="1500" t="s">
        <v>1537</v>
      </c>
      <c r="CR9" s="1500" t="s">
        <v>1538</v>
      </c>
      <c r="CS9" s="1500" t="s">
        <v>1539</v>
      </c>
      <c r="CT9" s="1501" t="s">
        <v>1307</v>
      </c>
      <c r="CU9" s="1502" t="s">
        <v>1159</v>
      </c>
      <c r="CV9" s="1502" t="s">
        <v>1540</v>
      </c>
      <c r="CW9" s="1492" t="s">
        <v>1541</v>
      </c>
      <c r="CX9" s="1492" t="s">
        <v>976</v>
      </c>
      <c r="CY9" s="1492" t="s">
        <v>1542</v>
      </c>
      <c r="CZ9" s="1492" t="s">
        <v>1543</v>
      </c>
      <c r="DA9" s="1492" t="s">
        <v>1544</v>
      </c>
      <c r="DB9" s="1492" t="s">
        <v>1545</v>
      </c>
      <c r="DC9" s="1492" t="s">
        <v>598</v>
      </c>
      <c r="DD9" s="1492" t="s">
        <v>1513</v>
      </c>
      <c r="DE9" s="1493" t="s">
        <v>1255</v>
      </c>
      <c r="DF9" s="784" t="s">
        <v>1486</v>
      </c>
      <c r="DG9" s="1503" t="str">
        <f aca="false">Y8</f>
        <v>Vertical Stems</v>
      </c>
      <c r="DH9" s="1503" t="str">
        <f aca="false">AA8</f>
        <v>Extended Beams</v>
      </c>
      <c r="DI9" s="1503" t="s">
        <v>1546</v>
      </c>
      <c r="DJ9" s="1503" t="s">
        <v>1547</v>
      </c>
      <c r="DK9" s="1503" t="s">
        <v>1548</v>
      </c>
      <c r="DL9" s="1503" t="s">
        <v>1549</v>
      </c>
      <c r="DM9" s="1503" t="s">
        <v>1550</v>
      </c>
      <c r="DN9" s="1503" t="s">
        <v>1551</v>
      </c>
      <c r="DO9" s="1503" t="s">
        <v>1552</v>
      </c>
      <c r="DP9" s="1504" t="s">
        <v>1418</v>
      </c>
      <c r="DQ9" s="1489"/>
      <c r="DR9" s="1489"/>
      <c r="DS9" s="1489"/>
      <c r="DT9" s="1489"/>
      <c r="DU9" s="397"/>
      <c r="DV9" s="1489"/>
      <c r="DW9" s="1489"/>
      <c r="DX9" s="1490"/>
      <c r="DY9" s="1489"/>
      <c r="DZ9" s="1489"/>
      <c r="EA9" s="1489"/>
      <c r="EB9" s="1489"/>
      <c r="EC9" s="397"/>
      <c r="ED9" s="1489"/>
      <c r="EE9" s="1489"/>
      <c r="EF9" s="1490"/>
    </row>
    <row r="10" customFormat="false" ht="19.5" hidden="false" customHeight="true" outlineLevel="0" collapsed="false">
      <c r="A10" s="16" t="s">
        <v>1068</v>
      </c>
      <c r="B10" s="1505"/>
      <c r="C10" s="1506"/>
      <c r="D10" s="1507"/>
      <c r="E10" s="1508"/>
      <c r="F10" s="1352"/>
      <c r="G10" s="1509"/>
      <c r="H10" s="1352"/>
      <c r="I10" s="1509"/>
      <c r="J10" s="1352"/>
      <c r="K10" s="1510"/>
      <c r="L10" s="1511"/>
      <c r="M10" s="1512"/>
      <c r="N10" s="1513"/>
      <c r="O10" s="1514"/>
      <c r="P10" s="1515" t="n">
        <f aca="false">IF(BQ10=0,0,BN10/BQ10)</f>
        <v>0</v>
      </c>
      <c r="Q10" s="1516" t="n">
        <f aca="false">(D10*F10/324)*(1+K$65)+BB10</f>
        <v>0</v>
      </c>
      <c r="R10" s="1517" t="n">
        <f aca="false">IF(D10=0,0,S10/D10)</f>
        <v>0</v>
      </c>
      <c r="S10" s="1518" t="e">
        <f aca="false">SUM(CM10-DE10)*(1+M$45)</f>
        <v>#DIV/0!</v>
      </c>
      <c r="T10" s="1519" t="n">
        <f aca="false">CF10+CG10+CH10</f>
        <v>0</v>
      </c>
      <c r="U10" s="1520" t="n">
        <f aca="false">IF(P10-(D10*0.35)&lt;0,0,P10-(D10*0.35))</f>
        <v>0</v>
      </c>
      <c r="V10" s="1521" t="n">
        <f aca="false">IF(D10="",0,IF(D10/-30+Q10&lt;1,0,D10/-30+Q10))</f>
        <v>0</v>
      </c>
      <c r="W10" s="1511"/>
      <c r="X10" s="1522"/>
      <c r="Y10" s="1523"/>
      <c r="Z10" s="1524"/>
      <c r="AA10" s="1523"/>
      <c r="AB10" s="1524"/>
      <c r="AC10" s="1525"/>
      <c r="AD10" s="1526"/>
      <c r="AE10" s="1511"/>
      <c r="AF10" s="1527"/>
      <c r="AG10" s="1528"/>
      <c r="AH10" s="1527"/>
      <c r="AI10" s="1529"/>
      <c r="AJ10" s="1530"/>
      <c r="AK10" s="1531"/>
      <c r="AL10" s="1527"/>
      <c r="AM10" s="1523"/>
      <c r="AN10" s="1532"/>
      <c r="AO10" s="1523"/>
      <c r="AP10" s="1524"/>
      <c r="AQ10" s="1435" t="e">
        <f aca="false">D10/Q10</f>
        <v>#DIV/0!</v>
      </c>
      <c r="AR10" s="1533" t="str">
        <f aca="false">IF(W10="","",LOOKUP(W10,$B$49:$B$59,$R$49:$R$59)*X10)</f>
        <v/>
      </c>
      <c r="AS10" s="1430" t="str">
        <f aca="false">IF(Y10="","",LOOKUP(Y10,$B$49:$B$59,$R$49:$R$59)*Z10)</f>
        <v/>
      </c>
      <c r="AT10" s="1534" t="str">
        <f aca="false">IF(AB10="","",LOOKUP(AA10,$B$49:$B$59,$R$49:$R$59)*AB10)</f>
        <v/>
      </c>
      <c r="AU10" s="1430" t="str">
        <f aca="false">IF(AC10="","",LOOKUP(AC10,$B$49:$B$59,$R$49:$R$59)*AD10)</f>
        <v/>
      </c>
      <c r="AV10" s="1430" t="str">
        <f aca="false">IF(AE10="","",LOOKUP(AE10,$B$49:$B$59,$R$49:$R$59)*AF10)</f>
        <v/>
      </c>
      <c r="AW10" s="1430" t="str">
        <f aca="false">IF(AG10="","",LOOKUP(AG10,$B$49:$B$59,$R$49:$R$59)*AH10)</f>
        <v/>
      </c>
      <c r="AX10" s="1430" t="str">
        <f aca="false">IF(AI10="","",LOOKUP(AI10,$B$49:$B$59,$R$49:$R$59)*AJ10)</f>
        <v/>
      </c>
      <c r="AY10" s="1430" t="str">
        <f aca="false">IF(AK10="","",LOOKUP(AK10,$B$49:$B$59,$R$49:$R$59)*AL10)</f>
        <v/>
      </c>
      <c r="AZ10" s="1430" t="str">
        <f aca="false">IF(AM10="","",LOOKUP(AM10,$B$49:$B$59,$R$49:$R$59)*AN10)</f>
        <v/>
      </c>
      <c r="BA10" s="1430" t="str">
        <f aca="false">IF(AO10="","",LOOKUP(AO10,$B$49:$B$59,$R$49:$R$59)*AP10)</f>
        <v/>
      </c>
      <c r="BB10" s="1535" t="n">
        <f aca="false">SUM(AR10:BA10)</f>
        <v>0</v>
      </c>
      <c r="BC10" s="1533" t="str">
        <f aca="false">IF(W10="","",LOOKUP(W10,$B$49:$B$59,$P$49:$P$59)*X10)</f>
        <v/>
      </c>
      <c r="BD10" s="1430" t="str">
        <f aca="false">IF(Y10="","",LOOKUP(Y10,$B$49:$B$59,$P$49:$P$59)*Z10)</f>
        <v/>
      </c>
      <c r="BE10" s="1430" t="str">
        <f aca="false">IF(AA10="","",LOOKUP(AA10,$B$49:$B$59,$P$49:$P$59)*AB10)</f>
        <v/>
      </c>
      <c r="BF10" s="1430" t="str">
        <f aca="false">IF(AC10="","",LOOKUP(AC10,$B$49:$B$59,$P$49:$P$59)*AD10)</f>
        <v/>
      </c>
      <c r="BG10" s="1430" t="str">
        <f aca="false">IF(AE10="","",LOOKUP(AE10,$B$49:$B$59,$P$49:$P$59)*AF10)</f>
        <v/>
      </c>
      <c r="BH10" s="1430" t="str">
        <f aca="false">IF(AG10="","",LOOKUP(AG10,$B$49:$B$59,$P$49:$P$59)*AH10)</f>
        <v/>
      </c>
      <c r="BI10" s="1430" t="str">
        <f aca="false">IF(AI10="","",LOOKUP(AI10,$B$49:$B$59,$P$49:$P$59)*AJ10)</f>
        <v/>
      </c>
      <c r="BJ10" s="1430" t="str">
        <f aca="false">IF(AK10="","",LOOKUP(AK10,$B$49:$B$59,$P$49:$P$59)*AL10)</f>
        <v/>
      </c>
      <c r="BK10" s="1430" t="str">
        <f aca="false">IF(AM10="","",LOOKUP(AM10,$B$49:$B$59,$P$49:$P$59)*AN10)</f>
        <v/>
      </c>
      <c r="BL10" s="1430" t="str">
        <f aca="false">IF(AO10="","",LOOKUP(AO10,$B$49:$B$59,$P$49:$P$59)*AP10)</f>
        <v/>
      </c>
      <c r="BM10" s="1535" t="n">
        <f aca="false">SUM(BC10:BL10)*BQ10</f>
        <v>0</v>
      </c>
      <c r="BN10" s="1536" t="n">
        <f aca="false">BM10+BO10</f>
        <v>0</v>
      </c>
      <c r="BO10" s="1537" t="n">
        <f aca="false">IF(M10=0,0,(M10/12+M10/12)/(M10/12*M10/12)*D10*((L10/16*L10/16)*10.6870159))*(1+K$70)*BQ10</f>
        <v>0</v>
      </c>
      <c r="BP10" s="1536" t="n">
        <f aca="false">IF(O10="Y",D10*(1+K$71)*BQ10,0)</f>
        <v>0</v>
      </c>
      <c r="BQ10" s="1538" t="n">
        <f aca="false">G10</f>
        <v>0</v>
      </c>
      <c r="BR10" s="1411" t="n">
        <f aca="false">IF(O10="y",D10,0)</f>
        <v>0</v>
      </c>
      <c r="BS10" s="1539" t="n">
        <f aca="false">IF($I10=1,$Q10,0)*BQ10</f>
        <v>0</v>
      </c>
      <c r="BT10" s="1540" t="n">
        <f aca="false">IF($I10=2,$Q10,0)*BQ10</f>
        <v>0</v>
      </c>
      <c r="BU10" s="1540" t="n">
        <f aca="false">IF($I10=3,$Q10,0)*BQ10</f>
        <v>0</v>
      </c>
      <c r="BV10" s="1540" t="n">
        <f aca="false">IF($I10=4,$Q10,0)*BQ10</f>
        <v>0</v>
      </c>
      <c r="BW10" s="1540" t="n">
        <f aca="false">IF($I10=5,$Q10,0)*BQ10</f>
        <v>0</v>
      </c>
      <c r="BX10" s="1540" t="n">
        <f aca="false">IF($I10=6,$Q10,0)*$BQ10</f>
        <v>0</v>
      </c>
      <c r="BY10" s="1540" t="n">
        <f aca="false">IF($I10=7,$Q10,0)*$BQ10</f>
        <v>0</v>
      </c>
      <c r="BZ10" s="1540" t="n">
        <f aca="false">IF($I10=8,$Q10,0)*$BQ10</f>
        <v>0</v>
      </c>
      <c r="CA10" s="1540" t="n">
        <f aca="false">IF($I10=9,$Q10,0)*$BQ10</f>
        <v>0</v>
      </c>
      <c r="CB10" s="1541" t="n">
        <f aca="false">IF($I10=10,$Q10,0)*$BQ10</f>
        <v>0</v>
      </c>
      <c r="CC10" s="1538" t="n">
        <f aca="false">SUM(BS10:BW10)</f>
        <v>0</v>
      </c>
      <c r="CD10" s="1538" t="n">
        <f aca="false">IF(H10="N",0,D10)*BQ10</f>
        <v>0</v>
      </c>
      <c r="CE10" s="1538" t="n">
        <f aca="false">K10*BQ10</f>
        <v>0</v>
      </c>
      <c r="CF10" s="1542" t="n">
        <f aca="false">ROUND(IF(W10="",0,LOOKUP(W10,B$49:B$59,D$49:D$59)*X10/12),0)</f>
        <v>0</v>
      </c>
      <c r="CG10" s="1542" t="n">
        <f aca="false">ROUND(IF(Y10="",0,LOOKUP(Y10,B$49:B$59,D$49:D$59)*Z10/12),0)</f>
        <v>0</v>
      </c>
      <c r="CH10" s="1542" t="n">
        <f aca="false">ROUND(IF(AA10="",0,LOOKUP(AA10,B$49:B$59,D$49:D$59)*AB10/12),0)</f>
        <v>0</v>
      </c>
      <c r="CI10" s="1538" t="n">
        <f aca="false">D10*BQ10</f>
        <v>0</v>
      </c>
      <c r="CJ10" s="1538" t="n">
        <f aca="false">D10*J10/324*(1+K$73)*G10</f>
        <v>0</v>
      </c>
      <c r="CK10" s="1538" t="str">
        <f aca="false">IF(N10="","",N10)</f>
        <v/>
      </c>
      <c r="CL10" s="1538" t="n">
        <f aca="false">P10*BQ10</f>
        <v>0</v>
      </c>
      <c r="CM10" s="1543" t="n">
        <f aca="false">IF(BQ10=0,0,SUM(CN10:DE10)/BQ10)</f>
        <v>0</v>
      </c>
      <c r="CN10" s="656" t="n">
        <f aca="false">(BS10*Pricing!F$3+BT10*Pricing!G$3+BU10*Pricing!H$3+BV10*Pricing!I$3+BW10*Pricing!J$3+BX10*Pricing!K$3+BY10*Pricing!L$3+BZ10*Pricing!M$3+CA10*Pricing!N$3+CB10*Pricing!O$3)*IF(W$44="N",(1+Y$44),1)</f>
        <v>0</v>
      </c>
      <c r="CO10" s="656" t="n">
        <f aca="false">BN10*G$70*IF(W$44="n",1+Y$44,1)</f>
        <v>0</v>
      </c>
      <c r="CP10" s="1544" t="n">
        <f aca="false">C10*D10</f>
        <v>0</v>
      </c>
      <c r="CQ10" s="656" t="n">
        <f aca="false">IF(I$79=0,0,D10*(SUM(O$79:P$82)+O$85)/I$79*BQ10)</f>
        <v>0</v>
      </c>
      <c r="CR10" s="656" t="n">
        <f aca="false">IF(CF10="",0,CF10*E$83)+IF(CG10="",0,CG10*E$83)+IF(CH10="",0,CH10*E$83)</f>
        <v>0</v>
      </c>
      <c r="CS10" s="656"/>
      <c r="CT10" s="1545" t="n">
        <f aca="false">(U10/2000)*E$87</f>
        <v>0</v>
      </c>
      <c r="CU10" s="656" t="n">
        <f aca="false">IF(I$79=0,0,D10*(O$88)/I$79*BQ10)</f>
        <v>0</v>
      </c>
      <c r="CV10" s="656" t="n">
        <f aca="false">IF(D$42=0,0,SUM(O$91:P$94)/D$42*D10)*BQ10</f>
        <v>0</v>
      </c>
      <c r="CW10" s="656" t="n">
        <f aca="false">IF(D$42=0,0,SUM(Z$66:Z$97)/D$42*D10*BQ10)</f>
        <v>0</v>
      </c>
      <c r="CX10" s="656" t="n">
        <f aca="false">IF(D$42=0,0,SUM(O$96:P$101)/D$42*D10)*BQ10</f>
        <v>0</v>
      </c>
      <c r="CY10" s="656" t="n">
        <f aca="false">IF(D$42=0,0,SUM(O$103:O$109)/D$42)*D10*BQ10</f>
        <v>0</v>
      </c>
      <c r="CZ10" s="656" t="n">
        <f aca="false">IF(I$79=0,0,IF(I$79=0,0,SUM(Z$98:Z$109)/I$79*D10))</f>
        <v>0</v>
      </c>
      <c r="DA10" s="656" t="n">
        <f aca="false">IF(J$72&gt;0,J$72/D$42*D10*G10,CD10*(G$72*IF(W$44="n",(1+Y$44),1)))</f>
        <v>0</v>
      </c>
      <c r="DB10" s="656" t="n">
        <f aca="false">IF(CK10="",0,CK10*E$86)</f>
        <v>0</v>
      </c>
      <c r="DC10" s="656" t="n">
        <f aca="false">BP10*G$71*IF(W$44="Y",1,1+Y$44)</f>
        <v>0</v>
      </c>
      <c r="DD10" s="656" t="n">
        <f aca="false">CJ10*G$73*IF(W$44="Y",1,1+Y$44)</f>
        <v>0</v>
      </c>
      <c r="DE10" s="1546" t="e">
        <f aca="false">O$110/I$79*D10</f>
        <v>#DIV/0!</v>
      </c>
      <c r="DF10" s="1547" t="n">
        <f aca="false">IF(W10=1,X10*$AS$49,0)+IF(W10=2,X10*$AS$50,0)+IF(W10=3,X10*$AS$51,0)+IF(W10=4,X10*$AS$52,0)+IF(W10=5,X10*$AS$53,0)+IF(W10=6,X10*$AS$54)+IF(W10=7,X10*$AS$55)+IF(W10=8,X10*$AS$56)+IF(W10=9,X10*$AS$57)+IF(W10=10,X10*$AS$58)+IF(W10=11,X10*$AS$59,0)</f>
        <v>0</v>
      </c>
      <c r="DG10" s="1547" t="n">
        <f aca="false">IF(Y10=1,Z10*$AS$49,0)+IF(Y10=2,Z10*$AS$50,0)+IF(Y10=3,Z10*$AS$51,0)+IF(Y10=4,Z10*$AS$52,0)+IF(Y10=5,Z10*$AS$53,0)+IF(Y10=6,Z10*$AS$54)+IF(Y10=7,Z10*$AS$55)+IF(Y10=8,Z10*$AS$56)+IF(Y10=9,Z10*$AS$57)+IF(Y10=10,Z10*$AS$58)+IF(Y10=11,Z10*$AS$59,0)</f>
        <v>0</v>
      </c>
      <c r="DH10" s="1547" t="n">
        <f aca="false">IF(AA10=1,AB10*$AS$49,0)+IF(AA10=2,AB10*$AS$50,0)+IF(AA10=3,AB10*$AS$51,0)+IF(AA10=4,AB10*$AS$52,0)+IF(AA10=5,AB10*$AS$53,0)+IF(AA10=6,AB10*$AS$54)+IF(AA10=7,AB10*$AS$55)+IF(AA10=8,AB10*$AS$56)+IF(AA10=9,AB10*$AS$57)+IF(AA10=10,AB10*$AS$58)+IF(AA10=11,AB10*$AS$59,0)</f>
        <v>0</v>
      </c>
      <c r="DI10" s="1547" t="n">
        <f aca="false">IF(AC10=1,AD10*$AS$49,0)+IF(AC10=2,AD10*$AS$50,0)+IF(AC10=3,AD10*$AS$51,0)+IF(AC10=4,AD10*$AS$52,0)+IF(AC10=5,AD10*$AS$53,0)+IF(AC10=6,AD10*$AS$54)+IF(AC10=7,AD10*$AS$55)+IF(AC10=8,AD10*$AS$56)+IF(AC10=9,AD10*$AS$57)+IF(AC10=10,AD10*$AS$58)+IF(AC10=11,AD10*$AS$59,0)</f>
        <v>0</v>
      </c>
      <c r="DJ10" s="1547" t="n">
        <f aca="false">IF(AE10=1,AF10*$AS$49,0)+IF(AE10=2,AF10*$AS$50,0)+IF(AE10=3,AF10*$AS$51,0)+IF(AE10=4,AF10*$AS$52,0)+IF(AE10=5,AF10*$AS$53,0)+IF(AE10=6,AF10*$AS$54)+IF(AE10=7,AF10*$AS$55)+IF(AE10=8,AF10*$AS$56)+IF(AE10=9,AF10*$AS$57)+IF(AE10=10,AF10*$AS$58)+IF(AE10=11,AF10*$AS$59,0)</f>
        <v>0</v>
      </c>
      <c r="DK10" s="1547" t="n">
        <f aca="false">IF(AG10=1,AH10*$AS$49,0)+IF(AG10=2,AH10*$AS$50,0)+IF(AG10=3,AH10*$AS$51,0)+IF(AG10=4,AH10*$AS$52,0)+IF(AG10=5,AH10*$AS$53,0)+IF(AG10=6,AH10*$AS$54)+IF(AG10=7,AH10*$AS$55)+IF(AG10=8,AH10*$AS$56)+IF(AG10=9,AH10*$AS$57)+IF(AG10=10,AH10*$AS$58)+IF(AG10=11,AH10*$AS$59,0)</f>
        <v>0</v>
      </c>
      <c r="DL10" s="1547" t="n">
        <f aca="false">IF(AI10=1,AJ10*$AS$49,0)+IF(AI10=2,AJ10*$AS$50,0)+IF(AI10=3,AJ10*$AS$51,0)+IF(AI10=4,AJ10*$AS$52,0)+IF(AI10=5,AJ10*$AS$53,0)+IF(AI10=6,AJ10*$AS$54)+IF(AI10=7,AJ10*$AS$55)+IF(AI10=8,AJ10*$AS$56)+IF(AI10=9,AJ10*$AS$57)+IF(AI10=10,AJ10*$AS$58)+IF(AI10=11,AJ10*$AS$59,0)</f>
        <v>0</v>
      </c>
      <c r="DM10" s="1547" t="n">
        <f aca="false">IF(AK10=1,AL10*$AS$49,0)+IF(AK10=2,AL10*$AS$50,0)+IF(AK10=3,AL10*$AS$51,0)+IF(AK10=4,AL10*$AS$52,0)+IF(AK10=5,AL10*$AS$53,0)+IF(AK10=6,AL10*$AS$54)+IF(AK10=7,AL10*$AS$55)+IF(AK10=8,AL10*$AS$56)+IF(AK10=9,AL10*$AS$57)+IF(AK10=10,AL10*$AS$58)+IF(AK10=11,AL10*$AS$59,0)</f>
        <v>0</v>
      </c>
      <c r="DN10" s="1547" t="n">
        <f aca="false">IF(AM10=1,AN10*$AS$49,0)+IF(AM10=2,AN10*$AS$50,0)+IF(AM10=3,AN10*$AS$51,0)+IF(AM10=4,AN10*$AS$52,0)+IF(AM10=5,AN10*$AS$53,0)+IF(AM10=6,AN10*$AS$54)+IF(AM10=7,AN10*$AS$55)+IF(AM10=8,AN10*$AS$56)+IF(AM10=9,AN10*$AS$57)+IF(AM10=10,AN10*$AS$58)+IF(AM10=11,AN10*$AS$59,0)</f>
        <v>0</v>
      </c>
      <c r="DO10" s="1547" t="n">
        <f aca="false">IF(AO10=1,AP10*$AS$49,0)+IF(AO10=2,AP10*$AS$50,0)+IF(AO10=3,AP10*$AS$51,0)+IF(AO10=4,AP10*$AS$52,0)+IF(AO10=5,AP10*$AS$53,0)+IF(AO10=6,AP10*$AS$54)+IF(AO10=7,AP10*$AS$55)+IF(AO10=8,AP10*$AS$56)+IF(AO10=9,AP10*$AS$57)+IF(AO10=10,AP10*$AS$58)+IF(AO10=11,AP10*$AS$59,0)</f>
        <v>0</v>
      </c>
      <c r="DP10" s="1548" t="n">
        <f aca="false">D10</f>
        <v>0</v>
      </c>
      <c r="DQ10" s="1430" t="str">
        <f aca="false">IF(AC10="","",LOOKUP(AC10,$B$49:$B$59,$S$49:$S$59)*AD10)</f>
        <v/>
      </c>
      <c r="DR10" s="1430" t="str">
        <f aca="false">IF(AE10="","",LOOKUP(AE10,$B$49:$B$59,$S$49:$S$59)*AF10)</f>
        <v/>
      </c>
      <c r="DS10" s="1430" t="str">
        <f aca="false">IF(AG10="","",LOOKUP(AG10,$B$49:$B$59,$S$49:$S$59)*AH10)</f>
        <v/>
      </c>
      <c r="DT10" s="1430" t="str">
        <f aca="false">IF(AI10="","",LOOKUP(AI10,$B$49:$B$59,$S$49:$S$59)*AJ10)</f>
        <v/>
      </c>
      <c r="DU10" s="1430" t="str">
        <f aca="false">IF(AK10="","",LOOKUP(AK10,$B$49:$B$59,$S$49:$S$59)*AL10)</f>
        <v/>
      </c>
      <c r="DV10" s="1430" t="str">
        <f aca="false">IF(AM10="","",LOOKUP(AM10,$B$49:$B$59,$S$49:$S$59)*AN10)</f>
        <v/>
      </c>
      <c r="DW10" s="1430" t="str">
        <f aca="false">IF(AO10="","",LOOKUP(AO10,$B$49:$B$59,$S$49:$S$59)*AP10)</f>
        <v/>
      </c>
      <c r="DX10" s="1535" t="n">
        <f aca="false">SUM(DQ10:DW10)-(D10-EF10)*(S$45-F10)/324</f>
        <v>0</v>
      </c>
      <c r="DY10" s="1430" t="str">
        <f aca="false">IF(AC10="","",LOOKUP(AC10,$B$49:$B$59,$T$49:$T$59)*AD10)</f>
        <v/>
      </c>
      <c r="DZ10" s="1430" t="str">
        <f aca="false">IF(AE10="","",LOOKUP(AE10,$B$49:$B$59,$T$49:$T$59)*AF10)</f>
        <v/>
      </c>
      <c r="EA10" s="1430" t="str">
        <f aca="false">IF(AG10="","",LOOKUP(AG10,$B$49:$B$59,$T$49:$T$59)*AH10)</f>
        <v/>
      </c>
      <c r="EB10" s="1430" t="str">
        <f aca="false">IF(AI10="","",LOOKUP(AI10,$B$49:$B$59,$T$49:$T$59)*AJ10)</f>
        <v/>
      </c>
      <c r="EC10" s="1430" t="str">
        <f aca="false">IF(AK10="","",LOOKUP(AK10,$B$49:$B$59,$T$49:$T$59)*AL10)</f>
        <v/>
      </c>
      <c r="ED10" s="1430" t="str">
        <f aca="false">IF(AM10="","",LOOKUP(AM10,$B$49:$B$59,$T$49:$T$59)*AN10)</f>
        <v/>
      </c>
      <c r="EE10" s="1430" t="str">
        <f aca="false">IF(AO10="","",LOOKUP(AO10,$B$49:$B$59,$T$49:$T$59)*AP10)</f>
        <v/>
      </c>
      <c r="EF10" s="1535" t="n">
        <f aca="false">SUM(DY10:EE10)</f>
        <v>0</v>
      </c>
    </row>
    <row r="11" customFormat="false" ht="19.5" hidden="false" customHeight="true" outlineLevel="0" collapsed="false">
      <c r="A11" s="16" t="s">
        <v>1069</v>
      </c>
      <c r="B11" s="1549"/>
      <c r="C11" s="1550"/>
      <c r="D11" s="1551"/>
      <c r="E11" s="1552"/>
      <c r="F11" s="1074"/>
      <c r="G11" s="1553"/>
      <c r="H11" s="1074"/>
      <c r="I11" s="1553"/>
      <c r="J11" s="1074"/>
      <c r="K11" s="1554"/>
      <c r="L11" s="1555"/>
      <c r="M11" s="1556"/>
      <c r="N11" s="1557"/>
      <c r="O11" s="1558"/>
      <c r="P11" s="1515" t="n">
        <f aca="false">IF(BQ11=0,0,BN11/BQ11)</f>
        <v>0</v>
      </c>
      <c r="Q11" s="1516" t="n">
        <f aca="false">(D11*F11/324)*(1+K$65)+BB11</f>
        <v>0</v>
      </c>
      <c r="R11" s="1517" t="n">
        <f aca="false">IF(D11=0,0,S11/D11)</f>
        <v>0</v>
      </c>
      <c r="S11" s="1518" t="e">
        <f aca="false">SUM(CM11-DE11)*(1+M$45)</f>
        <v>#DIV/0!</v>
      </c>
      <c r="T11" s="1519" t="n">
        <f aca="false">CF11+CG11+CH11</f>
        <v>0</v>
      </c>
      <c r="U11" s="1520" t="n">
        <f aca="false">IF(P11-(D11*0.35)&lt;0,0,P11-(D11*0.35))</f>
        <v>0</v>
      </c>
      <c r="V11" s="1521" t="n">
        <f aca="false">IF(D11="",0,IF(D11/-30+Q11&lt;1,0,D11/-30+Q11))</f>
        <v>0</v>
      </c>
      <c r="W11" s="1559"/>
      <c r="X11" s="1560"/>
      <c r="Y11" s="1559"/>
      <c r="Z11" s="1561"/>
      <c r="AA11" s="1559"/>
      <c r="AB11" s="1561"/>
      <c r="AC11" s="1562"/>
      <c r="AD11" s="1560"/>
      <c r="AE11" s="1559"/>
      <c r="AF11" s="1563"/>
      <c r="AG11" s="1564"/>
      <c r="AH11" s="1563"/>
      <c r="AI11" s="1565"/>
      <c r="AJ11" s="1560"/>
      <c r="AK11" s="1565"/>
      <c r="AL11" s="1563"/>
      <c r="AM11" s="1559"/>
      <c r="AN11" s="1566"/>
      <c r="AO11" s="1559"/>
      <c r="AP11" s="1561"/>
      <c r="AQ11" s="1435" t="e">
        <f aca="false">D11/Q11</f>
        <v>#DIV/0!</v>
      </c>
      <c r="AR11" s="1533" t="str">
        <f aca="false">IF(W11="","",LOOKUP(W11,$B$49:$B$59,$R$49:$R$59)*X11)</f>
        <v/>
      </c>
      <c r="AS11" s="1430" t="str">
        <f aca="false">IF(Y11="","",LOOKUP(Y11,$B$49:$B$59,$R$49:$R$59)*Z11)</f>
        <v/>
      </c>
      <c r="AT11" s="1430" t="str">
        <f aca="false">IF(AB11="","",LOOKUP(AA11,$B$49:$B$59,$R$49:$R$59)*AB11)</f>
        <v/>
      </c>
      <c r="AU11" s="1430" t="str">
        <f aca="false">IF(AC11="","",LOOKUP(AC11,$B$49:$B$59,$R$49:$R$59)*AD11)</f>
        <v/>
      </c>
      <c r="AV11" s="1430" t="str">
        <f aca="false">IF(AE11="","",LOOKUP(AE11,$B$49:$B$59,$R$49:$R$59)*AF11)</f>
        <v/>
      </c>
      <c r="AW11" s="1430" t="str">
        <f aca="false">IF(AG11="","",LOOKUP(AG11,$B$49:$B$59,$R$49:$R$59)*AH11)</f>
        <v/>
      </c>
      <c r="AX11" s="1430" t="str">
        <f aca="false">IF(AI11="","",LOOKUP(AI11,$B$49:$B$59,$R$49:$R$59)*AJ11)</f>
        <v/>
      </c>
      <c r="AY11" s="1430" t="str">
        <f aca="false">IF(AK11="","",LOOKUP(AK11,$B$49:$B$59,$R$49:$R$59)*AL11)</f>
        <v/>
      </c>
      <c r="AZ11" s="1430" t="str">
        <f aca="false">IF(AM11="","",LOOKUP(AM11,$B$49:$B$59,$R$49:$R$59)*AN11)</f>
        <v/>
      </c>
      <c r="BA11" s="1430" t="str">
        <f aca="false">IF(AO11="","",LOOKUP(AO11,$B$49:$B$59,$R$49:$R$59)*AP11)</f>
        <v/>
      </c>
      <c r="BB11" s="1535" t="n">
        <f aca="false">SUM(AR11:BA11)</f>
        <v>0</v>
      </c>
      <c r="BC11" s="1533" t="str">
        <f aca="false">IF(W11="","",LOOKUP(W11,$B$49:$B$59,$P$49:$P$59)*X11)</f>
        <v/>
      </c>
      <c r="BD11" s="1430" t="str">
        <f aca="false">IF(Y11="","",LOOKUP(Y11,$B$49:$B$59,$P$49:$P$59)*Z11)</f>
        <v/>
      </c>
      <c r="BE11" s="1430" t="str">
        <f aca="false">IF(AA11="","",LOOKUP(AA11,$B$49:$B$59,$P$49:$P$59)*AB11)</f>
        <v/>
      </c>
      <c r="BF11" s="1430" t="str">
        <f aca="false">IF(AC11="","",LOOKUP(AC11,$B$49:$B$59,$P$49:$P$59)*AD11)</f>
        <v/>
      </c>
      <c r="BG11" s="1430" t="str">
        <f aca="false">IF(AE11="","",LOOKUP(AE11,$B$49:$B$59,$P$49:$P$59)*AF11)</f>
        <v/>
      </c>
      <c r="BH11" s="1430" t="str">
        <f aca="false">IF(AG11="","",LOOKUP(AG11,$B$49:$B$59,$P$49:$P$59)*AH11)</f>
        <v/>
      </c>
      <c r="BI11" s="1430" t="str">
        <f aca="false">IF(AI11="","",LOOKUP(AI11,$B$49:$B$59,$P$49:$P$59)*AJ11)</f>
        <v/>
      </c>
      <c r="BJ11" s="1430" t="str">
        <f aca="false">IF(AK11="","",LOOKUP(AK11,$B$49:$B$59,$P$49:$P$59)*AL11)</f>
        <v/>
      </c>
      <c r="BK11" s="1430" t="str">
        <f aca="false">IF(AM11="","",LOOKUP(AM11,$B$49:$B$59,$P$49:$P$59)*AN11)</f>
        <v/>
      </c>
      <c r="BL11" s="1430" t="str">
        <f aca="false">IF(AO11="","",LOOKUP(AO11,$B$49:$B$59,$P$49:$P$59)*AP11)</f>
        <v/>
      </c>
      <c r="BM11" s="1535" t="n">
        <f aca="false">SUM(BC11:BL11)*BQ11</f>
        <v>0</v>
      </c>
      <c r="BN11" s="1536" t="n">
        <f aca="false">BM11+BO11</f>
        <v>0</v>
      </c>
      <c r="BO11" s="1536" t="n">
        <f aca="false">IF(M11=0,0,(M11/12+M11/12)/(M11/12*M11/12)*D11*((L11/16*L11/16)*10.6870159))*(1+K$70)*BQ11</f>
        <v>0</v>
      </c>
      <c r="BP11" s="1536" t="n">
        <f aca="false">IF(O11="Y",D11*(1+K$71)*BQ11,0)</f>
        <v>0</v>
      </c>
      <c r="BQ11" s="1538" t="n">
        <f aca="false">G11</f>
        <v>0</v>
      </c>
      <c r="BR11" s="1411" t="n">
        <f aca="false">IF(O11="y",D11,0)</f>
        <v>0</v>
      </c>
      <c r="BS11" s="1567" t="n">
        <f aca="false">IF($I11=1,$Q11,0)*BQ11</f>
        <v>0</v>
      </c>
      <c r="BT11" s="1536" t="n">
        <f aca="false">IF($I11=2,$Q11,0)*BQ11</f>
        <v>0</v>
      </c>
      <c r="BU11" s="1536" t="n">
        <f aca="false">IF($I11=3,$Q11,0)*BQ11</f>
        <v>0</v>
      </c>
      <c r="BV11" s="1536" t="n">
        <f aca="false">IF($I11=4,$Q11,0)*BQ11</f>
        <v>0</v>
      </c>
      <c r="BW11" s="1536" t="n">
        <f aca="false">IF($I11=5,$Q11,0)*BQ11</f>
        <v>0</v>
      </c>
      <c r="BX11" s="1536" t="n">
        <f aca="false">IF($I11=6,$Q11,0)*$BQ11</f>
        <v>0</v>
      </c>
      <c r="BY11" s="1536" t="n">
        <f aca="false">IF($I11=7,$Q11,0)*$BQ11</f>
        <v>0</v>
      </c>
      <c r="BZ11" s="1536" t="n">
        <f aca="false">IF($I11=8,$Q11,0)*$BQ11</f>
        <v>0</v>
      </c>
      <c r="CA11" s="1536" t="n">
        <f aca="false">IF($I11=9,$Q11,0)*$BQ11</f>
        <v>0</v>
      </c>
      <c r="CB11" s="1568" t="n">
        <f aca="false">IF($I11=10,$Q11,0)*$BQ11</f>
        <v>0</v>
      </c>
      <c r="CC11" s="1538" t="n">
        <f aca="false">SUM(BS11:BX11)</f>
        <v>0</v>
      </c>
      <c r="CD11" s="1538" t="n">
        <f aca="false">IF(H11="N",0,D11)*BQ11</f>
        <v>0</v>
      </c>
      <c r="CE11" s="1538" t="n">
        <f aca="false">K11*BQ11</f>
        <v>0</v>
      </c>
      <c r="CF11" s="1542" t="n">
        <f aca="false">ROUND(IF(W11="",0,LOOKUP(W11,B$49:B$59,D$49:D$59)*X11/12),0)</f>
        <v>0</v>
      </c>
      <c r="CG11" s="1542" t="n">
        <f aca="false">ROUND(IF(Y11="",0,LOOKUP(Y11,B$49:B$59,D$49:D$59)*Z11/12),0)</f>
        <v>0</v>
      </c>
      <c r="CH11" s="1542" t="n">
        <f aca="false">ROUND(IF(AA11="",0,LOOKUP(AA11,B$49:B$59,D$49:D$59)*AB11/12),0)</f>
        <v>0</v>
      </c>
      <c r="CI11" s="1538" t="n">
        <f aca="false">D11*BQ11</f>
        <v>0</v>
      </c>
      <c r="CJ11" s="1538" t="n">
        <f aca="false">D11*J11/324*(1+K$73)*G11</f>
        <v>0</v>
      </c>
      <c r="CK11" s="1538" t="str">
        <f aca="false">IF(N11="","",N11)</f>
        <v/>
      </c>
      <c r="CL11" s="1538" t="n">
        <f aca="false">P11*BQ11</f>
        <v>0</v>
      </c>
      <c r="CM11" s="1543" t="n">
        <f aca="false">IF(BQ11=0,0,SUM(CN11:DE11)/BQ11)</f>
        <v>0</v>
      </c>
      <c r="CN11" s="656" t="n">
        <f aca="false">(BS11*Pricing!F$3+BT11*Pricing!G$3+BU11*Pricing!H$3+BV11*Pricing!I$3+BW11*Pricing!J$3+BX11*Pricing!K$3+BY11*Pricing!L$3+BZ11*Pricing!M$3+CA11*Pricing!N$3+CB11*Pricing!O$3)*IF(W$44="N",(1+Y$44),1)</f>
        <v>0</v>
      </c>
      <c r="CO11" s="656" t="n">
        <f aca="false">BN11*G$70*IF(W$44="n",1+Y$44,1)</f>
        <v>0</v>
      </c>
      <c r="CP11" s="1544" t="n">
        <f aca="false">C11*D11</f>
        <v>0</v>
      </c>
      <c r="CQ11" s="656" t="n">
        <f aca="false">IF(I$79=0,0,D11*(SUM(O$79:P$82)+O$85)/I$79*BQ11)</f>
        <v>0</v>
      </c>
      <c r="CR11" s="656" t="n">
        <f aca="false">IF(CF11="",0,CF11*E$83)+IF(CG11="",0,CG11*E$83)+IF(CH11="",0,CH11*E$83)</f>
        <v>0</v>
      </c>
      <c r="CS11" s="656"/>
      <c r="CT11" s="1545" t="n">
        <f aca="false">(U11/2000)*E$87</f>
        <v>0</v>
      </c>
      <c r="CU11" s="656" t="n">
        <f aca="false">IF(I$79=0,0,D11*(O$88)/I$79*BQ11)</f>
        <v>0</v>
      </c>
      <c r="CV11" s="656" t="n">
        <f aca="false">IF(D$42=0,0,SUM(O$91:P$94)/D$42*D11)*BQ11</f>
        <v>0</v>
      </c>
      <c r="CW11" s="656" t="n">
        <f aca="false">IF(D$42=0,0,SUM(Z$66:Z$97)/D$42*D11*BQ11)</f>
        <v>0</v>
      </c>
      <c r="CX11" s="656" t="n">
        <f aca="false">IF(D$42=0,0,SUM(O$96:P$101)/D$42*D11)*BQ11</f>
        <v>0</v>
      </c>
      <c r="CY11" s="656" t="n">
        <f aca="false">IF(D$42=0,0,SUM(O$103:O$109)/D$42)*D11*BQ11</f>
        <v>0</v>
      </c>
      <c r="CZ11" s="656" t="n">
        <f aca="false">IF(I$79=0,0,IF(I$79=0,0,SUM(Z$98:Z$109)/I$79*D11))</f>
        <v>0</v>
      </c>
      <c r="DA11" s="656" t="n">
        <f aca="false">IF(J$72&gt;0,J$72/D$42*D11*G11,CD11*(G$72*IF(W$44="n",(1+Y$44),1)))</f>
        <v>0</v>
      </c>
      <c r="DB11" s="656" t="n">
        <f aca="false">IF(CK11="",0,CK11*E$86)</f>
        <v>0</v>
      </c>
      <c r="DC11" s="656" t="n">
        <f aca="false">BP11*G$71*IF(W$44="Y",1,1+Y$44)</f>
        <v>0</v>
      </c>
      <c r="DD11" s="656" t="n">
        <f aca="false">CJ11*G$73*IF(W$44="Y",1,1+Y$44)</f>
        <v>0</v>
      </c>
      <c r="DE11" s="1546" t="e">
        <f aca="false">O$110/I$79*D11</f>
        <v>#DIV/0!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0</v>
      </c>
      <c r="DJ11" s="654" t="n">
        <f aca="false">IF(AE11=1,AF11*$AS$49,0)+IF(AE11=2,AF11*$AS$50,0)+IF(AE11=3,AF11*$AS$51,0)+IF(AE11=4,AF11*$AS$52,0)+IF(AE11=5,AF11*$AS$53,0)+IF(AE11=6,AF11*$AS$54)+IF(AE11=7,AF11*$AS$55)+IF(AE11=8,AF11*$AS$56)+IF(AE11=9,AF11*$AS$57)+IF(AE11=10,AF11*$AS$58)+IF(AE11=11,AF11*$AS$59,0)</f>
        <v>0</v>
      </c>
      <c r="DK11" s="654" t="n">
        <f aca="false">IF(AG11=1,AH11*$AS$49,0)+IF(AG11=2,AH11*$AS$50,0)+IF(AG11=3,AH11*$AS$51,0)+IF(AG11=4,AH11*$AS$52,0)+IF(AG11=5,AH11*$AS$53,0)+IF(AG11=6,AH11*$AS$54)+IF(AG11=7,AH11*$AS$55)+IF(AG11=8,AH11*$AS$56)+IF(AG11=9,AH11*$AS$57)+IF(AG11=10,AH11*$AS$58)+IF(AG11=11,AH11*$AS$59,0)</f>
        <v>0</v>
      </c>
      <c r="DL11" s="654" t="n">
        <f aca="false">IF(AI11=1,AJ11*$AS$49,0)+IF(AI11=2,AJ11*$AS$50,0)+IF(AI11=3,AJ11*$AS$51,0)+IF(AI11=4,AJ11*$AS$52,0)+IF(AI11=5,AJ11*$AS$53,0)+IF(AI11=6,AJ11*$AS$54)+IF(AI11=7,AJ11*$AS$55)+IF(AI11=8,AJ11*$AS$56)+IF(AI11=9,AJ11*$AS$57)+IF(AI11=10,AJ11*$AS$58)+IF(AI11=11,AJ11*$AS$59,0)</f>
        <v>0</v>
      </c>
      <c r="DM11" s="654" t="n">
        <f aca="false">IF(AK11=1,AL11*$AS$49,0)+IF(AK11=2,AL11*$AS$50,0)+IF(AK11=3,AL11*$AS$51,0)+IF(AK11=4,AL11*$AS$52,0)+IF(AK11=5,AL11*$AS$53,0)+IF(AK11=6,AL11*$AS$54)+IF(AK11=7,AL11*$AS$55)+IF(AK11=8,AL11*$AS$56)+IF(AK11=9,AL11*$AS$57)+IF(AK11=10,AL11*$AS$58)+IF(AK11=11,AL11*$AS$59,0)</f>
        <v>0</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569" t="n">
        <f aca="false">D11</f>
        <v>0</v>
      </c>
      <c r="DQ11" s="1430" t="str">
        <f aca="false">IF(AC11="","",LOOKUP(AC11,$B$49:$B$59,$S$49:$S$59)*AD11)</f>
        <v/>
      </c>
      <c r="DR11" s="1430" t="str">
        <f aca="false">IF(AE11="","",LOOKUP(AE11,$B$49:$B$59,$S$49:$S$59)*AF11)</f>
        <v/>
      </c>
      <c r="DS11" s="1430" t="str">
        <f aca="false">IF(AG11="","",LOOKUP(AG11,$B$49:$B$59,$S$49:$S$59)*AH11)</f>
        <v/>
      </c>
      <c r="DT11" s="1430" t="str">
        <f aca="false">IF(AI11="","",LOOKUP(AI11,$B$49:$B$59,$S$49:$S$59)*AJ11)</f>
        <v/>
      </c>
      <c r="DU11" s="1430" t="str">
        <f aca="false">IF(AK11="","",LOOKUP(AK11,$B$49:$B$59,$S$49:$S$59)*AL11)</f>
        <v/>
      </c>
      <c r="DV11" s="1430" t="str">
        <f aca="false">IF(AM11="","",LOOKUP(AM11,$B$49:$B$59,$S$49:$S$59)*AN11)</f>
        <v/>
      </c>
      <c r="DW11" s="1430" t="str">
        <f aca="false">IF(AO11="","",LOOKUP(AO11,$B$49:$B$59,$S$49:$S$59)*AP11)</f>
        <v/>
      </c>
      <c r="DX11" s="1535" t="n">
        <f aca="false">SUM(DQ11:DW11)-(D11-EF11)*(S$45-F11)/324</f>
        <v>0</v>
      </c>
      <c r="DY11" s="1430" t="str">
        <f aca="false">IF(AC11="","",LOOKUP(AC11,$B$49:$B$59,$T$49:$T$59)*AD11)</f>
        <v/>
      </c>
      <c r="DZ11" s="1430" t="str">
        <f aca="false">IF(AE11="","",LOOKUP(AE11,$B$49:$B$59,$T$49:$T$59)*AF11)</f>
        <v/>
      </c>
      <c r="EA11" s="1430" t="str">
        <f aca="false">IF(AG11="","",LOOKUP(AG11,$B$49:$B$59,$T$49:$T$59)*AH11)</f>
        <v/>
      </c>
      <c r="EB11" s="1430" t="str">
        <f aca="false">IF(AI11="","",LOOKUP(AI11,$B$49:$B$59,$T$49:$T$59)*AJ11)</f>
        <v/>
      </c>
      <c r="EC11" s="1430" t="str">
        <f aca="false">IF(AK11="","",LOOKUP(AK11,$B$49:$B$59,$T$49:$T$59)*AL11)</f>
        <v/>
      </c>
      <c r="ED11" s="1430" t="str">
        <f aca="false">IF(AM11="","",LOOKUP(AM11,$B$49:$B$59,$T$49:$T$59)*AN11)</f>
        <v/>
      </c>
      <c r="EE11" s="1430" t="str">
        <f aca="false">IF(AO11="","",LOOKUP(AO11,$B$49:$B$59,$T$49:$T$59)*AP11)</f>
        <v/>
      </c>
      <c r="EF11" s="1535" t="n">
        <f aca="false">SUM(DY11:EE11)</f>
        <v>0</v>
      </c>
    </row>
    <row r="12" customFormat="false" ht="19.5" hidden="false" customHeight="true" outlineLevel="0" collapsed="false">
      <c r="A12" s="16" t="s">
        <v>1070</v>
      </c>
      <c r="B12" s="1505"/>
      <c r="C12" s="1550"/>
      <c r="D12" s="1507"/>
      <c r="E12" s="1508"/>
      <c r="F12" s="1074"/>
      <c r="G12" s="1553"/>
      <c r="H12" s="1074"/>
      <c r="I12" s="1553"/>
      <c r="J12" s="1074"/>
      <c r="K12" s="1554"/>
      <c r="L12" s="1523"/>
      <c r="M12" s="1512"/>
      <c r="N12" s="1570"/>
      <c r="O12" s="1571"/>
      <c r="P12" s="1515" t="n">
        <f aca="false">IF(BQ12=0,0,BN12/BQ12)</f>
        <v>0</v>
      </c>
      <c r="Q12" s="1516" t="n">
        <f aca="false">(D12*F12/324)*(1+K$65)+BB12</f>
        <v>0</v>
      </c>
      <c r="R12" s="1517" t="n">
        <f aca="false">IF(D12=0,0,S12/D12)</f>
        <v>0</v>
      </c>
      <c r="S12" s="1518" t="e">
        <f aca="false">SUM(CM12-DE12)*(1+M$45)</f>
        <v>#DIV/0!</v>
      </c>
      <c r="T12" s="1519" t="n">
        <f aca="false">CF12+CG12+CH12</f>
        <v>0</v>
      </c>
      <c r="U12" s="1520" t="n">
        <f aca="false">IF(P12-(D12*0.35)&lt;0,0,P12-(D12*0.35))</f>
        <v>0</v>
      </c>
      <c r="V12" s="1521" t="n">
        <f aca="false">IF(D12="",0,IF(D12/-30+Q12&lt;1,0,D12/-30+Q12))</f>
        <v>0</v>
      </c>
      <c r="W12" s="1511"/>
      <c r="X12" s="1530"/>
      <c r="Y12" s="1511"/>
      <c r="Z12" s="1524"/>
      <c r="AA12" s="1511"/>
      <c r="AB12" s="1524"/>
      <c r="AC12" s="1525"/>
      <c r="AD12" s="1526"/>
      <c r="AE12" s="1511"/>
      <c r="AF12" s="1527"/>
      <c r="AG12" s="1528"/>
      <c r="AH12" s="1527"/>
      <c r="AI12" s="1529"/>
      <c r="AJ12" s="1530"/>
      <c r="AK12" s="1572"/>
      <c r="AL12" s="1573"/>
      <c r="AM12" s="1511"/>
      <c r="AN12" s="1532"/>
      <c r="AO12" s="1511"/>
      <c r="AP12" s="1524"/>
      <c r="AQ12" s="1435" t="e">
        <f aca="false">D12/Q12</f>
        <v>#DIV/0!</v>
      </c>
      <c r="AR12" s="1533" t="str">
        <f aca="false">IF(W12="","",LOOKUP(W12,$B$49:$B$59,$R$49:$R$59)*X12)</f>
        <v/>
      </c>
      <c r="AS12" s="1430" t="str">
        <f aca="false">IF(Y12="","",LOOKUP(Y12,$B$49:$B$59,$R$49:$R$59)*Z12)</f>
        <v/>
      </c>
      <c r="AT12" s="1430" t="str">
        <f aca="false">IF(AB12="","",LOOKUP(AA12,$B$49:$B$59,$R$49:$R$59)*AB12)</f>
        <v/>
      </c>
      <c r="AU12" s="1430" t="str">
        <f aca="false">IF(AC12="","",LOOKUP(AC12,$B$49:$B$59,$R$49:$R$59)*AD12)</f>
        <v/>
      </c>
      <c r="AV12" s="1430" t="str">
        <f aca="false">IF(AE12="","",LOOKUP(AE12,$B$49:$B$59,$R$49:$R$59)*AF12)</f>
        <v/>
      </c>
      <c r="AW12" s="1430" t="str">
        <f aca="false">IF(AG12="","",LOOKUP(AG12,$B$49:$B$59,$R$49:$R$59)*AH12)</f>
        <v/>
      </c>
      <c r="AX12" s="1430" t="str">
        <f aca="false">IF(AI12="","",LOOKUP(AI12,$B$49:$B$59,$R$49:$R$59)*AJ12)</f>
        <v/>
      </c>
      <c r="AY12" s="1430" t="str">
        <f aca="false">IF(AK12="","",LOOKUP(AK12,$B$49:$B$59,$R$49:$R$59)*AL12)</f>
        <v/>
      </c>
      <c r="AZ12" s="1430" t="str">
        <f aca="false">IF(AM12="","",LOOKUP(AM12,$B$49:$B$59,$R$49:$R$59)*AN12)</f>
        <v/>
      </c>
      <c r="BA12" s="1430" t="str">
        <f aca="false">IF(AO12="","",LOOKUP(AO12,$B$49:$B$59,$R$49:$R$59)*AP12)</f>
        <v/>
      </c>
      <c r="BB12" s="1535" t="n">
        <f aca="false">SUM(AR12:BA12)</f>
        <v>0</v>
      </c>
      <c r="BC12" s="1533" t="str">
        <f aca="false">IF(W12="","",LOOKUP(W12,$B$49:$B$59,$P$49:$P$59)*X12)</f>
        <v/>
      </c>
      <c r="BD12" s="1430" t="str">
        <f aca="false">IF(Y12="","",LOOKUP(Y12,$B$49:$B$59,$P$49:$P$59)*Z12)</f>
        <v/>
      </c>
      <c r="BE12" s="1430" t="str">
        <f aca="false">IF(AA12="","",LOOKUP(AA12,$B$49:$B$59,$P$49:$P$59)*AB12)</f>
        <v/>
      </c>
      <c r="BF12" s="1430" t="str">
        <f aca="false">IF(AC12="","",LOOKUP(AC12,$B$49:$B$59,$P$49:$P$59)*AD12)</f>
        <v/>
      </c>
      <c r="BG12" s="1430" t="str">
        <f aca="false">IF(AE12="","",LOOKUP(AE12,$B$49:$B$59,$P$49:$P$59)*AF12)</f>
        <v/>
      </c>
      <c r="BH12" s="1430" t="str">
        <f aca="false">IF(AG12="","",LOOKUP(AG12,$B$49:$B$59,$P$49:$P$59)*AH12)</f>
        <v/>
      </c>
      <c r="BI12" s="1430" t="str">
        <f aca="false">IF(AI12="","",LOOKUP(AI12,$B$49:$B$59,$P$49:$P$59)*AJ12)</f>
        <v/>
      </c>
      <c r="BJ12" s="1430" t="str">
        <f aca="false">IF(AK12="","",LOOKUP(AK12,$B$49:$B$59,$P$49:$P$59)*AL12)</f>
        <v/>
      </c>
      <c r="BK12" s="1430" t="str">
        <f aca="false">IF(AM12="","",LOOKUP(AM12,$B$49:$B$59,$P$49:$P$59)*AN12)</f>
        <v/>
      </c>
      <c r="BL12" s="1430" t="str">
        <f aca="false">IF(AO12="","",LOOKUP(AO12,$B$49:$B$59,$P$49:$P$59)*AP12)</f>
        <v/>
      </c>
      <c r="BM12" s="1535" t="n">
        <f aca="false">SUM(BC12:BL12)*BQ12</f>
        <v>0</v>
      </c>
      <c r="BN12" s="1536" t="n">
        <f aca="false">BM12+BO12</f>
        <v>0</v>
      </c>
      <c r="BO12" s="1536" t="n">
        <f aca="false">IF(M12=0,0,(M12/12+M12/12)/(M12/12*M12/12)*D12*((L12/16*L12/16)*10.6870159))*(1+K$70)*BQ12</f>
        <v>0</v>
      </c>
      <c r="BP12" s="1536" t="n">
        <f aca="false">IF(O12="Y",D12*(1+K$71)*BQ12,0)</f>
        <v>0</v>
      </c>
      <c r="BQ12" s="1538" t="n">
        <f aca="false">G12</f>
        <v>0</v>
      </c>
      <c r="BR12" s="1411" t="n">
        <f aca="false">IF(O12="y",D12,0)</f>
        <v>0</v>
      </c>
      <c r="BS12" s="1567" t="n">
        <f aca="false">IF($I12=1,$Q12,0)*BQ12</f>
        <v>0</v>
      </c>
      <c r="BT12" s="1536" t="n">
        <f aca="false">IF($I12=2,$Q12,0)*BQ12</f>
        <v>0</v>
      </c>
      <c r="BU12" s="1536" t="n">
        <f aca="false">IF($I12=3,$Q12,0)*BQ12</f>
        <v>0</v>
      </c>
      <c r="BV12" s="1536" t="n">
        <f aca="false">IF($I12=4,$Q12,0)*BQ12</f>
        <v>0</v>
      </c>
      <c r="BW12" s="1536" t="n">
        <f aca="false">IF($I12=5,$Q12,0)*BQ12</f>
        <v>0</v>
      </c>
      <c r="BX12" s="1536" t="n">
        <f aca="false">IF($I12=6,$Q12,0)*$BQ12</f>
        <v>0</v>
      </c>
      <c r="BY12" s="1536" t="n">
        <f aca="false">IF($I12=7,$Q12,0)*$BQ12</f>
        <v>0</v>
      </c>
      <c r="BZ12" s="1536" t="n">
        <f aca="false">IF($I12=8,$Q12,0)*$BQ12</f>
        <v>0</v>
      </c>
      <c r="CA12" s="1536" t="n">
        <f aca="false">IF($I12=9,$Q12,0)*$BQ12</f>
        <v>0</v>
      </c>
      <c r="CB12" s="1568" t="n">
        <f aca="false">IF($I12=10,$Q12,0)*$BQ12</f>
        <v>0</v>
      </c>
      <c r="CC12" s="1538" t="n">
        <f aca="false">SUM(BS12:BX12)</f>
        <v>0</v>
      </c>
      <c r="CD12" s="1538" t="n">
        <f aca="false">IF(H12="N",0,D12)*BQ12</f>
        <v>0</v>
      </c>
      <c r="CE12" s="1538" t="n">
        <f aca="false">K12*BQ12</f>
        <v>0</v>
      </c>
      <c r="CF12" s="1542" t="n">
        <f aca="false">ROUND(IF(W12="",0,LOOKUP(W12,B$49:B$59,D$49:D$59)*X12/12),0)</f>
        <v>0</v>
      </c>
      <c r="CG12" s="1542" t="n">
        <f aca="false">ROUND(IF(Y12="",0,LOOKUP(Y12,B$49:B$59,D$49:D$59)*Z12/12),0)</f>
        <v>0</v>
      </c>
      <c r="CH12" s="1542" t="n">
        <f aca="false">ROUND(IF(AA12="",0,LOOKUP(AA12,B$49:B$59,D$49:D$59)*AB12/12),0)</f>
        <v>0</v>
      </c>
      <c r="CI12" s="1538" t="n">
        <f aca="false">D12*BQ12</f>
        <v>0</v>
      </c>
      <c r="CJ12" s="1538" t="n">
        <f aca="false">D12*J12/324*(1+K$73)*G12</f>
        <v>0</v>
      </c>
      <c r="CK12" s="1538" t="str">
        <f aca="false">IF(N12="","",N12)</f>
        <v/>
      </c>
      <c r="CL12" s="1538" t="n">
        <f aca="false">P12*BQ12</f>
        <v>0</v>
      </c>
      <c r="CM12" s="1543" t="n">
        <f aca="false">IF(BQ12=0,0,SUM(CN12:DE12)/BQ12)</f>
        <v>0</v>
      </c>
      <c r="CN12" s="656" t="n">
        <f aca="false">(BS12*Pricing!F$3+BT12*Pricing!G$3+BU12*Pricing!H$3+BV12*Pricing!I$3+BW12*Pricing!J$3+BX12*Pricing!K$3+BY12*Pricing!L$3+BZ12*Pricing!M$3+CA12*Pricing!N$3+CB12*Pricing!O$3)*IF(W$44="N",(1+Y$44),1)</f>
        <v>0</v>
      </c>
      <c r="CO12" s="656" t="n">
        <f aca="false">BN12*G$70*IF(W$44="n",1+Y$44,1)</f>
        <v>0</v>
      </c>
      <c r="CP12" s="1544" t="n">
        <f aca="false">C12*D12</f>
        <v>0</v>
      </c>
      <c r="CQ12" s="656" t="n">
        <f aca="false">IF(I$79=0,0,D12*(SUM(O$79:P$82)+O$85)/I$79*BQ12)</f>
        <v>0</v>
      </c>
      <c r="CR12" s="656" t="n">
        <f aca="false">IF(CF12="",0,CF12*E$83)+IF(CG12="",0,CG12*E$83)+IF(CH12="",0,CH12*E$83)</f>
        <v>0</v>
      </c>
      <c r="CS12" s="656"/>
      <c r="CT12" s="1545" t="n">
        <f aca="false">(U12/2000)*E$87</f>
        <v>0</v>
      </c>
      <c r="CU12" s="656" t="n">
        <f aca="false">IF(I$79=0,0,D12*(O$88)/I$79*BQ12)</f>
        <v>0</v>
      </c>
      <c r="CV12" s="656" t="n">
        <f aca="false">IF(D$42=0,0,SUM(O$91:P$94)/D$42*D12)*BQ12</f>
        <v>0</v>
      </c>
      <c r="CW12" s="656" t="n">
        <f aca="false">IF(D$42=0,0,SUM(Z$66:Z$97)/D$42*D12*BQ12)</f>
        <v>0</v>
      </c>
      <c r="CX12" s="656" t="n">
        <f aca="false">IF(D$42=0,0,SUM(O$96:P$101)/D$42*D12)*BQ12</f>
        <v>0</v>
      </c>
      <c r="CY12" s="656" t="n">
        <f aca="false">IF(D$42=0,0,SUM(O$103:O$109)/D$42)*D12*BQ12</f>
        <v>0</v>
      </c>
      <c r="CZ12" s="656" t="n">
        <f aca="false">IF(I$79=0,0,IF(I$79=0,0,SUM(Z$98:Z$109)/I$79*D12))</f>
        <v>0</v>
      </c>
      <c r="DA12" s="656" t="n">
        <f aca="false">IF(J$72&gt;0,J$72/D$42*D12*G12,CD12*(G$72*IF(W$44="n",(1+Y$44),1)))</f>
        <v>0</v>
      </c>
      <c r="DB12" s="656" t="n">
        <f aca="false">IF(CK12="",0,CK12*E$86)</f>
        <v>0</v>
      </c>
      <c r="DC12" s="656" t="n">
        <f aca="false">BP12*G$71*IF(W$44="Y",1,1+Y$44)</f>
        <v>0</v>
      </c>
      <c r="DD12" s="656" t="n">
        <f aca="false">CJ12*G$73*IF(W$44="Y",1,1+Y$44)</f>
        <v>0</v>
      </c>
      <c r="DE12" s="1546" t="e">
        <f aca="false">O$110/I$79*D12</f>
        <v>#DIV/0!</v>
      </c>
      <c r="DF12" s="654" t="n">
        <f aca="false">IF(W12=1,X12*$AS$49,0)+IF(W12=2,X12*$AS$50,0)+IF(W12=3,X12*$AS$51,0)+IF(W12=4,X12*$AS$52,0)+IF(W12=5,X12*$AS$53,0)+IF(W12=6,X12*$AS$54)+IF(W12=7,X12*$AS$55)+IF(W12=8,X12*$AS$56)+IF(W12=9,X12*$AS$57)+IF(W12=10,X12*$AS$58)+IF(W12=11,X12*$AS$59,0)</f>
        <v>0</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0</v>
      </c>
      <c r="DJ12" s="654" t="n">
        <f aca="false">IF(AE12=1,AF12*$AS$49,0)+IF(AE12=2,AF12*$AS$50,0)+IF(AE12=3,AF12*$AS$51,0)+IF(AE12=4,AF12*$AS$52,0)+IF(AE12=5,AF12*$AS$53,0)+IF(AE12=6,AF12*$AS$54)+IF(AE12=7,AF12*$AS$55)+IF(AE12=8,AF12*$AS$56)+IF(AE12=9,AF12*$AS$57)+IF(AE12=10,AF12*$AS$58)+IF(AE12=11,AF12*$AS$59,0)</f>
        <v>0</v>
      </c>
      <c r="DK12" s="654" t="n">
        <f aca="false">IF(AG12=1,AH12*$AS$49,0)+IF(AG12=2,AH12*$AS$50,0)+IF(AG12=3,AH12*$AS$51,0)+IF(AG12=4,AH12*$AS$52,0)+IF(AG12=5,AH12*$AS$53,0)+IF(AG12=6,AH12*$AS$54)+IF(AG12=7,AH12*$AS$55)+IF(AG12=8,AH12*$AS$56)+IF(AG12=9,AH12*$AS$57)+IF(AG12=10,AH12*$AS$58)+IF(AG12=11,AH12*$AS$59,0)</f>
        <v>0</v>
      </c>
      <c r="DL12" s="654" t="n">
        <f aca="false">IF(AI12=1,AJ12*$AS$49,0)+IF(AI12=2,AJ12*$AS$50,0)+IF(AI12=3,AJ12*$AS$51,0)+IF(AI12=4,AJ12*$AS$52,0)+IF(AI12=5,AJ12*$AS$53,0)+IF(AI12=6,AJ12*$AS$54)+IF(AI12=7,AJ12*$AS$55)+IF(AI12=8,AJ12*$AS$56)+IF(AI12=9,AJ12*$AS$57)+IF(AI12=10,AJ12*$AS$58)+IF(AI12=11,AJ12*$AS$59,0)</f>
        <v>0</v>
      </c>
      <c r="DM12" s="654" t="n">
        <f aca="false">IF(AK12=1,AL12*$AS$49,0)+IF(AK12=2,AL12*$AS$50,0)+IF(AK12=3,AL12*$AS$51,0)+IF(AK12=4,AL12*$AS$52,0)+IF(AK12=5,AL12*$AS$53,0)+IF(AK12=6,AL12*$AS$54)+IF(AK12=7,AL12*$AS$55)+IF(AK12=8,AL12*$AS$56)+IF(AK12=9,AL12*$AS$57)+IF(AK12=10,AL12*$AS$58)+IF(AK12=11,AL12*$AS$59,0)</f>
        <v>0</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569" t="n">
        <f aca="false">D12</f>
        <v>0</v>
      </c>
      <c r="DQ12" s="1430" t="str">
        <f aca="false">IF(AC12="","",LOOKUP(AC12,$B$49:$B$59,$S$49:$S$59)*AD12)</f>
        <v/>
      </c>
      <c r="DR12" s="1430" t="str">
        <f aca="false">IF(AE12="","",LOOKUP(AE12,$B$49:$B$59,$S$49:$S$59)*AF12)</f>
        <v/>
      </c>
      <c r="DS12" s="1430" t="str">
        <f aca="false">IF(AG12="","",LOOKUP(AG12,$B$49:$B$59,$S$49:$S$59)*AH12)</f>
        <v/>
      </c>
      <c r="DT12" s="1430" t="str">
        <f aca="false">IF(AI12="","",LOOKUP(AI12,$B$49:$B$59,$S$49:$S$59)*AJ12)</f>
        <v/>
      </c>
      <c r="DU12" s="1430" t="str">
        <f aca="false">IF(AK12="","",LOOKUP(AK12,$B$49:$B$59,$S$49:$S$59)*AL12)</f>
        <v/>
      </c>
      <c r="DV12" s="1430" t="str">
        <f aca="false">IF(AM12="","",LOOKUP(AM12,$B$49:$B$59,$S$49:$S$59)*AN12)</f>
        <v/>
      </c>
      <c r="DW12" s="1430" t="str">
        <f aca="false">IF(AO12="","",LOOKUP(AO12,$B$49:$B$59,$S$49:$S$59)*AP12)</f>
        <v/>
      </c>
      <c r="DX12" s="1535" t="n">
        <f aca="false">SUM(DQ12:DW12)-(D12-EF12)*(S$45-F12)/324</f>
        <v>0</v>
      </c>
      <c r="DY12" s="1430" t="str">
        <f aca="false">IF(AC12="","",LOOKUP(AC12,$B$49:$B$59,$T$49:$T$59)*AD12)</f>
        <v/>
      </c>
      <c r="DZ12" s="1430" t="str">
        <f aca="false">IF(AE12="","",LOOKUP(AE12,$B$49:$B$59,$T$49:$T$59)*AF12)</f>
        <v/>
      </c>
      <c r="EA12" s="1430" t="str">
        <f aca="false">IF(AG12="","",LOOKUP(AG12,$B$49:$B$59,$T$49:$T$59)*AH12)</f>
        <v/>
      </c>
      <c r="EB12" s="1430" t="str">
        <f aca="false">IF(AI12="","",LOOKUP(AI12,$B$49:$B$59,$T$49:$T$59)*AJ12)</f>
        <v/>
      </c>
      <c r="EC12" s="1430" t="str">
        <f aca="false">IF(AK12="","",LOOKUP(AK12,$B$49:$B$59,$T$49:$T$59)*AL12)</f>
        <v/>
      </c>
      <c r="ED12" s="1430" t="str">
        <f aca="false">IF(AM12="","",LOOKUP(AM12,$B$49:$B$59,$T$49:$T$59)*AN12)</f>
        <v/>
      </c>
      <c r="EE12" s="1430" t="str">
        <f aca="false">IF(AO12="","",LOOKUP(AO12,$B$49:$B$59,$T$49:$T$59)*AP12)</f>
        <v/>
      </c>
      <c r="EF12" s="1535" t="n">
        <f aca="false">SUM(DY12:EE12)</f>
        <v>0</v>
      </c>
    </row>
    <row r="13" customFormat="false" ht="19.5" hidden="false" customHeight="true" outlineLevel="0" collapsed="false">
      <c r="A13" s="16" t="s">
        <v>1071</v>
      </c>
      <c r="B13" s="1549"/>
      <c r="C13" s="1550"/>
      <c r="D13" s="1551"/>
      <c r="E13" s="1552"/>
      <c r="F13" s="1074"/>
      <c r="G13" s="1553"/>
      <c r="H13" s="1074"/>
      <c r="I13" s="1553"/>
      <c r="J13" s="1074"/>
      <c r="K13" s="1554"/>
      <c r="L13" s="1555"/>
      <c r="M13" s="1556"/>
      <c r="N13" s="1557"/>
      <c r="O13" s="1558"/>
      <c r="P13" s="1515" t="n">
        <f aca="false">IF(BQ13=0,0,BN13/BQ13)</f>
        <v>0</v>
      </c>
      <c r="Q13" s="1516" t="n">
        <f aca="false">(D13*F13/324)*(1+K$65)+BB13</f>
        <v>0</v>
      </c>
      <c r="R13" s="1517" t="n">
        <f aca="false">IF(D13=0,0,S13/D13)</f>
        <v>0</v>
      </c>
      <c r="S13" s="1518" t="e">
        <f aca="false">SUM(CM13-DE13)*(1+M$45)</f>
        <v>#DIV/0!</v>
      </c>
      <c r="T13" s="1519" t="n">
        <f aca="false">CF13+CG13+CH13</f>
        <v>0</v>
      </c>
      <c r="U13" s="1520" t="n">
        <f aca="false">IF(P13-(D13*0.35)&lt;0,0,P13-(D13*0.35))</f>
        <v>0</v>
      </c>
      <c r="V13" s="1521" t="n">
        <f aca="false">IF(D13="",0,IF(D13/-30+Q13&lt;1,0,D13/-30+Q13))</f>
        <v>0</v>
      </c>
      <c r="W13" s="1559"/>
      <c r="X13" s="1560"/>
      <c r="Y13" s="1559"/>
      <c r="Z13" s="1561"/>
      <c r="AA13" s="1559"/>
      <c r="AB13" s="1561"/>
      <c r="AC13" s="1562"/>
      <c r="AD13" s="1560"/>
      <c r="AE13" s="1559"/>
      <c r="AF13" s="1563"/>
      <c r="AG13" s="1564"/>
      <c r="AH13" s="1563"/>
      <c r="AI13" s="1565"/>
      <c r="AJ13" s="1560"/>
      <c r="AK13" s="1565"/>
      <c r="AL13" s="1563"/>
      <c r="AM13" s="1559"/>
      <c r="AN13" s="1566"/>
      <c r="AO13" s="1559"/>
      <c r="AP13" s="1561"/>
      <c r="AQ13" s="1435" t="e">
        <f aca="false">D13/Q13</f>
        <v>#DIV/0!</v>
      </c>
      <c r="AR13" s="1533" t="str">
        <f aca="false">IF(W13="","",LOOKUP(W13,$B$49:$B$59,$R$49:$R$59)*X13)</f>
        <v/>
      </c>
      <c r="AS13" s="1430" t="str">
        <f aca="false">IF(Y13="","",LOOKUP(Y13,$B$49:$B$59,$R$49:$R$59)*Z13)</f>
        <v/>
      </c>
      <c r="AT13" s="1430" t="str">
        <f aca="false">IF(AB13="","",LOOKUP(AA13,$B$49:$B$59,$R$49:$R$59)*AB13)</f>
        <v/>
      </c>
      <c r="AU13" s="1430" t="str">
        <f aca="false">IF(AC13="","",LOOKUP(AC13,$B$49:$B$59,$R$49:$R$59)*AD13)</f>
        <v/>
      </c>
      <c r="AV13" s="1430" t="str">
        <f aca="false">IF(AE13="","",LOOKUP(AE13,$B$49:$B$59,$R$49:$R$59)*AF13)</f>
        <v/>
      </c>
      <c r="AW13" s="1430" t="str">
        <f aca="false">IF(AG13="","",LOOKUP(AG13,$B$49:$B$59,$R$49:$R$59)*AH13)</f>
        <v/>
      </c>
      <c r="AX13" s="1430" t="str">
        <f aca="false">IF(AI13="","",LOOKUP(AI13,$B$49:$B$59,$R$49:$R$59)*AJ13)</f>
        <v/>
      </c>
      <c r="AY13" s="1430" t="str">
        <f aca="false">IF(AK13="","",LOOKUP(AK13,$B$49:$B$59,$R$49:$R$59)*AL13)</f>
        <v/>
      </c>
      <c r="AZ13" s="1430" t="str">
        <f aca="false">IF(AM13="","",LOOKUP(AM13,$B$49:$B$59,$R$49:$R$59)*AN13)</f>
        <v/>
      </c>
      <c r="BA13" s="1430" t="str">
        <f aca="false">IF(AO13="","",LOOKUP(AO13,$B$49:$B$59,$R$49:$R$59)*AP13)</f>
        <v/>
      </c>
      <c r="BB13" s="1535" t="n">
        <f aca="false">SUM(AR13:BA13)</f>
        <v>0</v>
      </c>
      <c r="BC13" s="1533" t="str">
        <f aca="false">IF(W13="","",LOOKUP(W13,$B$49:$B$59,$P$49:$P$59)*X13)</f>
        <v/>
      </c>
      <c r="BD13" s="1430" t="str">
        <f aca="false">IF(Y13="","",LOOKUP(Y13,$B$49:$B$59,$P$49:$P$59)*Z13)</f>
        <v/>
      </c>
      <c r="BE13" s="1430" t="str">
        <f aca="false">IF(AA13="","",LOOKUP(AA13,$B$49:$B$59,$P$49:$P$59)*AB13)</f>
        <v/>
      </c>
      <c r="BF13" s="1430" t="str">
        <f aca="false">IF(AC13="","",LOOKUP(AC13,$B$49:$B$59,$P$49:$P$59)*AD13)</f>
        <v/>
      </c>
      <c r="BG13" s="1430" t="str">
        <f aca="false">IF(AE13="","",LOOKUP(AE13,$B$49:$B$59,$P$49:$P$59)*AF13)</f>
        <v/>
      </c>
      <c r="BH13" s="1430" t="str">
        <f aca="false">IF(AG13="","",LOOKUP(AG13,$B$49:$B$59,$P$49:$P$59)*AH13)</f>
        <v/>
      </c>
      <c r="BI13" s="1430" t="str">
        <f aca="false">IF(AI13="","",LOOKUP(AI13,$B$49:$B$59,$P$49:$P$59)*AJ13)</f>
        <v/>
      </c>
      <c r="BJ13" s="1430" t="str">
        <f aca="false">IF(AK13="","",LOOKUP(AK13,$B$49:$B$59,$P$49:$P$59)*AL13)</f>
        <v/>
      </c>
      <c r="BK13" s="1430" t="str">
        <f aca="false">IF(AM13="","",LOOKUP(AM13,$B$49:$B$59,$P$49:$P$59)*AN13)</f>
        <v/>
      </c>
      <c r="BL13" s="1430" t="str">
        <f aca="false">IF(AO13="","",LOOKUP(AO13,$B$49:$B$59,$P$49:$P$59)*AP13)</f>
        <v/>
      </c>
      <c r="BM13" s="1535" t="n">
        <f aca="false">SUM(BC13:BL13)*BQ13</f>
        <v>0</v>
      </c>
      <c r="BN13" s="1536" t="n">
        <f aca="false">BM13+BO13</f>
        <v>0</v>
      </c>
      <c r="BO13" s="1536" t="n">
        <f aca="false">IF(M13=0,0,(M13/12+M13/12)/(M13/12*M13/12)*D13*((L13/16*L13/16)*10.6870159))*(1+K$70)*BQ13</f>
        <v>0</v>
      </c>
      <c r="BP13" s="1536" t="n">
        <f aca="false">IF(O13="Y",D13*(1+K$71)*BQ13,0)</f>
        <v>0</v>
      </c>
      <c r="BQ13" s="1538" t="n">
        <f aca="false">G13</f>
        <v>0</v>
      </c>
      <c r="BR13" s="1411" t="n">
        <f aca="false">IF(O13="y",D13,0)</f>
        <v>0</v>
      </c>
      <c r="BS13" s="1567" t="n">
        <f aca="false">IF($I13=1,$Q13,0)*BQ13</f>
        <v>0</v>
      </c>
      <c r="BT13" s="1536" t="n">
        <f aca="false">IF($I13=2,$Q13,0)*BQ13</f>
        <v>0</v>
      </c>
      <c r="BU13" s="1536" t="n">
        <f aca="false">IF($I13=3,$Q13,0)*BQ13</f>
        <v>0</v>
      </c>
      <c r="BV13" s="1536" t="n">
        <f aca="false">IF($I13=4,$Q13,0)*BQ13</f>
        <v>0</v>
      </c>
      <c r="BW13" s="1536" t="n">
        <f aca="false">IF($I13=5,$Q13,0)*BQ13</f>
        <v>0</v>
      </c>
      <c r="BX13" s="1536" t="n">
        <f aca="false">IF($I13=6,$Q13,0)*$BQ13</f>
        <v>0</v>
      </c>
      <c r="BY13" s="1536" t="n">
        <f aca="false">IF($I13=7,$Q13,0)*$BQ13</f>
        <v>0</v>
      </c>
      <c r="BZ13" s="1536" t="n">
        <f aca="false">IF($I13=8,$Q13,0)*$BQ13</f>
        <v>0</v>
      </c>
      <c r="CA13" s="1536" t="n">
        <f aca="false">IF($I13=9,$Q13,0)*$BQ13</f>
        <v>0</v>
      </c>
      <c r="CB13" s="1568" t="n">
        <f aca="false">IF($I13=10,$Q13,0)*$BQ13</f>
        <v>0</v>
      </c>
      <c r="CC13" s="1538" t="n">
        <f aca="false">SUM(BS13:BX13)</f>
        <v>0</v>
      </c>
      <c r="CD13" s="1538" t="n">
        <f aca="false">IF(H13="N",0,D13)*BQ13</f>
        <v>0</v>
      </c>
      <c r="CE13" s="1538" t="n">
        <f aca="false">K13*BQ13</f>
        <v>0</v>
      </c>
      <c r="CF13" s="1542" t="n">
        <f aca="false">ROUND(IF(W13="",0,LOOKUP(W13,B$49:B$59,D$49:D$59)*X13/12),0)</f>
        <v>0</v>
      </c>
      <c r="CG13" s="1542" t="n">
        <f aca="false">ROUND(IF(Y13="",0,LOOKUP(Y13,B$49:B$59,D$49:D$59)*Z13/12),0)</f>
        <v>0</v>
      </c>
      <c r="CH13" s="1542" t="n">
        <f aca="false">ROUND(IF(AA13="",0,LOOKUP(AA13,B$49:B$59,D$49:D$59)*AB13/12),0)</f>
        <v>0</v>
      </c>
      <c r="CI13" s="1538" t="n">
        <f aca="false">D13*BQ13</f>
        <v>0</v>
      </c>
      <c r="CJ13" s="1538" t="n">
        <f aca="false">D13*J13/324*(1+K$73)*G13</f>
        <v>0</v>
      </c>
      <c r="CK13" s="1538" t="str">
        <f aca="false">IF(N13="","",N13)</f>
        <v/>
      </c>
      <c r="CL13" s="1538" t="n">
        <f aca="false">P13*BQ13</f>
        <v>0</v>
      </c>
      <c r="CM13" s="1543" t="n">
        <f aca="false">IF(BQ13=0,0,SUM(CN13:DE13)/BQ13)</f>
        <v>0</v>
      </c>
      <c r="CN13" s="656" t="n">
        <f aca="false">(BS13*Pricing!F$3+BT13*Pricing!G$3+BU13*Pricing!H$3+BV13*Pricing!I$3+BW13*Pricing!J$3+BX13*Pricing!K$3+BY13*Pricing!L$3+BZ13*Pricing!M$3+CA13*Pricing!N$3+CB13*Pricing!O$3)*IF(W$44="N",(1+Y$44),1)</f>
        <v>0</v>
      </c>
      <c r="CO13" s="656" t="n">
        <f aca="false">BN13*G$70*IF(W$44="n",1+Y$44,1)</f>
        <v>0</v>
      </c>
      <c r="CP13" s="1544" t="n">
        <f aca="false">C13*D13</f>
        <v>0</v>
      </c>
      <c r="CQ13" s="656" t="n">
        <f aca="false">IF(I$79=0,0,D13*(SUM(O$79:P$82)+O$85)/I$79*BQ13)</f>
        <v>0</v>
      </c>
      <c r="CR13" s="656" t="n">
        <f aca="false">IF(CF13="",0,CF13*E$83)+IF(CG13="",0,CG13*E$83)+IF(CH13="",0,CH13*E$83)</f>
        <v>0</v>
      </c>
      <c r="CS13" s="656"/>
      <c r="CT13" s="1545" t="n">
        <f aca="false">(U13/2000)*E$87</f>
        <v>0</v>
      </c>
      <c r="CU13" s="656" t="n">
        <f aca="false">IF(I$79=0,0,D13*(O$88)/I$79*BQ13)</f>
        <v>0</v>
      </c>
      <c r="CV13" s="656" t="n">
        <f aca="false">IF(D$42=0,0,SUM(O$91:P$94)/D$42*D13)*BQ13</f>
        <v>0</v>
      </c>
      <c r="CW13" s="656" t="n">
        <f aca="false">IF(D$42=0,0,SUM(Z$66:Z$97)/D$42*D13*BQ13)</f>
        <v>0</v>
      </c>
      <c r="CX13" s="656" t="n">
        <f aca="false">IF(D$42=0,0,SUM(O$96:P$101)/D$42*D13)*BQ13</f>
        <v>0</v>
      </c>
      <c r="CY13" s="656" t="n">
        <f aca="false">IF(D$42=0,0,SUM(O$103:O$109)/D$42)*D13*BQ13</f>
        <v>0</v>
      </c>
      <c r="CZ13" s="656" t="n">
        <f aca="false">IF(I$79=0,0,IF(I$79=0,0,SUM(Z$98:Z$109)/I$79*D13))</f>
        <v>0</v>
      </c>
      <c r="DA13" s="656" t="n">
        <f aca="false">IF(J$72&gt;0,J$72/D$42*D13*G13,CD13*(G$72*IF(W$44="n",(1+Y$44),1)))</f>
        <v>0</v>
      </c>
      <c r="DB13" s="656" t="n">
        <f aca="false">IF(CK13="",0,CK13*E$86)</f>
        <v>0</v>
      </c>
      <c r="DC13" s="656" t="n">
        <f aca="false">BP13*G$71*IF(W$44="Y",1,1+Y$44)</f>
        <v>0</v>
      </c>
      <c r="DD13" s="656" t="n">
        <f aca="false">CJ13*G$73*IF(W$44="Y",1,1+Y$44)</f>
        <v>0</v>
      </c>
      <c r="DE13" s="1546" t="e">
        <f aca="false">O$110/I$79*D13</f>
        <v>#DIV/0!</v>
      </c>
      <c r="DF13" s="654" t="n">
        <f aca="false">IF(W13=1,X13*$AS$49,0)+IF(W13=2,X13*$AS$50,0)+IF(W13=3,X13*$AS$51,0)+IF(W13=4,X13*$AS$52,0)+IF(W13=5,X13*$AS$53,0)+IF(W13=6,X13*$AS$54)+IF(W13=7,X13*$AS$55)+IF(W13=8,X13*$AS$56)+IF(W13=9,X13*$AS$57)+IF(W13=10,X13*$AS$58)+IF(W13=11,X13*$AS$59,0)</f>
        <v>0</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0</v>
      </c>
      <c r="DJ13" s="654" t="n">
        <f aca="false">IF(AE13=1,AF13*$AS$49,0)+IF(AE13=2,AF13*$AS$50,0)+IF(AE13=3,AF13*$AS$51,0)+IF(AE13=4,AF13*$AS$52,0)+IF(AE13=5,AF13*$AS$53,0)+IF(AE13=6,AF13*$AS$54)+IF(AE13=7,AF13*$AS$55)+IF(AE13=8,AF13*$AS$56)+IF(AE13=9,AF13*$AS$57)+IF(AE13=10,AF13*$AS$58)+IF(AE13=11,AF13*$AS$59,0)</f>
        <v>0</v>
      </c>
      <c r="DK13" s="654" t="n">
        <f aca="false">IF(AG13=1,AH13*$AS$49,0)+IF(AG13=2,AH13*$AS$50,0)+IF(AG13=3,AH13*$AS$51,0)+IF(AG13=4,AH13*$AS$52,0)+IF(AG13=5,AH13*$AS$53,0)+IF(AG13=6,AH13*$AS$54)+IF(AG13=7,AH13*$AS$55)+IF(AG13=8,AH13*$AS$56)+IF(AG13=9,AH13*$AS$57)+IF(AG13=10,AH13*$AS$58)+IF(AG13=11,AH13*$AS$59,0)</f>
        <v>0</v>
      </c>
      <c r="DL13" s="654" t="n">
        <f aca="false">IF(AI13=1,AJ13*$AS$49,0)+IF(AI13=2,AJ13*$AS$50,0)+IF(AI13=3,AJ13*$AS$51,0)+IF(AI13=4,AJ13*$AS$52,0)+IF(AI13=5,AJ13*$AS$53,0)+IF(AI13=6,AJ13*$AS$54)+IF(AI13=7,AJ13*$AS$55)+IF(AI13=8,AJ13*$AS$56)+IF(AI13=9,AJ13*$AS$57)+IF(AI13=10,AJ13*$AS$58)+IF(AI13=11,AJ13*$AS$59,0)</f>
        <v>0</v>
      </c>
      <c r="DM13" s="654" t="n">
        <f aca="false">IF(AK13=1,AL13*$AS$49,0)+IF(AK13=2,AL13*$AS$50,0)+IF(AK13=3,AL13*$AS$51,0)+IF(AK13=4,AL13*$AS$52,0)+IF(AK13=5,AL13*$AS$53,0)+IF(AK13=6,AL13*$AS$54)+IF(AK13=7,AL13*$AS$55)+IF(AK13=8,AL13*$AS$56)+IF(AK13=9,AL13*$AS$57)+IF(AK13=10,AL13*$AS$58)+IF(AK13=11,AL13*$AS$59,0)</f>
        <v>0</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569" t="n">
        <f aca="false">D13</f>
        <v>0</v>
      </c>
      <c r="DQ13" s="1430" t="str">
        <f aca="false">IF(AC13="","",LOOKUP(AC13,$B$49:$B$59,$S$49:$S$59)*AD13)</f>
        <v/>
      </c>
      <c r="DR13" s="1430" t="str">
        <f aca="false">IF(AE13="","",LOOKUP(AE13,$B$49:$B$59,$S$49:$S$59)*AF13)</f>
        <v/>
      </c>
      <c r="DS13" s="1430" t="str">
        <f aca="false">IF(AG13="","",LOOKUP(AG13,$B$49:$B$59,$S$49:$S$59)*AH13)</f>
        <v/>
      </c>
      <c r="DT13" s="1430" t="str">
        <f aca="false">IF(AI13="","",LOOKUP(AI13,$B$49:$B$59,$S$49:$S$59)*AJ13)</f>
        <v/>
      </c>
      <c r="DU13" s="1430" t="str">
        <f aca="false">IF(AK13="","",LOOKUP(AK13,$B$49:$B$59,$S$49:$S$59)*AL13)</f>
        <v/>
      </c>
      <c r="DV13" s="1430" t="str">
        <f aca="false">IF(AM13="","",LOOKUP(AM13,$B$49:$B$59,$S$49:$S$59)*AN13)</f>
        <v/>
      </c>
      <c r="DW13" s="1430" t="str">
        <f aca="false">IF(AO13="","",LOOKUP(AO13,$B$49:$B$59,$S$49:$S$59)*AP13)</f>
        <v/>
      </c>
      <c r="DX13" s="1535" t="n">
        <f aca="false">SUM(DQ13:DW13)-(D13-EF13)*(S$45-F13)/324</f>
        <v>0</v>
      </c>
      <c r="DY13" s="1430" t="str">
        <f aca="false">IF(AC13="","",LOOKUP(AC13,$B$49:$B$59,$T$49:$T$59)*AD13)</f>
        <v/>
      </c>
      <c r="DZ13" s="1430" t="str">
        <f aca="false">IF(AE13="","",LOOKUP(AE13,$B$49:$B$59,$T$49:$T$59)*AF13)</f>
        <v/>
      </c>
      <c r="EA13" s="1430" t="str">
        <f aca="false">IF(AG13="","",LOOKUP(AG13,$B$49:$B$59,$T$49:$T$59)*AH13)</f>
        <v/>
      </c>
      <c r="EB13" s="1430" t="str">
        <f aca="false">IF(AI13="","",LOOKUP(AI13,$B$49:$B$59,$T$49:$T$59)*AJ13)</f>
        <v/>
      </c>
      <c r="EC13" s="1430" t="str">
        <f aca="false">IF(AK13="","",LOOKUP(AK13,$B$49:$B$59,$T$49:$T$59)*AL13)</f>
        <v/>
      </c>
      <c r="ED13" s="1430" t="str">
        <f aca="false">IF(AM13="","",LOOKUP(AM13,$B$49:$B$59,$T$49:$T$59)*AN13)</f>
        <v/>
      </c>
      <c r="EE13" s="1430" t="str">
        <f aca="false">IF(AO13="","",LOOKUP(AO13,$B$49:$B$59,$T$49:$T$59)*AP13)</f>
        <v/>
      </c>
      <c r="EF13" s="1535" t="n">
        <f aca="false">SUM(DY13:EE13)</f>
        <v>0</v>
      </c>
    </row>
    <row r="14" customFormat="false" ht="19.5" hidden="false" customHeight="true" outlineLevel="0" collapsed="false">
      <c r="A14" s="16" t="s">
        <v>1072</v>
      </c>
      <c r="B14" s="1505"/>
      <c r="C14" s="1550"/>
      <c r="D14" s="1507"/>
      <c r="E14" s="1508"/>
      <c r="F14" s="1074"/>
      <c r="G14" s="1553"/>
      <c r="H14" s="1074"/>
      <c r="I14" s="1553"/>
      <c r="J14" s="1074"/>
      <c r="K14" s="1554"/>
      <c r="L14" s="1523"/>
      <c r="M14" s="1512"/>
      <c r="N14" s="1570"/>
      <c r="O14" s="1571"/>
      <c r="P14" s="1515" t="n">
        <f aca="false">IF(BQ14=0,0,BN14/BQ14)</f>
        <v>0</v>
      </c>
      <c r="Q14" s="1516" t="n">
        <f aca="false">(D14*F14/324)*(1+K$65)+BB14</f>
        <v>0</v>
      </c>
      <c r="R14" s="1517" t="n">
        <f aca="false">IF(D14=0,0,S14/D14)</f>
        <v>0</v>
      </c>
      <c r="S14" s="1518" t="e">
        <f aca="false">SUM(CM14-DE14)*(1+M$45)</f>
        <v>#DIV/0!</v>
      </c>
      <c r="T14" s="1519" t="n">
        <f aca="false">CF14+CG14+CH14</f>
        <v>0</v>
      </c>
      <c r="U14" s="1520" t="n">
        <f aca="false">IF(P14-(D14*0.35)&lt;0,0,P14-(D14*0.35))</f>
        <v>0</v>
      </c>
      <c r="V14" s="1521" t="n">
        <f aca="false">IF(D14="",0,IF(D14/-30+Q14&lt;1,0,D14/-30+Q14))</f>
        <v>0</v>
      </c>
      <c r="W14" s="528"/>
      <c r="X14" s="1526"/>
      <c r="Y14" s="528"/>
      <c r="Z14" s="1574"/>
      <c r="AA14" s="528"/>
      <c r="AB14" s="1574"/>
      <c r="AC14" s="1525"/>
      <c r="AD14" s="1526"/>
      <c r="AE14" s="1511"/>
      <c r="AF14" s="1527"/>
      <c r="AG14" s="1528"/>
      <c r="AH14" s="1527"/>
      <c r="AI14" s="1529"/>
      <c r="AJ14" s="1530"/>
      <c r="AK14" s="1531"/>
      <c r="AL14" s="1527"/>
      <c r="AM14" s="528"/>
      <c r="AN14" s="1575"/>
      <c r="AO14" s="528"/>
      <c r="AP14" s="1574"/>
      <c r="AQ14" s="1435" t="e">
        <f aca="false">D14/Q14</f>
        <v>#DIV/0!</v>
      </c>
      <c r="AR14" s="1533" t="str">
        <f aca="false">IF(W14="","",LOOKUP(W14,$B$49:$B$59,$R$49:$R$59)*X14)</f>
        <v/>
      </c>
      <c r="AS14" s="1430" t="str">
        <f aca="false">IF(Y14="","",LOOKUP(Y14,$B$49:$B$59,$R$49:$R$59)*Z14)</f>
        <v/>
      </c>
      <c r="AT14" s="1430" t="str">
        <f aca="false">IF(AB14="","",LOOKUP(AA14,$B$49:$B$59,$R$49:$R$59)*AB14)</f>
        <v/>
      </c>
      <c r="AU14" s="1430" t="str">
        <f aca="false">IF(AC14="","",LOOKUP(AC14,$B$49:$B$59,$R$49:$R$59)*AD14)</f>
        <v/>
      </c>
      <c r="AV14" s="1430" t="str">
        <f aca="false">IF(AE14="","",LOOKUP(AE14,$B$49:$B$59,$R$49:$R$59)*AF14)</f>
        <v/>
      </c>
      <c r="AW14" s="1430" t="str">
        <f aca="false">IF(AG14="","",LOOKUP(AG14,$B$49:$B$59,$R$49:$R$59)*AH14)</f>
        <v/>
      </c>
      <c r="AX14" s="1430" t="str">
        <f aca="false">IF(AI14="","",LOOKUP(AI14,$B$49:$B$59,$R$49:$R$59)*AJ14)</f>
        <v/>
      </c>
      <c r="AY14" s="1430" t="str">
        <f aca="false">IF(AK14="","",LOOKUP(AK14,$B$49:$B$59,$R$49:$R$59)*AL14)</f>
        <v/>
      </c>
      <c r="AZ14" s="1430" t="str">
        <f aca="false">IF(AM14="","",LOOKUP(AM14,$B$49:$B$59,$R$49:$R$59)*AN14)</f>
        <v/>
      </c>
      <c r="BA14" s="1430" t="str">
        <f aca="false">IF(AO14="","",LOOKUP(AO14,$B$49:$B$59,$R$49:$R$59)*AP14)</f>
        <v/>
      </c>
      <c r="BB14" s="1535" t="n">
        <f aca="false">SUM(AR14:BA14)</f>
        <v>0</v>
      </c>
      <c r="BC14" s="1533" t="str">
        <f aca="false">IF(W14="","",LOOKUP(W14,$B$49:$B$59,$P$49:$P$59)*X14)</f>
        <v/>
      </c>
      <c r="BD14" s="1430" t="str">
        <f aca="false">IF(Y14="","",LOOKUP(Y14,$B$49:$B$59,$P$49:$P$59)*Z14)</f>
        <v/>
      </c>
      <c r="BE14" s="1430" t="str">
        <f aca="false">IF(AA14="","",LOOKUP(AA14,$B$49:$B$59,$P$49:$P$59)*AB14)</f>
        <v/>
      </c>
      <c r="BF14" s="1430" t="str">
        <f aca="false">IF(AC14="","",LOOKUP(AC14,$B$49:$B$59,$P$49:$P$59)*AD14)</f>
        <v/>
      </c>
      <c r="BG14" s="1430" t="str">
        <f aca="false">IF(AE14="","",LOOKUP(AE14,$B$49:$B$59,$P$49:$P$59)*AF14)</f>
        <v/>
      </c>
      <c r="BH14" s="1430" t="str">
        <f aca="false">IF(AG14="","",LOOKUP(AG14,$B$49:$B$59,$P$49:$P$59)*AH14)</f>
        <v/>
      </c>
      <c r="BI14" s="1430" t="str">
        <f aca="false">IF(AI14="","",LOOKUP(AI14,$B$49:$B$59,$P$49:$P$59)*AJ14)</f>
        <v/>
      </c>
      <c r="BJ14" s="1430" t="str">
        <f aca="false">IF(AK14="","",LOOKUP(AK14,$B$49:$B$59,$P$49:$P$59)*AL14)</f>
        <v/>
      </c>
      <c r="BK14" s="1430" t="str">
        <f aca="false">IF(AM14="","",LOOKUP(AM14,$B$49:$B$59,$P$49:$P$59)*AN14)</f>
        <v/>
      </c>
      <c r="BL14" s="1430" t="str">
        <f aca="false">IF(AO14="","",LOOKUP(AO14,$B$49:$B$59,$P$49:$P$59)*AP14)</f>
        <v/>
      </c>
      <c r="BM14" s="1535" t="n">
        <f aca="false">SUM(BC14:BL14)*BQ14</f>
        <v>0</v>
      </c>
      <c r="BN14" s="1536" t="n">
        <f aca="false">BM14+BO14</f>
        <v>0</v>
      </c>
      <c r="BO14" s="1536" t="n">
        <f aca="false">IF(M14=0,0,(M14/12+M14/12)/(M14/12*M14/12)*D14*((L14/16*L14/16)*10.6870159))*(1+K$70)*BQ14</f>
        <v>0</v>
      </c>
      <c r="BP14" s="1536" t="n">
        <f aca="false">IF(O14="Y",D14*(1+K$71)*BQ14,0)</f>
        <v>0</v>
      </c>
      <c r="BQ14" s="1538" t="n">
        <f aca="false">G14</f>
        <v>0</v>
      </c>
      <c r="BR14" s="1411" t="n">
        <f aca="false">IF(O14="y",D14,0)</f>
        <v>0</v>
      </c>
      <c r="BS14" s="1567" t="n">
        <f aca="false">IF($I14=1,$Q14,0)*BQ14</f>
        <v>0</v>
      </c>
      <c r="BT14" s="1536" t="n">
        <f aca="false">IF($I14=2,$Q14,0)*BQ14</f>
        <v>0</v>
      </c>
      <c r="BU14" s="1536" t="n">
        <f aca="false">IF($I14=3,$Q14,0)*BQ14</f>
        <v>0</v>
      </c>
      <c r="BV14" s="1536" t="n">
        <f aca="false">IF($I14=4,$Q14,0)*BQ14</f>
        <v>0</v>
      </c>
      <c r="BW14" s="1536" t="n">
        <f aca="false">IF($I14=5,$Q14,0)*BQ14</f>
        <v>0</v>
      </c>
      <c r="BX14" s="1536" t="n">
        <f aca="false">IF($I14=6,$Q14,0)*$BQ14</f>
        <v>0</v>
      </c>
      <c r="BY14" s="1536" t="n">
        <f aca="false">IF($I14=7,$Q14,0)*$BQ14</f>
        <v>0</v>
      </c>
      <c r="BZ14" s="1536" t="n">
        <f aca="false">IF($I14=8,$Q14,0)*$BQ14</f>
        <v>0</v>
      </c>
      <c r="CA14" s="1536" t="n">
        <f aca="false">IF($I14=9,$Q14,0)*$BQ14</f>
        <v>0</v>
      </c>
      <c r="CB14" s="1568" t="n">
        <f aca="false">IF($I14=10,$Q14,0)*$BQ14</f>
        <v>0</v>
      </c>
      <c r="CC14" s="1538" t="n">
        <f aca="false">SUM(BS14:BX14)</f>
        <v>0</v>
      </c>
      <c r="CD14" s="1538" t="n">
        <f aca="false">IF(H14="N",0,D14)*BQ14</f>
        <v>0</v>
      </c>
      <c r="CE14" s="1538" t="n">
        <f aca="false">K14*BQ14</f>
        <v>0</v>
      </c>
      <c r="CF14" s="1542" t="n">
        <f aca="false">ROUND(IF(W14="",0,LOOKUP(W14,B$49:B$59,D$49:D$59)*X14/12),0)</f>
        <v>0</v>
      </c>
      <c r="CG14" s="1542" t="n">
        <f aca="false">ROUND(IF(Y14="",0,LOOKUP(Y14,B$49:B$59,D$49:D$59)*Z14/12),0)</f>
        <v>0</v>
      </c>
      <c r="CH14" s="1542" t="n">
        <f aca="false">ROUND(IF(AA14="",0,LOOKUP(AA14,B$49:B$59,D$49:D$59)*AB14/12),0)</f>
        <v>0</v>
      </c>
      <c r="CI14" s="1538" t="n">
        <f aca="false">D14*BQ14</f>
        <v>0</v>
      </c>
      <c r="CJ14" s="1538" t="n">
        <f aca="false">D14*J14/324*(1+K$73)*G14</f>
        <v>0</v>
      </c>
      <c r="CK14" s="1538" t="str">
        <f aca="false">IF(N14="","",N14)</f>
        <v/>
      </c>
      <c r="CL14" s="1538" t="n">
        <f aca="false">P14*BQ14</f>
        <v>0</v>
      </c>
      <c r="CM14" s="1543" t="n">
        <f aca="false">IF(BQ14=0,0,SUM(CN14:DE14)/BQ14)</f>
        <v>0</v>
      </c>
      <c r="CN14" s="656" t="n">
        <f aca="false">(BS14*Pricing!F$3+BT14*Pricing!G$3+BU14*Pricing!H$3+BV14*Pricing!I$3+BW14*Pricing!J$3+BX14*Pricing!K$3+BY14*Pricing!L$3+BZ14*Pricing!M$3+CA14*Pricing!N$3+CB14*Pricing!O$3)*IF(W$44="N",(1+Y$44),1)</f>
        <v>0</v>
      </c>
      <c r="CO14" s="656" t="n">
        <f aca="false">BN14*G$70*IF(W$44="n",1+Y$44,1)</f>
        <v>0</v>
      </c>
      <c r="CP14" s="1544" t="n">
        <f aca="false">C14*D14</f>
        <v>0</v>
      </c>
      <c r="CQ14" s="656" t="n">
        <f aca="false">IF(I$79=0,0,D14*(SUM(O$79:P$82)+O$85)/I$79*BQ14)</f>
        <v>0</v>
      </c>
      <c r="CR14" s="656" t="n">
        <f aca="false">IF(CF14="",0,CF14*E$83)+IF(CG14="",0,CG14*E$83)+IF(CH14="",0,CH14*E$83)</f>
        <v>0</v>
      </c>
      <c r="CS14" s="656"/>
      <c r="CT14" s="1545" t="n">
        <f aca="false">(U14/2000)*E$87</f>
        <v>0</v>
      </c>
      <c r="CU14" s="656" t="n">
        <f aca="false">IF(I$79=0,0,D14*(O$88)/I$79*BQ14)</f>
        <v>0</v>
      </c>
      <c r="CV14" s="656" t="n">
        <f aca="false">IF(D$42=0,0,SUM(O$91:P$94)/D$42*D14)*BQ14</f>
        <v>0</v>
      </c>
      <c r="CW14" s="656" t="n">
        <f aca="false">IF(D$42=0,0,SUM(Z$66:Z$97)/D$42*D14*BQ14)</f>
        <v>0</v>
      </c>
      <c r="CX14" s="656" t="n">
        <f aca="false">IF(D$42=0,0,SUM(O$96:P$101)/D$42*D14)*BQ14</f>
        <v>0</v>
      </c>
      <c r="CY14" s="656" t="n">
        <f aca="false">IF(D$42=0,0,SUM(O$103:O$109)/D$42)*D14*BQ14</f>
        <v>0</v>
      </c>
      <c r="CZ14" s="656" t="n">
        <f aca="false">IF(I$79=0,0,IF(I$79=0,0,SUM(Z$98:Z$109)/I$79*D14))</f>
        <v>0</v>
      </c>
      <c r="DA14" s="656" t="n">
        <f aca="false">IF(J$72&gt;0,J$72/D$42*D14*G14,CD14*(G$72*IF(W$44="n",(1+Y$44),1)))</f>
        <v>0</v>
      </c>
      <c r="DB14" s="656" t="n">
        <f aca="false">IF(CK14="",0,CK14*E$86)</f>
        <v>0</v>
      </c>
      <c r="DC14" s="656" t="n">
        <f aca="false">BP14*G$71*IF(W$44="Y",1,1+Y$44)</f>
        <v>0</v>
      </c>
      <c r="DD14" s="656" t="n">
        <f aca="false">CJ14*G$73*IF(W$44="Y",1,1+Y$44)</f>
        <v>0</v>
      </c>
      <c r="DE14" s="1546" t="e">
        <f aca="false">O$110/I$79*D14</f>
        <v>#DIV/0!</v>
      </c>
      <c r="DF14" s="654" t="n">
        <f aca="false">IF(W14=1,X14*$AS$49,0)+IF(W14=2,X14*$AS$50,0)+IF(W14=3,X14*$AS$51,0)+IF(W14=4,X14*$AS$52,0)+IF(W14=5,X14*$AS$53,0)+IF(W14=6,X14*$AS$54)+IF(W14=7,X14*$AS$55)+IF(W14=8,X14*$AS$56)+IF(W14=9,X14*$AS$57)+IF(W14=10,X14*$AS$58)+IF(W14=11,X14*$AS$59,0)</f>
        <v>0</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0</v>
      </c>
      <c r="DJ14" s="654" t="n">
        <f aca="false">IF(AE14=1,AF14*$AS$49,0)+IF(AE14=2,AF14*$AS$50,0)+IF(AE14=3,AF14*$AS$51,0)+IF(AE14=4,AF14*$AS$52,0)+IF(AE14=5,AF14*$AS$53,0)+IF(AE14=6,AF14*$AS$54)+IF(AE14=7,AF14*$AS$55)+IF(AE14=8,AF14*$AS$56)+IF(AE14=9,AF14*$AS$57)+IF(AE14=10,AF14*$AS$58)+IF(AE14=11,AF14*$AS$59,0)</f>
        <v>0</v>
      </c>
      <c r="DK14" s="654" t="n">
        <f aca="false">IF(AG14=1,AH14*$AS$49,0)+IF(AG14=2,AH14*$AS$50,0)+IF(AG14=3,AH14*$AS$51,0)+IF(AG14=4,AH14*$AS$52,0)+IF(AG14=5,AH14*$AS$53,0)+IF(AG14=6,AH14*$AS$54)+IF(AG14=7,AH14*$AS$55)+IF(AG14=8,AH14*$AS$56)+IF(AG14=9,AH14*$AS$57)+IF(AG14=10,AH14*$AS$58)+IF(AG14=11,AH14*$AS$59,0)</f>
        <v>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0</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569" t="n">
        <f aca="false">D14</f>
        <v>0</v>
      </c>
      <c r="DQ14" s="1430" t="str">
        <f aca="false">IF(AC14="","",LOOKUP(AC14,$B$49:$B$59,$S$49:$S$59)*AD14)</f>
        <v/>
      </c>
      <c r="DR14" s="1430" t="str">
        <f aca="false">IF(AE14="","",LOOKUP(AE14,$B$49:$B$59,$S$49:$S$59)*AF14)</f>
        <v/>
      </c>
      <c r="DS14" s="1430" t="str">
        <f aca="false">IF(AG14="","",LOOKUP(AG14,$B$49:$B$59,$S$49:$S$59)*AH14)</f>
        <v/>
      </c>
      <c r="DT14" s="1430" t="str">
        <f aca="false">IF(AI14="","",LOOKUP(AI14,$B$49:$B$59,$S$49:$S$59)*AJ14)</f>
        <v/>
      </c>
      <c r="DU14" s="1430" t="str">
        <f aca="false">IF(AK14="","",LOOKUP(AK14,$B$49:$B$59,$S$49:$S$59)*AL14)</f>
        <v/>
      </c>
      <c r="DV14" s="1430" t="str">
        <f aca="false">IF(AM14="","",LOOKUP(AM14,$B$49:$B$59,$S$49:$S$59)*AN14)</f>
        <v/>
      </c>
      <c r="DW14" s="1430" t="str">
        <f aca="false">IF(AO14="","",LOOKUP(AO14,$B$49:$B$59,$S$49:$S$59)*AP14)</f>
        <v/>
      </c>
      <c r="DX14" s="1535" t="n">
        <f aca="false">SUM(DQ14:DW14)-(D14-EF14)*(S$45-F14)/324</f>
        <v>0</v>
      </c>
      <c r="DY14" s="1430" t="str">
        <f aca="false">IF(AC14="","",LOOKUP(AC14,$B$49:$B$59,$T$49:$T$59)*AD14)</f>
        <v/>
      </c>
      <c r="DZ14" s="1430" t="str">
        <f aca="false">IF(AE14="","",LOOKUP(AE14,$B$49:$B$59,$T$49:$T$59)*AF14)</f>
        <v/>
      </c>
      <c r="EA14" s="1430" t="str">
        <f aca="false">IF(AG14="","",LOOKUP(AG14,$B$49:$B$59,$T$49:$T$59)*AH14)</f>
        <v/>
      </c>
      <c r="EB14" s="1430" t="str">
        <f aca="false">IF(AI14="","",LOOKUP(AI14,$B$49:$B$59,$T$49:$T$59)*AJ14)</f>
        <v/>
      </c>
      <c r="EC14" s="1430" t="str">
        <f aca="false">IF(AK14="","",LOOKUP(AK14,$B$49:$B$59,$T$49:$T$59)*AL14)</f>
        <v/>
      </c>
      <c r="ED14" s="1430" t="str">
        <f aca="false">IF(AM14="","",LOOKUP(AM14,$B$49:$B$59,$T$49:$T$59)*AN14)</f>
        <v/>
      </c>
      <c r="EE14" s="1430" t="str">
        <f aca="false">IF(AO14="","",LOOKUP(AO14,$B$49:$B$59,$T$49:$T$59)*AP14)</f>
        <v/>
      </c>
      <c r="EF14" s="1535" t="n">
        <f aca="false">SUM(DY14:EE14)</f>
        <v>0</v>
      </c>
    </row>
    <row r="15" customFormat="false" ht="19.5" hidden="false" customHeight="true" outlineLevel="0" collapsed="false">
      <c r="A15" s="16" t="s">
        <v>1073</v>
      </c>
      <c r="B15" s="1549"/>
      <c r="C15" s="1550"/>
      <c r="D15" s="1551"/>
      <c r="E15" s="1552"/>
      <c r="F15" s="1074"/>
      <c r="G15" s="1553"/>
      <c r="H15" s="1074"/>
      <c r="I15" s="1553"/>
      <c r="J15" s="1074"/>
      <c r="K15" s="1554"/>
      <c r="L15" s="1555"/>
      <c r="M15" s="1556"/>
      <c r="N15" s="1557"/>
      <c r="O15" s="1558"/>
      <c r="P15" s="1515" t="n">
        <f aca="false">IF(BQ15=0,0,BN15/BQ15)</f>
        <v>0</v>
      </c>
      <c r="Q15" s="1516" t="n">
        <f aca="false">(D15*F15/324)*(1+K$65)+BB15</f>
        <v>0</v>
      </c>
      <c r="R15" s="1517" t="n">
        <f aca="false">IF(D15=0,0,S15/D15)</f>
        <v>0</v>
      </c>
      <c r="S15" s="1518" t="e">
        <f aca="false">SUM(CM15-DE15)*(1+M$45)</f>
        <v>#DIV/0!</v>
      </c>
      <c r="T15" s="1519" t="n">
        <f aca="false">CF15+CG15+CH15</f>
        <v>0</v>
      </c>
      <c r="U15" s="1520" t="n">
        <f aca="false">IF(P15-(D15*0.35)&lt;0,0,P15-(D15*0.35))</f>
        <v>0</v>
      </c>
      <c r="V15" s="1521" t="n">
        <f aca="false">IF(D15="",0,IF(D15/-30+Q15&lt;1,0,D15/-30+Q15))</f>
        <v>0</v>
      </c>
      <c r="W15" s="1559"/>
      <c r="X15" s="1560"/>
      <c r="Y15" s="528"/>
      <c r="Z15" s="1574"/>
      <c r="AA15" s="528"/>
      <c r="AB15" s="1574"/>
      <c r="AC15" s="1562"/>
      <c r="AD15" s="1560"/>
      <c r="AE15" s="1559"/>
      <c r="AF15" s="1563"/>
      <c r="AG15" s="1564"/>
      <c r="AH15" s="1563"/>
      <c r="AI15" s="1565"/>
      <c r="AJ15" s="1560"/>
      <c r="AK15" s="1576"/>
      <c r="AL15" s="1563"/>
      <c r="AM15" s="528"/>
      <c r="AN15" s="1575"/>
      <c r="AO15" s="528"/>
      <c r="AP15" s="1574"/>
      <c r="AQ15" s="1435" t="e">
        <f aca="false">D15/Q15</f>
        <v>#DIV/0!</v>
      </c>
      <c r="AR15" s="1533" t="str">
        <f aca="false">IF(W15="","",LOOKUP(W15,$B$49:$B$59,$R$49:$R$59)*X15)</f>
        <v/>
      </c>
      <c r="AS15" s="1430" t="str">
        <f aca="false">IF(Y15="","",LOOKUP(Y15,$B$49:$B$59,$R$49:$R$59)*Z15)</f>
        <v/>
      </c>
      <c r="AT15" s="1430" t="str">
        <f aca="false">IF(AB15="","",LOOKUP(AA15,$B$49:$B$59,$R$49:$R$59)*AB15)</f>
        <v/>
      </c>
      <c r="AU15" s="1430" t="str">
        <f aca="false">IF(AC15="","",LOOKUP(AC15,$B$49:$B$59,$R$49:$R$59)*AD15)</f>
        <v/>
      </c>
      <c r="AV15" s="1430" t="str">
        <f aca="false">IF(AE15="","",LOOKUP(AE15,$B$49:$B$59,$R$49:$R$59)*AF15)</f>
        <v/>
      </c>
      <c r="AW15" s="1430" t="str">
        <f aca="false">IF(AG15="","",LOOKUP(AG15,$B$49:$B$59,$R$49:$R$59)*AH15)</f>
        <v/>
      </c>
      <c r="AX15" s="1430" t="str">
        <f aca="false">IF(AI15="","",LOOKUP(AI15,$B$49:$B$59,$R$49:$R$59)*AJ15)</f>
        <v/>
      </c>
      <c r="AY15" s="1430" t="str">
        <f aca="false">IF(AK15="","",LOOKUP(AK15,$B$49:$B$59,$R$49:$R$59)*AL15)</f>
        <v/>
      </c>
      <c r="AZ15" s="1430" t="str">
        <f aca="false">IF(AM15="","",LOOKUP(AM15,$B$49:$B$59,$R$49:$R$59)*AN15)</f>
        <v/>
      </c>
      <c r="BA15" s="1430" t="str">
        <f aca="false">IF(AO15="","",LOOKUP(AO15,$B$49:$B$59,$R$49:$R$59)*AP15)</f>
        <v/>
      </c>
      <c r="BB15" s="1535" t="n">
        <f aca="false">SUM(AR15:BA15)</f>
        <v>0</v>
      </c>
      <c r="BC15" s="1533" t="str">
        <f aca="false">IF(W15="","",LOOKUP(W15,$B$49:$B$59,$P$49:$P$59)*X15)</f>
        <v/>
      </c>
      <c r="BD15" s="1430" t="str">
        <f aca="false">IF(Y15="","",LOOKUP(Y15,$B$49:$B$59,$P$49:$P$59)*Z15)</f>
        <v/>
      </c>
      <c r="BE15" s="1430" t="str">
        <f aca="false">IF(AA15="","",LOOKUP(AA15,$B$49:$B$59,$P$49:$P$59)*AB15)</f>
        <v/>
      </c>
      <c r="BF15" s="1430" t="str">
        <f aca="false">IF(AC15="","",LOOKUP(AC15,$B$49:$B$59,$P$49:$P$59)*AD15)</f>
        <v/>
      </c>
      <c r="BG15" s="1430" t="str">
        <f aca="false">IF(AE15="","",LOOKUP(AE15,$B$49:$B$59,$P$49:$P$59)*AF15)</f>
        <v/>
      </c>
      <c r="BH15" s="1430" t="str">
        <f aca="false">IF(AG15="","",LOOKUP(AG15,$B$49:$B$59,$P$49:$P$59)*AH15)</f>
        <v/>
      </c>
      <c r="BI15" s="1430" t="str">
        <f aca="false">IF(AI15="","",LOOKUP(AI15,$B$49:$B$59,$P$49:$P$59)*AJ15)</f>
        <v/>
      </c>
      <c r="BJ15" s="1430" t="str">
        <f aca="false">IF(AK15="","",LOOKUP(AK15,$B$49:$B$59,$P$49:$P$59)*AL15)</f>
        <v/>
      </c>
      <c r="BK15" s="1430" t="str">
        <f aca="false">IF(AM15="","",LOOKUP(AM15,$B$49:$B$59,$P$49:$P$59)*AN15)</f>
        <v/>
      </c>
      <c r="BL15" s="1430" t="str">
        <f aca="false">IF(AO15="","",LOOKUP(AO15,$B$49:$B$59,$P$49:$P$59)*AP15)</f>
        <v/>
      </c>
      <c r="BM15" s="1535" t="n">
        <f aca="false">SUM(BC15:BL15)*BQ15</f>
        <v>0</v>
      </c>
      <c r="BN15" s="1536" t="n">
        <f aca="false">BM15+BO15</f>
        <v>0</v>
      </c>
      <c r="BO15" s="1536" t="n">
        <f aca="false">IF(M15=0,0,(M15/12+M15/12)/(M15/12*M15/12)*D15*((L15/16*L15/16)*10.6870159))*(1+K$70)*BQ15</f>
        <v>0</v>
      </c>
      <c r="BP15" s="1536" t="n">
        <f aca="false">IF(O15="Y",D15*(1+K$71)*BQ15,0)</f>
        <v>0</v>
      </c>
      <c r="BQ15" s="1538" t="n">
        <f aca="false">G15</f>
        <v>0</v>
      </c>
      <c r="BR15" s="1411" t="n">
        <f aca="false">IF(O15="y",D15,0)</f>
        <v>0</v>
      </c>
      <c r="BS15" s="1567" t="n">
        <f aca="false">IF($I15=1,$Q15,0)*BQ15</f>
        <v>0</v>
      </c>
      <c r="BT15" s="1536" t="n">
        <f aca="false">IF($I15=2,$Q15,0)*BQ15</f>
        <v>0</v>
      </c>
      <c r="BU15" s="1536" t="n">
        <f aca="false">IF($I15=3,$Q15,0)*BQ15</f>
        <v>0</v>
      </c>
      <c r="BV15" s="1536" t="n">
        <f aca="false">IF($I15=4,$Q15,0)*BQ15</f>
        <v>0</v>
      </c>
      <c r="BW15" s="1536" t="n">
        <f aca="false">IF($I15=5,$Q15,0)*BQ15</f>
        <v>0</v>
      </c>
      <c r="BX15" s="1536" t="n">
        <f aca="false">IF($I15=6,$Q15,0)*$BQ15</f>
        <v>0</v>
      </c>
      <c r="BY15" s="1536" t="n">
        <f aca="false">IF($I15=7,$Q15,0)*$BQ15</f>
        <v>0</v>
      </c>
      <c r="BZ15" s="1536" t="n">
        <f aca="false">IF($I15=8,$Q15,0)*$BQ15</f>
        <v>0</v>
      </c>
      <c r="CA15" s="1536" t="n">
        <f aca="false">IF($I15=9,$Q15,0)*$BQ15</f>
        <v>0</v>
      </c>
      <c r="CB15" s="1568" t="n">
        <f aca="false">IF($I15=10,$Q15,0)*$BQ15</f>
        <v>0</v>
      </c>
      <c r="CC15" s="1538" t="n">
        <f aca="false">SUM(BS15:BX15)</f>
        <v>0</v>
      </c>
      <c r="CD15" s="1538" t="n">
        <f aca="false">IF(H15="N",0,D15)*BQ15</f>
        <v>0</v>
      </c>
      <c r="CE15" s="1538" t="n">
        <f aca="false">K15*BQ15</f>
        <v>0</v>
      </c>
      <c r="CF15" s="1542" t="n">
        <f aca="false">ROUND(IF(W15="",0,LOOKUP(W15,B$49:B$59,D$49:D$59)*X15/12),0)</f>
        <v>0</v>
      </c>
      <c r="CG15" s="1542" t="n">
        <f aca="false">ROUND(IF(Y15="",0,LOOKUP(Y15,B$49:B$59,D$49:D$59)*Z15/12),0)</f>
        <v>0</v>
      </c>
      <c r="CH15" s="1542" t="n">
        <f aca="false">ROUND(IF(AA15="",0,LOOKUP(AA15,B$49:B$59,D$49:D$59)*AB15/12),0)</f>
        <v>0</v>
      </c>
      <c r="CI15" s="1538" t="n">
        <f aca="false">D15*BQ15</f>
        <v>0</v>
      </c>
      <c r="CJ15" s="1538" t="n">
        <f aca="false">D15*J15/324*(1+K$73)*G15</f>
        <v>0</v>
      </c>
      <c r="CK15" s="1538" t="str">
        <f aca="false">IF(N15="","",N15)</f>
        <v/>
      </c>
      <c r="CL15" s="1538" t="n">
        <f aca="false">P15*BQ15</f>
        <v>0</v>
      </c>
      <c r="CM15" s="1543" t="n">
        <f aca="false">IF(BQ15=0,0,SUM(CN15:DE15)/BQ15)</f>
        <v>0</v>
      </c>
      <c r="CN15" s="656" t="n">
        <f aca="false">(BS15*Pricing!F$3+BT15*Pricing!G$3+BU15*Pricing!H$3+BV15*Pricing!I$3+BW15*Pricing!J$3+BX15*Pricing!K$3+BY15*Pricing!L$3+BZ15*Pricing!M$3+CA15*Pricing!N$3+CB15*Pricing!O$3)*IF(W$44="N",(1+Y$44),1)</f>
        <v>0</v>
      </c>
      <c r="CO15" s="656" t="n">
        <f aca="false">BN15*G$70*IF(W$44="n",1+Y$44,1)</f>
        <v>0</v>
      </c>
      <c r="CP15" s="1544" t="n">
        <f aca="false">C15*D15</f>
        <v>0</v>
      </c>
      <c r="CQ15" s="656" t="n">
        <f aca="false">IF(I$79=0,0,D15*(SUM(O$79:P$82)+O$85)/I$79*BQ15)</f>
        <v>0</v>
      </c>
      <c r="CR15" s="656" t="n">
        <f aca="false">IF(CF15="",0,CF15*E$83)+IF(CG15="",0,CG15*E$83)+IF(CH15="",0,CH15*E$83)</f>
        <v>0</v>
      </c>
      <c r="CS15" s="656"/>
      <c r="CT15" s="1545" t="n">
        <f aca="false">(U15/2000)*E$87</f>
        <v>0</v>
      </c>
      <c r="CU15" s="656" t="n">
        <f aca="false">IF(I$79=0,0,D15*(O$88)/I$79*BQ15)</f>
        <v>0</v>
      </c>
      <c r="CV15" s="656" t="n">
        <f aca="false">IF(D$42=0,0,SUM(O$91:P$94)/D$42*D15)*BQ15</f>
        <v>0</v>
      </c>
      <c r="CW15" s="656" t="n">
        <f aca="false">IF(D$42=0,0,SUM(Z$66:Z$97)/D$42*D15*BQ15)</f>
        <v>0</v>
      </c>
      <c r="CX15" s="656" t="n">
        <f aca="false">IF(D$42=0,0,SUM(O$96:P$101)/D$42*D15)*BQ15</f>
        <v>0</v>
      </c>
      <c r="CY15" s="656" t="n">
        <f aca="false">IF(D$42=0,0,SUM(O$103:O$109)/D$42)*D15*BQ15</f>
        <v>0</v>
      </c>
      <c r="CZ15" s="656" t="n">
        <f aca="false">IF(I$79=0,0,IF(I$79=0,0,SUM(Z$98:Z$109)/I$79*D15))</f>
        <v>0</v>
      </c>
      <c r="DA15" s="656" t="n">
        <f aca="false">IF(J$72&gt;0,J$72/D$42*D15*G15,CD15*(G$72*IF(W$44="n",(1+Y$44),1)))</f>
        <v>0</v>
      </c>
      <c r="DB15" s="656" t="n">
        <f aca="false">IF(CK15="",0,CK15*E$86)</f>
        <v>0</v>
      </c>
      <c r="DC15" s="656" t="n">
        <f aca="false">BP15*G$71*IF(W$44="Y",1,1+Y$44)</f>
        <v>0</v>
      </c>
      <c r="DD15" s="656" t="n">
        <f aca="false">CJ15*G$73*IF(W$44="Y",1,1+Y$44)</f>
        <v>0</v>
      </c>
      <c r="DE15" s="1546" t="e">
        <f aca="false">O$110/I$79*D15</f>
        <v>#DIV/0!</v>
      </c>
      <c r="DF15" s="654" t="n">
        <f aca="false">IF(W15=1,X15*$AS$49,0)+IF(W15=2,X15*$AS$50,0)+IF(W15=3,X15*$AS$51,0)+IF(W15=4,X15*$AS$52,0)+IF(W15=5,X15*$AS$53,0)+IF(W15=6,X15*$AS$54)+IF(W15=7,X15*$AS$55)+IF(W15=8,X15*$AS$56)+IF(W15=9,X15*$AS$57)+IF(W15=10,X15*$AS$58)+IF(W15=11,X15*$AS$59,0)</f>
        <v>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0</v>
      </c>
      <c r="DJ15" s="654" t="n">
        <f aca="false">IF(AE15=1,AF15*$AS$49,0)+IF(AE15=2,AF15*$AS$50,0)+IF(AE15=3,AF15*$AS$51,0)+IF(AE15=4,AF15*$AS$52,0)+IF(AE15=5,AF15*$AS$53,0)+IF(AE15=6,AF15*$AS$54)+IF(AE15=7,AF15*$AS$55)+IF(AE15=8,AF15*$AS$56)+IF(AE15=9,AF15*$AS$57)+IF(AE15=10,AF15*$AS$58)+IF(AE15=11,AF15*$AS$59,0)</f>
        <v>0</v>
      </c>
      <c r="DK15" s="654" t="n">
        <f aca="false">IF(AG15=1,AH15*$AS$49,0)+IF(AG15=2,AH15*$AS$50,0)+IF(AG15=3,AH15*$AS$51,0)+IF(AG15=4,AH15*$AS$52,0)+IF(AG15=5,AH15*$AS$53,0)+IF(AG15=6,AH15*$AS$54)+IF(AG15=7,AH15*$AS$55)+IF(AG15=8,AH15*$AS$56)+IF(AG15=9,AH15*$AS$57)+IF(AG15=10,AH15*$AS$58)+IF(AG15=11,AH15*$AS$59,0)</f>
        <v>0</v>
      </c>
      <c r="DL15" s="654" t="n">
        <f aca="false">IF(AI15=1,AJ15*$AS$49,0)+IF(AI15=2,AJ15*$AS$50,0)+IF(AI15=3,AJ15*$AS$51,0)+IF(AI15=4,AJ15*$AS$52,0)+IF(AI15=5,AJ15*$AS$53,0)+IF(AI15=6,AJ15*$AS$54)+IF(AI15=7,AJ15*$AS$55)+IF(AI15=8,AJ15*$AS$56)+IF(AI15=9,AJ15*$AS$57)+IF(AI15=10,AJ15*$AS$58)+IF(AI15=11,AJ15*$AS$59,0)</f>
        <v>0</v>
      </c>
      <c r="DM15" s="654" t="n">
        <f aca="false">IF(AK15=1,AL15*$AS$49,0)+IF(AK15=2,AL15*$AS$50,0)+IF(AK15=3,AL15*$AS$51,0)+IF(AK15=4,AL15*$AS$52,0)+IF(AK15=5,AL15*$AS$53,0)+IF(AK15=6,AL15*$AS$54)+IF(AK15=7,AL15*$AS$55)+IF(AK15=8,AL15*$AS$56)+IF(AK15=9,AL15*$AS$57)+IF(AK15=10,AL15*$AS$58)+IF(AK15=11,AL15*$AS$59,0)</f>
        <v>0</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569" t="n">
        <f aca="false">D15</f>
        <v>0</v>
      </c>
      <c r="DQ15" s="1430" t="str">
        <f aca="false">IF(AC15="","",LOOKUP(AC15,$B$49:$B$59,$S$49:$S$59)*AD15)</f>
        <v/>
      </c>
      <c r="DR15" s="1430" t="str">
        <f aca="false">IF(AE15="","",LOOKUP(AE15,$B$49:$B$59,$S$49:$S$59)*AF15)</f>
        <v/>
      </c>
      <c r="DS15" s="1430" t="str">
        <f aca="false">IF(AG15="","",LOOKUP(AG15,$B$49:$B$59,$S$49:$S$59)*AH15)</f>
        <v/>
      </c>
      <c r="DT15" s="1430" t="str">
        <f aca="false">IF(AI15="","",LOOKUP(AI15,$B$49:$B$59,$S$49:$S$59)*AJ15)</f>
        <v/>
      </c>
      <c r="DU15" s="1430" t="str">
        <f aca="false">IF(AK15="","",LOOKUP(AK15,$B$49:$B$59,$S$49:$S$59)*AL15)</f>
        <v/>
      </c>
      <c r="DV15" s="1430" t="str">
        <f aca="false">IF(AM15="","",LOOKUP(AM15,$B$49:$B$59,$S$49:$S$59)*AN15)</f>
        <v/>
      </c>
      <c r="DW15" s="1430" t="str">
        <f aca="false">IF(AO15="","",LOOKUP(AO15,$B$49:$B$59,$S$49:$S$59)*AP15)</f>
        <v/>
      </c>
      <c r="DX15" s="1535" t="n">
        <f aca="false">SUM(DQ15:DW15)-(D15-EF15)*(S$45-F15)/324</f>
        <v>0</v>
      </c>
      <c r="DY15" s="1430" t="str">
        <f aca="false">IF(AC15="","",LOOKUP(AC15,$B$49:$B$59,$T$49:$T$59)*AD15)</f>
        <v/>
      </c>
      <c r="DZ15" s="1430" t="str">
        <f aca="false">IF(AE15="","",LOOKUP(AE15,$B$49:$B$59,$T$49:$T$59)*AF15)</f>
        <v/>
      </c>
      <c r="EA15" s="1430" t="str">
        <f aca="false">IF(AG15="","",LOOKUP(AG15,$B$49:$B$59,$T$49:$T$59)*AH15)</f>
        <v/>
      </c>
      <c r="EB15" s="1430" t="str">
        <f aca="false">IF(AI15="","",LOOKUP(AI15,$B$49:$B$59,$T$49:$T$59)*AJ15)</f>
        <v/>
      </c>
      <c r="EC15" s="1430" t="str">
        <f aca="false">IF(AK15="","",LOOKUP(AK15,$B$49:$B$59,$T$49:$T$59)*AL15)</f>
        <v/>
      </c>
      <c r="ED15" s="1430" t="str">
        <f aca="false">IF(AM15="","",LOOKUP(AM15,$B$49:$B$59,$T$49:$T$59)*AN15)</f>
        <v/>
      </c>
      <c r="EE15" s="1430" t="str">
        <f aca="false">IF(AO15="","",LOOKUP(AO15,$B$49:$B$59,$T$49:$T$59)*AP15)</f>
        <v/>
      </c>
      <c r="EF15" s="1535" t="n">
        <f aca="false">SUM(DY15:EE15)</f>
        <v>0</v>
      </c>
    </row>
    <row r="16" customFormat="false" ht="18" hidden="false" customHeight="true" outlineLevel="0" collapsed="false">
      <c r="A16" s="16" t="s">
        <v>1074</v>
      </c>
      <c r="B16" s="920"/>
      <c r="C16" s="1506"/>
      <c r="D16" s="1507"/>
      <c r="E16" s="1508"/>
      <c r="F16" s="1352"/>
      <c r="G16" s="1553"/>
      <c r="H16" s="1352"/>
      <c r="I16" s="1509"/>
      <c r="J16" s="1352"/>
      <c r="K16" s="1510"/>
      <c r="L16" s="528"/>
      <c r="M16" s="895"/>
      <c r="N16" s="1513"/>
      <c r="O16" s="1514"/>
      <c r="P16" s="1515" t="n">
        <f aca="false">IF(BQ16=0,0,BN16/BQ16)</f>
        <v>0</v>
      </c>
      <c r="Q16" s="1516" t="n">
        <f aca="false">(D16*F16/324)*(1+K$65)+BB16</f>
        <v>0</v>
      </c>
      <c r="R16" s="1517" t="n">
        <f aca="false">IF(D16=0,0,S16/D16)</f>
        <v>0</v>
      </c>
      <c r="S16" s="1518" t="e">
        <f aca="false">SUM(CM16-DE16)*(1+M$45)</f>
        <v>#DIV/0!</v>
      </c>
      <c r="T16" s="1519" t="n">
        <f aca="false">CF16+CG16+CH16</f>
        <v>0</v>
      </c>
      <c r="U16" s="1520" t="n">
        <f aca="false">IF(P16-(D16*0.35)&lt;0,0,P16-(D16*0.35))</f>
        <v>0</v>
      </c>
      <c r="V16" s="1521" t="n">
        <f aca="false">IF(D16="",0,IF(D16/-30+Q16&lt;1,0,D16/-30+Q16))</f>
        <v>0</v>
      </c>
      <c r="W16" s="528"/>
      <c r="X16" s="1526"/>
      <c r="Y16" s="1511"/>
      <c r="Z16" s="1524"/>
      <c r="AA16" s="1511"/>
      <c r="AB16" s="1524"/>
      <c r="AC16" s="1525"/>
      <c r="AD16" s="1526"/>
      <c r="AE16" s="1511"/>
      <c r="AF16" s="1527"/>
      <c r="AG16" s="1528"/>
      <c r="AH16" s="1527"/>
      <c r="AI16" s="1529"/>
      <c r="AJ16" s="1530"/>
      <c r="AK16" s="1531"/>
      <c r="AL16" s="1527"/>
      <c r="AM16" s="1511"/>
      <c r="AN16" s="1532"/>
      <c r="AO16" s="1511"/>
      <c r="AP16" s="1524"/>
      <c r="AQ16" s="1435" t="e">
        <f aca="false">D16/Q16</f>
        <v>#DIV/0!</v>
      </c>
      <c r="AR16" s="1533" t="str">
        <f aca="false">IF(W16="","",LOOKUP(W16,$B$49:$B$59,$R$49:$R$59)*X16)</f>
        <v/>
      </c>
      <c r="AS16" s="1430" t="str">
        <f aca="false">IF(Y16="","",LOOKUP(Y16,$B$49:$B$59,$R$49:$R$59)*Z16)</f>
        <v/>
      </c>
      <c r="AT16" s="1430" t="str">
        <f aca="false">IF(AB16="","",LOOKUP(AA16,$B$49:$B$59,$R$49:$R$59)*AB16)</f>
        <v/>
      </c>
      <c r="AU16" s="1430" t="str">
        <f aca="false">IF(AC16="","",LOOKUP(AC16,$B$49:$B$59,$R$49:$R$59)*AD16)</f>
        <v/>
      </c>
      <c r="AV16" s="1430" t="str">
        <f aca="false">IF(AE16="","",LOOKUP(AE16,$B$49:$B$59,$R$49:$R$59)*AF16)</f>
        <v/>
      </c>
      <c r="AW16" s="1430" t="str">
        <f aca="false">IF(AG16="","",LOOKUP(AG16,$B$49:$B$59,$R$49:$R$59)*AH16)</f>
        <v/>
      </c>
      <c r="AX16" s="1430" t="str">
        <f aca="false">IF(AI16="","",LOOKUP(AI16,$B$49:$B$59,$R$49:$R$59)*AJ16)</f>
        <v/>
      </c>
      <c r="AY16" s="1430" t="str">
        <f aca="false">IF(AK16="","",LOOKUP(AK16,$B$49:$B$59,$R$49:$R$59)*AL16)</f>
        <v/>
      </c>
      <c r="AZ16" s="1430" t="str">
        <f aca="false">IF(AM16="","",LOOKUP(AM16,$B$49:$B$59,$R$49:$R$59)*AN16)</f>
        <v/>
      </c>
      <c r="BA16" s="1430" t="str">
        <f aca="false">IF(AO16="","",LOOKUP(AO16,$B$49:$B$59,$R$49:$R$59)*AP16)</f>
        <v/>
      </c>
      <c r="BB16" s="1535" t="n">
        <f aca="false">SUM(AR16:BA16)</f>
        <v>0</v>
      </c>
      <c r="BC16" s="1533" t="str">
        <f aca="false">IF(W16="","",LOOKUP(W16,$B$49:$B$59,$P$49:$P$59)*X16)</f>
        <v/>
      </c>
      <c r="BD16" s="1430" t="str">
        <f aca="false">IF(Y16="","",LOOKUP(Y16,$B$49:$B$59,$P$49:$P$59)*Z16)</f>
        <v/>
      </c>
      <c r="BE16" s="1430" t="str">
        <f aca="false">IF(AA16="","",LOOKUP(AA16,$B$49:$B$59,$P$49:$P$59)*AB16)</f>
        <v/>
      </c>
      <c r="BF16" s="1430" t="str">
        <f aca="false">IF(AC16="","",LOOKUP(AC16,$B$49:$B$59,$P$49:$P$59)*AD16)</f>
        <v/>
      </c>
      <c r="BG16" s="1430" t="str">
        <f aca="false">IF(AE16="","",LOOKUP(AE16,$B$49:$B$59,$P$49:$P$59)*AF16)</f>
        <v/>
      </c>
      <c r="BH16" s="1430" t="str">
        <f aca="false">IF(AG16="","",LOOKUP(AG16,$B$49:$B$59,$P$49:$P$59)*AH16)</f>
        <v/>
      </c>
      <c r="BI16" s="1430" t="str">
        <f aca="false">IF(AI16="","",LOOKUP(AI16,$B$49:$B$59,$P$49:$P$59)*AJ16)</f>
        <v/>
      </c>
      <c r="BJ16" s="1430" t="str">
        <f aca="false">IF(AK16="","",LOOKUP(AK16,$B$49:$B$59,$P$49:$P$59)*AL16)</f>
        <v/>
      </c>
      <c r="BK16" s="1430" t="str">
        <f aca="false">IF(AM16="","",LOOKUP(AM16,$B$49:$B$59,$P$49:$P$59)*AN16)</f>
        <v/>
      </c>
      <c r="BL16" s="1430" t="str">
        <f aca="false">IF(AO16="","",LOOKUP(AO16,$B$49:$B$59,$P$49:$P$59)*AP16)</f>
        <v/>
      </c>
      <c r="BM16" s="1535" t="n">
        <f aca="false">SUM(BC16:BL16)*BQ16</f>
        <v>0</v>
      </c>
      <c r="BN16" s="1536" t="n">
        <f aca="false">BM16+BO16</f>
        <v>0</v>
      </c>
      <c r="BO16" s="1536" t="n">
        <f aca="false">IF(M16=0,0,(M16/12+M16/12)/(M16/12*M16/12)*D16*((L16/16*L16/16)*10.6870159))*(1+K$70)*BQ16</f>
        <v>0</v>
      </c>
      <c r="BP16" s="1536" t="n">
        <f aca="false">IF(O16="Y",D16*(1+K$71)*BQ16,0)</f>
        <v>0</v>
      </c>
      <c r="BQ16" s="1538" t="n">
        <f aca="false">G16</f>
        <v>0</v>
      </c>
      <c r="BR16" s="1411" t="n">
        <f aca="false">IF(O16="y",D16,0)</f>
        <v>0</v>
      </c>
      <c r="BS16" s="1567" t="n">
        <f aca="false">IF($I16=1,$Q16,0)*BQ16</f>
        <v>0</v>
      </c>
      <c r="BT16" s="1536" t="n">
        <f aca="false">IF($I16=2,$Q16,0)*BQ16</f>
        <v>0</v>
      </c>
      <c r="BU16" s="1536" t="n">
        <f aca="false">IF($I16=3,$Q16,0)*BQ16</f>
        <v>0</v>
      </c>
      <c r="BV16" s="1536" t="n">
        <f aca="false">IF($I16=4,$Q16,0)*BQ16</f>
        <v>0</v>
      </c>
      <c r="BW16" s="1536" t="n">
        <f aca="false">IF($I16=5,$Q16,0)*BQ16</f>
        <v>0</v>
      </c>
      <c r="BX16" s="1536" t="n">
        <f aca="false">IF($I16=6,$Q16,0)*$BQ16</f>
        <v>0</v>
      </c>
      <c r="BY16" s="1536" t="n">
        <f aca="false">IF($I16=7,$Q16,0)*$BQ16</f>
        <v>0</v>
      </c>
      <c r="BZ16" s="1536" t="n">
        <f aca="false">IF($I16=8,$Q16,0)*$BQ16</f>
        <v>0</v>
      </c>
      <c r="CA16" s="1536" t="n">
        <f aca="false">IF($I16=9,$Q16,0)*$BQ16</f>
        <v>0</v>
      </c>
      <c r="CB16" s="1568" t="n">
        <f aca="false">IF($I16=10,$Q16,0)*$BQ16</f>
        <v>0</v>
      </c>
      <c r="CC16" s="1538" t="n">
        <f aca="false">SUM(BS16:BX16)</f>
        <v>0</v>
      </c>
      <c r="CD16" s="1538" t="n">
        <f aca="false">IF(H16="N",0,D16)*BQ16</f>
        <v>0</v>
      </c>
      <c r="CE16" s="1538" t="n">
        <f aca="false">K16*BQ16</f>
        <v>0</v>
      </c>
      <c r="CF16" s="1542" t="n">
        <f aca="false">ROUND(IF(W16="",0,LOOKUP(W16,B$49:B$59,D$49:D$59)*X16/12),0)</f>
        <v>0</v>
      </c>
      <c r="CG16" s="1542" t="n">
        <f aca="false">ROUND(IF(Y16="",0,LOOKUP(Y16,B$49:B$59,D$49:D$59)*Z16/12),0)</f>
        <v>0</v>
      </c>
      <c r="CH16" s="1542" t="n">
        <f aca="false">ROUND(IF(AA16="",0,LOOKUP(AA16,B$49:B$59,D$49:D$59)*AB16/12),0)</f>
        <v>0</v>
      </c>
      <c r="CI16" s="1538" t="n">
        <f aca="false">D16*BQ16</f>
        <v>0</v>
      </c>
      <c r="CJ16" s="1538" t="n">
        <f aca="false">D16*J16/324*(1+K$73)*G16</f>
        <v>0</v>
      </c>
      <c r="CK16" s="1538" t="str">
        <f aca="false">IF(N16="","",N16)</f>
        <v/>
      </c>
      <c r="CL16" s="1538" t="n">
        <f aca="false">P16*BQ16</f>
        <v>0</v>
      </c>
      <c r="CM16" s="1543" t="n">
        <f aca="false">IF(BQ16=0,0,SUM(CN16:DE16)/BQ16)</f>
        <v>0</v>
      </c>
      <c r="CN16" s="656" t="n">
        <f aca="false">(BS16*Pricing!F$3+BT16*Pricing!G$3+BU16*Pricing!H$3+BV16*Pricing!I$3+BW16*Pricing!J$3+BX16*Pricing!K$3+BY16*Pricing!L$3+BZ16*Pricing!M$3+CA16*Pricing!N$3+CB16*Pricing!O$3)*IF(W$44="N",(1+Y$44),1)</f>
        <v>0</v>
      </c>
      <c r="CO16" s="656" t="n">
        <f aca="false">BN16*G$70*IF(W$44="n",1+Y$44,1)</f>
        <v>0</v>
      </c>
      <c r="CP16" s="1544" t="n">
        <f aca="false">C16*D16</f>
        <v>0</v>
      </c>
      <c r="CQ16" s="656" t="n">
        <f aca="false">IF(I$79=0,0,D16*(SUM(O$79:P$82)+O$85)/I$79*BQ16)</f>
        <v>0</v>
      </c>
      <c r="CR16" s="656" t="n">
        <f aca="false">IF(CF16="",0,CF16*E$83)+IF(CG16="",0,CG16*E$83)+IF(CH16="",0,CH16*E$83)</f>
        <v>0</v>
      </c>
      <c r="CS16" s="656"/>
      <c r="CT16" s="1545" t="n">
        <f aca="false">(U16/2000)*E$87</f>
        <v>0</v>
      </c>
      <c r="CU16" s="656" t="n">
        <f aca="false">IF(I$79=0,0,D16*(O$88)/I$79*BQ16)</f>
        <v>0</v>
      </c>
      <c r="CV16" s="656" t="n">
        <f aca="false">IF(D$42=0,0,SUM(O$91:P$94)/D$42*D16)*BQ16</f>
        <v>0</v>
      </c>
      <c r="CW16" s="656" t="n">
        <f aca="false">IF(D$42=0,0,SUM(Z$66:Z$97)/D$42*D16*BQ16)</f>
        <v>0</v>
      </c>
      <c r="CX16" s="656" t="n">
        <f aca="false">IF(D$42=0,0,SUM(O$96:P$101)/D$42*D16)*BQ16</f>
        <v>0</v>
      </c>
      <c r="CY16" s="656" t="n">
        <f aca="false">IF(D$42=0,0,SUM(O$103:O$109)/D$42)*D16*BQ16</f>
        <v>0</v>
      </c>
      <c r="CZ16" s="656" t="n">
        <f aca="false">IF(I$79=0,0,IF(I$79=0,0,SUM(Z$98:Z$109)/I$79*D16))</f>
        <v>0</v>
      </c>
      <c r="DA16" s="656" t="n">
        <f aca="false">IF(J$72&gt;0,J$72/D$42*D16*G16,CD16*(G$72*IF(W$44="n",(1+Y$44),1)))</f>
        <v>0</v>
      </c>
      <c r="DB16" s="656" t="n">
        <f aca="false">IF(CK16="",0,CK16*E$86)</f>
        <v>0</v>
      </c>
      <c r="DC16" s="656" t="n">
        <f aca="false">BP16*G$71*IF(W$44="Y",1,1+Y$44)</f>
        <v>0</v>
      </c>
      <c r="DD16" s="656" t="n">
        <f aca="false">CJ16*G$73*IF(W$44="Y",1,1+Y$44)</f>
        <v>0</v>
      </c>
      <c r="DE16" s="1546" t="e">
        <f aca="false">O$110/I$79*D16</f>
        <v>#DIV/0!</v>
      </c>
      <c r="DF16" s="654" t="n">
        <f aca="false">IF(W16=1,X16*$AS$49,0)+IF(W16=2,X16*$AS$50,0)+IF(W16=3,X16*$AS$51,0)+IF(W16=4,X16*$AS$52,0)+IF(W16=5,X16*$AS$53,0)+IF(W16=6,X16*$AS$54)+IF(W16=7,X16*$AS$55)+IF(W16=8,X16*$AS$56)+IF(W16=9,X16*$AS$57)+IF(W16=10,X16*$AS$58)+IF(W16=11,X16*$AS$59,0)</f>
        <v>0</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0</v>
      </c>
      <c r="DJ16" s="654" t="n">
        <f aca="false">IF(AE16=1,AF16*$AS$49,0)+IF(AE16=2,AF16*$AS$50,0)+IF(AE16=3,AF16*$AS$51,0)+IF(AE16=4,AF16*$AS$52,0)+IF(AE16=5,AF16*$AS$53,0)+IF(AE16=6,AF16*$AS$54)+IF(AE16=7,AF16*$AS$55)+IF(AE16=8,AF16*$AS$56)+IF(AE16=9,AF16*$AS$57)+IF(AE16=10,AF16*$AS$58)+IF(AE16=11,AF16*$AS$59,0)</f>
        <v>0</v>
      </c>
      <c r="DK16" s="654" t="n">
        <f aca="false">IF(AG16=1,AH16*$AS$49,0)+IF(AG16=2,AH16*$AS$50,0)+IF(AG16=3,AH16*$AS$51,0)+IF(AG16=4,AH16*$AS$52,0)+IF(AG16=5,AH16*$AS$53,0)+IF(AG16=6,AH16*$AS$54)+IF(AG16=7,AH16*$AS$55)+IF(AG16=8,AH16*$AS$56)+IF(AG16=9,AH16*$AS$57)+IF(AG16=10,AH16*$AS$58)+IF(AG16=11,AH16*$AS$59,0)</f>
        <v>0</v>
      </c>
      <c r="DL16" s="654" t="n">
        <f aca="false">IF(AI16=1,AJ16*$AS$49,0)+IF(AI16=2,AJ16*$AS$50,0)+IF(AI16=3,AJ16*$AS$51,0)+IF(AI16=4,AJ16*$AS$52,0)+IF(AI16=5,AJ16*$AS$53,0)+IF(AI16=6,AJ16*$AS$54)+IF(AI16=7,AJ16*$AS$55)+IF(AI16=8,AJ16*$AS$56)+IF(AI16=9,AJ16*$AS$57)+IF(AI16=10,AJ16*$AS$58)+IF(AI16=11,AJ16*$AS$59,0)</f>
        <v>0</v>
      </c>
      <c r="DM16" s="654" t="n">
        <f aca="false">IF(AK16=1,AL16*$AS$49,0)+IF(AK16=2,AL16*$AS$50,0)+IF(AK16=3,AL16*$AS$51,0)+IF(AK16=4,AL16*$AS$52,0)+IF(AK16=5,AL16*$AS$53,0)+IF(AK16=6,AL16*$AS$54)+IF(AK16=7,AL16*$AS$55)+IF(AK16=8,AL16*$AS$56)+IF(AK16=9,AL16*$AS$57)+IF(AK16=10,AL16*$AS$58)+IF(AK16=11,AL16*$AS$59,0)</f>
        <v>0</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569" t="n">
        <f aca="false">D16</f>
        <v>0</v>
      </c>
      <c r="DQ16" s="1430" t="str">
        <f aca="false">IF(AC16="","",LOOKUP(AC16,$B$49:$B$59,$S$49:$S$59)*AD16)</f>
        <v/>
      </c>
      <c r="DR16" s="1430" t="str">
        <f aca="false">IF(AE16="","",LOOKUP(AE16,$B$49:$B$59,$S$49:$S$59)*AF16)</f>
        <v/>
      </c>
      <c r="DS16" s="1430" t="str">
        <f aca="false">IF(AG16="","",LOOKUP(AG16,$B$49:$B$59,$S$49:$S$59)*AH16)</f>
        <v/>
      </c>
      <c r="DT16" s="1430" t="str">
        <f aca="false">IF(AI16="","",LOOKUP(AI16,$B$49:$B$59,$S$49:$S$59)*AJ16)</f>
        <v/>
      </c>
      <c r="DU16" s="1430" t="str">
        <f aca="false">IF(AK16="","",LOOKUP(AK16,$B$49:$B$59,$S$49:$S$59)*AL16)</f>
        <v/>
      </c>
      <c r="DV16" s="1430" t="str">
        <f aca="false">IF(AM16="","",LOOKUP(AM16,$B$49:$B$59,$S$49:$S$59)*AN16)</f>
        <v/>
      </c>
      <c r="DW16" s="1430" t="str">
        <f aca="false">IF(AO16="","",LOOKUP(AO16,$B$49:$B$59,$S$49:$S$59)*AP16)</f>
        <v/>
      </c>
      <c r="DX16" s="1535" t="n">
        <f aca="false">SUM(DQ16:DW16)-(D16-EF16)*(S$45-F16)/324</f>
        <v>0</v>
      </c>
      <c r="DY16" s="1430" t="str">
        <f aca="false">IF(AC16="","",LOOKUP(AC16,$B$49:$B$59,$T$49:$T$59)*AD16)</f>
        <v/>
      </c>
      <c r="DZ16" s="1430" t="str">
        <f aca="false">IF(AE16="","",LOOKUP(AE16,$B$49:$B$59,$T$49:$T$59)*AF16)</f>
        <v/>
      </c>
      <c r="EA16" s="1430" t="str">
        <f aca="false">IF(AG16="","",LOOKUP(AG16,$B$49:$B$59,$T$49:$T$59)*AH16)</f>
        <v/>
      </c>
      <c r="EB16" s="1430" t="str">
        <f aca="false">IF(AI16="","",LOOKUP(AI16,$B$49:$B$59,$T$49:$T$59)*AJ16)</f>
        <v/>
      </c>
      <c r="EC16" s="1430" t="str">
        <f aca="false">IF(AK16="","",LOOKUP(AK16,$B$49:$B$59,$T$49:$T$59)*AL16)</f>
        <v/>
      </c>
      <c r="ED16" s="1430" t="str">
        <f aca="false">IF(AM16="","",LOOKUP(AM16,$B$49:$B$59,$T$49:$T$59)*AN16)</f>
        <v/>
      </c>
      <c r="EE16" s="1430" t="str">
        <f aca="false">IF(AO16="","",LOOKUP(AO16,$B$49:$B$59,$T$49:$T$59)*AP16)</f>
        <v/>
      </c>
      <c r="EF16" s="1535" t="n">
        <f aca="false">SUM(DY16:EE16)</f>
        <v>0</v>
      </c>
    </row>
    <row r="17" customFormat="false" ht="19.5" hidden="false" customHeight="true" outlineLevel="0" collapsed="false">
      <c r="A17" s="16" t="s">
        <v>1075</v>
      </c>
      <c r="B17" s="1549"/>
      <c r="C17" s="1550"/>
      <c r="D17" s="1551"/>
      <c r="E17" s="1552"/>
      <c r="F17" s="1352"/>
      <c r="G17" s="1553"/>
      <c r="H17" s="1352"/>
      <c r="I17" s="1509"/>
      <c r="J17" s="1352"/>
      <c r="K17" s="1510"/>
      <c r="L17" s="1559"/>
      <c r="M17" s="1556"/>
      <c r="N17" s="1557"/>
      <c r="O17" s="1558"/>
      <c r="P17" s="1515" t="n">
        <f aca="false">IF(BQ17=0,0,BN17/BQ17)</f>
        <v>0</v>
      </c>
      <c r="Q17" s="1516" t="n">
        <f aca="false">(D17*F17/324)*(1+K$65)+BB17</f>
        <v>0</v>
      </c>
      <c r="R17" s="1517" t="n">
        <f aca="false">IF(D17=0,0,S17/D17)</f>
        <v>0</v>
      </c>
      <c r="S17" s="1518" t="e">
        <f aca="false">SUM(CM17-DE17)*(1+M$45)</f>
        <v>#DIV/0!</v>
      </c>
      <c r="T17" s="1519" t="n">
        <f aca="false">CF17+CG17+CH17</f>
        <v>0</v>
      </c>
      <c r="U17" s="1520" t="n">
        <f aca="false">IF(P17-(D17*0.35)&lt;0,0,P17-(D17*0.35))</f>
        <v>0</v>
      </c>
      <c r="V17" s="1521" t="n">
        <f aca="false">IF(D17="",0,IF(D17/-30+Q17&lt;1,0,D17/-30+Q17))</f>
        <v>0</v>
      </c>
      <c r="W17" s="1559"/>
      <c r="X17" s="1560"/>
      <c r="Y17" s="1559"/>
      <c r="Z17" s="1561"/>
      <c r="AA17" s="1559"/>
      <c r="AB17" s="1561"/>
      <c r="AC17" s="1562"/>
      <c r="AD17" s="1560"/>
      <c r="AE17" s="1559"/>
      <c r="AF17" s="1563"/>
      <c r="AG17" s="1564"/>
      <c r="AH17" s="1563"/>
      <c r="AI17" s="1565"/>
      <c r="AJ17" s="1560"/>
      <c r="AK17" s="1565"/>
      <c r="AL17" s="1563"/>
      <c r="AM17" s="1559"/>
      <c r="AN17" s="1566"/>
      <c r="AO17" s="1559"/>
      <c r="AP17" s="1561"/>
      <c r="AQ17" s="1435" t="e">
        <f aca="false">D17/Q17</f>
        <v>#DIV/0!</v>
      </c>
      <c r="AR17" s="1533" t="str">
        <f aca="false">IF(W17="","",LOOKUP(W17,$B$49:$B$59,$R$49:$R$59)*X17)</f>
        <v/>
      </c>
      <c r="AS17" s="1430" t="str">
        <f aca="false">IF(Y17="","",LOOKUP(Y17,$B$49:$B$59,$R$49:$R$59)*Z17)</f>
        <v/>
      </c>
      <c r="AT17" s="1430" t="str">
        <f aca="false">IF(AB17="","",LOOKUP(AA17,$B$49:$B$59,$R$49:$R$59)*AB17)</f>
        <v/>
      </c>
      <c r="AU17" s="1430" t="str">
        <f aca="false">IF(AC17="","",LOOKUP(AC17,$B$49:$B$59,$R$49:$R$59)*AD17)</f>
        <v/>
      </c>
      <c r="AV17" s="1430" t="str">
        <f aca="false">IF(AE17="","",LOOKUP(AE17,$B$49:$B$59,$R$49:$R$59)*AF17)</f>
        <v/>
      </c>
      <c r="AW17" s="1430" t="str">
        <f aca="false">IF(AG17="","",LOOKUP(AG17,$B$49:$B$59,$R$49:$R$59)*AH17)</f>
        <v/>
      </c>
      <c r="AX17" s="1430" t="str">
        <f aca="false">IF(AI17="","",LOOKUP(AI17,$B$49:$B$59,$R$49:$R$59)*AJ17)</f>
        <v/>
      </c>
      <c r="AY17" s="1430" t="str">
        <f aca="false">IF(AK17="","",LOOKUP(AK17,$B$49:$B$59,$R$49:$R$59)*AL17)</f>
        <v/>
      </c>
      <c r="AZ17" s="1430" t="str">
        <f aca="false">IF(AM17="","",LOOKUP(AM17,$B$49:$B$59,$R$49:$R$59)*AN17)</f>
        <v/>
      </c>
      <c r="BA17" s="1430" t="str">
        <f aca="false">IF(AO17="","",LOOKUP(AO17,$B$49:$B$59,$R$49:$R$59)*AP17)</f>
        <v/>
      </c>
      <c r="BB17" s="1535" t="n">
        <f aca="false">SUM(AR17:BA17)</f>
        <v>0</v>
      </c>
      <c r="BC17" s="1533" t="str">
        <f aca="false">IF(W17="","",LOOKUP(W17,$B$49:$B$59,$P$49:$P$59)*X17)</f>
        <v/>
      </c>
      <c r="BD17" s="1430" t="str">
        <f aca="false">IF(Y17="","",LOOKUP(Y17,$B$49:$B$59,$P$49:$P$59)*Z17)</f>
        <v/>
      </c>
      <c r="BE17" s="1430" t="str">
        <f aca="false">IF(AA17="","",LOOKUP(AA17,$B$49:$B$59,$P$49:$P$59)*AB17)</f>
        <v/>
      </c>
      <c r="BF17" s="1430" t="str">
        <f aca="false">IF(AC17="","",LOOKUP(AC17,$B$49:$B$59,$P$49:$P$59)*AD17)</f>
        <v/>
      </c>
      <c r="BG17" s="1430" t="str">
        <f aca="false">IF(AE17="","",LOOKUP(AE17,$B$49:$B$59,$P$49:$P$59)*AF17)</f>
        <v/>
      </c>
      <c r="BH17" s="1430" t="str">
        <f aca="false">IF(AG17="","",LOOKUP(AG17,$B$49:$B$59,$P$49:$P$59)*AH17)</f>
        <v/>
      </c>
      <c r="BI17" s="1430" t="str">
        <f aca="false">IF(AI17="","",LOOKUP(AI17,$B$49:$B$59,$P$49:$P$59)*AJ17)</f>
        <v/>
      </c>
      <c r="BJ17" s="1430" t="str">
        <f aca="false">IF(AK17="","",LOOKUP(AK17,$B$49:$B$59,$P$49:$P$59)*AL17)</f>
        <v/>
      </c>
      <c r="BK17" s="1430" t="str">
        <f aca="false">IF(AM17="","",LOOKUP(AM17,$B$49:$B$59,$P$49:$P$59)*AN17)</f>
        <v/>
      </c>
      <c r="BL17" s="1430" t="str">
        <f aca="false">IF(AO17="","",LOOKUP(AO17,$B$49:$B$59,$P$49:$P$59)*AP17)</f>
        <v/>
      </c>
      <c r="BM17" s="1535" t="n">
        <f aca="false">SUM(BC17:BL17)*BQ17</f>
        <v>0</v>
      </c>
      <c r="BN17" s="1536" t="n">
        <f aca="false">BM17+BO17</f>
        <v>0</v>
      </c>
      <c r="BO17" s="1536" t="n">
        <f aca="false">IF(M17=0,0,(M17/12+M17/12)/(M17/12*M17/12)*D17*((L17/16*L17/16)*10.6870159))*(1+K$70)*BQ17</f>
        <v>0</v>
      </c>
      <c r="BP17" s="1536" t="n">
        <f aca="false">IF(O17="Y",D17*(1+K$71)*BQ17,0)</f>
        <v>0</v>
      </c>
      <c r="BQ17" s="1538" t="n">
        <f aca="false">G17</f>
        <v>0</v>
      </c>
      <c r="BR17" s="1411" t="n">
        <f aca="false">IF(O17="y",D17,0)</f>
        <v>0</v>
      </c>
      <c r="BS17" s="1567" t="n">
        <f aca="false">IF($I17=1,$Q17,0)*BQ17</f>
        <v>0</v>
      </c>
      <c r="BT17" s="1536" t="n">
        <f aca="false">IF($I17=2,$Q17,0)*BQ17</f>
        <v>0</v>
      </c>
      <c r="BU17" s="1536" t="n">
        <f aca="false">IF($I17=3,$Q17,0)*BQ17</f>
        <v>0</v>
      </c>
      <c r="BV17" s="1536" t="n">
        <f aca="false">IF($I17=4,$Q17,0)*BQ17</f>
        <v>0</v>
      </c>
      <c r="BW17" s="1536" t="n">
        <f aca="false">IF($I17=5,$Q17,0)*BQ17</f>
        <v>0</v>
      </c>
      <c r="BX17" s="1536" t="n">
        <f aca="false">IF($I17=6,$Q17,0)*$BQ17</f>
        <v>0</v>
      </c>
      <c r="BY17" s="1536" t="n">
        <f aca="false">IF($I17=7,$Q17,0)*$BQ17</f>
        <v>0</v>
      </c>
      <c r="BZ17" s="1536" t="n">
        <f aca="false">IF($I17=8,$Q17,0)*$BQ17</f>
        <v>0</v>
      </c>
      <c r="CA17" s="1536" t="n">
        <f aca="false">IF($I17=9,$Q17,0)*$BQ17</f>
        <v>0</v>
      </c>
      <c r="CB17" s="1568" t="n">
        <f aca="false">IF($I17=10,$Q17,0)*$BQ17</f>
        <v>0</v>
      </c>
      <c r="CC17" s="1538" t="n">
        <f aca="false">SUM(BS17:BX17)</f>
        <v>0</v>
      </c>
      <c r="CD17" s="1538" t="n">
        <f aca="false">IF(H17="N",0,D17)*BQ17</f>
        <v>0</v>
      </c>
      <c r="CE17" s="1538" t="n">
        <f aca="false">K17*BQ17</f>
        <v>0</v>
      </c>
      <c r="CF17" s="1542" t="n">
        <f aca="false">ROUND(IF(W17="",0,LOOKUP(W17,B$49:B$59,D$49:D$59)*X17/12),0)</f>
        <v>0</v>
      </c>
      <c r="CG17" s="1542" t="n">
        <f aca="false">ROUND(IF(Y17="",0,LOOKUP(Y17,B$49:B$59,D$49:D$59)*Z17/12),0)</f>
        <v>0</v>
      </c>
      <c r="CH17" s="1542" t="n">
        <f aca="false">ROUND(IF(AA17="",0,LOOKUP(AA17,B$49:B$59,D$49:D$59)*AB17/12),0)</f>
        <v>0</v>
      </c>
      <c r="CI17" s="1538" t="n">
        <f aca="false">D17*BQ17</f>
        <v>0</v>
      </c>
      <c r="CJ17" s="1538" t="n">
        <f aca="false">D17*J17/324*(1+K$73)*G17</f>
        <v>0</v>
      </c>
      <c r="CK17" s="1538" t="str">
        <f aca="false">IF(N17="","",N17)</f>
        <v/>
      </c>
      <c r="CL17" s="1538" t="n">
        <f aca="false">P17*BQ17</f>
        <v>0</v>
      </c>
      <c r="CM17" s="1543" t="n">
        <f aca="false">IF(BQ17=0,0,SUM(CN17:DE17)/BQ17)</f>
        <v>0</v>
      </c>
      <c r="CN17" s="656" t="n">
        <f aca="false">(BS17*Pricing!F$3+BT17*Pricing!G$3+BU17*Pricing!H$3+BV17*Pricing!I$3+BW17*Pricing!J$3+BX17*Pricing!K$3+BY17*Pricing!L$3+BZ17*Pricing!M$3+CA17*Pricing!N$3+CB17*Pricing!O$3)*IF(W$44="N",(1+Y$44),1)</f>
        <v>0</v>
      </c>
      <c r="CO17" s="656" t="n">
        <f aca="false">BN17*G$70*IF(W$44="n",1+Y$44,1)</f>
        <v>0</v>
      </c>
      <c r="CP17" s="1544" t="n">
        <f aca="false">C17*D17</f>
        <v>0</v>
      </c>
      <c r="CQ17" s="656" t="n">
        <f aca="false">IF(I$79=0,0,D17*(SUM(O$79:P$82)+O$85)/I$79*BQ17)</f>
        <v>0</v>
      </c>
      <c r="CR17" s="656" t="n">
        <f aca="false">IF(CF17="",0,CF17*E$83)+IF(CG17="",0,CG17*E$83)+IF(CH17="",0,CH17*E$83)</f>
        <v>0</v>
      </c>
      <c r="CS17" s="656"/>
      <c r="CT17" s="1545" t="n">
        <f aca="false">(U17/2000)*E$87</f>
        <v>0</v>
      </c>
      <c r="CU17" s="656" t="n">
        <f aca="false">IF(I$79=0,0,D17*(O$88)/I$79*BQ17)</f>
        <v>0</v>
      </c>
      <c r="CV17" s="656" t="n">
        <f aca="false">IF(D$42=0,0,SUM(O$91:P$94)/D$42*D17)*BQ17</f>
        <v>0</v>
      </c>
      <c r="CW17" s="656" t="n">
        <f aca="false">IF(D$42=0,0,SUM(Z$66:Z$97)/D$42*D17*BQ17)</f>
        <v>0</v>
      </c>
      <c r="CX17" s="656" t="n">
        <f aca="false">IF(D$42=0,0,SUM(O$96:P$101)/D$42*D17)*BQ17</f>
        <v>0</v>
      </c>
      <c r="CY17" s="656" t="n">
        <f aca="false">IF(D$42=0,0,SUM(O$103:O$109)/D$42)*D17*BQ17</f>
        <v>0</v>
      </c>
      <c r="CZ17" s="656" t="n">
        <f aca="false">IF(I$79=0,0,IF(I$79=0,0,SUM(Z$98:Z$109)/I$79*D17))</f>
        <v>0</v>
      </c>
      <c r="DA17" s="656" t="n">
        <f aca="false">IF(J$72&gt;0,J$72/D$42*D17*G17,CD17*(G$72*IF(W$44="n",(1+Y$44),1)))</f>
        <v>0</v>
      </c>
      <c r="DB17" s="656" t="n">
        <f aca="false">IF(CK17="",0,CK17*E$86)</f>
        <v>0</v>
      </c>
      <c r="DC17" s="656" t="n">
        <f aca="false">BP17*G$71*IF(W$44="Y",1,1+Y$44)</f>
        <v>0</v>
      </c>
      <c r="DD17" s="656" t="n">
        <f aca="false">CJ17*G$73*IF(W$44="Y",1,1+Y$44)</f>
        <v>0</v>
      </c>
      <c r="DE17" s="1546" t="e">
        <f aca="false">O$110/I$79*D17</f>
        <v>#DIV/0!</v>
      </c>
      <c r="DF17" s="654" t="n">
        <f aca="false">IF(W17=1,X17*$AS$49,0)+IF(W17=2,X17*$AS$50,0)+IF(W17=3,X17*$AS$51,0)+IF(W17=4,X17*$AS$52,0)+IF(W17=5,X17*$AS$53,0)+IF(W17=6,X17*$AS$54)+IF(W17=7,X17*$AS$55)+IF(W17=8,X17*$AS$56)+IF(W17=9,X17*$AS$57)+IF(W17=10,X17*$AS$58)+IF(W17=11,X17*$AS$59,0)</f>
        <v>0</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0</v>
      </c>
      <c r="DJ17" s="654" t="n">
        <f aca="false">IF(AE17=1,AF17*$AS$49,0)+IF(AE17=2,AF17*$AS$50,0)+IF(AE17=3,AF17*$AS$51,0)+IF(AE17=4,AF17*$AS$52,0)+IF(AE17=5,AF17*$AS$53,0)+IF(AE17=6,AF17*$AS$54)+IF(AE17=7,AF17*$AS$55)+IF(AE17=8,AF17*$AS$56)+IF(AE17=9,AF17*$AS$57)+IF(AE17=10,AF17*$AS$58)+IF(AE17=11,AF17*$AS$59,0)</f>
        <v>0</v>
      </c>
      <c r="DK17" s="654" t="n">
        <f aca="false">IF(AG17=1,AH17*$AS$49,0)+IF(AG17=2,AH17*$AS$50,0)+IF(AG17=3,AH17*$AS$51,0)+IF(AG17=4,AH17*$AS$52,0)+IF(AG17=5,AH17*$AS$53,0)+IF(AG17=6,AH17*$AS$54)+IF(AG17=7,AH17*$AS$55)+IF(AG17=8,AH17*$AS$56)+IF(AG17=9,AH17*$AS$57)+IF(AG17=10,AH17*$AS$58)+IF(AG17=11,AH17*$AS$59,0)</f>
        <v>0</v>
      </c>
      <c r="DL17" s="654" t="n">
        <f aca="false">IF(AI17=1,AJ17*$AS$49,0)+IF(AI17=2,AJ17*$AS$50,0)+IF(AI17=3,AJ17*$AS$51,0)+IF(AI17=4,AJ17*$AS$52,0)+IF(AI17=5,AJ17*$AS$53,0)+IF(AI17=6,AJ17*$AS$54)+IF(AI17=7,AJ17*$AS$55)+IF(AI17=8,AJ17*$AS$56)+IF(AI17=9,AJ17*$AS$57)+IF(AI17=10,AJ17*$AS$58)+IF(AI17=11,AJ17*$AS$59,0)</f>
        <v>0</v>
      </c>
      <c r="DM17" s="654" t="n">
        <f aca="false">IF(AK17=1,AL17*$AS$49,0)+IF(AK17=2,AL17*$AS$50,0)+IF(AK17=3,AL17*$AS$51,0)+IF(AK17=4,AL17*$AS$52,0)+IF(AK17=5,AL17*$AS$53,0)+IF(AK17=6,AL17*$AS$54)+IF(AK17=7,AL17*$AS$55)+IF(AK17=8,AL17*$AS$56)+IF(AK17=9,AL17*$AS$57)+IF(AK17=10,AL17*$AS$58)+IF(AK17=11,AL17*$AS$59,0)</f>
        <v>0</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569" t="n">
        <f aca="false">D17</f>
        <v>0</v>
      </c>
      <c r="DQ17" s="1430" t="str">
        <f aca="false">IF(AC17="","",LOOKUP(AC17,$B$49:$B$59,$S$49:$S$59)*AD17)</f>
        <v/>
      </c>
      <c r="DR17" s="1430" t="str">
        <f aca="false">IF(AE17="","",LOOKUP(AE17,$B$49:$B$59,$S$49:$S$59)*AF17)</f>
        <v/>
      </c>
      <c r="DS17" s="1430" t="str">
        <f aca="false">IF(AG17="","",LOOKUP(AG17,$B$49:$B$59,$S$49:$S$59)*AH17)</f>
        <v/>
      </c>
      <c r="DT17" s="1430" t="str">
        <f aca="false">IF(AI17="","",LOOKUP(AI17,$B$49:$B$59,$S$49:$S$59)*AJ17)</f>
        <v/>
      </c>
      <c r="DU17" s="1430" t="str">
        <f aca="false">IF(AK17="","",LOOKUP(AK17,$B$49:$B$59,$S$49:$S$59)*AL17)</f>
        <v/>
      </c>
      <c r="DV17" s="1430" t="str">
        <f aca="false">IF(AM17="","",LOOKUP(AM17,$B$49:$B$59,$S$49:$S$59)*AN17)</f>
        <v/>
      </c>
      <c r="DW17" s="1430" t="str">
        <f aca="false">IF(AO17="","",LOOKUP(AO17,$B$49:$B$59,$S$49:$S$59)*AP17)</f>
        <v/>
      </c>
      <c r="DX17" s="1535" t="n">
        <f aca="false">SUM(DQ17:DW17)-(D17-EF17)*(S$45-F17)/324</f>
        <v>0</v>
      </c>
      <c r="DY17" s="1430" t="str">
        <f aca="false">IF(AC17="","",LOOKUP(AC17,$B$49:$B$59,$T$49:$T$59)*AD17)</f>
        <v/>
      </c>
      <c r="DZ17" s="1430" t="str">
        <f aca="false">IF(AE17="","",LOOKUP(AE17,$B$49:$B$59,$T$49:$T$59)*AF17)</f>
        <v/>
      </c>
      <c r="EA17" s="1430" t="str">
        <f aca="false">IF(AG17="","",LOOKUP(AG17,$B$49:$B$59,$T$49:$T$59)*AH17)</f>
        <v/>
      </c>
      <c r="EB17" s="1430" t="str">
        <f aca="false">IF(AI17="","",LOOKUP(AI17,$B$49:$B$59,$T$49:$T$59)*AJ17)</f>
        <v/>
      </c>
      <c r="EC17" s="1430" t="str">
        <f aca="false">IF(AK17="","",LOOKUP(AK17,$B$49:$B$59,$T$49:$T$59)*AL17)</f>
        <v/>
      </c>
      <c r="ED17" s="1430" t="str">
        <f aca="false">IF(AM17="","",LOOKUP(AM17,$B$49:$B$59,$T$49:$T$59)*AN17)</f>
        <v/>
      </c>
      <c r="EE17" s="1430" t="str">
        <f aca="false">IF(AO17="","",LOOKUP(AO17,$B$49:$B$59,$T$49:$T$59)*AP17)</f>
        <v/>
      </c>
      <c r="EF17" s="1535" t="n">
        <f aca="false">SUM(DY17:EE17)</f>
        <v>0</v>
      </c>
    </row>
    <row r="18" customFormat="false" ht="19.5" hidden="false" customHeight="true" outlineLevel="0" collapsed="false">
      <c r="A18" s="16" t="s">
        <v>1076</v>
      </c>
      <c r="B18" s="920"/>
      <c r="C18" s="1506"/>
      <c r="D18" s="1507"/>
      <c r="E18" s="1508"/>
      <c r="F18" s="1352"/>
      <c r="G18" s="1553"/>
      <c r="H18" s="1352"/>
      <c r="I18" s="1509"/>
      <c r="J18" s="1352"/>
      <c r="K18" s="1510"/>
      <c r="L18" s="528"/>
      <c r="M18" s="895"/>
      <c r="N18" s="1513"/>
      <c r="O18" s="1514"/>
      <c r="P18" s="1515" t="n">
        <f aca="false">IF(BQ18=0,0,BN18/BQ18)</f>
        <v>0</v>
      </c>
      <c r="Q18" s="1516" t="n">
        <f aca="false">(D18*F18/324)*(1+K$65)+BB18</f>
        <v>0</v>
      </c>
      <c r="R18" s="1517" t="n">
        <f aca="false">IF(D18=0,0,S18/D18)</f>
        <v>0</v>
      </c>
      <c r="S18" s="1518" t="e">
        <f aca="false">SUM(CM18-DE18)*(1+M$45)</f>
        <v>#DIV/0!</v>
      </c>
      <c r="T18" s="1519" t="n">
        <f aca="false">CF18+CG18+CH18</f>
        <v>0</v>
      </c>
      <c r="U18" s="1520" t="n">
        <f aca="false">IF(P18-(D18*0.35)&lt;0,0,P18-(D18*0.35))</f>
        <v>0</v>
      </c>
      <c r="V18" s="1521" t="n">
        <f aca="false">IF(D18="",0,IF(D18/-30+Q18&lt;1,0,D18/-30+Q18))</f>
        <v>0</v>
      </c>
      <c r="W18" s="528"/>
      <c r="X18" s="1526"/>
      <c r="Y18" s="528"/>
      <c r="Z18" s="1574"/>
      <c r="AA18" s="528"/>
      <c r="AB18" s="1574"/>
      <c r="AC18" s="1525"/>
      <c r="AD18" s="1526"/>
      <c r="AE18" s="1511"/>
      <c r="AF18" s="1527"/>
      <c r="AG18" s="1528"/>
      <c r="AH18" s="1527"/>
      <c r="AI18" s="1529"/>
      <c r="AJ18" s="1530"/>
      <c r="AK18" s="1531"/>
      <c r="AL18" s="1527"/>
      <c r="AM18" s="528"/>
      <c r="AN18" s="1575"/>
      <c r="AO18" s="528"/>
      <c r="AP18" s="1574"/>
      <c r="AQ18" s="1435" t="e">
        <f aca="false">D18/Q18</f>
        <v>#DIV/0!</v>
      </c>
      <c r="AR18" s="1533" t="str">
        <f aca="false">IF(W18="","",LOOKUP(W18,$B$49:$B$59,$R$49:$R$59)*X18)</f>
        <v/>
      </c>
      <c r="AS18" s="1430" t="str">
        <f aca="false">IF(Y18="","",LOOKUP(Y18,$B$49:$B$59,$R$49:$R$59)*Z18)</f>
        <v/>
      </c>
      <c r="AT18" s="1430" t="str">
        <f aca="false">IF(AB18="","",LOOKUP(AA18,$B$49:$B$59,$R$49:$R$59)*AB18)</f>
        <v/>
      </c>
      <c r="AU18" s="1430" t="str">
        <f aca="false">IF(AC18="","",LOOKUP(AC18,$B$49:$B$59,$R$49:$R$59)*AD18)</f>
        <v/>
      </c>
      <c r="AV18" s="1430" t="str">
        <f aca="false">IF(AE18="","",LOOKUP(AE18,$B$49:$B$59,$R$49:$R$59)*AF18)</f>
        <v/>
      </c>
      <c r="AW18" s="1430" t="str">
        <f aca="false">IF(AG18="","",LOOKUP(AG18,$B$49:$B$59,$R$49:$R$59)*AH18)</f>
        <v/>
      </c>
      <c r="AX18" s="1430" t="str">
        <f aca="false">IF(AI18="","",LOOKUP(AI18,$B$49:$B$59,$R$49:$R$59)*AJ18)</f>
        <v/>
      </c>
      <c r="AY18" s="1430" t="str">
        <f aca="false">IF(AK18="","",LOOKUP(AK18,$B$49:$B$59,$R$49:$R$59)*AL18)</f>
        <v/>
      </c>
      <c r="AZ18" s="1430" t="str">
        <f aca="false">IF(AM18="","",LOOKUP(AM18,$B$49:$B$59,$R$49:$R$59)*AN18)</f>
        <v/>
      </c>
      <c r="BA18" s="1430" t="str">
        <f aca="false">IF(AO18="","",LOOKUP(AO18,$B$49:$B$59,$R$49:$R$59)*AP18)</f>
        <v/>
      </c>
      <c r="BB18" s="1535" t="n">
        <f aca="false">SUM(AR18:BA18)</f>
        <v>0</v>
      </c>
      <c r="BC18" s="1533" t="str">
        <f aca="false">IF(W18="","",LOOKUP(W18,$B$49:$B$59,$P$49:$P$59)*X18)</f>
        <v/>
      </c>
      <c r="BD18" s="1430" t="str">
        <f aca="false">IF(Y18="","",LOOKUP(Y18,$B$49:$B$59,$P$49:$P$59)*Z18)</f>
        <v/>
      </c>
      <c r="BE18" s="1430" t="str">
        <f aca="false">IF(AA18="","",LOOKUP(AA18,$B$49:$B$59,$P$49:$P$59)*AB18)</f>
        <v/>
      </c>
      <c r="BF18" s="1430" t="str">
        <f aca="false">IF(AC18="","",LOOKUP(AC18,$B$49:$B$59,$P$49:$P$59)*AD18)</f>
        <v/>
      </c>
      <c r="BG18" s="1430" t="str">
        <f aca="false">IF(AE18="","",LOOKUP(AE18,$B$49:$B$59,$P$49:$P$59)*AF18)</f>
        <v/>
      </c>
      <c r="BH18" s="1430" t="str">
        <f aca="false">IF(AG18="","",LOOKUP(AG18,$B$49:$B$59,$P$49:$P$59)*AH18)</f>
        <v/>
      </c>
      <c r="BI18" s="1430" t="str">
        <f aca="false">IF(AI18="","",LOOKUP(AI18,$B$49:$B$59,$P$49:$P$59)*AJ18)</f>
        <v/>
      </c>
      <c r="BJ18" s="1430" t="str">
        <f aca="false">IF(AK18="","",LOOKUP(AK18,$B$49:$B$59,$P$49:$P$59)*AL18)</f>
        <v/>
      </c>
      <c r="BK18" s="1430" t="str">
        <f aca="false">IF(AM18="","",LOOKUP(AM18,$B$49:$B$59,$P$49:$P$59)*AN18)</f>
        <v/>
      </c>
      <c r="BL18" s="1430" t="str">
        <f aca="false">IF(AO18="","",LOOKUP(AO18,$B$49:$B$59,$P$49:$P$59)*AP18)</f>
        <v/>
      </c>
      <c r="BM18" s="1535" t="n">
        <f aca="false">SUM(BC18:BL18)*BQ18</f>
        <v>0</v>
      </c>
      <c r="BN18" s="1536" t="n">
        <f aca="false">BM18+BO18</f>
        <v>0</v>
      </c>
      <c r="BO18" s="1536" t="n">
        <f aca="false">IF(M18=0,0,(M18/12+M18/12)/(M18/12*M18/12)*D18*((L18/16*L18/16)*10.6870159))*(1+K$70)*BQ18</f>
        <v>0</v>
      </c>
      <c r="BP18" s="1536" t="n">
        <f aca="false">IF(O18="Y",D18*(1+K$71)*BQ18,0)</f>
        <v>0</v>
      </c>
      <c r="BQ18" s="1538" t="n">
        <f aca="false">G18</f>
        <v>0</v>
      </c>
      <c r="BR18" s="1411" t="n">
        <f aca="false">IF(O18="y",D18,0)</f>
        <v>0</v>
      </c>
      <c r="BS18" s="1567" t="n">
        <f aca="false">IF($I18=1,$Q18,0)*BQ18</f>
        <v>0</v>
      </c>
      <c r="BT18" s="1536" t="n">
        <f aca="false">IF($I18=2,$Q18,0)*BQ18</f>
        <v>0</v>
      </c>
      <c r="BU18" s="1536" t="n">
        <f aca="false">IF($I18=3,$Q18,0)*BQ18</f>
        <v>0</v>
      </c>
      <c r="BV18" s="1536" t="n">
        <f aca="false">IF($I18=4,$Q18,0)*BQ18</f>
        <v>0</v>
      </c>
      <c r="BW18" s="1536" t="n">
        <f aca="false">IF($I18=5,$Q18,0)*BQ18</f>
        <v>0</v>
      </c>
      <c r="BX18" s="1536" t="n">
        <f aca="false">IF($I18=6,$Q18,0)*$BQ18</f>
        <v>0</v>
      </c>
      <c r="BY18" s="1536" t="n">
        <f aca="false">IF($I18=7,$Q18,0)*$BQ18</f>
        <v>0</v>
      </c>
      <c r="BZ18" s="1536" t="n">
        <f aca="false">IF($I18=8,$Q18,0)*$BQ18</f>
        <v>0</v>
      </c>
      <c r="CA18" s="1536" t="n">
        <f aca="false">IF($I18=9,$Q18,0)*$BQ18</f>
        <v>0</v>
      </c>
      <c r="CB18" s="1568" t="n">
        <f aca="false">IF($I18=10,$Q18,0)*$BQ18</f>
        <v>0</v>
      </c>
      <c r="CC18" s="1538" t="n">
        <f aca="false">SUM(BS18:BX18)</f>
        <v>0</v>
      </c>
      <c r="CD18" s="1538" t="n">
        <f aca="false">IF(H18="N",0,D18)*BQ18</f>
        <v>0</v>
      </c>
      <c r="CE18" s="1538" t="n">
        <f aca="false">K18*BQ18</f>
        <v>0</v>
      </c>
      <c r="CF18" s="1542" t="n">
        <f aca="false">ROUND(IF(W18="",0,LOOKUP(W18,B$49:B$59,D$49:D$59)*X18/12),0)</f>
        <v>0</v>
      </c>
      <c r="CG18" s="1542" t="n">
        <f aca="false">ROUND(IF(Y18="",0,LOOKUP(Y18,B$49:B$59,D$49:D$59)*Z18/12),0)</f>
        <v>0</v>
      </c>
      <c r="CH18" s="1542" t="n">
        <f aca="false">ROUND(IF(AA18="",0,LOOKUP(AA18,B$49:B$59,D$49:D$59)*AB18/12),0)</f>
        <v>0</v>
      </c>
      <c r="CI18" s="1538" t="n">
        <f aca="false">D18*BQ18</f>
        <v>0</v>
      </c>
      <c r="CJ18" s="1538" t="n">
        <f aca="false">D18*J18/324*(1+K$73)*G18</f>
        <v>0</v>
      </c>
      <c r="CK18" s="1538" t="str">
        <f aca="false">IF(N18="","",N18)</f>
        <v/>
      </c>
      <c r="CL18" s="1538" t="n">
        <f aca="false">P18*BQ18</f>
        <v>0</v>
      </c>
      <c r="CM18" s="1543" t="n">
        <f aca="false">IF(BQ18=0,0,SUM(CN18:DE18)/BQ18)</f>
        <v>0</v>
      </c>
      <c r="CN18" s="656" t="n">
        <f aca="false">(BS18*Pricing!F$3+BT18*Pricing!G$3+BU18*Pricing!H$3+BV18*Pricing!I$3+BW18*Pricing!J$3+BX18*Pricing!K$3+BY18*Pricing!L$3+BZ18*Pricing!M$3+CA18*Pricing!N$3+CB18*Pricing!O$3)*IF(W$44="N",(1+Y$44),1)</f>
        <v>0</v>
      </c>
      <c r="CO18" s="656" t="n">
        <f aca="false">BN18*G$70*IF(W$44="n",1+Y$44,1)</f>
        <v>0</v>
      </c>
      <c r="CP18" s="1544" t="n">
        <f aca="false">C18*D18</f>
        <v>0</v>
      </c>
      <c r="CQ18" s="656" t="n">
        <f aca="false">IF(I$79=0,0,D18*(SUM(O$79:P$82)+O$85)/I$79*BQ18)</f>
        <v>0</v>
      </c>
      <c r="CR18" s="656" t="n">
        <f aca="false">IF(CF18="",0,CF18*E$83)+IF(CG18="",0,CG18*E$83)+IF(CH18="",0,CH18*E$83)</f>
        <v>0</v>
      </c>
      <c r="CS18" s="656"/>
      <c r="CT18" s="1545" t="n">
        <f aca="false">(U18/2000)*E$87</f>
        <v>0</v>
      </c>
      <c r="CU18" s="656" t="n">
        <f aca="false">IF(I$79=0,0,D18*(O$88)/I$79*BQ18)</f>
        <v>0</v>
      </c>
      <c r="CV18" s="656" t="n">
        <f aca="false">IF(D$42=0,0,SUM(O$91:P$94)/D$42*D18)*BQ18</f>
        <v>0</v>
      </c>
      <c r="CW18" s="656" t="n">
        <f aca="false">IF(D$42=0,0,SUM(Z$66:Z$97)/D$42*D18*BQ18)</f>
        <v>0</v>
      </c>
      <c r="CX18" s="656" t="n">
        <f aca="false">IF(D$42=0,0,SUM(O$96:P$101)/D$42*D18)*BQ18</f>
        <v>0</v>
      </c>
      <c r="CY18" s="656" t="n">
        <f aca="false">IF(D$42=0,0,SUM(O$103:O$109)/D$42)*D18*BQ18</f>
        <v>0</v>
      </c>
      <c r="CZ18" s="656" t="n">
        <f aca="false">IF(I$79=0,0,IF(I$79=0,0,SUM(Z$98:Z$109)/I$79*D18))</f>
        <v>0</v>
      </c>
      <c r="DA18" s="656" t="n">
        <f aca="false">IF(J$72&gt;0,J$72/D$42*D18*G18,CD18*(G$72*IF(W$44="n",(1+Y$44),1)))</f>
        <v>0</v>
      </c>
      <c r="DB18" s="656" t="n">
        <f aca="false">IF(CK18="",0,CK18*E$86)</f>
        <v>0</v>
      </c>
      <c r="DC18" s="656" t="n">
        <f aca="false">BP18*G$71*IF(W$44="Y",1,1+Y$44)</f>
        <v>0</v>
      </c>
      <c r="DD18" s="656" t="n">
        <f aca="false">CJ18*G$73*IF(W$44="Y",1,1+Y$44)</f>
        <v>0</v>
      </c>
      <c r="DE18" s="1546" t="e">
        <f aca="false">O$110/I$79*D18</f>
        <v>#DIV/0!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0</v>
      </c>
      <c r="DJ18" s="654" t="n">
        <f aca="false">IF(AE18=1,AF18*$AS$49,0)+IF(AE18=2,AF18*$AS$50,0)+IF(AE18=3,AF18*$AS$51,0)+IF(AE18=4,AF18*$AS$52,0)+IF(AE18=5,AF18*$AS$53,0)+IF(AE18=6,AF18*$AS$54)+IF(AE18=7,AF18*$AS$55)+IF(AE18=8,AF18*$AS$56)+IF(AE18=9,AF18*$AS$57)+IF(AE18=10,AF18*$AS$58)+IF(AE18=11,AF18*$AS$59,0)</f>
        <v>0</v>
      </c>
      <c r="DK18" s="654" t="n">
        <f aca="false">IF(AG18=1,AH18*$AS$49,0)+IF(AG18=2,AH18*$AS$50,0)+IF(AG18=3,AH18*$AS$51,0)+IF(AG18=4,AH18*$AS$52,0)+IF(AG18=5,AH18*$AS$53,0)+IF(AG18=6,AH18*$AS$54)+IF(AG18=7,AH18*$AS$55)+IF(AG18=8,AH18*$AS$56)+IF(AG18=9,AH18*$AS$57)+IF(AG18=10,AH18*$AS$58)+IF(AG18=11,AH18*$AS$59,0)</f>
        <v>0</v>
      </c>
      <c r="DL18" s="654" t="n">
        <f aca="false">IF(AI18=1,AJ18*$AS$49,0)+IF(AI18=2,AJ18*$AS$50,0)+IF(AI18=3,AJ18*$AS$51,0)+IF(AI18=4,AJ18*$AS$52,0)+IF(AI18=5,AJ18*$AS$53,0)+IF(AI18=6,AJ18*$AS$54)+IF(AI18=7,AJ18*$AS$55)+IF(AI18=8,AJ18*$AS$56)+IF(AI18=9,AJ18*$AS$57)+IF(AI18=10,AJ18*$AS$58)+IF(AI18=11,AJ18*$AS$59,0)</f>
        <v>0</v>
      </c>
      <c r="DM18" s="654" t="n">
        <f aca="false">IF(AK18=1,AL18*$AS$49,0)+IF(AK18=2,AL18*$AS$50,0)+IF(AK18=3,AL18*$AS$51,0)+IF(AK18=4,AL18*$AS$52,0)+IF(AK18=5,AL18*$AS$53,0)+IF(AK18=6,AL18*$AS$54)+IF(AK18=7,AL18*$AS$55)+IF(AK18=8,AL18*$AS$56)+IF(AK18=9,AL18*$AS$57)+IF(AK18=10,AL18*$AS$58)+IF(AK18=11,AL18*$AS$59,0)</f>
        <v>0</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569" t="n">
        <f aca="false">D18</f>
        <v>0</v>
      </c>
      <c r="DQ18" s="1430" t="str">
        <f aca="false">IF(AC18="","",LOOKUP(AC18,$B$49:$B$59,$S$49:$S$59)*AD18)</f>
        <v/>
      </c>
      <c r="DR18" s="1430" t="str">
        <f aca="false">IF(AE18="","",LOOKUP(AE18,$B$49:$B$59,$S$49:$S$59)*AF18)</f>
        <v/>
      </c>
      <c r="DS18" s="1430" t="str">
        <f aca="false">IF(AG18="","",LOOKUP(AG18,$B$49:$B$59,$S$49:$S$59)*AH18)</f>
        <v/>
      </c>
      <c r="DT18" s="1430" t="str">
        <f aca="false">IF(AI18="","",LOOKUP(AI18,$B$49:$B$59,$S$49:$S$59)*AJ18)</f>
        <v/>
      </c>
      <c r="DU18" s="1430" t="str">
        <f aca="false">IF(AK18="","",LOOKUP(AK18,$B$49:$B$59,$S$49:$S$59)*AL18)</f>
        <v/>
      </c>
      <c r="DV18" s="1430" t="str">
        <f aca="false">IF(AM18="","",LOOKUP(AM18,$B$49:$B$59,$S$49:$S$59)*AN18)</f>
        <v/>
      </c>
      <c r="DW18" s="1430" t="str">
        <f aca="false">IF(AO18="","",LOOKUP(AO18,$B$49:$B$59,$S$49:$S$59)*AP18)</f>
        <v/>
      </c>
      <c r="DX18" s="1535" t="n">
        <f aca="false">SUM(DQ18:DW18)-(D18-EF18)*(S$45-F18)/324</f>
        <v>0</v>
      </c>
      <c r="DY18" s="1430" t="str">
        <f aca="false">IF(AC18="","",LOOKUP(AC18,$B$49:$B$59,$T$49:$T$59)*AD18)</f>
        <v/>
      </c>
      <c r="DZ18" s="1430" t="str">
        <f aca="false">IF(AE18="","",LOOKUP(AE18,$B$49:$B$59,$T$49:$T$59)*AF18)</f>
        <v/>
      </c>
      <c r="EA18" s="1430" t="str">
        <f aca="false">IF(AG18="","",LOOKUP(AG18,$B$49:$B$59,$T$49:$T$59)*AH18)</f>
        <v/>
      </c>
      <c r="EB18" s="1430" t="str">
        <f aca="false">IF(AI18="","",LOOKUP(AI18,$B$49:$B$59,$T$49:$T$59)*AJ18)</f>
        <v/>
      </c>
      <c r="EC18" s="1430" t="str">
        <f aca="false">IF(AK18="","",LOOKUP(AK18,$B$49:$B$59,$T$49:$T$59)*AL18)</f>
        <v/>
      </c>
      <c r="ED18" s="1430" t="str">
        <f aca="false">IF(AM18="","",LOOKUP(AM18,$B$49:$B$59,$T$49:$T$59)*AN18)</f>
        <v/>
      </c>
      <c r="EE18" s="1430" t="str">
        <f aca="false">IF(AO18="","",LOOKUP(AO18,$B$49:$B$59,$T$49:$T$59)*AP18)</f>
        <v/>
      </c>
      <c r="EF18" s="1535" t="n">
        <f aca="false">SUM(DY18:EE18)</f>
        <v>0</v>
      </c>
    </row>
    <row r="19" customFormat="false" ht="19.5" hidden="false" customHeight="true" outlineLevel="0" collapsed="false">
      <c r="A19" s="16" t="s">
        <v>1342</v>
      </c>
      <c r="B19" s="1549"/>
      <c r="C19" s="1550"/>
      <c r="D19" s="1551"/>
      <c r="E19" s="1552"/>
      <c r="F19" s="1074"/>
      <c r="G19" s="1553"/>
      <c r="H19" s="1074"/>
      <c r="I19" s="1553"/>
      <c r="J19" s="1074"/>
      <c r="K19" s="1554"/>
      <c r="L19" s="1559"/>
      <c r="M19" s="1556"/>
      <c r="N19" s="1557"/>
      <c r="O19" s="1558"/>
      <c r="P19" s="1515" t="n">
        <f aca="false">IF(BQ19=0,0,BN19/BQ19)</f>
        <v>0</v>
      </c>
      <c r="Q19" s="1516" t="n">
        <f aca="false">(D19*F19/324)*(1+K$65)+BB19</f>
        <v>0</v>
      </c>
      <c r="R19" s="1517" t="n">
        <f aca="false">IF(D19=0,0,S19/D19)</f>
        <v>0</v>
      </c>
      <c r="S19" s="1518" t="e">
        <f aca="false">SUM(CM19-DE19)*(1+M$45)</f>
        <v>#DIV/0!</v>
      </c>
      <c r="T19" s="1519" t="n">
        <f aca="false">CF19+CG19+CH19</f>
        <v>0</v>
      </c>
      <c r="U19" s="1520" t="n">
        <f aca="false">IF(P19-(D19*0.35)&lt;0,0,P19-(D19*0.35))</f>
        <v>0</v>
      </c>
      <c r="V19" s="1521" t="n">
        <f aca="false">IF(D19="",0,IF(D19/-30+Q19&lt;1,0,D19/-30+Q19))</f>
        <v>0</v>
      </c>
      <c r="W19" s="1559"/>
      <c r="X19" s="1560"/>
      <c r="Y19" s="1559"/>
      <c r="Z19" s="1577"/>
      <c r="AA19" s="1559"/>
      <c r="AB19" s="1577"/>
      <c r="AC19" s="1562"/>
      <c r="AD19" s="1560"/>
      <c r="AE19" s="1559"/>
      <c r="AF19" s="1563"/>
      <c r="AG19" s="1564"/>
      <c r="AH19" s="1563"/>
      <c r="AI19" s="1565"/>
      <c r="AJ19" s="1560"/>
      <c r="AK19" s="1565"/>
      <c r="AL19" s="1563"/>
      <c r="AM19" s="1559"/>
      <c r="AN19" s="1578"/>
      <c r="AO19" s="1559"/>
      <c r="AP19" s="1577"/>
      <c r="AQ19" s="1435" t="e">
        <f aca="false">D19/Q19</f>
        <v>#DIV/0!</v>
      </c>
      <c r="AR19" s="1533" t="str">
        <f aca="false">IF(W19="","",LOOKUP(W19,$B$49:$B$59,$R$49:$R$59)*X19)</f>
        <v/>
      </c>
      <c r="AS19" s="1430" t="str">
        <f aca="false">IF(Y19="","",LOOKUP(Y19,$B$49:$B$59,$R$49:$R$59)*Z19)</f>
        <v/>
      </c>
      <c r="AT19" s="1430" t="str">
        <f aca="false">IF(AB19="","",LOOKUP(AA19,$B$49:$B$59,$R$49:$R$59)*AB19)</f>
        <v/>
      </c>
      <c r="AU19" s="1430" t="str">
        <f aca="false">IF(AC19="","",LOOKUP(AC19,$B$49:$B$59,$R$49:$R$59)*AD19)</f>
        <v/>
      </c>
      <c r="AV19" s="1430" t="str">
        <f aca="false">IF(AE19="","",LOOKUP(AE19,$B$49:$B$59,$R$49:$R$59)*AF19)</f>
        <v/>
      </c>
      <c r="AW19" s="1430" t="str">
        <f aca="false">IF(AG19="","",LOOKUP(AG19,$B$49:$B$59,$R$49:$R$59)*AH19)</f>
        <v/>
      </c>
      <c r="AX19" s="1430" t="str">
        <f aca="false">IF(AI19="","",LOOKUP(AI19,$B$49:$B$59,$R$49:$R$59)*AJ19)</f>
        <v/>
      </c>
      <c r="AY19" s="1430" t="str">
        <f aca="false">IF(AK19="","",LOOKUP(AK19,$B$49:$B$59,$R$49:$R$59)*AL19)</f>
        <v/>
      </c>
      <c r="AZ19" s="1430" t="str">
        <f aca="false">IF(AM19="","",LOOKUP(AM19,$B$49:$B$59,$R$49:$R$59)*AN19)</f>
        <v/>
      </c>
      <c r="BA19" s="1430" t="str">
        <f aca="false">IF(AO19="","",LOOKUP(AO19,$B$49:$B$59,$R$49:$R$59)*AP19)</f>
        <v/>
      </c>
      <c r="BB19" s="1535" t="n">
        <f aca="false">SUM(AR19:BA19)</f>
        <v>0</v>
      </c>
      <c r="BC19" s="1533" t="str">
        <f aca="false">IF(W19="","",LOOKUP(W19,$B$49:$B$59,$P$49:$P$59)*X19)</f>
        <v/>
      </c>
      <c r="BD19" s="1430" t="str">
        <f aca="false">IF(Y19="","",LOOKUP(Y19,$B$49:$B$59,$P$49:$P$59)*Z19)</f>
        <v/>
      </c>
      <c r="BE19" s="1430" t="str">
        <f aca="false">IF(AA19="","",LOOKUP(AA19,$B$49:$B$59,$P$49:$P$59)*AB19)</f>
        <v/>
      </c>
      <c r="BF19" s="1430" t="str">
        <f aca="false">IF(AC19="","",LOOKUP(AC19,$B$49:$B$59,$P$49:$P$59)*AD19)</f>
        <v/>
      </c>
      <c r="BG19" s="1430" t="str">
        <f aca="false">IF(AE19="","",LOOKUP(AE19,$B$49:$B$59,$P$49:$P$59)*AF19)</f>
        <v/>
      </c>
      <c r="BH19" s="1430" t="str">
        <f aca="false">IF(AG19="","",LOOKUP(AG19,$B$49:$B$59,$P$49:$P$59)*AH19)</f>
        <v/>
      </c>
      <c r="BI19" s="1430" t="str">
        <f aca="false">IF(AI19="","",LOOKUP(AI19,$B$49:$B$59,$P$49:$P$59)*AJ19)</f>
        <v/>
      </c>
      <c r="BJ19" s="1430" t="str">
        <f aca="false">IF(AK19="","",LOOKUP(AK19,$B$49:$B$59,$P$49:$P$59)*AL19)</f>
        <v/>
      </c>
      <c r="BK19" s="1430" t="str">
        <f aca="false">IF(AM19="","",LOOKUP(AM19,$B$49:$B$59,$P$49:$P$59)*AN19)</f>
        <v/>
      </c>
      <c r="BL19" s="1430" t="str">
        <f aca="false">IF(AO19="","",LOOKUP(AO19,$B$49:$B$59,$P$49:$P$59)*AP19)</f>
        <v/>
      </c>
      <c r="BM19" s="1535" t="n">
        <f aca="false">SUM(BC19:BL19)*BQ19</f>
        <v>0</v>
      </c>
      <c r="BN19" s="1536" t="n">
        <f aca="false">BM19+BO19</f>
        <v>0</v>
      </c>
      <c r="BO19" s="1536" t="n">
        <f aca="false">IF(M19=0,0,(M19/12+M19/12)/(M19/12*M19/12)*D19*((L19/16*L19/16)*10.6870159))*(1+K$70)*BQ19</f>
        <v>0</v>
      </c>
      <c r="BP19" s="1536" t="n">
        <f aca="false">IF(O19="Y",D19*(1+K$71)*BQ19,0)</f>
        <v>0</v>
      </c>
      <c r="BQ19" s="1538" t="n">
        <f aca="false">G19</f>
        <v>0</v>
      </c>
      <c r="BR19" s="1411" t="n">
        <f aca="false">IF(O19="y",D19,0)</f>
        <v>0</v>
      </c>
      <c r="BS19" s="1567" t="n">
        <f aca="false">IF($I19=1,$Q19,0)*BQ19</f>
        <v>0</v>
      </c>
      <c r="BT19" s="1536" t="n">
        <f aca="false">IF($I19=2,$Q19,0)*BQ19</f>
        <v>0</v>
      </c>
      <c r="BU19" s="1536" t="n">
        <f aca="false">IF($I19=3,$Q19,0)*BQ19</f>
        <v>0</v>
      </c>
      <c r="BV19" s="1536" t="n">
        <f aca="false">IF($I19=4,$Q19,0)*BQ19</f>
        <v>0</v>
      </c>
      <c r="BW19" s="1536" t="n">
        <f aca="false">IF($I19=5,$Q19,0)*BQ19</f>
        <v>0</v>
      </c>
      <c r="BX19" s="1536" t="n">
        <f aca="false">IF($I19=6,$Q19,0)*$BQ19</f>
        <v>0</v>
      </c>
      <c r="BY19" s="1536" t="n">
        <f aca="false">IF($I19=7,$Q19,0)*$BQ19</f>
        <v>0</v>
      </c>
      <c r="BZ19" s="1536" t="n">
        <f aca="false">IF($I19=8,$Q19,0)*$BQ19</f>
        <v>0</v>
      </c>
      <c r="CA19" s="1536" t="n">
        <f aca="false">IF($I19=9,$Q19,0)*$BQ19</f>
        <v>0</v>
      </c>
      <c r="CB19" s="1568" t="n">
        <f aca="false">IF($I19=10,$Q19,0)*$BQ19</f>
        <v>0</v>
      </c>
      <c r="CC19" s="1538" t="n">
        <f aca="false">SUM(BS19:BX19)</f>
        <v>0</v>
      </c>
      <c r="CD19" s="1538" t="n">
        <f aca="false">IF(H19="N",0,D19)*BQ19</f>
        <v>0</v>
      </c>
      <c r="CE19" s="1538" t="n">
        <f aca="false">K19*BQ19</f>
        <v>0</v>
      </c>
      <c r="CF19" s="1542" t="n">
        <f aca="false">ROUND(IF(W19="",0,LOOKUP(W19,B$49:B$59,D$49:D$59)*X19/12),0)</f>
        <v>0</v>
      </c>
      <c r="CG19" s="1542" t="n">
        <f aca="false">ROUND(IF(Y19="",0,LOOKUP(Y19,B$49:B$59,D$49:D$59)*Z19/12),0)</f>
        <v>0</v>
      </c>
      <c r="CH19" s="1542" t="n">
        <f aca="false">ROUND(IF(AA19="",0,LOOKUP(AA19,B$49:B$59,D$49:D$59)*AB19/12),0)</f>
        <v>0</v>
      </c>
      <c r="CI19" s="1538" t="n">
        <f aca="false">D19*BQ19</f>
        <v>0</v>
      </c>
      <c r="CJ19" s="1538" t="n">
        <f aca="false">D19*J19/324*(1+K$73)*G19</f>
        <v>0</v>
      </c>
      <c r="CK19" s="1538" t="str">
        <f aca="false">IF(N19="","",N19)</f>
        <v/>
      </c>
      <c r="CL19" s="1538" t="n">
        <f aca="false">P19*BQ19</f>
        <v>0</v>
      </c>
      <c r="CM19" s="1543" t="n">
        <f aca="false">IF(BQ19=0,0,SUM(CN19:DE19)/BQ19)</f>
        <v>0</v>
      </c>
      <c r="CN19" s="656" t="n">
        <f aca="false">(BS19*Pricing!F$3+BT19*Pricing!G$3+BU19*Pricing!H$3+BV19*Pricing!I$3+BW19*Pricing!J$3+BX19*Pricing!K$3+BY19*Pricing!L$3+BZ19*Pricing!M$3+CA19*Pricing!N$3+CB19*Pricing!O$3)*IF(W$44="N",(1+Y$44),1)</f>
        <v>0</v>
      </c>
      <c r="CO19" s="656" t="n">
        <f aca="false">BN19*G$70*IF(W$44="n",1+Y$44,1)</f>
        <v>0</v>
      </c>
      <c r="CP19" s="1544" t="n">
        <f aca="false">C19*D19</f>
        <v>0</v>
      </c>
      <c r="CQ19" s="656" t="n">
        <f aca="false">IF(I$79=0,0,D19*(SUM(O$79:P$82)+O$85)/I$79*BQ19)</f>
        <v>0</v>
      </c>
      <c r="CR19" s="656" t="n">
        <f aca="false">IF(CF19="",0,CF19*E$83)+IF(CG19="",0,CG19*E$83)+IF(CH19="",0,CH19*E$83)</f>
        <v>0</v>
      </c>
      <c r="CS19" s="656"/>
      <c r="CT19" s="1545" t="n">
        <f aca="false">(U19/2000)*E$87</f>
        <v>0</v>
      </c>
      <c r="CU19" s="656" t="n">
        <f aca="false">IF(I$79=0,0,D19*(O$88)/I$79*BQ19)</f>
        <v>0</v>
      </c>
      <c r="CV19" s="656" t="n">
        <f aca="false">IF(D$42=0,0,SUM(O$91:P$94)/D$42*D19)*BQ19</f>
        <v>0</v>
      </c>
      <c r="CW19" s="656" t="n">
        <f aca="false">IF(D$42=0,0,SUM(Z$66:Z$97)/D$42*D19*BQ19)</f>
        <v>0</v>
      </c>
      <c r="CX19" s="656" t="n">
        <f aca="false">IF(D$42=0,0,SUM(O$96:P$101)/D$42*D19)*BQ19</f>
        <v>0</v>
      </c>
      <c r="CY19" s="656" t="n">
        <f aca="false">IF(D$42=0,0,SUM(O$103:O$109)/D$42)*D19*BQ19</f>
        <v>0</v>
      </c>
      <c r="CZ19" s="656" t="n">
        <f aca="false">IF(I$79=0,0,IF(I$79=0,0,SUM(Z$98:Z$109)/I$79*D19))</f>
        <v>0</v>
      </c>
      <c r="DA19" s="656" t="n">
        <f aca="false">IF(J$72&gt;0,J$72/D$42*D19*G19,CD19*(G$72*IF(W$44="n",(1+Y$44),1)))</f>
        <v>0</v>
      </c>
      <c r="DB19" s="656" t="n">
        <f aca="false">IF(CK19="",0,CK19*E$86)</f>
        <v>0</v>
      </c>
      <c r="DC19" s="656" t="n">
        <f aca="false">BP19*G$71*IF(W$44="Y",1,1+Y$44)</f>
        <v>0</v>
      </c>
      <c r="DD19" s="656" t="n">
        <f aca="false">CJ19*G$73*IF(W$44="Y",1,1+Y$44)</f>
        <v>0</v>
      </c>
      <c r="DE19" s="1546" t="e">
        <f aca="false">O$110/I$79*D19</f>
        <v>#DIV/0!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0</v>
      </c>
      <c r="DJ19" s="654" t="n">
        <f aca="false">IF(AE19=1,AF19*$AS$49,0)+IF(AE19=2,AF19*$AS$50,0)+IF(AE19=3,AF19*$AS$51,0)+IF(AE19=4,AF19*$AS$52,0)+IF(AE19=5,AF19*$AS$53,0)+IF(AE19=6,AF19*$AS$54)+IF(AE19=7,AF19*$AS$55)+IF(AE19=8,AF19*$AS$56)+IF(AE19=9,AF19*$AS$57)+IF(AE19=10,AF19*$AS$58)+IF(AE19=11,AF19*$AS$59,0)</f>
        <v>0</v>
      </c>
      <c r="DK19" s="654" t="n">
        <f aca="false">IF(AG19=1,AH19*$AS$49,0)+IF(AG19=2,AH19*$AS$50,0)+IF(AG19=3,AH19*$AS$51,0)+IF(AG19=4,AH19*$AS$52,0)+IF(AG19=5,AH19*$AS$53,0)+IF(AG19=6,AH19*$AS$54)+IF(AG19=7,AH19*$AS$55)+IF(AG19=8,AH19*$AS$56)+IF(AG19=9,AH19*$AS$57)+IF(AG19=10,AH19*$AS$58)+IF(AG19=11,AH19*$AS$59,0)</f>
        <v>0</v>
      </c>
      <c r="DL19" s="654" t="n">
        <f aca="false">IF(AI19=1,AJ19*$AS$49,0)+IF(AI19=2,AJ19*$AS$50,0)+IF(AI19=3,AJ19*$AS$51,0)+IF(AI19=4,AJ19*$AS$52,0)+IF(AI19=5,AJ19*$AS$53,0)+IF(AI19=6,AJ19*$AS$54)+IF(AI19=7,AJ19*$AS$55)+IF(AI19=8,AJ19*$AS$56)+IF(AI19=9,AJ19*$AS$57)+IF(AI19=10,AJ19*$AS$58)+IF(AI19=11,AJ19*$AS$59,0)</f>
        <v>0</v>
      </c>
      <c r="DM19" s="654" t="n">
        <f aca="false">IF(AK19=1,AL19*$AS$49,0)+IF(AK19=2,AL19*$AS$50,0)+IF(AK19=3,AL19*$AS$51,0)+IF(AK19=4,AL19*$AS$52,0)+IF(AK19=5,AL19*$AS$53,0)+IF(AK19=6,AL19*$AS$54)+IF(AK19=7,AL19*$AS$55)+IF(AK19=8,AL19*$AS$56)+IF(AK19=9,AL19*$AS$57)+IF(AK19=10,AL19*$AS$58)+IF(AK19=11,AL19*$AS$59,0)</f>
        <v>0</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569" t="n">
        <f aca="false">D19</f>
        <v>0</v>
      </c>
      <c r="DQ19" s="1430" t="str">
        <f aca="false">IF(AC19="","",LOOKUP(AC19,$B$49:$B$59,$S$49:$S$59)*AD19)</f>
        <v/>
      </c>
      <c r="DR19" s="1430" t="str">
        <f aca="false">IF(AE19="","",LOOKUP(AE19,$B$49:$B$59,$S$49:$S$59)*AF19)</f>
        <v/>
      </c>
      <c r="DS19" s="1430" t="str">
        <f aca="false">IF(AG19="","",LOOKUP(AG19,$B$49:$B$59,$S$49:$S$59)*AH19)</f>
        <v/>
      </c>
      <c r="DT19" s="1430" t="str">
        <f aca="false">IF(AI19="","",LOOKUP(AI19,$B$49:$B$59,$S$49:$S$59)*AJ19)</f>
        <v/>
      </c>
      <c r="DU19" s="1430" t="str">
        <f aca="false">IF(AK19="","",LOOKUP(AK19,$B$49:$B$59,$S$49:$S$59)*AL19)</f>
        <v/>
      </c>
      <c r="DV19" s="1430" t="str">
        <f aca="false">IF(AM19="","",LOOKUP(AM19,$B$49:$B$59,$S$49:$S$59)*AN19)</f>
        <v/>
      </c>
      <c r="DW19" s="1430" t="str">
        <f aca="false">IF(AO19="","",LOOKUP(AO19,$B$49:$B$59,$S$49:$S$59)*AP19)</f>
        <v/>
      </c>
      <c r="DX19" s="1535" t="n">
        <f aca="false">SUM(DQ19:DW19)-(D19-EF19)*(S$45-F19)/324</f>
        <v>0</v>
      </c>
      <c r="DY19" s="1430" t="str">
        <f aca="false">IF(AC19="","",LOOKUP(AC19,$B$49:$B$59,$T$49:$T$59)*AD19)</f>
        <v/>
      </c>
      <c r="DZ19" s="1430" t="str">
        <f aca="false">IF(AE19="","",LOOKUP(AE19,$B$49:$B$59,$T$49:$T$59)*AF19)</f>
        <v/>
      </c>
      <c r="EA19" s="1430" t="str">
        <f aca="false">IF(AG19="","",LOOKUP(AG19,$B$49:$B$59,$T$49:$T$59)*AH19)</f>
        <v/>
      </c>
      <c r="EB19" s="1430" t="str">
        <f aca="false">IF(AI19="","",LOOKUP(AI19,$B$49:$B$59,$T$49:$T$59)*AJ19)</f>
        <v/>
      </c>
      <c r="EC19" s="1430" t="str">
        <f aca="false">IF(AK19="","",LOOKUP(AK19,$B$49:$B$59,$T$49:$T$59)*AL19)</f>
        <v/>
      </c>
      <c r="ED19" s="1430" t="str">
        <f aca="false">IF(AM19="","",LOOKUP(AM19,$B$49:$B$59,$T$49:$T$59)*AN19)</f>
        <v/>
      </c>
      <c r="EE19" s="1430" t="str">
        <f aca="false">IF(AO19="","",LOOKUP(AO19,$B$49:$B$59,$T$49:$T$59)*AP19)</f>
        <v/>
      </c>
      <c r="EF19" s="1535" t="n">
        <f aca="false">SUM(DY19:EE19)</f>
        <v>0</v>
      </c>
    </row>
    <row r="20" customFormat="false" ht="19.5" hidden="false" customHeight="true" outlineLevel="0" collapsed="false">
      <c r="A20" s="16" t="s">
        <v>1451</v>
      </c>
      <c r="B20" s="920"/>
      <c r="C20" s="1506"/>
      <c r="D20" s="1507"/>
      <c r="E20" s="1508"/>
      <c r="F20" s="1074"/>
      <c r="G20" s="1553"/>
      <c r="H20" s="1074"/>
      <c r="I20" s="1553"/>
      <c r="J20" s="1074"/>
      <c r="K20" s="1554"/>
      <c r="L20" s="528"/>
      <c r="M20" s="895"/>
      <c r="N20" s="1513"/>
      <c r="O20" s="1514"/>
      <c r="P20" s="1515" t="n">
        <f aca="false">IF(BQ20=0,0,BN20/BQ20)</f>
        <v>0</v>
      </c>
      <c r="Q20" s="1516" t="n">
        <f aca="false">(D20*F20/324)*(1+K$65)+BB20</f>
        <v>0</v>
      </c>
      <c r="R20" s="1517" t="n">
        <f aca="false">IF(D20=0,0,S20/D20)</f>
        <v>0</v>
      </c>
      <c r="S20" s="1518" t="e">
        <f aca="false">SUM(CM20-DE20)*(1+M$45)</f>
        <v>#DIV/0!</v>
      </c>
      <c r="T20" s="1519" t="n">
        <f aca="false">CF20+CG20+CH20</f>
        <v>0</v>
      </c>
      <c r="U20" s="1520" t="n">
        <f aca="false">IF(P20-(D20*0.35)&lt;0,0,P20-(D20*0.35))</f>
        <v>0</v>
      </c>
      <c r="V20" s="1521" t="n">
        <f aca="false">IF(D20="",0,IF(D20/-30+Q20&lt;1,0,D20/-30+Q20))</f>
        <v>0</v>
      </c>
      <c r="W20" s="528"/>
      <c r="X20" s="1526"/>
      <c r="Y20" s="528"/>
      <c r="Z20" s="1579"/>
      <c r="AA20" s="528"/>
      <c r="AB20" s="1579"/>
      <c r="AC20" s="1525"/>
      <c r="AD20" s="1526"/>
      <c r="AE20" s="1511"/>
      <c r="AF20" s="1527"/>
      <c r="AG20" s="1528"/>
      <c r="AH20" s="1527"/>
      <c r="AI20" s="1529"/>
      <c r="AJ20" s="1530"/>
      <c r="AK20" s="1531"/>
      <c r="AL20" s="1527"/>
      <c r="AM20" s="528"/>
      <c r="AN20" s="1580"/>
      <c r="AO20" s="528"/>
      <c r="AP20" s="1579"/>
      <c r="AQ20" s="1435" t="e">
        <f aca="false">D20/Q20</f>
        <v>#DIV/0!</v>
      </c>
      <c r="AR20" s="1533" t="str">
        <f aca="false">IF(W20="","",LOOKUP(W20,$B$49:$B$59,$R$49:$R$59)*X20)</f>
        <v/>
      </c>
      <c r="AS20" s="1430" t="str">
        <f aca="false">IF(Y20="","",LOOKUP(Y20,$B$49:$B$59,$R$49:$R$59)*Z20)</f>
        <v/>
      </c>
      <c r="AT20" s="1430" t="str">
        <f aca="false">IF(AB20="","",LOOKUP(AA20,$B$49:$B$59,$R$49:$R$59)*AB20)</f>
        <v/>
      </c>
      <c r="AU20" s="1430" t="str">
        <f aca="false">IF(AC20="","",LOOKUP(AC20,$B$49:$B$59,$R$49:$R$59)*AD20)</f>
        <v/>
      </c>
      <c r="AV20" s="1430" t="str">
        <f aca="false">IF(AE20="","",LOOKUP(AE20,$B$49:$B$59,$R$49:$R$59)*AF20)</f>
        <v/>
      </c>
      <c r="AW20" s="1430" t="str">
        <f aca="false">IF(AG20="","",LOOKUP(AG20,$B$49:$B$59,$R$49:$R$59)*AH20)</f>
        <v/>
      </c>
      <c r="AX20" s="1430" t="str">
        <f aca="false">IF(AI20="","",LOOKUP(AI20,$B$49:$B$59,$R$49:$R$59)*AJ20)</f>
        <v/>
      </c>
      <c r="AY20" s="1430" t="str">
        <f aca="false">IF(AK20="","",LOOKUP(AK20,$B$49:$B$59,$R$49:$R$59)*AL20)</f>
        <v/>
      </c>
      <c r="AZ20" s="1430" t="str">
        <f aca="false">IF(AM20="","",LOOKUP(AM20,$B$49:$B$59,$R$49:$R$59)*AN20)</f>
        <v/>
      </c>
      <c r="BA20" s="1430" t="str">
        <f aca="false">IF(AO20="","",LOOKUP(AO20,$B$49:$B$59,$R$49:$R$59)*AP20)</f>
        <v/>
      </c>
      <c r="BB20" s="1535" t="n">
        <f aca="false">SUM(AR20:BA20)</f>
        <v>0</v>
      </c>
      <c r="BC20" s="1533" t="str">
        <f aca="false">IF(W20="","",LOOKUP(W20,$B$49:$B$59,$P$49:$P$59)*X20)</f>
        <v/>
      </c>
      <c r="BD20" s="1430" t="str">
        <f aca="false">IF(Y20="","",LOOKUP(Y20,$B$49:$B$59,$P$49:$P$59)*Z20)</f>
        <v/>
      </c>
      <c r="BE20" s="1430" t="str">
        <f aca="false">IF(AA20="","",LOOKUP(AA20,$B$49:$B$59,$P$49:$P$59)*AB20)</f>
        <v/>
      </c>
      <c r="BF20" s="1430" t="str">
        <f aca="false">IF(AC20="","",LOOKUP(AC20,$B$49:$B$59,$P$49:$P$59)*AD20)</f>
        <v/>
      </c>
      <c r="BG20" s="1430" t="str">
        <f aca="false">IF(AE20="","",LOOKUP(AE20,$B$49:$B$59,$P$49:$P$59)*AF20)</f>
        <v/>
      </c>
      <c r="BH20" s="1430" t="str">
        <f aca="false">IF(AG20="","",LOOKUP(AG20,$B$49:$B$59,$P$49:$P$59)*AH20)</f>
        <v/>
      </c>
      <c r="BI20" s="1430" t="str">
        <f aca="false">IF(AI20="","",LOOKUP(AI20,$B$49:$B$59,$P$49:$P$59)*AJ20)</f>
        <v/>
      </c>
      <c r="BJ20" s="1430" t="str">
        <f aca="false">IF(AK20="","",LOOKUP(AK20,$B$49:$B$59,$P$49:$P$59)*AL20)</f>
        <v/>
      </c>
      <c r="BK20" s="1430" t="str">
        <f aca="false">IF(AM20="","",LOOKUP(AM20,$B$49:$B$59,$P$49:$P$59)*AN20)</f>
        <v/>
      </c>
      <c r="BL20" s="1430" t="str">
        <f aca="false">IF(AO20="","",LOOKUP(AO20,$B$49:$B$59,$P$49:$P$59)*AP20)</f>
        <v/>
      </c>
      <c r="BM20" s="1535" t="n">
        <f aca="false">SUM(BC20:BL20)*BQ20</f>
        <v>0</v>
      </c>
      <c r="BN20" s="1536" t="n">
        <f aca="false">BM20+BO20</f>
        <v>0</v>
      </c>
      <c r="BO20" s="1536" t="n">
        <f aca="false">IF(M20=0,0,(M20/12+M20/12)/(M20/12*M20/12)*D20*((L20/16*L20/16)*10.6870159))*(1+K$70)*BQ20</f>
        <v>0</v>
      </c>
      <c r="BP20" s="1536" t="n">
        <f aca="false">IF(O20="Y",D20*(1+K$71)*BQ20,0)</f>
        <v>0</v>
      </c>
      <c r="BQ20" s="1538" t="n">
        <f aca="false">G20</f>
        <v>0</v>
      </c>
      <c r="BR20" s="1411" t="n">
        <f aca="false">IF(O20="y",D20,0)</f>
        <v>0</v>
      </c>
      <c r="BS20" s="1567" t="n">
        <f aca="false">IF($I20=1,$Q20,0)*BQ20</f>
        <v>0</v>
      </c>
      <c r="BT20" s="1536" t="n">
        <f aca="false">IF($I20=2,$Q20,0)*BQ20</f>
        <v>0</v>
      </c>
      <c r="BU20" s="1536" t="n">
        <f aca="false">IF($I20=3,$Q20,0)*BQ20</f>
        <v>0</v>
      </c>
      <c r="BV20" s="1536" t="n">
        <f aca="false">IF($I20=4,$Q20,0)*BQ20</f>
        <v>0</v>
      </c>
      <c r="BW20" s="1536" t="n">
        <f aca="false">IF($I20=5,$Q20,0)*BQ20</f>
        <v>0</v>
      </c>
      <c r="BX20" s="1536" t="n">
        <f aca="false">IF($I20=6,$Q20,0)*$BQ20</f>
        <v>0</v>
      </c>
      <c r="BY20" s="1536" t="n">
        <f aca="false">IF($I20=7,$Q20,0)*$BQ20</f>
        <v>0</v>
      </c>
      <c r="BZ20" s="1536" t="n">
        <f aca="false">IF($I20=8,$Q20,0)*$BQ20</f>
        <v>0</v>
      </c>
      <c r="CA20" s="1536" t="n">
        <f aca="false">IF($I20=9,$Q20,0)*$BQ20</f>
        <v>0</v>
      </c>
      <c r="CB20" s="1568" t="n">
        <f aca="false">IF($I20=10,$Q20,0)*$BQ20</f>
        <v>0</v>
      </c>
      <c r="CC20" s="1538" t="n">
        <f aca="false">SUM(BS20:BX20)</f>
        <v>0</v>
      </c>
      <c r="CD20" s="1538" t="n">
        <f aca="false">IF(H20="N",0,D20)*BQ20</f>
        <v>0</v>
      </c>
      <c r="CE20" s="1538" t="n">
        <f aca="false">K20*BQ20</f>
        <v>0</v>
      </c>
      <c r="CF20" s="1542" t="n">
        <f aca="false">ROUND(IF(W20="",0,LOOKUP(W20,B$49:B$59,D$49:D$59)*X20/12),0)</f>
        <v>0</v>
      </c>
      <c r="CG20" s="1542" t="n">
        <f aca="false">ROUND(IF(Y20="",0,LOOKUP(Y20,B$49:B$59,D$49:D$59)*Z20/12),0)</f>
        <v>0</v>
      </c>
      <c r="CH20" s="1542" t="n">
        <f aca="false">ROUND(IF(AA20="",0,LOOKUP(AA20,B$49:B$59,D$49:D$59)*AB20/12),0)</f>
        <v>0</v>
      </c>
      <c r="CI20" s="1538" t="n">
        <f aca="false">D20*BQ20</f>
        <v>0</v>
      </c>
      <c r="CJ20" s="1538" t="n">
        <f aca="false">D20*J20/324*(1+K$73)*G20</f>
        <v>0</v>
      </c>
      <c r="CK20" s="1538" t="str">
        <f aca="false">IF(N20="","",N20)</f>
        <v/>
      </c>
      <c r="CL20" s="1538" t="n">
        <f aca="false">P20*BQ20</f>
        <v>0</v>
      </c>
      <c r="CM20" s="1543" t="n">
        <f aca="false">IF(BQ20=0,0,SUM(CN20:DE20)/BQ20)</f>
        <v>0</v>
      </c>
      <c r="CN20" s="656" t="n">
        <f aca="false">(BS20*Pricing!F$3+BT20*Pricing!G$3+BU20*Pricing!H$3+BV20*Pricing!I$3+BW20*Pricing!J$3+BX20*Pricing!K$3+BY20*Pricing!L$3+BZ20*Pricing!M$3+CA20*Pricing!N$3+CB20*Pricing!O$3)*IF(W$44="N",(1+Y$44),1)</f>
        <v>0</v>
      </c>
      <c r="CO20" s="656" t="n">
        <f aca="false">BN20*G$70*IF(W$44="n",1+Y$44,1)</f>
        <v>0</v>
      </c>
      <c r="CP20" s="1544" t="n">
        <f aca="false">C20*D20</f>
        <v>0</v>
      </c>
      <c r="CQ20" s="656" t="n">
        <f aca="false">IF(I$79=0,0,D20*(SUM(O$79:P$82)+O$85)/I$79*BQ20)</f>
        <v>0</v>
      </c>
      <c r="CR20" s="656" t="n">
        <f aca="false">IF(CF20="",0,CF20*E$83)+IF(CG20="",0,CG20*E$83)+IF(CH20="",0,CH20*E$83)</f>
        <v>0</v>
      </c>
      <c r="CS20" s="656"/>
      <c r="CT20" s="1545" t="n">
        <f aca="false">(U20/2000)*E$87</f>
        <v>0</v>
      </c>
      <c r="CU20" s="656" t="n">
        <f aca="false">IF(I$79=0,0,D20*(O$88)/I$79*BQ20)</f>
        <v>0</v>
      </c>
      <c r="CV20" s="656" t="n">
        <f aca="false">IF(D$42=0,0,SUM(O$91:P$94)/D$42*D20)*BQ20</f>
        <v>0</v>
      </c>
      <c r="CW20" s="656" t="n">
        <f aca="false">IF(D$42=0,0,SUM(Z$66:Z$97)/D$42*D20*BQ20)</f>
        <v>0</v>
      </c>
      <c r="CX20" s="656" t="n">
        <f aca="false">IF(D$42=0,0,SUM(O$96:P$101)/D$42*D20)*BQ20</f>
        <v>0</v>
      </c>
      <c r="CY20" s="656" t="n">
        <f aca="false">IF(D$42=0,0,SUM(O$103:O$109)/D$42)*D20*BQ20</f>
        <v>0</v>
      </c>
      <c r="CZ20" s="656" t="n">
        <f aca="false">IF(I$79=0,0,IF(I$79=0,0,SUM(Z$98:Z$109)/I$79*D20))</f>
        <v>0</v>
      </c>
      <c r="DA20" s="656" t="n">
        <f aca="false">IF(J$72&gt;0,J$72/D$42*D20*G20,CD20*(G$72*IF(W$44="n",(1+Y$44),1)))</f>
        <v>0</v>
      </c>
      <c r="DB20" s="656" t="n">
        <f aca="false">IF(CK20="",0,CK20*E$86)</f>
        <v>0</v>
      </c>
      <c r="DC20" s="656" t="n">
        <f aca="false">BP20*G$71*IF(W$44="Y",1,1+Y$44)</f>
        <v>0</v>
      </c>
      <c r="DD20" s="656" t="n">
        <f aca="false">CJ20*G$73*IF(W$44="Y",1,1+Y$44)</f>
        <v>0</v>
      </c>
      <c r="DE20" s="1546" t="e">
        <f aca="false">O$110/I$79*D20</f>
        <v>#DIV/0!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0</v>
      </c>
      <c r="DJ20" s="654" t="n">
        <f aca="false">IF(AE20=1,AF20*$AS$49,0)+IF(AE20=2,AF20*$AS$50,0)+IF(AE20=3,AF20*$AS$51,0)+IF(AE20=4,AF20*$AS$52,0)+IF(AE20=5,AF20*$AS$53,0)+IF(AE20=6,AF20*$AS$54)+IF(AE20=7,AF20*$AS$55)+IF(AE20=8,AF20*$AS$56)+IF(AE20=9,AF20*$AS$57)+IF(AE20=10,AF20*$AS$58)+IF(AE20=11,AF20*$AS$59,0)</f>
        <v>0</v>
      </c>
      <c r="DK20" s="654" t="n">
        <f aca="false">IF(AG20=1,AH20*$AS$49,0)+IF(AG20=2,AH20*$AS$50,0)+IF(AG20=3,AH20*$AS$51,0)+IF(AG20=4,AH20*$AS$52,0)+IF(AG20=5,AH20*$AS$53,0)+IF(AG20=6,AH20*$AS$54)+IF(AG20=7,AH20*$AS$55)+IF(AG20=8,AH20*$AS$56)+IF(AG20=9,AH20*$AS$57)+IF(AG20=10,AH20*$AS$58)+IF(AG20=11,AH20*$AS$59,0)</f>
        <v>0</v>
      </c>
      <c r="DL20" s="654" t="n">
        <f aca="false">IF(AI20=1,AJ20*$AS$49,0)+IF(AI20=2,AJ20*$AS$50,0)+IF(AI20=3,AJ20*$AS$51,0)+IF(AI20=4,AJ20*$AS$52,0)+IF(AI20=5,AJ20*$AS$53,0)+IF(AI20=6,AJ20*$AS$54)+IF(AI20=7,AJ20*$AS$55)+IF(AI20=8,AJ20*$AS$56)+IF(AI20=9,AJ20*$AS$57)+IF(AI20=10,AJ20*$AS$58)+IF(AI20=11,AJ20*$AS$59,0)</f>
        <v>0</v>
      </c>
      <c r="DM20" s="654" t="n">
        <f aca="false">IF(AK20=1,AL20*$AS$49,0)+IF(AK20=2,AL20*$AS$50,0)+IF(AK20=3,AL20*$AS$51,0)+IF(AK20=4,AL20*$AS$52,0)+IF(AK20=5,AL20*$AS$53,0)+IF(AK20=6,AL20*$AS$54)+IF(AK20=7,AL20*$AS$55)+IF(AK20=8,AL20*$AS$56)+IF(AK20=9,AL20*$AS$57)+IF(AK20=10,AL20*$AS$58)+IF(AK20=11,AL20*$AS$59,0)</f>
        <v>0</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569" t="n">
        <f aca="false">D20</f>
        <v>0</v>
      </c>
      <c r="DQ20" s="1430" t="str">
        <f aca="false">IF(AC20="","",LOOKUP(AC20,$B$49:$B$59,$S$49:$S$59)*AD20)</f>
        <v/>
      </c>
      <c r="DR20" s="1430" t="str">
        <f aca="false">IF(AE20="","",LOOKUP(AE20,$B$49:$B$59,$S$49:$S$59)*AF20)</f>
        <v/>
      </c>
      <c r="DS20" s="1430" t="str">
        <f aca="false">IF(AG20="","",LOOKUP(AG20,$B$49:$B$59,$S$49:$S$59)*AH20)</f>
        <v/>
      </c>
      <c r="DT20" s="1430" t="str">
        <f aca="false">IF(AI20="","",LOOKUP(AI20,$B$49:$B$59,$S$49:$S$59)*AJ20)</f>
        <v/>
      </c>
      <c r="DU20" s="1430" t="str">
        <f aca="false">IF(AK20="","",LOOKUP(AK20,$B$49:$B$59,$S$49:$S$59)*AL20)</f>
        <v/>
      </c>
      <c r="DV20" s="1430" t="str">
        <f aca="false">IF(AM20="","",LOOKUP(AM20,$B$49:$B$59,$S$49:$S$59)*AN20)</f>
        <v/>
      </c>
      <c r="DW20" s="1430" t="str">
        <f aca="false">IF(AO20="","",LOOKUP(AO20,$B$49:$B$59,$S$49:$S$59)*AP20)</f>
        <v/>
      </c>
      <c r="DX20" s="1535" t="n">
        <f aca="false">SUM(DQ20:DW20)-(D20-EF20)*(S$45-F20)/324</f>
        <v>0</v>
      </c>
      <c r="DY20" s="1430" t="str">
        <f aca="false">IF(AC20="","",LOOKUP(AC20,$B$49:$B$59,$T$49:$T$59)*AD20)</f>
        <v/>
      </c>
      <c r="DZ20" s="1430" t="str">
        <f aca="false">IF(AE20="","",LOOKUP(AE20,$B$49:$B$59,$T$49:$T$59)*AF20)</f>
        <v/>
      </c>
      <c r="EA20" s="1430" t="str">
        <f aca="false">IF(AG20="","",LOOKUP(AG20,$B$49:$B$59,$T$49:$T$59)*AH20)</f>
        <v/>
      </c>
      <c r="EB20" s="1430" t="str">
        <f aca="false">IF(AI20="","",LOOKUP(AI20,$B$49:$B$59,$T$49:$T$59)*AJ20)</f>
        <v/>
      </c>
      <c r="EC20" s="1430" t="str">
        <f aca="false">IF(AK20="","",LOOKUP(AK20,$B$49:$B$59,$T$49:$T$59)*AL20)</f>
        <v/>
      </c>
      <c r="ED20" s="1430" t="str">
        <f aca="false">IF(AM20="","",LOOKUP(AM20,$B$49:$B$59,$T$49:$T$59)*AN20)</f>
        <v/>
      </c>
      <c r="EE20" s="1430" t="str">
        <f aca="false">IF(AO20="","",LOOKUP(AO20,$B$49:$B$59,$T$49:$T$59)*AP20)</f>
        <v/>
      </c>
      <c r="EF20" s="1535" t="n">
        <f aca="false">SUM(DY20:EE20)</f>
        <v>0</v>
      </c>
    </row>
    <row r="21" customFormat="false" ht="19.5" hidden="false" customHeight="true" outlineLevel="0" collapsed="false">
      <c r="A21" s="16" t="s">
        <v>1077</v>
      </c>
      <c r="B21" s="1549"/>
      <c r="C21" s="1550"/>
      <c r="D21" s="1551"/>
      <c r="E21" s="1552"/>
      <c r="F21" s="1074"/>
      <c r="G21" s="1553"/>
      <c r="H21" s="1074"/>
      <c r="I21" s="1553"/>
      <c r="J21" s="1074"/>
      <c r="K21" s="1554"/>
      <c r="L21" s="1555"/>
      <c r="M21" s="1556"/>
      <c r="N21" s="1557"/>
      <c r="O21" s="1558"/>
      <c r="P21" s="1515" t="n">
        <f aca="false">IF(BQ21=0,0,BN21/BQ21)</f>
        <v>0</v>
      </c>
      <c r="Q21" s="1516" t="n">
        <f aca="false">(D21*F21/324)*(1+K$65)+BB21</f>
        <v>0</v>
      </c>
      <c r="R21" s="1517" t="n">
        <f aca="false">IF(D21=0,0,S21/D21)</f>
        <v>0</v>
      </c>
      <c r="S21" s="1518" t="e">
        <f aca="false">SUM(CM21-DE21)*(1+M$45)</f>
        <v>#DIV/0!</v>
      </c>
      <c r="T21" s="1519" t="n">
        <f aca="false">CF21+CG21+CH21</f>
        <v>0</v>
      </c>
      <c r="U21" s="1520" t="n">
        <f aca="false">IF(P21-(D21*0.35)&lt;0,0,P21-(D21*0.35))</f>
        <v>0</v>
      </c>
      <c r="V21" s="1521" t="n">
        <f aca="false">IF(D21="",0,IF(D21/-30+Q21&lt;1,0,D21/-30+Q21))</f>
        <v>0</v>
      </c>
      <c r="W21" s="1559"/>
      <c r="X21" s="1560"/>
      <c r="Y21" s="1559"/>
      <c r="Z21" s="1577"/>
      <c r="AA21" s="1559"/>
      <c r="AB21" s="1577"/>
      <c r="AC21" s="1562"/>
      <c r="AD21" s="1560"/>
      <c r="AE21" s="1559"/>
      <c r="AF21" s="1563"/>
      <c r="AG21" s="1564"/>
      <c r="AH21" s="1563"/>
      <c r="AI21" s="1565"/>
      <c r="AJ21" s="1560"/>
      <c r="AK21" s="1565"/>
      <c r="AL21" s="1563"/>
      <c r="AM21" s="1559"/>
      <c r="AN21" s="1578"/>
      <c r="AO21" s="1559"/>
      <c r="AP21" s="1577"/>
      <c r="AQ21" s="1435" t="e">
        <f aca="false">D21/Q21</f>
        <v>#DIV/0!</v>
      </c>
      <c r="AR21" s="1533" t="str">
        <f aca="false">IF(W21="","",LOOKUP(W21,$B$49:$B$59,$R$49:$R$59)*X21)</f>
        <v/>
      </c>
      <c r="AS21" s="1430" t="str">
        <f aca="false">IF(Y21="","",LOOKUP(Y21,$B$49:$B$59,$R$49:$R$59)*Z21)</f>
        <v/>
      </c>
      <c r="AT21" s="1430" t="str">
        <f aca="false">IF(AB21="","",LOOKUP(AA21,$B$49:$B$59,$R$49:$R$59)*AB21)</f>
        <v/>
      </c>
      <c r="AU21" s="1430" t="str">
        <f aca="false">IF(AC21="","",LOOKUP(AC21,$B$49:$B$59,$R$49:$R$59)*AD21)</f>
        <v/>
      </c>
      <c r="AV21" s="1430" t="str">
        <f aca="false">IF(AE21="","",LOOKUP(AE21,$B$49:$B$59,$R$49:$R$59)*AF21)</f>
        <v/>
      </c>
      <c r="AW21" s="1430" t="str">
        <f aca="false">IF(AG21="","",LOOKUP(AG21,$B$49:$B$59,$R$49:$R$59)*AH21)</f>
        <v/>
      </c>
      <c r="AX21" s="1430" t="str">
        <f aca="false">IF(AI21="","",LOOKUP(AI21,$B$49:$B$59,$R$49:$R$59)*AJ21)</f>
        <v/>
      </c>
      <c r="AY21" s="1430" t="str">
        <f aca="false">IF(AK21="","",LOOKUP(AK21,$B$49:$B$59,$R$49:$R$59)*AL21)</f>
        <v/>
      </c>
      <c r="AZ21" s="1430" t="str">
        <f aca="false">IF(AM21="","",LOOKUP(AM21,$B$49:$B$59,$R$49:$R$59)*AN21)</f>
        <v/>
      </c>
      <c r="BA21" s="1430" t="str">
        <f aca="false">IF(AO21="","",LOOKUP(AO21,$B$49:$B$59,$R$49:$R$59)*AP21)</f>
        <v/>
      </c>
      <c r="BB21" s="1535" t="n">
        <f aca="false">SUM(AR21:BA21)</f>
        <v>0</v>
      </c>
      <c r="BC21" s="1533" t="str">
        <f aca="false">IF(W21="","",LOOKUP(W21,$B$49:$B$59,$P$49:$P$59)*X21)</f>
        <v/>
      </c>
      <c r="BD21" s="1430" t="str">
        <f aca="false">IF(Y21="","",LOOKUP(Y21,$B$49:$B$59,$P$49:$P$59)*Z21)</f>
        <v/>
      </c>
      <c r="BE21" s="1430" t="str">
        <f aca="false">IF(AA21="","",LOOKUP(AA21,$B$49:$B$59,$P$49:$P$59)*AB21)</f>
        <v/>
      </c>
      <c r="BF21" s="1430" t="str">
        <f aca="false">IF(AC21="","",LOOKUP(AC21,$B$49:$B$59,$P$49:$P$59)*AD21)</f>
        <v/>
      </c>
      <c r="BG21" s="1430" t="str">
        <f aca="false">IF(AE21="","",LOOKUP(AE21,$B$49:$B$59,$P$49:$P$59)*AF21)</f>
        <v/>
      </c>
      <c r="BH21" s="1430" t="str">
        <f aca="false">IF(AG21="","",LOOKUP(AG21,$B$49:$B$59,$P$49:$P$59)*AH21)</f>
        <v/>
      </c>
      <c r="BI21" s="1430" t="str">
        <f aca="false">IF(AI21="","",LOOKUP(AI21,$B$49:$B$59,$P$49:$P$59)*AJ21)</f>
        <v/>
      </c>
      <c r="BJ21" s="1430" t="str">
        <f aca="false">IF(AK21="","",LOOKUP(AK21,$B$49:$B$59,$P$49:$P$59)*AL21)</f>
        <v/>
      </c>
      <c r="BK21" s="1430" t="str">
        <f aca="false">IF(AM21="","",LOOKUP(AM21,$B$49:$B$59,$P$49:$P$59)*AN21)</f>
        <v/>
      </c>
      <c r="BL21" s="1430" t="str">
        <f aca="false">IF(AO21="","",LOOKUP(AO21,$B$49:$B$59,$P$49:$P$59)*AP21)</f>
        <v/>
      </c>
      <c r="BM21" s="1535" t="n">
        <f aca="false">SUM(BC21:BL21)*BQ21</f>
        <v>0</v>
      </c>
      <c r="BN21" s="1536" t="n">
        <f aca="false">BM21+BO21</f>
        <v>0</v>
      </c>
      <c r="BO21" s="1536" t="n">
        <f aca="false">IF(M21=0,0,(M21/12+M21/12)/(M21/12*M21/12)*D21*((L21/16*L21/16)*10.6870159))*(1+K$70)*BQ21</f>
        <v>0</v>
      </c>
      <c r="BP21" s="1536" t="n">
        <f aca="false">IF(O21="Y",D21*(1+K$71)*BQ21,0)</f>
        <v>0</v>
      </c>
      <c r="BQ21" s="1538" t="n">
        <f aca="false">G21</f>
        <v>0</v>
      </c>
      <c r="BR21" s="1411" t="n">
        <f aca="false">IF(O21="y",D21,0)</f>
        <v>0</v>
      </c>
      <c r="BS21" s="1567" t="n">
        <f aca="false">IF($I21=1,$Q21,0)*BQ21</f>
        <v>0</v>
      </c>
      <c r="BT21" s="1536" t="n">
        <f aca="false">IF($I21=2,$Q21,0)*BQ21</f>
        <v>0</v>
      </c>
      <c r="BU21" s="1536" t="n">
        <f aca="false">IF($I21=3,$Q21,0)*BQ21</f>
        <v>0</v>
      </c>
      <c r="BV21" s="1536" t="n">
        <f aca="false">IF($I21=4,$Q21,0)*BQ21</f>
        <v>0</v>
      </c>
      <c r="BW21" s="1536" t="n">
        <f aca="false">IF($I21=5,$Q21,0)*BQ21</f>
        <v>0</v>
      </c>
      <c r="BX21" s="1536" t="n">
        <f aca="false">IF($I21=6,$Q21,0)*$BQ21</f>
        <v>0</v>
      </c>
      <c r="BY21" s="1536" t="n">
        <f aca="false">IF($I21=7,$Q21,0)*$BQ21</f>
        <v>0</v>
      </c>
      <c r="BZ21" s="1536" t="n">
        <f aca="false">IF($I21=8,$Q21,0)*$BQ21</f>
        <v>0</v>
      </c>
      <c r="CA21" s="1536" t="n">
        <f aca="false">IF($I21=9,$Q21,0)*$BQ21</f>
        <v>0</v>
      </c>
      <c r="CB21" s="1568" t="n">
        <f aca="false">IF($I21=10,$Q21,0)*$BQ21</f>
        <v>0</v>
      </c>
      <c r="CC21" s="1538" t="n">
        <f aca="false">SUM(BS21:BX21)</f>
        <v>0</v>
      </c>
      <c r="CD21" s="1538" t="n">
        <f aca="false">IF(H21="N",0,D21)*BQ21</f>
        <v>0</v>
      </c>
      <c r="CE21" s="1538" t="n">
        <f aca="false">K21*BQ21</f>
        <v>0</v>
      </c>
      <c r="CF21" s="1542" t="n">
        <f aca="false">ROUND(IF(W21="",0,LOOKUP(W21,B$49:B$59,D$49:D$59)*X21/12),0)</f>
        <v>0</v>
      </c>
      <c r="CG21" s="1542" t="n">
        <f aca="false">ROUND(IF(Y21="",0,LOOKUP(Y21,B$49:B$59,D$49:D$59)*Z21/12),0)</f>
        <v>0</v>
      </c>
      <c r="CH21" s="1542" t="n">
        <f aca="false">ROUND(IF(AA21="",0,LOOKUP(AA21,B$49:B$59,D$49:D$59)*AB21/12),0)</f>
        <v>0</v>
      </c>
      <c r="CI21" s="1538" t="n">
        <f aca="false">D21*BQ21</f>
        <v>0</v>
      </c>
      <c r="CJ21" s="1538" t="n">
        <f aca="false">D21*J21/324*(1+K$73)*G21</f>
        <v>0</v>
      </c>
      <c r="CK21" s="1538" t="str">
        <f aca="false">IF(N21="","",N21)</f>
        <v/>
      </c>
      <c r="CL21" s="1538" t="n">
        <f aca="false">P21*BQ21</f>
        <v>0</v>
      </c>
      <c r="CM21" s="1543" t="n">
        <f aca="false">IF(BQ21=0,0,SUM(CN21:DE21)/BQ21)</f>
        <v>0</v>
      </c>
      <c r="CN21" s="656" t="n">
        <f aca="false">(BS21*Pricing!F$3+BT21*Pricing!G$3+BU21*Pricing!H$3+BV21*Pricing!I$3+BW21*Pricing!J$3+BX21*Pricing!K$3+BY21*Pricing!L$3+BZ21*Pricing!M$3+CA21*Pricing!N$3+CB21*Pricing!O$3)*IF(W$44="N",(1+Y$44),1)</f>
        <v>0</v>
      </c>
      <c r="CO21" s="656" t="n">
        <f aca="false">BN21*G$70*IF(W$44="n",1+Y$44,1)</f>
        <v>0</v>
      </c>
      <c r="CP21" s="1544" t="n">
        <f aca="false">C21*D21</f>
        <v>0</v>
      </c>
      <c r="CQ21" s="656" t="n">
        <f aca="false">IF(I$79=0,0,D21*(SUM(O$79:P$82)+O$85)/I$79*BQ21)</f>
        <v>0</v>
      </c>
      <c r="CR21" s="656" t="n">
        <f aca="false">IF(CF21="",0,CF21*E$83)+IF(CG21="",0,CG21*E$83)+IF(CH21="",0,CH21*E$83)</f>
        <v>0</v>
      </c>
      <c r="CS21" s="656"/>
      <c r="CT21" s="1545" t="n">
        <f aca="false">(U21/2000)*E$87</f>
        <v>0</v>
      </c>
      <c r="CU21" s="656" t="n">
        <f aca="false">IF(I$79=0,0,D21*(O$88)/I$79*BQ21)</f>
        <v>0</v>
      </c>
      <c r="CV21" s="656" t="n">
        <f aca="false">IF(D$42=0,0,SUM(O$91:P$94)/D$42*D21)*BQ21</f>
        <v>0</v>
      </c>
      <c r="CW21" s="656" t="n">
        <f aca="false">IF(D$42=0,0,SUM(Z$66:Z$97)/D$42*D21*BQ21)</f>
        <v>0</v>
      </c>
      <c r="CX21" s="656" t="n">
        <f aca="false">IF(D$42=0,0,SUM(O$96:P$101)/D$42*D21)*BQ21</f>
        <v>0</v>
      </c>
      <c r="CY21" s="656" t="n">
        <f aca="false">IF(D$42=0,0,SUM(O$103:O$109)/D$42)*D21*BQ21</f>
        <v>0</v>
      </c>
      <c r="CZ21" s="656" t="n">
        <f aca="false">IF(I$79=0,0,IF(I$79=0,0,SUM(Z$98:Z$109)/I$79*D21))</f>
        <v>0</v>
      </c>
      <c r="DA21" s="656" t="n">
        <f aca="false">IF(J$72&gt;0,J$72/D$42*D21*G21,CD21*(G$72*IF(W$44="n",(1+Y$44),1)))</f>
        <v>0</v>
      </c>
      <c r="DB21" s="656" t="n">
        <f aca="false">IF(CK21="",0,CK21*E$86)</f>
        <v>0</v>
      </c>
      <c r="DC21" s="656" t="n">
        <f aca="false">BP21*G$71*IF(W$44="Y",1,1+Y$44)</f>
        <v>0</v>
      </c>
      <c r="DD21" s="656" t="n">
        <f aca="false">CJ21*G$73*IF(W$44="Y",1,1+Y$44)</f>
        <v>0</v>
      </c>
      <c r="DE21" s="1546" t="e">
        <f aca="false">O$110/I$79*D21</f>
        <v>#DIV/0!</v>
      </c>
      <c r="DF21" s="654" t="n">
        <f aca="false">IF(W21=1,X21*$AS$49,0)+IF(W21=2,X21*$AS$50,0)+IF(W21=3,X21*$AS$51,0)+IF(W21=4,X21*$AS$52,0)+IF(W21=5,X21*$AS$53,0)+IF(W21=6,X21*$AS$54)+IF(W21=7,X21*$AS$55)+IF(W21=8,X21*$AS$56)+IF(W21=9,X21*$AS$57)+IF(W21=10,X21*$AS$58)+IF(W21=11,X21*$AS$59,0)</f>
        <v>0</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0</v>
      </c>
      <c r="DJ21" s="654" t="n">
        <f aca="false">IF(AE21=1,AF21*$AS$49,0)+IF(AE21=2,AF21*$AS$50,0)+IF(AE21=3,AF21*$AS$51,0)+IF(AE21=4,AF21*$AS$52,0)+IF(AE21=5,AF21*$AS$53,0)+IF(AE21=6,AF21*$AS$54)+IF(AE21=7,AF21*$AS$55)+IF(AE21=8,AF21*$AS$56)+IF(AE21=9,AF21*$AS$57)+IF(AE21=10,AF21*$AS$58)+IF(AE21=11,AF21*$AS$59,0)</f>
        <v>0</v>
      </c>
      <c r="DK21" s="654" t="n">
        <f aca="false">IF(AG21=1,AH21*$AS$49,0)+IF(AG21=2,AH21*$AS$50,0)+IF(AG21=3,AH21*$AS$51,0)+IF(AG21=4,AH21*$AS$52,0)+IF(AG21=5,AH21*$AS$53,0)+IF(AG21=6,AH21*$AS$54)+IF(AG21=7,AH21*$AS$55)+IF(AG21=8,AH21*$AS$56)+IF(AG21=9,AH21*$AS$57)+IF(AG21=10,AH21*$AS$58)+IF(AG21=11,AH21*$AS$59,0)</f>
        <v>0</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0</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569" t="n">
        <f aca="false">D21</f>
        <v>0</v>
      </c>
      <c r="DQ21" s="1430" t="str">
        <f aca="false">IF(AC21="","",LOOKUP(AC21,$B$49:$B$59,$S$49:$S$59)*AD21)</f>
        <v/>
      </c>
      <c r="DR21" s="1430" t="str">
        <f aca="false">IF(AE21="","",LOOKUP(AE21,$B$49:$B$59,$S$49:$S$59)*AF21)</f>
        <v/>
      </c>
      <c r="DS21" s="1430" t="str">
        <f aca="false">IF(AG21="","",LOOKUP(AG21,$B$49:$B$59,$S$49:$S$59)*AH21)</f>
        <v/>
      </c>
      <c r="DT21" s="1430" t="str">
        <f aca="false">IF(AI21="","",LOOKUP(AI21,$B$49:$B$59,$S$49:$S$59)*AJ21)</f>
        <v/>
      </c>
      <c r="DU21" s="1430" t="str">
        <f aca="false">IF(AK21="","",LOOKUP(AK21,$B$49:$B$59,$S$49:$S$59)*AL21)</f>
        <v/>
      </c>
      <c r="DV21" s="1430" t="str">
        <f aca="false">IF(AM21="","",LOOKUP(AM21,$B$49:$B$59,$S$49:$S$59)*AN21)</f>
        <v/>
      </c>
      <c r="DW21" s="1430" t="str">
        <f aca="false">IF(AO21="","",LOOKUP(AO21,$B$49:$B$59,$S$49:$S$59)*AP21)</f>
        <v/>
      </c>
      <c r="DX21" s="1535" t="n">
        <f aca="false">SUM(DQ21:DW21)-(D21-EF21)*(S$45-F21)/324</f>
        <v>0</v>
      </c>
      <c r="DY21" s="1430" t="str">
        <f aca="false">IF(AC21="","",LOOKUP(AC21,$B$49:$B$59,$T$49:$T$59)*AD21)</f>
        <v/>
      </c>
      <c r="DZ21" s="1430" t="str">
        <f aca="false">IF(AE21="","",LOOKUP(AE21,$B$49:$B$59,$T$49:$T$59)*AF21)</f>
        <v/>
      </c>
      <c r="EA21" s="1430" t="str">
        <f aca="false">IF(AG21="","",LOOKUP(AG21,$B$49:$B$59,$T$49:$T$59)*AH21)</f>
        <v/>
      </c>
      <c r="EB21" s="1430" t="str">
        <f aca="false">IF(AI21="","",LOOKUP(AI21,$B$49:$B$59,$T$49:$T$59)*AJ21)</f>
        <v/>
      </c>
      <c r="EC21" s="1430" t="str">
        <f aca="false">IF(AK21="","",LOOKUP(AK21,$B$49:$B$59,$T$49:$T$59)*AL21)</f>
        <v/>
      </c>
      <c r="ED21" s="1430" t="str">
        <f aca="false">IF(AM21="","",LOOKUP(AM21,$B$49:$B$59,$T$49:$T$59)*AN21)</f>
        <v/>
      </c>
      <c r="EE21" s="1430" t="str">
        <f aca="false">IF(AO21="","",LOOKUP(AO21,$B$49:$B$59,$T$49:$T$59)*AP21)</f>
        <v/>
      </c>
      <c r="EF21" s="1535" t="n">
        <f aca="false">SUM(DY21:EE21)</f>
        <v>0</v>
      </c>
    </row>
    <row r="22" customFormat="false" ht="19.5" hidden="false" customHeight="true" outlineLevel="0" collapsed="false">
      <c r="A22" s="16" t="s">
        <v>1078</v>
      </c>
      <c r="B22" s="920"/>
      <c r="C22" s="1506"/>
      <c r="D22" s="1507"/>
      <c r="E22" s="1508"/>
      <c r="F22" s="1074"/>
      <c r="G22" s="1553"/>
      <c r="H22" s="1074"/>
      <c r="I22" s="1553"/>
      <c r="J22" s="1074"/>
      <c r="K22" s="1554"/>
      <c r="L22" s="528"/>
      <c r="M22" s="895"/>
      <c r="N22" s="1513"/>
      <c r="O22" s="1514"/>
      <c r="P22" s="1515" t="n">
        <f aca="false">IF(BQ22=0,0,BN22/BQ22)</f>
        <v>0</v>
      </c>
      <c r="Q22" s="1516" t="n">
        <f aca="false">(D22*F22/324)*(1+K$65)+BB22</f>
        <v>0</v>
      </c>
      <c r="R22" s="1517" t="n">
        <f aca="false">IF(D22=0,0,S22/D22)</f>
        <v>0</v>
      </c>
      <c r="S22" s="1518" t="e">
        <f aca="false">SUM(CM22-DE22)*(1+M$45)</f>
        <v>#DIV/0!</v>
      </c>
      <c r="T22" s="1519" t="n">
        <f aca="false">CF22+CG22+CH22</f>
        <v>0</v>
      </c>
      <c r="U22" s="1520" t="n">
        <f aca="false">IF(P22-(D22*0.35)&lt;0,0,P22-(D22*0.35))</f>
        <v>0</v>
      </c>
      <c r="V22" s="1521" t="n">
        <f aca="false">IF(D22="",0,IF(D22/-30+Q22&lt;1,0,D22/-30+Q22))</f>
        <v>0</v>
      </c>
      <c r="W22" s="1511"/>
      <c r="X22" s="1526"/>
      <c r="Y22" s="528"/>
      <c r="Z22" s="1574"/>
      <c r="AA22" s="528"/>
      <c r="AB22" s="1574"/>
      <c r="AC22" s="1525"/>
      <c r="AD22" s="1526"/>
      <c r="AE22" s="1511"/>
      <c r="AF22" s="1527"/>
      <c r="AG22" s="1528"/>
      <c r="AH22" s="1527"/>
      <c r="AI22" s="1529"/>
      <c r="AJ22" s="1530"/>
      <c r="AK22" s="1531"/>
      <c r="AL22" s="1527"/>
      <c r="AM22" s="528"/>
      <c r="AN22" s="1575"/>
      <c r="AO22" s="528"/>
      <c r="AP22" s="1574"/>
      <c r="AQ22" s="1435" t="e">
        <f aca="false">D22/Q22</f>
        <v>#DIV/0!</v>
      </c>
      <c r="AR22" s="1533" t="str">
        <f aca="false">IF(W22="","",LOOKUP(W22,$B$49:$B$59,$R$49:$R$59)*X22)</f>
        <v/>
      </c>
      <c r="AS22" s="1430" t="str">
        <f aca="false">IF(Y22="","",LOOKUP(Y22,$B$49:$B$59,$R$49:$R$59)*Z22)</f>
        <v/>
      </c>
      <c r="AT22" s="1430" t="str">
        <f aca="false">IF(AB22="","",LOOKUP(AA22,$B$49:$B$59,$R$49:$R$59)*AB22)</f>
        <v/>
      </c>
      <c r="AU22" s="1430" t="str">
        <f aca="false">IF(AC22="","",LOOKUP(AC22,$B$49:$B$59,$R$49:$R$59)*AD22)</f>
        <v/>
      </c>
      <c r="AV22" s="1430" t="str">
        <f aca="false">IF(AE22="","",LOOKUP(AE22,$B$49:$B$59,$R$49:$R$59)*AF22)</f>
        <v/>
      </c>
      <c r="AW22" s="1430" t="str">
        <f aca="false">IF(AG22="","",LOOKUP(AG22,$B$49:$B$59,$R$49:$R$59)*AH22)</f>
        <v/>
      </c>
      <c r="AX22" s="1430" t="str">
        <f aca="false">IF(AI22="","",LOOKUP(AI22,$B$49:$B$59,$R$49:$R$59)*AJ22)</f>
        <v/>
      </c>
      <c r="AY22" s="1430" t="str">
        <f aca="false">IF(AK22="","",LOOKUP(AK22,$B$49:$B$59,$R$49:$R$59)*AL22)</f>
        <v/>
      </c>
      <c r="AZ22" s="1430" t="str">
        <f aca="false">IF(AM22="","",LOOKUP(AM22,$B$49:$B$59,$R$49:$R$59)*AN22)</f>
        <v/>
      </c>
      <c r="BA22" s="1430" t="str">
        <f aca="false">IF(AO22="","",LOOKUP(AO22,$B$49:$B$59,$R$49:$R$59)*AP22)</f>
        <v/>
      </c>
      <c r="BB22" s="1535" t="n">
        <f aca="false">SUM(AR22:BA22)</f>
        <v>0</v>
      </c>
      <c r="BC22" s="1533" t="str">
        <f aca="false">IF(W22="","",LOOKUP(W22,$B$49:$B$59,$P$49:$P$59)*X22)</f>
        <v/>
      </c>
      <c r="BD22" s="1430" t="str">
        <f aca="false">IF(Y22="","",LOOKUP(Y22,$B$49:$B$59,$P$49:$P$59)*Z22)</f>
        <v/>
      </c>
      <c r="BE22" s="1430" t="str">
        <f aca="false">IF(AA22="","",LOOKUP(AA22,$B$49:$B$59,$P$49:$P$59)*AB22)</f>
        <v/>
      </c>
      <c r="BF22" s="1430" t="str">
        <f aca="false">IF(AC22="","",LOOKUP(AC22,$B$49:$B$59,$P$49:$P$59)*AD22)</f>
        <v/>
      </c>
      <c r="BG22" s="1430" t="str">
        <f aca="false">IF(AE22="","",LOOKUP(AE22,$B$49:$B$59,$P$49:$P$59)*AF22)</f>
        <v/>
      </c>
      <c r="BH22" s="1430" t="str">
        <f aca="false">IF(AG22="","",LOOKUP(AG22,$B$49:$B$59,$P$49:$P$59)*AH22)</f>
        <v/>
      </c>
      <c r="BI22" s="1430" t="str">
        <f aca="false">IF(AI22="","",LOOKUP(AI22,$B$49:$B$59,$P$49:$P$59)*AJ22)</f>
        <v/>
      </c>
      <c r="BJ22" s="1430" t="str">
        <f aca="false">IF(AK22="","",LOOKUP(AK22,$B$49:$B$59,$P$49:$P$59)*AL22)</f>
        <v/>
      </c>
      <c r="BK22" s="1430" t="str">
        <f aca="false">IF(AM22="","",LOOKUP(AM22,$B$49:$B$59,$P$49:$P$59)*AN22)</f>
        <v/>
      </c>
      <c r="BL22" s="1430" t="str">
        <f aca="false">IF(AO22="","",LOOKUP(AO22,$B$49:$B$59,$P$49:$P$59)*AP22)</f>
        <v/>
      </c>
      <c r="BM22" s="1535" t="n">
        <f aca="false">SUM(BC22:BL22)*BQ22</f>
        <v>0</v>
      </c>
      <c r="BN22" s="1536" t="n">
        <f aca="false">BM22+BO22</f>
        <v>0</v>
      </c>
      <c r="BO22" s="1536" t="n">
        <f aca="false">IF(M22=0,0,(M22/12+M22/12)/(M22/12*M22/12)*D22*((L22/16*L22/16)*10.6870159))*(1+K$70)*BQ22</f>
        <v>0</v>
      </c>
      <c r="BP22" s="1536" t="n">
        <f aca="false">IF(O22="Y",D22*(1+K$71)*BQ22,0)</f>
        <v>0</v>
      </c>
      <c r="BQ22" s="1538" t="n">
        <f aca="false">G22</f>
        <v>0</v>
      </c>
      <c r="BR22" s="1411" t="n">
        <f aca="false">IF(O22="y",D22,0)</f>
        <v>0</v>
      </c>
      <c r="BS22" s="1567" t="n">
        <f aca="false">IF($I22=1,$Q22,0)*BQ22</f>
        <v>0</v>
      </c>
      <c r="BT22" s="1536" t="n">
        <f aca="false">IF($I22=2,$Q22,0)*BQ22</f>
        <v>0</v>
      </c>
      <c r="BU22" s="1536" t="n">
        <f aca="false">IF($I22=3,$Q22,0)*BQ22</f>
        <v>0</v>
      </c>
      <c r="BV22" s="1536" t="n">
        <f aca="false">IF($I22=4,$Q22,0)*BQ22</f>
        <v>0</v>
      </c>
      <c r="BW22" s="1536" t="n">
        <f aca="false">IF($I22=5,$Q22,0)*BQ22</f>
        <v>0</v>
      </c>
      <c r="BX22" s="1536" t="n">
        <f aca="false">IF($I22=6,$Q22,0)*$BQ22</f>
        <v>0</v>
      </c>
      <c r="BY22" s="1536" t="n">
        <f aca="false">IF($I22=7,$Q22,0)*$BQ22</f>
        <v>0</v>
      </c>
      <c r="BZ22" s="1536" t="n">
        <f aca="false">IF($I22=8,$Q22,0)*$BQ22</f>
        <v>0</v>
      </c>
      <c r="CA22" s="1536" t="n">
        <f aca="false">IF($I22=9,$Q22,0)*$BQ22</f>
        <v>0</v>
      </c>
      <c r="CB22" s="1568" t="n">
        <f aca="false">IF($I22=10,$Q22,0)*$BQ22</f>
        <v>0</v>
      </c>
      <c r="CC22" s="1538" t="n">
        <f aca="false">SUM(BS22:BX22)</f>
        <v>0</v>
      </c>
      <c r="CD22" s="1538" t="n">
        <f aca="false">IF(H22="N",0,D22)*BQ22</f>
        <v>0</v>
      </c>
      <c r="CE22" s="1538" t="n">
        <f aca="false">K22*BQ22</f>
        <v>0</v>
      </c>
      <c r="CF22" s="1542" t="n">
        <f aca="false">ROUND(IF(W22="",0,LOOKUP(W22,B$49:B$59,D$49:D$59)*X22/12),0)</f>
        <v>0</v>
      </c>
      <c r="CG22" s="1542" t="n">
        <f aca="false">ROUND(IF(Y22="",0,LOOKUP(Y22,B$49:B$59,D$49:D$59)*Z22/12),0)</f>
        <v>0</v>
      </c>
      <c r="CH22" s="1542" t="n">
        <f aca="false">ROUND(IF(AA22="",0,LOOKUP(AA22,B$49:B$59,D$49:D$59)*AB22/12),0)</f>
        <v>0</v>
      </c>
      <c r="CI22" s="1538" t="n">
        <f aca="false">D22*BQ22</f>
        <v>0</v>
      </c>
      <c r="CJ22" s="1538" t="n">
        <f aca="false">D22*J22/324*(1+K$73)*G22</f>
        <v>0</v>
      </c>
      <c r="CK22" s="1538" t="str">
        <f aca="false">IF(N22="","",N22)</f>
        <v/>
      </c>
      <c r="CL22" s="1538" t="n">
        <f aca="false">P22*BQ22</f>
        <v>0</v>
      </c>
      <c r="CM22" s="1543" t="n">
        <f aca="false">IF(BQ22=0,0,SUM(CN22:DE22)/BQ22)</f>
        <v>0</v>
      </c>
      <c r="CN22" s="656" t="n">
        <f aca="false">(BS22*Pricing!F$3+BT22*Pricing!G$3+BU22*Pricing!H$3+BV22*Pricing!I$3+BW22*Pricing!J$3+BX22*Pricing!K$3+BY22*Pricing!L$3+BZ22*Pricing!M$3+CA22*Pricing!N$3+CB22*Pricing!O$3)*IF(W$44="N",(1+Y$44),1)</f>
        <v>0</v>
      </c>
      <c r="CO22" s="656" t="n">
        <f aca="false">BN22*G$70*IF(W$44="n",1+Y$44,1)</f>
        <v>0</v>
      </c>
      <c r="CP22" s="1544" t="n">
        <f aca="false">C22*D22</f>
        <v>0</v>
      </c>
      <c r="CQ22" s="656" t="n">
        <f aca="false">IF(I$79=0,0,D22*(SUM(O$79:P$82)+O$85)/I$79*BQ22)</f>
        <v>0</v>
      </c>
      <c r="CR22" s="656" t="n">
        <f aca="false">IF(CF22="",0,CF22*E$83)+IF(CG22="",0,CG22*E$83)+IF(CH22="",0,CH22*E$83)</f>
        <v>0</v>
      </c>
      <c r="CS22" s="656"/>
      <c r="CT22" s="1545" t="n">
        <f aca="false">(U22/2000)*E$87</f>
        <v>0</v>
      </c>
      <c r="CU22" s="656" t="n">
        <f aca="false">IF(I$79=0,0,D22*(O$88)/I$79*BQ22)</f>
        <v>0</v>
      </c>
      <c r="CV22" s="656" t="n">
        <f aca="false">IF(D$42=0,0,SUM(O$91:P$94)/D$42*D22)*BQ22</f>
        <v>0</v>
      </c>
      <c r="CW22" s="656" t="n">
        <f aca="false">IF(D$42=0,0,SUM(Z$66:Z$97)/D$42*D22*BQ22)</f>
        <v>0</v>
      </c>
      <c r="CX22" s="656" t="n">
        <f aca="false">IF(D$42=0,0,SUM(O$96:P$101)/D$42*D22)*BQ22</f>
        <v>0</v>
      </c>
      <c r="CY22" s="656" t="n">
        <f aca="false">IF(D$42=0,0,SUM(O$103:O$109)/D$42)*D22*BQ22</f>
        <v>0</v>
      </c>
      <c r="CZ22" s="656" t="n">
        <f aca="false">IF(I$79=0,0,IF(I$79=0,0,SUM(Z$98:Z$109)/I$79*D22))</f>
        <v>0</v>
      </c>
      <c r="DA22" s="656" t="n">
        <f aca="false">IF(J$72&gt;0,J$72/D$42*D22*G22,CD22*(G$72*IF(W$44="n",(1+Y$44),1)))</f>
        <v>0</v>
      </c>
      <c r="DB22" s="656" t="n">
        <f aca="false">IF(CK22="",0,CK22*E$86)</f>
        <v>0</v>
      </c>
      <c r="DC22" s="656" t="n">
        <f aca="false">BP22*G$71*IF(W$44="Y",1,1+Y$44)</f>
        <v>0</v>
      </c>
      <c r="DD22" s="656" t="n">
        <f aca="false">CJ22*G$73*IF(W$44="Y",1,1+Y$44)</f>
        <v>0</v>
      </c>
      <c r="DE22" s="1546" t="e">
        <f aca="false">O$110/I$79*D22</f>
        <v>#DIV/0!</v>
      </c>
      <c r="DF22" s="654" t="n">
        <f aca="false">IF(W22=1,X22*$AS$49,0)+IF(W22=2,X22*$AS$50,0)+IF(W22=3,X22*$AS$51,0)+IF(W22=4,X22*$AS$52,0)+IF(W22=5,X22*$AS$53,0)+IF(W22=6,X22*$AS$54)+IF(W22=7,X22*$AS$55)+IF(W22=8,X22*$AS$56)+IF(W22=9,X22*$AS$57)+IF(W22=10,X22*$AS$58)+IF(W22=11,X22*$AS$59,0)</f>
        <v>0</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0</v>
      </c>
      <c r="DJ22" s="654" t="n">
        <f aca="false">IF(AE22=1,AF22*$AS$49,0)+IF(AE22=2,AF22*$AS$50,0)+IF(AE22=3,AF22*$AS$51,0)+IF(AE22=4,AF22*$AS$52,0)+IF(AE22=5,AF22*$AS$53,0)+IF(AE22=6,AF22*$AS$54)+IF(AE22=7,AF22*$AS$55)+IF(AE22=8,AF22*$AS$56)+IF(AE22=9,AF22*$AS$57)+IF(AE22=10,AF22*$AS$58)+IF(AE22=11,AF22*$AS$59,0)</f>
        <v>0</v>
      </c>
      <c r="DK22" s="654" t="n">
        <f aca="false">IF(AG22=1,AH22*$AS$49,0)+IF(AG22=2,AH22*$AS$50,0)+IF(AG22=3,AH22*$AS$51,0)+IF(AG22=4,AH22*$AS$52,0)+IF(AG22=5,AH22*$AS$53,0)+IF(AG22=6,AH22*$AS$54)+IF(AG22=7,AH22*$AS$55)+IF(AG22=8,AH22*$AS$56)+IF(AG22=9,AH22*$AS$57)+IF(AG22=10,AH22*$AS$58)+IF(AG22=11,AH22*$AS$59,0)</f>
        <v>0</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0</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569" t="n">
        <f aca="false">D22</f>
        <v>0</v>
      </c>
      <c r="DQ22" s="1430" t="str">
        <f aca="false">IF(AC22="","",LOOKUP(AC22,$B$49:$B$59,$S$49:$S$59)*AD22)</f>
        <v/>
      </c>
      <c r="DR22" s="1430" t="str">
        <f aca="false">IF(AE22="","",LOOKUP(AE22,$B$49:$B$59,$S$49:$S$59)*AF22)</f>
        <v/>
      </c>
      <c r="DS22" s="1430" t="str">
        <f aca="false">IF(AG22="","",LOOKUP(AG22,$B$49:$B$59,$S$49:$S$59)*AH22)</f>
        <v/>
      </c>
      <c r="DT22" s="1430" t="str">
        <f aca="false">IF(AI22="","",LOOKUP(AI22,$B$49:$B$59,$S$49:$S$59)*AJ22)</f>
        <v/>
      </c>
      <c r="DU22" s="1430" t="str">
        <f aca="false">IF(AK22="","",LOOKUP(AK22,$B$49:$B$59,$S$49:$S$59)*AL22)</f>
        <v/>
      </c>
      <c r="DV22" s="1430" t="str">
        <f aca="false">IF(AM22="","",LOOKUP(AM22,$B$49:$B$59,$S$49:$S$59)*AN22)</f>
        <v/>
      </c>
      <c r="DW22" s="1430" t="str">
        <f aca="false">IF(AO22="","",LOOKUP(AO22,$B$49:$B$59,$S$49:$S$59)*AP22)</f>
        <v/>
      </c>
      <c r="DX22" s="1535" t="n">
        <f aca="false">SUM(DQ22:DW22)-(D22-EF22)*(S$45-F22)/324</f>
        <v>0</v>
      </c>
      <c r="DY22" s="1430" t="str">
        <f aca="false">IF(AC22="","",LOOKUP(AC22,$B$49:$B$59,$T$49:$T$59)*AD22)</f>
        <v/>
      </c>
      <c r="DZ22" s="1430" t="str">
        <f aca="false">IF(AE22="","",LOOKUP(AE22,$B$49:$B$59,$T$49:$T$59)*AF22)</f>
        <v/>
      </c>
      <c r="EA22" s="1430" t="str">
        <f aca="false">IF(AG22="","",LOOKUP(AG22,$B$49:$B$59,$T$49:$T$59)*AH22)</f>
        <v/>
      </c>
      <c r="EB22" s="1430" t="str">
        <f aca="false">IF(AI22="","",LOOKUP(AI22,$B$49:$B$59,$T$49:$T$59)*AJ22)</f>
        <v/>
      </c>
      <c r="EC22" s="1430" t="str">
        <f aca="false">IF(AK22="","",LOOKUP(AK22,$B$49:$B$59,$T$49:$T$59)*AL22)</f>
        <v/>
      </c>
      <c r="ED22" s="1430" t="str">
        <f aca="false">IF(AM22="","",LOOKUP(AM22,$B$49:$B$59,$T$49:$T$59)*AN22)</f>
        <v/>
      </c>
      <c r="EE22" s="1430" t="str">
        <f aca="false">IF(AO22="","",LOOKUP(AO22,$B$49:$B$59,$T$49:$T$59)*AP22)</f>
        <v/>
      </c>
      <c r="EF22" s="1535" t="n">
        <f aca="false">SUM(DY22:EE22)</f>
        <v>0</v>
      </c>
    </row>
    <row r="23" customFormat="false" ht="19.5" hidden="false" customHeight="true" outlineLevel="0" collapsed="false">
      <c r="A23" s="16" t="s">
        <v>1328</v>
      </c>
      <c r="B23" s="1549"/>
      <c r="C23" s="1550"/>
      <c r="D23" s="1551"/>
      <c r="E23" s="1552"/>
      <c r="F23" s="1074"/>
      <c r="G23" s="1553"/>
      <c r="H23" s="1074"/>
      <c r="I23" s="1553"/>
      <c r="J23" s="1074"/>
      <c r="K23" s="1554"/>
      <c r="L23" s="1555"/>
      <c r="M23" s="1556"/>
      <c r="N23" s="1557"/>
      <c r="O23" s="1558"/>
      <c r="P23" s="1515" t="n">
        <f aca="false">IF(BQ23=0,0,BN23/BQ23)</f>
        <v>0</v>
      </c>
      <c r="Q23" s="1516" t="n">
        <f aca="false">(D23*F23/324)*(1+K$65)+BB23</f>
        <v>0</v>
      </c>
      <c r="R23" s="1517" t="n">
        <f aca="false">IF(D23=0,0,S23/D23)</f>
        <v>0</v>
      </c>
      <c r="S23" s="1518" t="e">
        <f aca="false">SUM(CM23-DE23)*(1+M$45)</f>
        <v>#DIV/0!</v>
      </c>
      <c r="T23" s="1519" t="n">
        <f aca="false">CF23+CG23+CH23</f>
        <v>0</v>
      </c>
      <c r="U23" s="1520" t="n">
        <f aca="false">IF(P23-(D23*0.35)&lt;0,0,P23-(D23*0.35))</f>
        <v>0</v>
      </c>
      <c r="V23" s="1521" t="n">
        <f aca="false">IF(D23="",0,IF(D23/-30+Q23&lt;1,0,D23/-30+Q23))</f>
        <v>0</v>
      </c>
      <c r="W23" s="1559"/>
      <c r="X23" s="1560"/>
      <c r="Y23" s="1559"/>
      <c r="Z23" s="1561"/>
      <c r="AA23" s="1559"/>
      <c r="AB23" s="1561"/>
      <c r="AC23" s="1562"/>
      <c r="AD23" s="1560"/>
      <c r="AE23" s="1559"/>
      <c r="AF23" s="1563"/>
      <c r="AG23" s="1564"/>
      <c r="AH23" s="1563"/>
      <c r="AI23" s="1565"/>
      <c r="AJ23" s="1560"/>
      <c r="AK23" s="1565"/>
      <c r="AL23" s="1581"/>
      <c r="AM23" s="1559"/>
      <c r="AN23" s="1566"/>
      <c r="AO23" s="1559"/>
      <c r="AP23" s="1561"/>
      <c r="AQ23" s="1435" t="e">
        <f aca="false">D23/Q23</f>
        <v>#DIV/0!</v>
      </c>
      <c r="AR23" s="1533" t="str">
        <f aca="false">IF(W23="","",LOOKUP(W23,$B$49:$B$59,$R$49:$R$59)*X23)</f>
        <v/>
      </c>
      <c r="AS23" s="1430" t="str">
        <f aca="false">IF(Y23="","",LOOKUP(Y23,$B$49:$B$59,$R$49:$R$59)*Z23)</f>
        <v/>
      </c>
      <c r="AT23" s="1430" t="str">
        <f aca="false">IF(AB23="","",LOOKUP(AA23,$B$49:$B$59,$R$49:$R$59)*AB23)</f>
        <v/>
      </c>
      <c r="AU23" s="1430" t="str">
        <f aca="false">IF(AC23="","",LOOKUP(AC23,$B$49:$B$59,$R$49:$R$59)*AD23)</f>
        <v/>
      </c>
      <c r="AV23" s="1430" t="str">
        <f aca="false">IF(AE23="","",LOOKUP(AE23,$B$49:$B$59,$R$49:$R$59)*AF23)</f>
        <v/>
      </c>
      <c r="AW23" s="1430" t="str">
        <f aca="false">IF(AG23="","",LOOKUP(AG23,$B$49:$B$59,$R$49:$R$59)*AH23)</f>
        <v/>
      </c>
      <c r="AX23" s="1430" t="str">
        <f aca="false">IF(AI23="","",LOOKUP(AI23,$B$49:$B$59,$R$49:$R$59)*AJ23)</f>
        <v/>
      </c>
      <c r="AY23" s="1430" t="str">
        <f aca="false">IF(AK23="","",LOOKUP(AK23,$B$49:$B$59,$R$49:$R$59)*AL23)</f>
        <v/>
      </c>
      <c r="AZ23" s="1430" t="str">
        <f aca="false">IF(AM23="","",LOOKUP(AM23,$B$49:$B$59,$R$49:$R$59)*AN23)</f>
        <v/>
      </c>
      <c r="BA23" s="1430" t="str">
        <f aca="false">IF(AO23="","",LOOKUP(AO23,$B$49:$B$59,$R$49:$R$59)*AP23)</f>
        <v/>
      </c>
      <c r="BB23" s="1535" t="n">
        <f aca="false">SUM(AR23:BA23)</f>
        <v>0</v>
      </c>
      <c r="BC23" s="1533" t="str">
        <f aca="false">IF(W23="","",LOOKUP(W23,$B$49:$B$59,$P$49:$P$59)*X23)</f>
        <v/>
      </c>
      <c r="BD23" s="1430" t="str">
        <f aca="false">IF(Y23="","",LOOKUP(Y23,$B$49:$B$59,$P$49:$P$59)*Z23)</f>
        <v/>
      </c>
      <c r="BE23" s="1430" t="str">
        <f aca="false">IF(AA23="","",LOOKUP(AA23,$B$49:$B$59,$P$49:$P$59)*AB23)</f>
        <v/>
      </c>
      <c r="BF23" s="1430" t="str">
        <f aca="false">IF(AC23="","",LOOKUP(AC23,$B$49:$B$59,$P$49:$P$59)*AD23)</f>
        <v/>
      </c>
      <c r="BG23" s="1430" t="str">
        <f aca="false">IF(AE23="","",LOOKUP(AE23,$B$49:$B$59,$P$49:$P$59)*AF23)</f>
        <v/>
      </c>
      <c r="BH23" s="1430" t="str">
        <f aca="false">IF(AG23="","",LOOKUP(AG23,$B$49:$B$59,$P$49:$P$59)*AH23)</f>
        <v/>
      </c>
      <c r="BI23" s="1430" t="str">
        <f aca="false">IF(AI23="","",LOOKUP(AI23,$B$49:$B$59,$P$49:$P$59)*AJ23)</f>
        <v/>
      </c>
      <c r="BJ23" s="1430" t="str">
        <f aca="false">IF(AK23="","",LOOKUP(AK23,$B$49:$B$59,$P$49:$P$59)*AL23)</f>
        <v/>
      </c>
      <c r="BK23" s="1430" t="str">
        <f aca="false">IF(AM23="","",LOOKUP(AM23,$B$49:$B$59,$P$49:$P$59)*AN23)</f>
        <v/>
      </c>
      <c r="BL23" s="1430" t="str">
        <f aca="false">IF(AO23="","",LOOKUP(AO23,$B$49:$B$59,$P$49:$P$59)*AP23)</f>
        <v/>
      </c>
      <c r="BM23" s="1535" t="n">
        <f aca="false">SUM(BC23:BL23)*BQ23</f>
        <v>0</v>
      </c>
      <c r="BN23" s="1536" t="n">
        <f aca="false">BM23+BO23</f>
        <v>0</v>
      </c>
      <c r="BO23" s="1536" t="n">
        <f aca="false">IF(M23=0,0,(M23/12+M23/12)/(M23/12*M23/12)*D23*((L23/16*L23/16)*10.6870159))*(1+K$70)*BQ23</f>
        <v>0</v>
      </c>
      <c r="BP23" s="1536" t="n">
        <f aca="false">IF(O23="Y",D23*(1+K$71)*BQ23,0)</f>
        <v>0</v>
      </c>
      <c r="BQ23" s="1538" t="n">
        <f aca="false">G23</f>
        <v>0</v>
      </c>
      <c r="BR23" s="1411" t="n">
        <f aca="false">IF(O23="y",D23,0)</f>
        <v>0</v>
      </c>
      <c r="BS23" s="1567" t="n">
        <f aca="false">IF($I23=1,$Q23,0)*BQ23</f>
        <v>0</v>
      </c>
      <c r="BT23" s="1536" t="n">
        <f aca="false">IF($I23=2,$Q23,0)*BQ23</f>
        <v>0</v>
      </c>
      <c r="BU23" s="1536" t="n">
        <f aca="false">IF($I23=3,$Q23,0)*BQ23</f>
        <v>0</v>
      </c>
      <c r="BV23" s="1536" t="n">
        <f aca="false">IF($I23=4,$Q23,0)*BQ23</f>
        <v>0</v>
      </c>
      <c r="BW23" s="1536" t="n">
        <f aca="false">IF($I23=5,$Q23,0)*BQ23</f>
        <v>0</v>
      </c>
      <c r="BX23" s="1536" t="n">
        <f aca="false">IF($I23=6,$Q23,0)*$BQ23</f>
        <v>0</v>
      </c>
      <c r="BY23" s="1536" t="n">
        <f aca="false">IF($I23=7,$Q23,0)*$BQ23</f>
        <v>0</v>
      </c>
      <c r="BZ23" s="1536" t="n">
        <f aca="false">IF($I23=8,$Q23,0)*$BQ23</f>
        <v>0</v>
      </c>
      <c r="CA23" s="1536" t="n">
        <f aca="false">IF($I23=9,$Q23,0)*$BQ23</f>
        <v>0</v>
      </c>
      <c r="CB23" s="1568" t="n">
        <f aca="false">IF($I23=10,$Q23,0)*$BQ23</f>
        <v>0</v>
      </c>
      <c r="CC23" s="1538" t="n">
        <f aca="false">SUM(BS23:BX23)</f>
        <v>0</v>
      </c>
      <c r="CD23" s="1538" t="n">
        <f aca="false">IF(H23="N",0,D23)*BQ23</f>
        <v>0</v>
      </c>
      <c r="CE23" s="1538" t="n">
        <f aca="false">K23*BQ23</f>
        <v>0</v>
      </c>
      <c r="CF23" s="1542" t="n">
        <f aca="false">ROUND(IF(W23="",0,LOOKUP(W23,B$49:B$59,D$49:D$59)*X23/12),0)</f>
        <v>0</v>
      </c>
      <c r="CG23" s="1542" t="n">
        <f aca="false">ROUND(IF(Y23="",0,LOOKUP(Y23,B$49:B$59,D$49:D$59)*Z23/12),0)</f>
        <v>0</v>
      </c>
      <c r="CH23" s="1542" t="n">
        <f aca="false">ROUND(IF(AA23="",0,LOOKUP(AA23,B$49:B$59,D$49:D$59)*AB23/12),0)</f>
        <v>0</v>
      </c>
      <c r="CI23" s="1538" t="n">
        <f aca="false">D23*BQ23</f>
        <v>0</v>
      </c>
      <c r="CJ23" s="1538" t="n">
        <f aca="false">D23*J23/324*(1+K$73)*G23</f>
        <v>0</v>
      </c>
      <c r="CK23" s="1538" t="str">
        <f aca="false">IF(N23="","",N23)</f>
        <v/>
      </c>
      <c r="CL23" s="1538" t="n">
        <f aca="false">P23*BQ23</f>
        <v>0</v>
      </c>
      <c r="CM23" s="1543" t="n">
        <f aca="false">IF(BQ23=0,0,SUM(CN23:DE23)/BQ23)</f>
        <v>0</v>
      </c>
      <c r="CN23" s="656" t="n">
        <f aca="false">(BS23*Pricing!F$3+BT23*Pricing!G$3+BU23*Pricing!H$3+BV23*Pricing!I$3+BW23*Pricing!J$3+BX23*Pricing!K$3+BY23*Pricing!L$3+BZ23*Pricing!M$3+CA23*Pricing!N$3+CB23*Pricing!O$3)*IF(W$44="N",(1+Y$44),1)</f>
        <v>0</v>
      </c>
      <c r="CO23" s="656" t="n">
        <f aca="false">BN23*G$70*IF(W$44="n",1+Y$44,1)</f>
        <v>0</v>
      </c>
      <c r="CP23" s="1544" t="n">
        <f aca="false">C23*D23</f>
        <v>0</v>
      </c>
      <c r="CQ23" s="656" t="n">
        <f aca="false">IF(I$79=0,0,D23*(SUM(O$79:P$82)+O$85)/I$79*BQ23)</f>
        <v>0</v>
      </c>
      <c r="CR23" s="656" t="n">
        <f aca="false">IF(CF23="",0,CF23*E$83)+IF(CG23="",0,CG23*E$83)+IF(CH23="",0,CH23*E$83)</f>
        <v>0</v>
      </c>
      <c r="CS23" s="656"/>
      <c r="CT23" s="1545" t="n">
        <f aca="false">(U23/2000)*E$87</f>
        <v>0</v>
      </c>
      <c r="CU23" s="656" t="n">
        <f aca="false">IF(I$79=0,0,D23*(O$88)/I$79*BQ23)</f>
        <v>0</v>
      </c>
      <c r="CV23" s="656" t="n">
        <f aca="false">IF(D$42=0,0,SUM(O$91:P$94)/D$42*D23)*BQ23</f>
        <v>0</v>
      </c>
      <c r="CW23" s="656" t="n">
        <f aca="false">IF(D$42=0,0,SUM(Z$66:Z$97)/D$42*D23*BQ23)</f>
        <v>0</v>
      </c>
      <c r="CX23" s="656" t="n">
        <f aca="false">IF(D$42=0,0,SUM(O$96:P$101)/D$42*D23)*BQ23</f>
        <v>0</v>
      </c>
      <c r="CY23" s="656" t="n">
        <f aca="false">IF(D$42=0,0,SUM(O$103:O$109)/D$42)*D23*BQ23</f>
        <v>0</v>
      </c>
      <c r="CZ23" s="656" t="n">
        <f aca="false">IF(I$79=0,0,IF(I$79=0,0,SUM(Z$98:Z$109)/I$79*D23))</f>
        <v>0</v>
      </c>
      <c r="DA23" s="656" t="n">
        <f aca="false">IF(J$72&gt;0,J$72/D$42*D23*G23,CD23*(G$72*IF(W$44="n",(1+Y$44),1)))</f>
        <v>0</v>
      </c>
      <c r="DB23" s="656" t="n">
        <f aca="false">IF(CK23="",0,CK23*E$86)</f>
        <v>0</v>
      </c>
      <c r="DC23" s="656" t="n">
        <f aca="false">BP23*G$71*IF(W$44="Y",1,1+Y$44)</f>
        <v>0</v>
      </c>
      <c r="DD23" s="656" t="n">
        <f aca="false">CJ23*G$73*IF(W$44="Y",1,1+Y$44)</f>
        <v>0</v>
      </c>
      <c r="DE23" s="1546" t="e">
        <f aca="false">O$110/I$79*D23</f>
        <v>#DIV/0!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0</v>
      </c>
      <c r="DJ23" s="654" t="n">
        <f aca="false">IF(AE23=1,AF23*$AS$49,0)+IF(AE23=2,AF23*$AS$50,0)+IF(AE23=3,AF23*$AS$51,0)+IF(AE23=4,AF23*$AS$52,0)+IF(AE23=5,AF23*$AS$53,0)+IF(AE23=6,AF23*$AS$54)+IF(AE23=7,AF23*$AS$55)+IF(AE23=8,AF23*$AS$56)+IF(AE23=9,AF23*$AS$57)+IF(AE23=10,AF23*$AS$58)+IF(AE23=11,AF23*$AS$59,0)</f>
        <v>0</v>
      </c>
      <c r="DK23" s="654" t="n">
        <f aca="false">IF(AG23=1,AH23*$AS$49,0)+IF(AG23=2,AH23*$AS$50,0)+IF(AG23=3,AH23*$AS$51,0)+IF(AG23=4,AH23*$AS$52,0)+IF(AG23=5,AH23*$AS$53,0)+IF(AG23=6,AH23*$AS$54)+IF(AG23=7,AH23*$AS$55)+IF(AG23=8,AH23*$AS$56)+IF(AG23=9,AH23*$AS$57)+IF(AG23=10,AH23*$AS$58)+IF(AG23=11,AH23*$AS$59,0)</f>
        <v>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569" t="n">
        <f aca="false">D23</f>
        <v>0</v>
      </c>
      <c r="DQ23" s="1430" t="str">
        <f aca="false">IF(AC23="","",LOOKUP(AC23,$B$49:$B$59,$S$49:$S$59)*AD23)</f>
        <v/>
      </c>
      <c r="DR23" s="1430" t="str">
        <f aca="false">IF(AE23="","",LOOKUP(AE23,$B$49:$B$59,$S$49:$S$59)*AF23)</f>
        <v/>
      </c>
      <c r="DS23" s="1430" t="str">
        <f aca="false">IF(AG23="","",LOOKUP(AG23,$B$49:$B$59,$S$49:$S$59)*AH23)</f>
        <v/>
      </c>
      <c r="DT23" s="1430" t="str">
        <f aca="false">IF(AI23="","",LOOKUP(AI23,$B$49:$B$59,$S$49:$S$59)*AJ23)</f>
        <v/>
      </c>
      <c r="DU23" s="1430" t="str">
        <f aca="false">IF(AK23="","",LOOKUP(AK23,$B$49:$B$59,$S$49:$S$59)*AL23)</f>
        <v/>
      </c>
      <c r="DV23" s="1430" t="str">
        <f aca="false">IF(AM23="","",LOOKUP(AM23,$B$49:$B$59,$S$49:$S$59)*AN23)</f>
        <v/>
      </c>
      <c r="DW23" s="1430" t="str">
        <f aca="false">IF(AO23="","",LOOKUP(AO23,$B$49:$B$59,$S$49:$S$59)*AP23)</f>
        <v/>
      </c>
      <c r="DX23" s="1535" t="n">
        <f aca="false">SUM(DQ23:DW23)-(D23-EF23)*(S$45-F23)/324</f>
        <v>0</v>
      </c>
      <c r="DY23" s="1430" t="str">
        <f aca="false">IF(AC23="","",LOOKUP(AC23,$B$49:$B$59,$T$49:$T$59)*AD23)</f>
        <v/>
      </c>
      <c r="DZ23" s="1430" t="str">
        <f aca="false">IF(AE23="","",LOOKUP(AE23,$B$49:$B$59,$T$49:$T$59)*AF23)</f>
        <v/>
      </c>
      <c r="EA23" s="1430" t="str">
        <f aca="false">IF(AG23="","",LOOKUP(AG23,$B$49:$B$59,$T$49:$T$59)*AH23)</f>
        <v/>
      </c>
      <c r="EB23" s="1430" t="str">
        <f aca="false">IF(AI23="","",LOOKUP(AI23,$B$49:$B$59,$T$49:$T$59)*AJ23)</f>
        <v/>
      </c>
      <c r="EC23" s="1430" t="str">
        <f aca="false">IF(AK23="","",LOOKUP(AK23,$B$49:$B$59,$T$49:$T$59)*AL23)</f>
        <v/>
      </c>
      <c r="ED23" s="1430" t="str">
        <f aca="false">IF(AM23="","",LOOKUP(AM23,$B$49:$B$59,$T$49:$T$59)*AN23)</f>
        <v/>
      </c>
      <c r="EE23" s="1430" t="str">
        <f aca="false">IF(AO23="","",LOOKUP(AO23,$B$49:$B$59,$T$49:$T$59)*AP23)</f>
        <v/>
      </c>
      <c r="EF23" s="1535" t="n">
        <f aca="false">SUM(DY23:EE23)</f>
        <v>0</v>
      </c>
    </row>
    <row r="24" customFormat="false" ht="19.5" hidden="false" customHeight="true" outlineLevel="0" collapsed="false">
      <c r="A24" s="16" t="s">
        <v>1330</v>
      </c>
      <c r="B24" s="920"/>
      <c r="C24" s="1506"/>
      <c r="D24" s="1507"/>
      <c r="E24" s="1508"/>
      <c r="F24" s="1074"/>
      <c r="G24" s="1553"/>
      <c r="H24" s="1074"/>
      <c r="I24" s="1553"/>
      <c r="J24" s="1074"/>
      <c r="K24" s="1554"/>
      <c r="L24" s="528"/>
      <c r="M24" s="895"/>
      <c r="N24" s="1513"/>
      <c r="O24" s="1514"/>
      <c r="P24" s="1515" t="n">
        <f aca="false">IF(BQ24=0,0,BN24/BQ24)</f>
        <v>0</v>
      </c>
      <c r="Q24" s="1516" t="n">
        <f aca="false">(D24*F24/324)*(1+K$65)+BB24</f>
        <v>0</v>
      </c>
      <c r="R24" s="1517" t="n">
        <f aca="false">IF(D24=0,0,S24/D24)</f>
        <v>0</v>
      </c>
      <c r="S24" s="1518" t="e">
        <f aca="false">SUM(CM24-DE24)*(1+M$45)</f>
        <v>#DIV/0!</v>
      </c>
      <c r="T24" s="1519" t="n">
        <f aca="false">CF24+CG24+CH24</f>
        <v>0</v>
      </c>
      <c r="U24" s="1520" t="n">
        <f aca="false">IF(P24-(D24*0.35)&lt;0,0,P24-(D24*0.35))</f>
        <v>0</v>
      </c>
      <c r="V24" s="1521" t="n">
        <f aca="false">IF(D24="",0,IF(D24/-30+Q24&lt;1,0,D24/-30+Q24))</f>
        <v>0</v>
      </c>
      <c r="W24" s="1511"/>
      <c r="X24" s="1526"/>
      <c r="Y24" s="528"/>
      <c r="Z24" s="1574"/>
      <c r="AA24" s="528"/>
      <c r="AB24" s="1574"/>
      <c r="AC24" s="1525"/>
      <c r="AD24" s="1526"/>
      <c r="AE24" s="1511"/>
      <c r="AF24" s="1527"/>
      <c r="AG24" s="1528"/>
      <c r="AH24" s="1527"/>
      <c r="AI24" s="1529"/>
      <c r="AJ24" s="1530"/>
      <c r="AK24" s="1531"/>
      <c r="AL24" s="1582"/>
      <c r="AM24" s="528"/>
      <c r="AN24" s="1575"/>
      <c r="AO24" s="528"/>
      <c r="AP24" s="1574"/>
      <c r="AQ24" s="1435" t="e">
        <f aca="false">D24/Q24</f>
        <v>#DIV/0!</v>
      </c>
      <c r="AR24" s="1533" t="str">
        <f aca="false">IF(W24="","",LOOKUP(W24,$B$49:$B$59,$R$49:$R$59)*X24)</f>
        <v/>
      </c>
      <c r="AS24" s="1430" t="str">
        <f aca="false">IF(Y24="","",LOOKUP(Y24,$B$49:$B$59,$R$49:$R$59)*Z24)</f>
        <v/>
      </c>
      <c r="AT24" s="1430" t="str">
        <f aca="false">IF(AB24="","",LOOKUP(AA24,$B$49:$B$59,$R$49:$R$59)*AB24)</f>
        <v/>
      </c>
      <c r="AU24" s="1430" t="str">
        <f aca="false">IF(AC24="","",LOOKUP(AC24,$B$49:$B$59,$R$49:$R$59)*AD24)</f>
        <v/>
      </c>
      <c r="AV24" s="1430" t="str">
        <f aca="false">IF(AE24="","",LOOKUP(AE24,$B$49:$B$59,$R$49:$R$59)*AF24)</f>
        <v/>
      </c>
      <c r="AW24" s="1430" t="str">
        <f aca="false">IF(AG24="","",LOOKUP(AG24,$B$49:$B$59,$R$49:$R$59)*AH24)</f>
        <v/>
      </c>
      <c r="AX24" s="1430" t="str">
        <f aca="false">IF(AI24="","",LOOKUP(AI24,$B$49:$B$59,$R$49:$R$59)*AJ24)</f>
        <v/>
      </c>
      <c r="AY24" s="1430" t="str">
        <f aca="false">IF(AK24="","",LOOKUP(AK24,$B$49:$B$59,$R$49:$R$59)*AL24)</f>
        <v/>
      </c>
      <c r="AZ24" s="1430" t="str">
        <f aca="false">IF(AM24="","",LOOKUP(AM24,$B$49:$B$59,$R$49:$R$59)*AN24)</f>
        <v/>
      </c>
      <c r="BA24" s="1430" t="str">
        <f aca="false">IF(AO24="","",LOOKUP(AO24,$B$49:$B$59,$R$49:$R$59)*AP24)</f>
        <v/>
      </c>
      <c r="BB24" s="1535" t="n">
        <f aca="false">SUM(AR24:BA24)</f>
        <v>0</v>
      </c>
      <c r="BC24" s="1533" t="str">
        <f aca="false">IF(W24="","",LOOKUP(W24,$B$49:$B$59,$P$49:$P$59)*X24)</f>
        <v/>
      </c>
      <c r="BD24" s="1430" t="str">
        <f aca="false">IF(Y24="","",LOOKUP(Y24,$B$49:$B$59,$P$49:$P$59)*Z24)</f>
        <v/>
      </c>
      <c r="BE24" s="1430" t="str">
        <f aca="false">IF(AA24="","",LOOKUP(AA24,$B$49:$B$59,$P$49:$P$59)*AB24)</f>
        <v/>
      </c>
      <c r="BF24" s="1430" t="str">
        <f aca="false">IF(AC24="","",LOOKUP(AC24,$B$49:$B$59,$P$49:$P$59)*AD24)</f>
        <v/>
      </c>
      <c r="BG24" s="1430" t="str">
        <f aca="false">IF(AE24="","",LOOKUP(AE24,$B$49:$B$59,$P$49:$P$59)*AF24)</f>
        <v/>
      </c>
      <c r="BH24" s="1430" t="str">
        <f aca="false">IF(AG24="","",LOOKUP(AG24,$B$49:$B$59,$P$49:$P$59)*AH24)</f>
        <v/>
      </c>
      <c r="BI24" s="1430" t="str">
        <f aca="false">IF(AI24="","",LOOKUP(AI24,$B$49:$B$59,$P$49:$P$59)*AJ24)</f>
        <v/>
      </c>
      <c r="BJ24" s="1430" t="str">
        <f aca="false">IF(AK24="","",LOOKUP(AK24,$B$49:$B$59,$P$49:$P$59)*AL24)</f>
        <v/>
      </c>
      <c r="BK24" s="1430" t="str">
        <f aca="false">IF(AM24="","",LOOKUP(AM24,$B$49:$B$59,$P$49:$P$59)*AN24)</f>
        <v/>
      </c>
      <c r="BL24" s="1430" t="str">
        <f aca="false">IF(AO24="","",LOOKUP(AO24,$B$49:$B$59,$P$49:$P$59)*AP24)</f>
        <v/>
      </c>
      <c r="BM24" s="1535" t="n">
        <f aca="false">SUM(BC24:BL24)*BQ24</f>
        <v>0</v>
      </c>
      <c r="BN24" s="1536" t="n">
        <f aca="false">BM24+BO24</f>
        <v>0</v>
      </c>
      <c r="BO24" s="1536" t="n">
        <f aca="false">IF(M24=0,0,(M24/12+M24/12)/(M24/12*M24/12)*D24*((L24/16*L24/16)*10.6870159))*(1+K$70)*BQ24</f>
        <v>0</v>
      </c>
      <c r="BP24" s="1536" t="n">
        <f aca="false">IF(O24="Y",D24*(1+K$71)*BQ24,0)</f>
        <v>0</v>
      </c>
      <c r="BQ24" s="1538" t="n">
        <f aca="false">G24</f>
        <v>0</v>
      </c>
      <c r="BR24" s="1411" t="n">
        <f aca="false">IF(O24="y",D24,0)</f>
        <v>0</v>
      </c>
      <c r="BS24" s="1567" t="n">
        <f aca="false">IF($I24=1,$Q24,0)*BQ24</f>
        <v>0</v>
      </c>
      <c r="BT24" s="1536" t="n">
        <f aca="false">IF($I24=2,$Q24,0)*BQ24</f>
        <v>0</v>
      </c>
      <c r="BU24" s="1536" t="n">
        <f aca="false">IF($I24=3,$Q24,0)*BQ24</f>
        <v>0</v>
      </c>
      <c r="BV24" s="1536" t="n">
        <f aca="false">IF($I24=4,$Q24,0)*BQ24</f>
        <v>0</v>
      </c>
      <c r="BW24" s="1536" t="n">
        <f aca="false">IF($I24=5,$Q24,0)*BQ24</f>
        <v>0</v>
      </c>
      <c r="BX24" s="1536" t="n">
        <f aca="false">IF($I24=6,$Q24,0)*$BQ24</f>
        <v>0</v>
      </c>
      <c r="BY24" s="1536" t="n">
        <f aca="false">IF($I24=7,$Q24,0)*$BQ24</f>
        <v>0</v>
      </c>
      <c r="BZ24" s="1536" t="n">
        <f aca="false">IF($I24=8,$Q24,0)*$BQ24</f>
        <v>0</v>
      </c>
      <c r="CA24" s="1536" t="n">
        <f aca="false">IF($I24=9,$Q24,0)*$BQ24</f>
        <v>0</v>
      </c>
      <c r="CB24" s="1568" t="n">
        <f aca="false">IF($I24=10,$Q24,0)*$BQ24</f>
        <v>0</v>
      </c>
      <c r="CC24" s="1538" t="n">
        <f aca="false">SUM(BS24:BX24)</f>
        <v>0</v>
      </c>
      <c r="CD24" s="1538" t="n">
        <f aca="false">IF(H24="N",0,D24)*BQ24</f>
        <v>0</v>
      </c>
      <c r="CE24" s="1538" t="n">
        <f aca="false">K24*BQ24</f>
        <v>0</v>
      </c>
      <c r="CF24" s="1542" t="n">
        <f aca="false">ROUND(IF(W24="",0,LOOKUP(W24,B$49:B$59,D$49:D$59)*X24/12),0)</f>
        <v>0</v>
      </c>
      <c r="CG24" s="1542" t="n">
        <f aca="false">ROUND(IF(Y24="",0,LOOKUP(Y24,B$49:B$59,D$49:D$59)*Z24/12),0)</f>
        <v>0</v>
      </c>
      <c r="CH24" s="1542" t="n">
        <f aca="false">ROUND(IF(AA24="",0,LOOKUP(AA24,B$49:B$59,D$49:D$59)*AB24/12),0)</f>
        <v>0</v>
      </c>
      <c r="CI24" s="1538" t="n">
        <f aca="false">D24*BQ24</f>
        <v>0</v>
      </c>
      <c r="CJ24" s="1538" t="n">
        <f aca="false">D24*J24/324*(1+K$73)*G24</f>
        <v>0</v>
      </c>
      <c r="CK24" s="1538" t="str">
        <f aca="false">IF(N24="","",N24)</f>
        <v/>
      </c>
      <c r="CL24" s="1538" t="n">
        <f aca="false">P24*BQ24</f>
        <v>0</v>
      </c>
      <c r="CM24" s="1543" t="n">
        <f aca="false">IF(BQ24=0,0,SUM(CN24:DE24)/BQ24)</f>
        <v>0</v>
      </c>
      <c r="CN24" s="656" t="n">
        <f aca="false">(BS24*Pricing!F$3+BT24*Pricing!G$3+BU24*Pricing!H$3+BV24*Pricing!I$3+BW24*Pricing!J$3+BX24*Pricing!K$3+BY24*Pricing!L$3+BZ24*Pricing!M$3+CA24*Pricing!N$3+CB24*Pricing!O$3)*IF(W$44="N",(1+Y$44),1)</f>
        <v>0</v>
      </c>
      <c r="CO24" s="656" t="n">
        <f aca="false">BN24*G$70*IF(W$44="n",1+Y$44,1)</f>
        <v>0</v>
      </c>
      <c r="CP24" s="1544" t="n">
        <f aca="false">C24*D24</f>
        <v>0</v>
      </c>
      <c r="CQ24" s="656" t="n">
        <f aca="false">IF(I$79=0,0,D24*(SUM(O$79:P$82)+O$85)/I$79*BQ24)</f>
        <v>0</v>
      </c>
      <c r="CR24" s="656" t="n">
        <f aca="false">IF(CF24="",0,CF24*E$83)+IF(CG24="",0,CG24*E$83)+IF(CH24="",0,CH24*E$83)</f>
        <v>0</v>
      </c>
      <c r="CS24" s="656"/>
      <c r="CT24" s="1545" t="n">
        <f aca="false">(U24/2000)*E$87</f>
        <v>0</v>
      </c>
      <c r="CU24" s="656" t="n">
        <f aca="false">IF(I$79=0,0,D24*(O$88)/I$79*BQ24)</f>
        <v>0</v>
      </c>
      <c r="CV24" s="656" t="n">
        <f aca="false">IF(D$42=0,0,SUM(O$91:P$94)/D$42*D24)*BQ24</f>
        <v>0</v>
      </c>
      <c r="CW24" s="656" t="n">
        <f aca="false">IF(D$42=0,0,SUM(Z$66:Z$97)/D$42*D24*BQ24)</f>
        <v>0</v>
      </c>
      <c r="CX24" s="656" t="n">
        <f aca="false">IF(D$42=0,0,SUM(O$96:P$101)/D$42*D24)*BQ24</f>
        <v>0</v>
      </c>
      <c r="CY24" s="656" t="n">
        <f aca="false">IF(D$42=0,0,SUM(O$103:O$109)/D$42)*D24*BQ24</f>
        <v>0</v>
      </c>
      <c r="CZ24" s="656" t="n">
        <f aca="false">IF(I$79=0,0,IF(I$79=0,0,SUM(Z$98:Z$109)/I$79*D24))</f>
        <v>0</v>
      </c>
      <c r="DA24" s="656" t="n">
        <f aca="false">IF(J$72&gt;0,J$72/D$42*D24*G24,CD24*(G$72*IF(W$44="n",(1+Y$44),1)))</f>
        <v>0</v>
      </c>
      <c r="DB24" s="656" t="n">
        <f aca="false">IF(CK24="",0,CK24*E$86)</f>
        <v>0</v>
      </c>
      <c r="DC24" s="656" t="n">
        <f aca="false">BP24*G$71*IF(W$44="Y",1,1+Y$44)</f>
        <v>0</v>
      </c>
      <c r="DD24" s="656" t="n">
        <f aca="false">CJ24*G$73*IF(W$44="Y",1,1+Y$44)</f>
        <v>0</v>
      </c>
      <c r="DE24" s="1546" t="e">
        <f aca="false">O$110/I$79*D24</f>
        <v>#DIV/0!</v>
      </c>
      <c r="DF24" s="654" t="n">
        <f aca="false">IF(W24=1,X24*$AS$49,0)+IF(W24=2,X24*$AS$50,0)+IF(W24=3,X24*$AS$51,0)+IF(W24=4,X24*$AS$52,0)+IF(W24=5,X24*$AS$53,0)+IF(W24=6,X24*$AS$54)+IF(W24=7,X24*$AS$55)+IF(W24=8,X24*$AS$56)+IF(W24=9,X24*$AS$57)+IF(W24=10,X24*$AS$58)+IF(W24=11,X24*$AS$59,0)</f>
        <v>0</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0</v>
      </c>
      <c r="DJ24" s="654" t="n">
        <f aca="false">IF(AE24=1,AF24*$AS$49,0)+IF(AE24=2,AF24*$AS$50,0)+IF(AE24=3,AF24*$AS$51,0)+IF(AE24=4,AF24*$AS$52,0)+IF(AE24=5,AF24*$AS$53,0)+IF(AE24=6,AF24*$AS$54)+IF(AE24=7,AF24*$AS$55)+IF(AE24=8,AF24*$AS$56)+IF(AE24=9,AF24*$AS$57)+IF(AE24=10,AF24*$AS$58)+IF(AE24=11,AF24*$AS$59,0)</f>
        <v>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569" t="n">
        <f aca="false">D24</f>
        <v>0</v>
      </c>
      <c r="DQ24" s="1430" t="str">
        <f aca="false">IF(AC24="","",LOOKUP(AC24,$B$49:$B$59,$S$49:$S$59)*AD24)</f>
        <v/>
      </c>
      <c r="DR24" s="1430" t="str">
        <f aca="false">IF(AE24="","",LOOKUP(AE24,$B$49:$B$59,$S$49:$S$59)*AF24)</f>
        <v/>
      </c>
      <c r="DS24" s="1430" t="str">
        <f aca="false">IF(AG24="","",LOOKUP(AG24,$B$49:$B$59,$S$49:$S$59)*AH24)</f>
        <v/>
      </c>
      <c r="DT24" s="1430" t="str">
        <f aca="false">IF(AI24="","",LOOKUP(AI24,$B$49:$B$59,$S$49:$S$59)*AJ24)</f>
        <v/>
      </c>
      <c r="DU24" s="1430" t="str">
        <f aca="false">IF(AK24="","",LOOKUP(AK24,$B$49:$B$59,$S$49:$S$59)*AL24)</f>
        <v/>
      </c>
      <c r="DV24" s="1430" t="str">
        <f aca="false">IF(AM24="","",LOOKUP(AM24,$B$49:$B$59,$S$49:$S$59)*AN24)</f>
        <v/>
      </c>
      <c r="DW24" s="1430" t="str">
        <f aca="false">IF(AO24="","",LOOKUP(AO24,$B$49:$B$59,$S$49:$S$59)*AP24)</f>
        <v/>
      </c>
      <c r="DX24" s="1535" t="n">
        <f aca="false">SUM(DQ24:DW24)-(D24-EF24)*(S$45-F24)/324</f>
        <v>0</v>
      </c>
      <c r="DY24" s="1430" t="str">
        <f aca="false">IF(AC24="","",LOOKUP(AC24,$B$49:$B$59,$T$49:$T$59)*AD24)</f>
        <v/>
      </c>
      <c r="DZ24" s="1430" t="str">
        <f aca="false">IF(AE24="","",LOOKUP(AE24,$B$49:$B$59,$T$49:$T$59)*AF24)</f>
        <v/>
      </c>
      <c r="EA24" s="1430" t="str">
        <f aca="false">IF(AG24="","",LOOKUP(AG24,$B$49:$B$59,$T$49:$T$59)*AH24)</f>
        <v/>
      </c>
      <c r="EB24" s="1430" t="str">
        <f aca="false">IF(AI24="","",LOOKUP(AI24,$B$49:$B$59,$T$49:$T$59)*AJ24)</f>
        <v/>
      </c>
      <c r="EC24" s="1430" t="str">
        <f aca="false">IF(AK24="","",LOOKUP(AK24,$B$49:$B$59,$T$49:$T$59)*AL24)</f>
        <v/>
      </c>
      <c r="ED24" s="1430" t="str">
        <f aca="false">IF(AM24="","",LOOKUP(AM24,$B$49:$B$59,$T$49:$T$59)*AN24)</f>
        <v/>
      </c>
      <c r="EE24" s="1430" t="str">
        <f aca="false">IF(AO24="","",LOOKUP(AO24,$B$49:$B$59,$T$49:$T$59)*AP24)</f>
        <v/>
      </c>
      <c r="EF24" s="1535" t="n">
        <f aca="false">SUM(DY24:EE24)</f>
        <v>0</v>
      </c>
    </row>
    <row r="25" customFormat="false" ht="19.5" hidden="false" customHeight="true" outlineLevel="0" collapsed="false">
      <c r="A25" s="16" t="s">
        <v>1568</v>
      </c>
      <c r="B25" s="1549"/>
      <c r="C25" s="1550"/>
      <c r="D25" s="1551"/>
      <c r="E25" s="1552"/>
      <c r="F25" s="1074"/>
      <c r="G25" s="1553"/>
      <c r="H25" s="1074"/>
      <c r="I25" s="1553"/>
      <c r="J25" s="1074"/>
      <c r="K25" s="1554"/>
      <c r="L25" s="1555"/>
      <c r="M25" s="1556"/>
      <c r="N25" s="1557"/>
      <c r="O25" s="1558"/>
      <c r="P25" s="1515" t="n">
        <f aca="false">IF(BQ25=0,0,BN25/BQ25)</f>
        <v>0</v>
      </c>
      <c r="Q25" s="1516" t="n">
        <f aca="false">(D25*F25/324)*(1+K$65)+BB25</f>
        <v>0</v>
      </c>
      <c r="R25" s="1517" t="n">
        <f aca="false">IF(D25=0,0,S25/D25)</f>
        <v>0</v>
      </c>
      <c r="S25" s="1518" t="e">
        <f aca="false">SUM(CM25-DE25)*(1+M$45)</f>
        <v>#DIV/0!</v>
      </c>
      <c r="T25" s="1519" t="n">
        <f aca="false">CF25+CG25+CH25</f>
        <v>0</v>
      </c>
      <c r="U25" s="1520" t="n">
        <f aca="false">IF(P25-(D25*0.35)&lt;0,0,P25-(D25*0.35))</f>
        <v>0</v>
      </c>
      <c r="V25" s="1521" t="n">
        <f aca="false">IF(D25="",0,IF(D25/-30+Q25&lt;1,0,D25/-30+Q25))</f>
        <v>0</v>
      </c>
      <c r="W25" s="1559"/>
      <c r="X25" s="1560"/>
      <c r="Y25" s="1559"/>
      <c r="Z25" s="1561"/>
      <c r="AA25" s="1559"/>
      <c r="AB25" s="1561"/>
      <c r="AC25" s="1562"/>
      <c r="AD25" s="1560"/>
      <c r="AE25" s="1559"/>
      <c r="AF25" s="1563"/>
      <c r="AG25" s="1564"/>
      <c r="AH25" s="1563"/>
      <c r="AI25" s="1565"/>
      <c r="AJ25" s="1560"/>
      <c r="AK25" s="1565"/>
      <c r="AL25" s="1581"/>
      <c r="AM25" s="1559"/>
      <c r="AN25" s="1566"/>
      <c r="AO25" s="1559"/>
      <c r="AP25" s="1561"/>
      <c r="AQ25" s="1435" t="e">
        <f aca="false">D25/Q25</f>
        <v>#DIV/0!</v>
      </c>
      <c r="AR25" s="1533" t="str">
        <f aca="false">IF(W25="","",LOOKUP(W25,$B$49:$B$59,$R$49:$R$59)*X25)</f>
        <v/>
      </c>
      <c r="AS25" s="1430" t="str">
        <f aca="false">IF(Y25="","",LOOKUP(Y25,$B$49:$B$59,$R$49:$R$59)*Z25)</f>
        <v/>
      </c>
      <c r="AT25" s="1430" t="str">
        <f aca="false">IF(AB25="","",LOOKUP(AA25,$B$49:$B$59,$R$49:$R$59)*AB25)</f>
        <v/>
      </c>
      <c r="AU25" s="1430" t="str">
        <f aca="false">IF(AC25="","",LOOKUP(AC25,$B$49:$B$59,$R$49:$R$59)*AD25)</f>
        <v/>
      </c>
      <c r="AV25" s="1430" t="str">
        <f aca="false">IF(AE25="","",LOOKUP(AE25,$B$49:$B$59,$R$49:$R$59)*AF25)</f>
        <v/>
      </c>
      <c r="AW25" s="1430" t="str">
        <f aca="false">IF(AG25="","",LOOKUP(AG25,$B$49:$B$59,$R$49:$R$59)*AH25)</f>
        <v/>
      </c>
      <c r="AX25" s="1430" t="str">
        <f aca="false">IF(AI25="","",LOOKUP(AI25,$B$49:$B$59,$R$49:$R$59)*AJ25)</f>
        <v/>
      </c>
      <c r="AY25" s="1430" t="str">
        <f aca="false">IF(AK25="","",LOOKUP(AK25,$B$49:$B$59,$R$49:$R$59)*AL25)</f>
        <v/>
      </c>
      <c r="AZ25" s="1430" t="str">
        <f aca="false">IF(AM25="","",LOOKUP(AM25,$B$49:$B$59,$R$49:$R$59)*AN25)</f>
        <v/>
      </c>
      <c r="BA25" s="1430" t="str">
        <f aca="false">IF(AO25="","",LOOKUP(AO25,$B$49:$B$59,$R$49:$R$59)*AP25)</f>
        <v/>
      </c>
      <c r="BB25" s="1535" t="n">
        <f aca="false">SUM(AR25:BA25)</f>
        <v>0</v>
      </c>
      <c r="BC25" s="1533" t="str">
        <f aca="false">IF(W25="","",LOOKUP(W25,$B$49:$B$59,$P$49:$P$59)*X25)</f>
        <v/>
      </c>
      <c r="BD25" s="1430" t="str">
        <f aca="false">IF(Y25="","",LOOKUP(Y25,$B$49:$B$59,$P$49:$P$59)*Z25)</f>
        <v/>
      </c>
      <c r="BE25" s="1430" t="str">
        <f aca="false">IF(AA25="","",LOOKUP(AA25,$B$49:$B$59,$P$49:$P$59)*AB25)</f>
        <v/>
      </c>
      <c r="BF25" s="1430" t="str">
        <f aca="false">IF(AC25="","",LOOKUP(AC25,$B$49:$B$59,$P$49:$P$59)*AD25)</f>
        <v/>
      </c>
      <c r="BG25" s="1430" t="str">
        <f aca="false">IF(AE25="","",LOOKUP(AE25,$B$49:$B$59,$P$49:$P$59)*AF25)</f>
        <v/>
      </c>
      <c r="BH25" s="1430" t="str">
        <f aca="false">IF(AG25="","",LOOKUP(AG25,$B$49:$B$59,$P$49:$P$59)*AH25)</f>
        <v/>
      </c>
      <c r="BI25" s="1430" t="str">
        <f aca="false">IF(AI25="","",LOOKUP(AI25,$B$49:$B$59,$P$49:$P$59)*AJ25)</f>
        <v/>
      </c>
      <c r="BJ25" s="1430" t="str">
        <f aca="false">IF(AK25="","",LOOKUP(AK25,$B$49:$B$59,$P$49:$P$59)*AL25)</f>
        <v/>
      </c>
      <c r="BK25" s="1430" t="str">
        <f aca="false">IF(AM25="","",LOOKUP(AM25,$B$49:$B$59,$P$49:$P$59)*AN25)</f>
        <v/>
      </c>
      <c r="BL25" s="1430" t="str">
        <f aca="false">IF(AO25="","",LOOKUP(AO25,$B$49:$B$59,$P$49:$P$59)*AP25)</f>
        <v/>
      </c>
      <c r="BM25" s="1535" t="n">
        <f aca="false">SUM(BC25:BL25)*BQ25</f>
        <v>0</v>
      </c>
      <c r="BN25" s="1536" t="n">
        <f aca="false">BM25+BO25</f>
        <v>0</v>
      </c>
      <c r="BO25" s="1536" t="n">
        <f aca="false">IF(M25=0,0,(M25/12+M25/12)/(M25/12*M25/12)*D25*((L25/16*L25/16)*10.6870159))*(1+K$70)*BQ25</f>
        <v>0</v>
      </c>
      <c r="BP25" s="1536" t="n">
        <f aca="false">IF(O25="Y",D25*(1+K$71)*BQ25,0)</f>
        <v>0</v>
      </c>
      <c r="BQ25" s="1538" t="n">
        <f aca="false">G25</f>
        <v>0</v>
      </c>
      <c r="BR25" s="1411" t="n">
        <f aca="false">IF(O25="y",D25,0)</f>
        <v>0</v>
      </c>
      <c r="BS25" s="1567" t="n">
        <f aca="false">IF($I25=1,$Q25,0)*BQ25</f>
        <v>0</v>
      </c>
      <c r="BT25" s="1536" t="n">
        <f aca="false">IF($I25=2,$Q25,0)*BQ25</f>
        <v>0</v>
      </c>
      <c r="BU25" s="1536" t="n">
        <f aca="false">IF($I25=3,$Q25,0)*BQ25</f>
        <v>0</v>
      </c>
      <c r="BV25" s="1536" t="n">
        <f aca="false">IF($I25=4,$Q25,0)*BQ25</f>
        <v>0</v>
      </c>
      <c r="BW25" s="1536" t="n">
        <f aca="false">IF($I25=5,$Q25,0)*BQ25</f>
        <v>0</v>
      </c>
      <c r="BX25" s="1536" t="n">
        <f aca="false">IF($I25=6,$Q25,0)*$BQ25</f>
        <v>0</v>
      </c>
      <c r="BY25" s="1536" t="n">
        <f aca="false">IF($I25=7,$Q25,0)*$BQ25</f>
        <v>0</v>
      </c>
      <c r="BZ25" s="1536" t="n">
        <f aca="false">IF($I25=8,$Q25,0)*$BQ25</f>
        <v>0</v>
      </c>
      <c r="CA25" s="1536" t="n">
        <f aca="false">IF($I25=9,$Q25,0)*$BQ25</f>
        <v>0</v>
      </c>
      <c r="CB25" s="1568" t="n">
        <f aca="false">IF($I25=10,$Q25,0)*$BQ25</f>
        <v>0</v>
      </c>
      <c r="CC25" s="1538" t="n">
        <f aca="false">SUM(BS25:BX25)</f>
        <v>0</v>
      </c>
      <c r="CD25" s="1538" t="n">
        <f aca="false">IF(H25="N",0,D25)*BQ25</f>
        <v>0</v>
      </c>
      <c r="CE25" s="1538" t="n">
        <f aca="false">K25*BQ25</f>
        <v>0</v>
      </c>
      <c r="CF25" s="1542" t="n">
        <f aca="false">ROUND(IF(W25="",0,LOOKUP(W25,B$49:B$59,D$49:D$59)*X25/12),0)</f>
        <v>0</v>
      </c>
      <c r="CG25" s="1542" t="n">
        <f aca="false">ROUND(IF(Y25="",0,LOOKUP(Y25,B$49:B$59,D$49:D$59)*Z25/12),0)</f>
        <v>0</v>
      </c>
      <c r="CH25" s="1542" t="n">
        <f aca="false">ROUND(IF(AA25="",0,LOOKUP(AA25,B$49:B$59,D$49:D$59)*AB25/12),0)</f>
        <v>0</v>
      </c>
      <c r="CI25" s="1538" t="n">
        <f aca="false">D25*BQ25</f>
        <v>0</v>
      </c>
      <c r="CJ25" s="1538" t="n">
        <f aca="false">D25*J25/324*(1+K$73)*G25</f>
        <v>0</v>
      </c>
      <c r="CK25" s="1538" t="str">
        <f aca="false">IF(N25="","",N25)</f>
        <v/>
      </c>
      <c r="CL25" s="1538" t="n">
        <f aca="false">P25*BQ25</f>
        <v>0</v>
      </c>
      <c r="CM25" s="1543" t="n">
        <f aca="false">IF(BQ25=0,0,SUM(CN25:DE25)/BQ25)</f>
        <v>0</v>
      </c>
      <c r="CN25" s="656" t="n">
        <f aca="false">(BS25*Pricing!F$3+BT25*Pricing!G$3+BU25*Pricing!H$3+BV25*Pricing!I$3+BW25*Pricing!J$3+BX25*Pricing!K$3+BY25*Pricing!L$3+BZ25*Pricing!M$3+CA25*Pricing!N$3+CB25*Pricing!O$3)*IF(W$44="N",(1+Y$44),1)</f>
        <v>0</v>
      </c>
      <c r="CO25" s="656" t="n">
        <f aca="false">BN25*G$70*IF(W$44="n",1+Y$44,1)</f>
        <v>0</v>
      </c>
      <c r="CP25" s="1544" t="n">
        <f aca="false">C25*D25</f>
        <v>0</v>
      </c>
      <c r="CQ25" s="656" t="n">
        <f aca="false">IF(I$79=0,0,D25*(SUM(O$79:P$82)+O$85)/I$79*BQ25)</f>
        <v>0</v>
      </c>
      <c r="CR25" s="656" t="n">
        <f aca="false">IF(CF25="",0,CF25*E$83)+IF(CG25="",0,CG25*E$83)+IF(CH25="",0,CH25*E$83)</f>
        <v>0</v>
      </c>
      <c r="CS25" s="656"/>
      <c r="CT25" s="1545" t="n">
        <f aca="false">(U25/2000)*E$87</f>
        <v>0</v>
      </c>
      <c r="CU25" s="656" t="n">
        <f aca="false">IF(I$79=0,0,D25*(O$88)/I$79*BQ25)</f>
        <v>0</v>
      </c>
      <c r="CV25" s="656" t="n">
        <f aca="false">IF(D$42=0,0,SUM(O$91:P$94)/D$42*D25)*BQ25</f>
        <v>0</v>
      </c>
      <c r="CW25" s="656" t="n">
        <f aca="false">IF(D$42=0,0,SUM(Z$66:Z$97)/D$42*D25*BQ25)</f>
        <v>0</v>
      </c>
      <c r="CX25" s="656" t="n">
        <f aca="false">IF(D$42=0,0,SUM(O$96:P$101)/D$42*D25)*BQ25</f>
        <v>0</v>
      </c>
      <c r="CY25" s="656" t="n">
        <f aca="false">IF(D$42=0,0,SUM(O$103:O$109)/D$42)*D25*BQ25</f>
        <v>0</v>
      </c>
      <c r="CZ25" s="656" t="n">
        <f aca="false">IF(I$79=0,0,IF(I$79=0,0,SUM(Z$98:Z$109)/I$79*D25))</f>
        <v>0</v>
      </c>
      <c r="DA25" s="656" t="n">
        <f aca="false">IF(J$72&gt;0,J$72/D$42*D25*G25,CD25*(G$72*IF(W$44="n",(1+Y$44),1)))</f>
        <v>0</v>
      </c>
      <c r="DB25" s="656" t="n">
        <f aca="false">IF(CK25="",0,CK25*E$86)</f>
        <v>0</v>
      </c>
      <c r="DC25" s="656" t="n">
        <f aca="false">BP25*G$71*IF(W$44="Y",1,1+Y$44)</f>
        <v>0</v>
      </c>
      <c r="DD25" s="656" t="n">
        <f aca="false">CJ25*G$73*IF(W$44="Y",1,1+Y$44)</f>
        <v>0</v>
      </c>
      <c r="DE25" s="1546" t="e">
        <f aca="false">O$110/I$79*D25</f>
        <v>#DIV/0!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0</v>
      </c>
      <c r="DJ25" s="654" t="n">
        <f aca="false">IF(AE25=1,AF25*$AS$49,0)+IF(AE25=2,AF25*$AS$50,0)+IF(AE25=3,AF25*$AS$51,0)+IF(AE25=4,AF25*$AS$52,0)+IF(AE25=5,AF25*$AS$53,0)+IF(AE25=6,AF25*$AS$54)+IF(AE25=7,AF25*$AS$55)+IF(AE25=8,AF25*$AS$56)+IF(AE25=9,AF25*$AS$57)+IF(AE25=10,AF25*$AS$58)+IF(AE25=11,AF25*$AS$59,0)</f>
        <v>0</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569" t="n">
        <f aca="false">D25</f>
        <v>0</v>
      </c>
      <c r="DQ25" s="1430" t="str">
        <f aca="false">IF(AC25="","",LOOKUP(AC25,$B$49:$B$59,$S$49:$S$59)*AD25)</f>
        <v/>
      </c>
      <c r="DR25" s="1430" t="str">
        <f aca="false">IF(AE25="","",LOOKUP(AE25,$B$49:$B$59,$S$49:$S$59)*AF25)</f>
        <v/>
      </c>
      <c r="DS25" s="1430" t="str">
        <f aca="false">IF(AG25="","",LOOKUP(AG25,$B$49:$B$59,$S$49:$S$59)*AH25)</f>
        <v/>
      </c>
      <c r="DT25" s="1430" t="str">
        <f aca="false">IF(AI25="","",LOOKUP(AI25,$B$49:$B$59,$S$49:$S$59)*AJ25)</f>
        <v/>
      </c>
      <c r="DU25" s="1430" t="str">
        <f aca="false">IF(AK25="","",LOOKUP(AK25,$B$49:$B$59,$S$49:$S$59)*AL25)</f>
        <v/>
      </c>
      <c r="DV25" s="1430" t="str">
        <f aca="false">IF(AM25="","",LOOKUP(AM25,$B$49:$B$59,$S$49:$S$59)*AN25)</f>
        <v/>
      </c>
      <c r="DW25" s="1430" t="str">
        <f aca="false">IF(AO25="","",LOOKUP(AO25,$B$49:$B$59,$S$49:$S$59)*AP25)</f>
        <v/>
      </c>
      <c r="DX25" s="1535" t="n">
        <f aca="false">SUM(DQ25:DW25)-(D25-EF25)*(S$45-F25)/324</f>
        <v>0</v>
      </c>
      <c r="DY25" s="1430" t="str">
        <f aca="false">IF(AC25="","",LOOKUP(AC25,$B$49:$B$59,$T$49:$T$59)*AD25)</f>
        <v/>
      </c>
      <c r="DZ25" s="1430" t="str">
        <f aca="false">IF(AE25="","",LOOKUP(AE25,$B$49:$B$59,$T$49:$T$59)*AF25)</f>
        <v/>
      </c>
      <c r="EA25" s="1430" t="str">
        <f aca="false">IF(AG25="","",LOOKUP(AG25,$B$49:$B$59,$T$49:$T$59)*AH25)</f>
        <v/>
      </c>
      <c r="EB25" s="1430" t="str">
        <f aca="false">IF(AI25="","",LOOKUP(AI25,$B$49:$B$59,$T$49:$T$59)*AJ25)</f>
        <v/>
      </c>
      <c r="EC25" s="1430" t="str">
        <f aca="false">IF(AK25="","",LOOKUP(AK25,$B$49:$B$59,$T$49:$T$59)*AL25)</f>
        <v/>
      </c>
      <c r="ED25" s="1430" t="str">
        <f aca="false">IF(AM25="","",LOOKUP(AM25,$B$49:$B$59,$T$49:$T$59)*AN25)</f>
        <v/>
      </c>
      <c r="EE25" s="1430" t="str">
        <f aca="false">IF(AO25="","",LOOKUP(AO25,$B$49:$B$59,$T$49:$T$59)*AP25)</f>
        <v/>
      </c>
      <c r="EF25" s="1535" t="n">
        <f aca="false">SUM(DY25:EE25)</f>
        <v>0</v>
      </c>
    </row>
    <row r="26" customFormat="false" ht="19.5" hidden="false" customHeight="true" outlineLevel="0" collapsed="false">
      <c r="A26" s="16" t="s">
        <v>1570</v>
      </c>
      <c r="B26" s="920"/>
      <c r="C26" s="1506"/>
      <c r="D26" s="1507"/>
      <c r="E26" s="1508"/>
      <c r="F26" s="1074"/>
      <c r="G26" s="1553"/>
      <c r="H26" s="1074"/>
      <c r="I26" s="1553"/>
      <c r="J26" s="1074"/>
      <c r="K26" s="1583"/>
      <c r="L26" s="528"/>
      <c r="M26" s="895"/>
      <c r="N26" s="1513"/>
      <c r="O26" s="1514"/>
      <c r="P26" s="1515" t="n">
        <f aca="false">IF(BQ26=0,0,BN26/BQ26)</f>
        <v>0</v>
      </c>
      <c r="Q26" s="1516" t="n">
        <f aca="false">(D26*F26/324)*(1+K$65)+BB26</f>
        <v>0</v>
      </c>
      <c r="R26" s="1517" t="n">
        <f aca="false">IF(D26=0,0,S26/D26)</f>
        <v>0</v>
      </c>
      <c r="S26" s="1518" t="e">
        <f aca="false">SUM(CM26-DE26)*(1+M$45)</f>
        <v>#DIV/0!</v>
      </c>
      <c r="T26" s="1519" t="n">
        <f aca="false">CF26+CG26+CH26</f>
        <v>0</v>
      </c>
      <c r="U26" s="1520" t="n">
        <f aca="false">IF(P26-(D26*0.35)&lt;0,0,P26-(D26*0.35))</f>
        <v>0</v>
      </c>
      <c r="V26" s="1521" t="n">
        <f aca="false">IF(D26="",0,IF(D26/-30+Q26&lt;1,0,D26/-30+Q26))</f>
        <v>0</v>
      </c>
      <c r="W26" s="1511"/>
      <c r="X26" s="1526"/>
      <c r="Y26" s="528"/>
      <c r="Z26" s="1574"/>
      <c r="AA26" s="528"/>
      <c r="AB26" s="1574"/>
      <c r="AC26" s="1525"/>
      <c r="AD26" s="1526"/>
      <c r="AE26" s="1511"/>
      <c r="AF26" s="1527"/>
      <c r="AG26" s="1528"/>
      <c r="AH26" s="1527"/>
      <c r="AI26" s="1529"/>
      <c r="AJ26" s="1530"/>
      <c r="AK26" s="1531"/>
      <c r="AL26" s="1582"/>
      <c r="AM26" s="528"/>
      <c r="AN26" s="1575"/>
      <c r="AO26" s="528"/>
      <c r="AP26" s="1574"/>
      <c r="AQ26" s="1435" t="e">
        <f aca="false">D26/Q26</f>
        <v>#DIV/0!</v>
      </c>
      <c r="AR26" s="1533" t="str">
        <f aca="false">IF(W26="","",LOOKUP(W26,$B$49:$B$59,$R$49:$R$59)*X26)</f>
        <v/>
      </c>
      <c r="AS26" s="1430" t="str">
        <f aca="false">IF(Y26="","",LOOKUP(Y26,$B$49:$B$59,$R$49:$R$59)*Z26)</f>
        <v/>
      </c>
      <c r="AT26" s="1430" t="str">
        <f aca="false">IF(AB26="","",LOOKUP(AA26,$B$49:$B$59,$R$49:$R$59)*AB26)</f>
        <v/>
      </c>
      <c r="AU26" s="1430" t="str">
        <f aca="false">IF(AC26="","",LOOKUP(AC26,$B$49:$B$59,$R$49:$R$59)*AD26)</f>
        <v/>
      </c>
      <c r="AV26" s="1430" t="str">
        <f aca="false">IF(AE26="","",LOOKUP(AE26,$B$49:$B$59,$R$49:$R$59)*AF26)</f>
        <v/>
      </c>
      <c r="AW26" s="1430" t="str">
        <f aca="false">IF(AG26="","",LOOKUP(AG26,$B$49:$B$59,$R$49:$R$59)*AH26)</f>
        <v/>
      </c>
      <c r="AX26" s="1430" t="str">
        <f aca="false">IF(AI26="","",LOOKUP(AI26,$B$49:$B$59,$R$49:$R$59)*AJ26)</f>
        <v/>
      </c>
      <c r="AY26" s="1430" t="str">
        <f aca="false">IF(AK26="","",LOOKUP(AK26,$B$49:$B$59,$R$49:$R$59)*AL26)</f>
        <v/>
      </c>
      <c r="AZ26" s="1430" t="str">
        <f aca="false">IF(AM26="","",LOOKUP(AM26,$B$49:$B$59,$R$49:$R$59)*AN26)</f>
        <v/>
      </c>
      <c r="BA26" s="1430" t="str">
        <f aca="false">IF(AO26="","",LOOKUP(AO26,$B$49:$B$59,$R$49:$R$59)*AP26)</f>
        <v/>
      </c>
      <c r="BB26" s="1535" t="n">
        <f aca="false">SUM(AR26:BA26)</f>
        <v>0</v>
      </c>
      <c r="BC26" s="1533" t="str">
        <f aca="false">IF(W26="","",LOOKUP(W26,$B$49:$B$59,$P$49:$P$59)*X26)</f>
        <v/>
      </c>
      <c r="BD26" s="654" t="str">
        <f aca="false">IF(Y26="","",LOOKUP(Y26,$B$49:$B$59,$P$49:$P$59)*Z26)</f>
        <v/>
      </c>
      <c r="BE26" s="1430"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584" t="n">
        <f aca="false">SUM(BC26:BL26)*BQ26</f>
        <v>0</v>
      </c>
      <c r="BN26" s="1536" t="n">
        <f aca="false">BM26+BO26</f>
        <v>0</v>
      </c>
      <c r="BO26" s="1536" t="n">
        <f aca="false">IF(M26=0,0,(M26/12+M26/12)/(M26/12*M26/12)*D26*((L26/16*L26/16)*10.6870159))*(1+K$70)*BQ26</f>
        <v>0</v>
      </c>
      <c r="BP26" s="1536" t="n">
        <f aca="false">IF(O26="Y",D26*(1+K$71)*BQ26,0)</f>
        <v>0</v>
      </c>
      <c r="BQ26" s="1538" t="n">
        <f aca="false">G26</f>
        <v>0</v>
      </c>
      <c r="BR26" s="1411" t="n">
        <f aca="false">IF(O26="y",D26,0)</f>
        <v>0</v>
      </c>
      <c r="BS26" s="1567" t="n">
        <f aca="false">IF($I26=1,$Q26,0)*BQ26</f>
        <v>0</v>
      </c>
      <c r="BT26" s="1536" t="n">
        <f aca="false">IF($I26=2,$Q26,0)*BQ26</f>
        <v>0</v>
      </c>
      <c r="BU26" s="1536" t="n">
        <f aca="false">IF($I26=3,$Q26,0)*BQ26</f>
        <v>0</v>
      </c>
      <c r="BV26" s="1536" t="n">
        <f aca="false">IF($I26=4,$Q26,0)*BQ26</f>
        <v>0</v>
      </c>
      <c r="BW26" s="1536" t="n">
        <f aca="false">IF($I26=5,$Q26,0)*BQ26</f>
        <v>0</v>
      </c>
      <c r="BX26" s="1536" t="n">
        <f aca="false">IF($I26=6,$Q26,0)*$BQ26</f>
        <v>0</v>
      </c>
      <c r="BY26" s="1536" t="n">
        <f aca="false">IF($I26=7,$Q26,0)*$BQ26</f>
        <v>0</v>
      </c>
      <c r="BZ26" s="1536" t="n">
        <f aca="false">IF($I26=8,$Q26,0)*$BQ26</f>
        <v>0</v>
      </c>
      <c r="CA26" s="1536" t="n">
        <f aca="false">IF($I26=9,$Q26,0)*$BQ26</f>
        <v>0</v>
      </c>
      <c r="CB26" s="1568" t="n">
        <f aca="false">IF($I26=10,$Q26,0)*$BQ26</f>
        <v>0</v>
      </c>
      <c r="CC26" s="1538" t="n">
        <f aca="false">SUM(BS26:BX26)</f>
        <v>0</v>
      </c>
      <c r="CD26" s="1538" t="n">
        <f aca="false">IF(H26="N",0,D26)*BQ26</f>
        <v>0</v>
      </c>
      <c r="CE26" s="1538" t="n">
        <f aca="false">K26*BQ26</f>
        <v>0</v>
      </c>
      <c r="CF26" s="1542" t="n">
        <f aca="false">ROUND(IF(W26="",0,LOOKUP(W26,B$49:B$59,D$49:D$59)*X26/12),0)</f>
        <v>0</v>
      </c>
      <c r="CG26" s="1542" t="n">
        <f aca="false">ROUND(IF(Y26="",0,LOOKUP(Y26,B$49:B$59,D$49:D$59)*Z26/12),0)</f>
        <v>0</v>
      </c>
      <c r="CH26" s="1542" t="n">
        <f aca="false">ROUND(IF(AA26="",0,LOOKUP(AA26,B$49:B$59,D$49:D$59)*AB26/12),0)</f>
        <v>0</v>
      </c>
      <c r="CI26" s="1538" t="n">
        <f aca="false">D26*BQ26</f>
        <v>0</v>
      </c>
      <c r="CJ26" s="1538" t="n">
        <f aca="false">D26*J26/324*(1+K$73)*G26</f>
        <v>0</v>
      </c>
      <c r="CK26" s="1538" t="str">
        <f aca="false">IF(N26="","",N26)</f>
        <v/>
      </c>
      <c r="CL26" s="1538" t="n">
        <f aca="false">P26*BQ26</f>
        <v>0</v>
      </c>
      <c r="CM26" s="1543"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544" t="n">
        <f aca="false">C26*D26</f>
        <v>0</v>
      </c>
      <c r="CQ26" s="656" t="n">
        <f aca="false">IF(I$79=0,0,D26*(SUM(O$79:P$82)+O$85)/I$79*BQ26)</f>
        <v>0</v>
      </c>
      <c r="CR26" s="656" t="n">
        <f aca="false">IF(CF26="",0,CF26*E$83)+IF(CG26="",0,CG26*E$83)+IF(CH26="",0,CH26*E$83)</f>
        <v>0</v>
      </c>
      <c r="CS26" s="656"/>
      <c r="CT26" s="1545"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546" t="e">
        <f aca="false">O$110/I$79*D26</f>
        <v>#DIV/0!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569" t="n">
        <f aca="false">D26</f>
        <v>0</v>
      </c>
      <c r="DQ26" s="1430" t="str">
        <f aca="false">IF(AC26="","",LOOKUP(AC26,$B$49:$B$59,$S$49:$S$59)*AD26)</f>
        <v/>
      </c>
      <c r="DR26" s="1430" t="str">
        <f aca="false">IF(AE26="","",LOOKUP(AE26,$B$49:$B$59,$S$49:$S$59)*AF26)</f>
        <v/>
      </c>
      <c r="DS26" s="1430" t="str">
        <f aca="false">IF(AG26="","",LOOKUP(AG26,$B$49:$B$59,$S$49:$S$59)*AH26)</f>
        <v/>
      </c>
      <c r="DT26" s="1430" t="str">
        <f aca="false">IF(AI26="","",LOOKUP(AI26,$B$49:$B$59,$S$49:$S$59)*AJ26)</f>
        <v/>
      </c>
      <c r="DU26" s="1430" t="str">
        <f aca="false">IF(AK26="","",LOOKUP(AK26,$B$49:$B$59,$S$49:$S$59)*AL26)</f>
        <v/>
      </c>
      <c r="DV26" s="1430" t="str">
        <f aca="false">IF(AM26="","",LOOKUP(AM26,$B$49:$B$59,$S$49:$S$59)*AN26)</f>
        <v/>
      </c>
      <c r="DW26" s="1430" t="str">
        <f aca="false">IF(AO26="","",LOOKUP(AO26,$B$49:$B$59,$S$49:$S$59)*AP26)</f>
        <v/>
      </c>
      <c r="DX26" s="1535" t="n">
        <f aca="false">SUM(DQ26:DW26)-(D26-EF26)*(S$45-F26)/324</f>
        <v>0</v>
      </c>
      <c r="DY26" s="1430" t="str">
        <f aca="false">IF(AC26="","",LOOKUP(AC26,$B$49:$B$59,$T$49:$T$59)*AD26)</f>
        <v/>
      </c>
      <c r="DZ26" s="1430" t="str">
        <f aca="false">IF(AE26="","",LOOKUP(AE26,$B$49:$B$59,$T$49:$T$59)*AF26)</f>
        <v/>
      </c>
      <c r="EA26" s="1430" t="str">
        <f aca="false">IF(AG26="","",LOOKUP(AG26,$B$49:$B$59,$T$49:$T$59)*AH26)</f>
        <v/>
      </c>
      <c r="EB26" s="1430" t="str">
        <f aca="false">IF(AI26="","",LOOKUP(AI26,$B$49:$B$59,$T$49:$T$59)*AJ26)</f>
        <v/>
      </c>
      <c r="EC26" s="1430" t="str">
        <f aca="false">IF(AK26="","",LOOKUP(AK26,$B$49:$B$59,$T$49:$T$59)*AL26)</f>
        <v/>
      </c>
      <c r="ED26" s="1430" t="str">
        <f aca="false">IF(AM26="","",LOOKUP(AM26,$B$49:$B$59,$T$49:$T$59)*AN26)</f>
        <v/>
      </c>
      <c r="EE26" s="1430" t="str">
        <f aca="false">IF(AO26="","",LOOKUP(AO26,$B$49:$B$59,$T$49:$T$59)*AP26)</f>
        <v/>
      </c>
      <c r="EF26" s="1535" t="n">
        <f aca="false">SUM(DY26:EE26)</f>
        <v>0</v>
      </c>
    </row>
    <row r="27" customFormat="false" ht="19.5" hidden="false" customHeight="true" outlineLevel="0" collapsed="false">
      <c r="A27" s="16" t="s">
        <v>1571</v>
      </c>
      <c r="B27" s="1549"/>
      <c r="C27" s="1550"/>
      <c r="D27" s="1551"/>
      <c r="E27" s="1552"/>
      <c r="F27" s="1074"/>
      <c r="G27" s="1553"/>
      <c r="H27" s="1074"/>
      <c r="I27" s="1553"/>
      <c r="J27" s="1074"/>
      <c r="K27" s="1583"/>
      <c r="L27" s="1555"/>
      <c r="M27" s="1556"/>
      <c r="N27" s="1557"/>
      <c r="O27" s="1558"/>
      <c r="P27" s="1515" t="n">
        <f aca="false">IF(BQ27=0,0,BN27/BQ27)</f>
        <v>0</v>
      </c>
      <c r="Q27" s="1516" t="n">
        <f aca="false">(D27*F27/324)*(1+K$65)+BB27</f>
        <v>0</v>
      </c>
      <c r="R27" s="1517" t="n">
        <f aca="false">IF(D27=0,0,S27/D27)</f>
        <v>0</v>
      </c>
      <c r="S27" s="1518" t="e">
        <f aca="false">SUM(CM27-DE27)*(1+M$45)</f>
        <v>#DIV/0!</v>
      </c>
      <c r="T27" s="1519" t="n">
        <f aca="false">CF27+CG27+CH27</f>
        <v>0</v>
      </c>
      <c r="U27" s="1520" t="n">
        <f aca="false">IF(P27-(D27*0.35)&lt;0,0,P27-(D27*0.35))</f>
        <v>0</v>
      </c>
      <c r="V27" s="1521" t="n">
        <f aca="false">IF(D27="",0,IF(D27/-30+Q27&lt;1,0,D27/-30+Q27))</f>
        <v>0</v>
      </c>
      <c r="W27" s="1559"/>
      <c r="X27" s="1560"/>
      <c r="Y27" s="1559"/>
      <c r="Z27" s="1561"/>
      <c r="AA27" s="1559"/>
      <c r="AB27" s="1561"/>
      <c r="AC27" s="1562"/>
      <c r="AD27" s="1560"/>
      <c r="AE27" s="1559"/>
      <c r="AF27" s="1563"/>
      <c r="AG27" s="1564"/>
      <c r="AH27" s="1563"/>
      <c r="AI27" s="1565"/>
      <c r="AJ27" s="1560"/>
      <c r="AK27" s="1565"/>
      <c r="AL27" s="1581"/>
      <c r="AM27" s="1559"/>
      <c r="AN27" s="1566"/>
      <c r="AO27" s="1559"/>
      <c r="AP27" s="1561"/>
      <c r="AQ27" s="1435" t="e">
        <f aca="false">D27/Q27</f>
        <v>#DIV/0!</v>
      </c>
      <c r="AR27" s="1533" t="str">
        <f aca="false">IF(W27="","",LOOKUP(W27,$B$49:$B$59,$R$49:$R$59)*X27)</f>
        <v/>
      </c>
      <c r="AS27" s="1430" t="str">
        <f aca="false">IF(Y27="","",LOOKUP(Y27,$B$49:$B$59,$R$49:$R$59)*Z27)</f>
        <v/>
      </c>
      <c r="AT27" s="1430" t="str">
        <f aca="false">IF(AB27="","",LOOKUP(AA27,$B$49:$B$59,$R$49:$R$59)*AB27)</f>
        <v/>
      </c>
      <c r="AU27" s="1430" t="str">
        <f aca="false">IF(AC27="","",LOOKUP(AC27,$B$49:$B$59,$R$49:$R$59)*AD27)</f>
        <v/>
      </c>
      <c r="AV27" s="1430" t="str">
        <f aca="false">IF(AE27="","",LOOKUP(AE27,$B$49:$B$59,$R$49:$R$59)*AF27)</f>
        <v/>
      </c>
      <c r="AW27" s="1430" t="str">
        <f aca="false">IF(AG27="","",LOOKUP(AG27,$B$49:$B$59,$R$49:$R$59)*AH27)</f>
        <v/>
      </c>
      <c r="AX27" s="1430" t="str">
        <f aca="false">IF(AI27="","",LOOKUP(AI27,$B$49:$B$59,$R$49:$R$59)*AJ27)</f>
        <v/>
      </c>
      <c r="AY27" s="1430" t="str">
        <f aca="false">IF(AK27="","",LOOKUP(AK27,$B$49:$B$59,$R$49:$R$59)*AL27)</f>
        <v/>
      </c>
      <c r="AZ27" s="1430" t="str">
        <f aca="false">IF(AM27="","",LOOKUP(AM27,$B$49:$B$59,$R$49:$R$59)*AN27)</f>
        <v/>
      </c>
      <c r="BA27" s="1430" t="str">
        <f aca="false">IF(AO27="","",LOOKUP(AO27,$B$49:$B$59,$R$49:$R$59)*AP27)</f>
        <v/>
      </c>
      <c r="BB27" s="1535" t="n">
        <f aca="false">SUM(AR27:BA27)</f>
        <v>0</v>
      </c>
      <c r="BC27" s="1533" t="str">
        <f aca="false">IF(W27="","",LOOKUP(W27,$B$49:$B$59,$P$49:$P$59)*X27)</f>
        <v/>
      </c>
      <c r="BD27" s="654" t="str">
        <f aca="false">IF(Y27="","",LOOKUP(Y27,$B$49:$B$59,$P$49:$P$59)*Z27)</f>
        <v/>
      </c>
      <c r="BE27" s="1430"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584" t="n">
        <f aca="false">SUM(BC27:BL27)*BQ27</f>
        <v>0</v>
      </c>
      <c r="BN27" s="1536" t="n">
        <f aca="false">BM27+BO27</f>
        <v>0</v>
      </c>
      <c r="BO27" s="1536" t="n">
        <f aca="false">IF(M27=0,0,(M27/12+M27/12)/(M27/12*M27/12)*D27*((L27/16*L27/16)*10.6870159))*(1+K$70)*BQ27</f>
        <v>0</v>
      </c>
      <c r="BP27" s="1536" t="n">
        <f aca="false">IF(O27="Y",D27*(1+K$71)*BQ27,0)</f>
        <v>0</v>
      </c>
      <c r="BQ27" s="1538" t="n">
        <f aca="false">G27</f>
        <v>0</v>
      </c>
      <c r="BR27" s="1411" t="n">
        <f aca="false">IF(O27="y",D27,0)</f>
        <v>0</v>
      </c>
      <c r="BS27" s="1567" t="n">
        <f aca="false">IF($I27=1,$Q27,0)*BQ27</f>
        <v>0</v>
      </c>
      <c r="BT27" s="1536" t="n">
        <f aca="false">IF($I27=2,$Q27,0)*BQ27</f>
        <v>0</v>
      </c>
      <c r="BU27" s="1536" t="n">
        <f aca="false">IF($I27=3,$Q27,0)*BQ27</f>
        <v>0</v>
      </c>
      <c r="BV27" s="1536" t="n">
        <f aca="false">IF($I27=4,$Q27,0)*BQ27</f>
        <v>0</v>
      </c>
      <c r="BW27" s="1536" t="n">
        <f aca="false">IF($I27=5,$Q27,0)*BQ27</f>
        <v>0</v>
      </c>
      <c r="BX27" s="1536" t="n">
        <f aca="false">IF($I27=6,$Q27,0)*$BQ27</f>
        <v>0</v>
      </c>
      <c r="BY27" s="1536" t="n">
        <f aca="false">IF($I27=7,$Q27,0)*$BQ27</f>
        <v>0</v>
      </c>
      <c r="BZ27" s="1536" t="n">
        <f aca="false">IF($I27=8,$Q27,0)*$BQ27</f>
        <v>0</v>
      </c>
      <c r="CA27" s="1536" t="n">
        <f aca="false">IF($I27=9,$Q27,0)*$BQ27</f>
        <v>0</v>
      </c>
      <c r="CB27" s="1568" t="n">
        <f aca="false">IF($I27=10,$Q27,0)*$BQ27</f>
        <v>0</v>
      </c>
      <c r="CC27" s="1538" t="n">
        <f aca="false">SUM(BS27:BX27)</f>
        <v>0</v>
      </c>
      <c r="CD27" s="1538" t="n">
        <f aca="false">IF(H27="N",0,D27)*BQ27</f>
        <v>0</v>
      </c>
      <c r="CE27" s="1538" t="n">
        <f aca="false">K27*BQ27</f>
        <v>0</v>
      </c>
      <c r="CF27" s="1542" t="n">
        <f aca="false">ROUND(IF(W27="",0,LOOKUP(W27,B$49:B$59,D$49:D$59)*X27/12),0)</f>
        <v>0</v>
      </c>
      <c r="CG27" s="1542" t="n">
        <f aca="false">ROUND(IF(Y27="",0,LOOKUP(Y27,B$49:B$59,D$49:D$59)*Z27/12),0)</f>
        <v>0</v>
      </c>
      <c r="CH27" s="1542" t="n">
        <f aca="false">ROUND(IF(AA27="",0,LOOKUP(AA27,B$49:B$59,D$49:D$59)*AB27/12),0)</f>
        <v>0</v>
      </c>
      <c r="CI27" s="1538" t="n">
        <f aca="false">D27*BQ27</f>
        <v>0</v>
      </c>
      <c r="CJ27" s="1538" t="n">
        <f aca="false">D27*J27/324*(1+K$73)*G27</f>
        <v>0</v>
      </c>
      <c r="CK27" s="1538" t="str">
        <f aca="false">IF(N27="","",N27)</f>
        <v/>
      </c>
      <c r="CL27" s="1538" t="n">
        <f aca="false">P27*BQ27</f>
        <v>0</v>
      </c>
      <c r="CM27" s="1543"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544" t="n">
        <f aca="false">C27*D27</f>
        <v>0</v>
      </c>
      <c r="CQ27" s="656" t="n">
        <f aca="false">IF(I$79=0,0,D27*(SUM(O$79:P$82)+O$85)/I$79*BQ27)</f>
        <v>0</v>
      </c>
      <c r="CR27" s="656" t="n">
        <f aca="false">IF(CF27="",0,CF27*E$83)+IF(CG27="",0,CG27*E$83)+IF(CH27="",0,CH27*E$83)</f>
        <v>0</v>
      </c>
      <c r="CS27" s="656"/>
      <c r="CT27" s="1545"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546" t="e">
        <f aca="false">O$110/I$79*D27</f>
        <v>#DIV/0!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569" t="n">
        <f aca="false">D27</f>
        <v>0</v>
      </c>
      <c r="DQ27" s="1430" t="str">
        <f aca="false">IF(AC27="","",LOOKUP(AC27,$B$49:$B$59,$S$49:$S$59)*AD27)</f>
        <v/>
      </c>
      <c r="DR27" s="1430" t="str">
        <f aca="false">IF(AE27="","",LOOKUP(AE27,$B$49:$B$59,$S$49:$S$59)*AF27)</f>
        <v/>
      </c>
      <c r="DS27" s="1430" t="str">
        <f aca="false">IF(AG27="","",LOOKUP(AG27,$B$49:$B$59,$S$49:$S$59)*AH27)</f>
        <v/>
      </c>
      <c r="DT27" s="1430" t="str">
        <f aca="false">IF(AI27="","",LOOKUP(AI27,$B$49:$B$59,$S$49:$S$59)*AJ27)</f>
        <v/>
      </c>
      <c r="DU27" s="1430" t="str">
        <f aca="false">IF(AK27="","",LOOKUP(AK27,$B$49:$B$59,$S$49:$S$59)*AL27)</f>
        <v/>
      </c>
      <c r="DV27" s="1430" t="str">
        <f aca="false">IF(AM27="","",LOOKUP(AM27,$B$49:$B$59,$S$49:$S$59)*AN27)</f>
        <v/>
      </c>
      <c r="DW27" s="1430" t="str">
        <f aca="false">IF(AO27="","",LOOKUP(AO27,$B$49:$B$59,$S$49:$S$59)*AP27)</f>
        <v/>
      </c>
      <c r="DX27" s="1535" t="n">
        <f aca="false">SUM(DQ27:DW27)-(D27-EF27)*(S$45-F27)/324</f>
        <v>0</v>
      </c>
      <c r="DY27" s="1430" t="str">
        <f aca="false">IF(AC27="","",LOOKUP(AC27,$B$49:$B$59,$T$49:$T$59)*AD27)</f>
        <v/>
      </c>
      <c r="DZ27" s="1430" t="str">
        <f aca="false">IF(AE27="","",LOOKUP(AE27,$B$49:$B$59,$T$49:$T$59)*AF27)</f>
        <v/>
      </c>
      <c r="EA27" s="1430" t="str">
        <f aca="false">IF(AG27="","",LOOKUP(AG27,$B$49:$B$59,$T$49:$T$59)*AH27)</f>
        <v/>
      </c>
      <c r="EB27" s="1430" t="str">
        <f aca="false">IF(AI27="","",LOOKUP(AI27,$B$49:$B$59,$T$49:$T$59)*AJ27)</f>
        <v/>
      </c>
      <c r="EC27" s="1430" t="str">
        <f aca="false">IF(AK27="","",LOOKUP(AK27,$B$49:$B$59,$T$49:$T$59)*AL27)</f>
        <v/>
      </c>
      <c r="ED27" s="1430" t="str">
        <f aca="false">IF(AM27="","",LOOKUP(AM27,$B$49:$B$59,$T$49:$T$59)*AN27)</f>
        <v/>
      </c>
      <c r="EE27" s="1430" t="str">
        <f aca="false">IF(AO27="","",LOOKUP(AO27,$B$49:$B$59,$T$49:$T$59)*AP27)</f>
        <v/>
      </c>
      <c r="EF27" s="1535" t="n">
        <f aca="false">SUM(DY27:EE27)</f>
        <v>0</v>
      </c>
    </row>
    <row r="28" customFormat="false" ht="19.5" hidden="false" customHeight="true" outlineLevel="0" collapsed="false">
      <c r="A28" s="16" t="s">
        <v>1572</v>
      </c>
      <c r="B28" s="920"/>
      <c r="C28" s="1506"/>
      <c r="D28" s="1507"/>
      <c r="E28" s="1508"/>
      <c r="F28" s="1074"/>
      <c r="G28" s="1553"/>
      <c r="H28" s="1074"/>
      <c r="I28" s="1553"/>
      <c r="J28" s="1074"/>
      <c r="K28" s="1583"/>
      <c r="L28" s="528"/>
      <c r="M28" s="895"/>
      <c r="N28" s="1513"/>
      <c r="O28" s="1514"/>
      <c r="P28" s="1515" t="n">
        <f aca="false">IF(BQ28=0,0,BN28/BQ28)</f>
        <v>0</v>
      </c>
      <c r="Q28" s="1516" t="n">
        <f aca="false">(D28*F28/324)*(1+K$65)+BB28</f>
        <v>0</v>
      </c>
      <c r="R28" s="1517" t="n">
        <f aca="false">IF(D28=0,0,S28/D28)</f>
        <v>0</v>
      </c>
      <c r="S28" s="1518" t="e">
        <f aca="false">SUM(CM28-DE28)*(1+M$45)</f>
        <v>#DIV/0!</v>
      </c>
      <c r="T28" s="1519" t="n">
        <f aca="false">CF28+CG28+CH28</f>
        <v>0</v>
      </c>
      <c r="U28" s="1520" t="n">
        <f aca="false">IF(P28-(D28*0.35)&lt;0,0,P28-(D28*0.35))</f>
        <v>0</v>
      </c>
      <c r="V28" s="1521" t="n">
        <f aca="false">IF(D28="",0,IF(D28/-30+Q28&lt;1,0,D28/-30+Q28))</f>
        <v>0</v>
      </c>
      <c r="W28" s="528"/>
      <c r="X28" s="1526"/>
      <c r="Y28" s="528"/>
      <c r="Z28" s="1574"/>
      <c r="AA28" s="528"/>
      <c r="AB28" s="1574"/>
      <c r="AC28" s="1585"/>
      <c r="AD28" s="1526"/>
      <c r="AE28" s="528"/>
      <c r="AF28" s="1527"/>
      <c r="AG28" s="1531"/>
      <c r="AH28" s="1527"/>
      <c r="AI28" s="1529"/>
      <c r="AJ28" s="1530"/>
      <c r="AK28" s="1531"/>
      <c r="AL28" s="1582"/>
      <c r="AM28" s="528"/>
      <c r="AN28" s="1575"/>
      <c r="AO28" s="528"/>
      <c r="AP28" s="1574"/>
      <c r="AQ28" s="1435" t="e">
        <f aca="false">D28/Q28</f>
        <v>#DIV/0!</v>
      </c>
      <c r="AR28" s="1533" t="str">
        <f aca="false">IF(W28="","",LOOKUP(W28,$B$49:$B$59,$R$49:$R$59)*X28)</f>
        <v/>
      </c>
      <c r="AS28" s="1430" t="str">
        <f aca="false">IF(Y28="","",LOOKUP(Y28,$B$49:$B$59,$R$49:$R$59)*Z28)</f>
        <v/>
      </c>
      <c r="AT28" s="1430" t="str">
        <f aca="false">IF(AB28="","",LOOKUP(AA28,$B$49:$B$59,$R$49:$R$59)*AB28)</f>
        <v/>
      </c>
      <c r="AU28" s="1430" t="str">
        <f aca="false">IF(AC28="","",LOOKUP(AC28,$B$49:$B$59,$R$49:$R$59)*AD28)</f>
        <v/>
      </c>
      <c r="AV28" s="1430" t="str">
        <f aca="false">IF(AE28="","",LOOKUP(AE28,$B$49:$B$59,$R$49:$R$59)*AF28)</f>
        <v/>
      </c>
      <c r="AW28" s="1430" t="str">
        <f aca="false">IF(AG28="","",LOOKUP(AG28,$B$49:$B$59,$R$49:$R$59)*AH28)</f>
        <v/>
      </c>
      <c r="AX28" s="1430" t="str">
        <f aca="false">IF(AI28="","",LOOKUP(AI28,$B$49:$B$59,$R$49:$R$59)*AJ28)</f>
        <v/>
      </c>
      <c r="AY28" s="1430" t="str">
        <f aca="false">IF(AK28="","",LOOKUP(AK28,$B$49:$B$59,$R$49:$R$59)*AL28)</f>
        <v/>
      </c>
      <c r="AZ28" s="1430" t="str">
        <f aca="false">IF(AM28="","",LOOKUP(AM28,$B$49:$B$59,$R$49:$R$59)*AN28)</f>
        <v/>
      </c>
      <c r="BA28" s="1430" t="str">
        <f aca="false">IF(AO28="","",LOOKUP(AO28,$B$49:$B$59,$R$49:$R$59)*AP28)</f>
        <v/>
      </c>
      <c r="BB28" s="1535" t="n">
        <f aca="false">SUM(AR28:BA28)</f>
        <v>0</v>
      </c>
      <c r="BC28" s="1533" t="str">
        <f aca="false">IF(W28="","",LOOKUP(W28,$B$49:$B$59,$P$49:$P$59)*X28)</f>
        <v/>
      </c>
      <c r="BD28" s="654" t="str">
        <f aca="false">IF(Y28="","",LOOKUP(Y28,$B$49:$B$59,$P$49:$P$59)*Z28)</f>
        <v/>
      </c>
      <c r="BE28" s="1430"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584" t="n">
        <f aca="false">SUM(BC28:BL28)*BQ28</f>
        <v>0</v>
      </c>
      <c r="BN28" s="1536" t="n">
        <f aca="false">BM28+BO28</f>
        <v>0</v>
      </c>
      <c r="BO28" s="1536" t="n">
        <f aca="false">IF(M28=0,0,(M28/12+M28/12)/(M28/12*M28/12)*D28*((L28/16*L28/16)*10.6870159))*(1+K$70)*BQ28</f>
        <v>0</v>
      </c>
      <c r="BP28" s="1536" t="n">
        <f aca="false">IF(O28="Y",D28*(1+K$71)*BQ28,0)</f>
        <v>0</v>
      </c>
      <c r="BQ28" s="1538" t="n">
        <f aca="false">G28</f>
        <v>0</v>
      </c>
      <c r="BR28" s="1411" t="n">
        <f aca="false">IF(O28="y",D28,0)</f>
        <v>0</v>
      </c>
      <c r="BS28" s="1567" t="n">
        <f aca="false">IF($I28=1,$Q28,0)*BQ28</f>
        <v>0</v>
      </c>
      <c r="BT28" s="1536" t="n">
        <f aca="false">IF($I28=2,$Q28,0)*BQ28</f>
        <v>0</v>
      </c>
      <c r="BU28" s="1536" t="n">
        <f aca="false">IF($I28=3,$Q28,0)*BQ28</f>
        <v>0</v>
      </c>
      <c r="BV28" s="1536" t="n">
        <f aca="false">IF($I28=4,$Q28,0)*BQ28</f>
        <v>0</v>
      </c>
      <c r="BW28" s="1536" t="n">
        <f aca="false">IF($I28=5,$Q28,0)*BQ28</f>
        <v>0</v>
      </c>
      <c r="BX28" s="1536" t="n">
        <f aca="false">IF($I28=6,$Q28,0)*$BQ28</f>
        <v>0</v>
      </c>
      <c r="BY28" s="1536" t="n">
        <f aca="false">IF($I28=7,$Q28,0)*$BQ28</f>
        <v>0</v>
      </c>
      <c r="BZ28" s="1536" t="n">
        <f aca="false">IF($I28=8,$Q28,0)*$BQ28</f>
        <v>0</v>
      </c>
      <c r="CA28" s="1536" t="n">
        <f aca="false">IF($I28=9,$Q28,0)*$BQ28</f>
        <v>0</v>
      </c>
      <c r="CB28" s="1568" t="n">
        <f aca="false">IF($I28=10,$Q28,0)*$BQ28</f>
        <v>0</v>
      </c>
      <c r="CC28" s="1538" t="n">
        <f aca="false">SUM(BS28:BX28)</f>
        <v>0</v>
      </c>
      <c r="CD28" s="1538" t="n">
        <f aca="false">IF(H28="N",0,D28)*BQ28</f>
        <v>0</v>
      </c>
      <c r="CE28" s="1538" t="n">
        <f aca="false">K28*BQ28</f>
        <v>0</v>
      </c>
      <c r="CF28" s="1542" t="n">
        <f aca="false">ROUND(IF(W28="",0,LOOKUP(W28,B$49:B$59,D$49:D$59)*X28/12),0)</f>
        <v>0</v>
      </c>
      <c r="CG28" s="1542" t="n">
        <f aca="false">ROUND(IF(Y28="",0,LOOKUP(Y28,B$49:B$59,D$49:D$59)*Z28/12),0)</f>
        <v>0</v>
      </c>
      <c r="CH28" s="1542" t="n">
        <f aca="false">ROUND(IF(AA28="",0,LOOKUP(AA28,B$49:B$59,D$49:D$59)*AB28/12),0)</f>
        <v>0</v>
      </c>
      <c r="CI28" s="1538" t="n">
        <f aca="false">D28*BQ28</f>
        <v>0</v>
      </c>
      <c r="CJ28" s="1538" t="n">
        <f aca="false">D28*J28/324*(1+K$73)*G28</f>
        <v>0</v>
      </c>
      <c r="CK28" s="1538" t="str">
        <f aca="false">IF(N28="","",N28)</f>
        <v/>
      </c>
      <c r="CL28" s="1538" t="n">
        <f aca="false">P28*BQ28</f>
        <v>0</v>
      </c>
      <c r="CM28" s="1543"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544" t="n">
        <f aca="false">C28*D28</f>
        <v>0</v>
      </c>
      <c r="CQ28" s="656" t="n">
        <f aca="false">IF(I$79=0,0,D28*(SUM(O$79:P$82)+O$85)/I$79*BQ28)</f>
        <v>0</v>
      </c>
      <c r="CR28" s="656" t="n">
        <f aca="false">IF(CF28="",0,CF28*E$83)+IF(CG28="",0,CG28*E$83)+IF(CH28="",0,CH28*E$83)</f>
        <v>0</v>
      </c>
      <c r="CS28" s="656"/>
      <c r="CT28" s="1545"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546" t="e">
        <f aca="false">O$110/I$79*D28</f>
        <v>#DIV/0!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569" t="n">
        <f aca="false">D28</f>
        <v>0</v>
      </c>
      <c r="DQ28" s="1430" t="str">
        <f aca="false">IF(AC28="","",LOOKUP(AC28,$B$49:$B$59,$S$49:$S$59)*AD28)</f>
        <v/>
      </c>
      <c r="DR28" s="1430" t="str">
        <f aca="false">IF(AE28="","",LOOKUP(AE28,$B$49:$B$59,$S$49:$S$59)*AF28)</f>
        <v/>
      </c>
      <c r="DS28" s="1430" t="str">
        <f aca="false">IF(AG28="","",LOOKUP(AG28,$B$49:$B$59,$S$49:$S$59)*AH28)</f>
        <v/>
      </c>
      <c r="DT28" s="1430" t="str">
        <f aca="false">IF(AI28="","",LOOKUP(AI28,$B$49:$B$59,$S$49:$S$59)*AJ28)</f>
        <v/>
      </c>
      <c r="DU28" s="1430" t="str">
        <f aca="false">IF(AK28="","",LOOKUP(AK28,$B$49:$B$59,$S$49:$S$59)*AL28)</f>
        <v/>
      </c>
      <c r="DV28" s="1430" t="str">
        <f aca="false">IF(AM28="","",LOOKUP(AM28,$B$49:$B$59,$S$49:$S$59)*AN28)</f>
        <v/>
      </c>
      <c r="DW28" s="1430" t="str">
        <f aca="false">IF(AO28="","",LOOKUP(AO28,$B$49:$B$59,$S$49:$S$59)*AP28)</f>
        <v/>
      </c>
      <c r="DX28" s="1535" t="n">
        <f aca="false">SUM(DQ28:DW28)-(D28-EF28)*(S$45-F28)/324</f>
        <v>0</v>
      </c>
      <c r="DY28" s="1430" t="str">
        <f aca="false">IF(AC28="","",LOOKUP(AC28,$B$49:$B$59,$T$49:$T$59)*AD28)</f>
        <v/>
      </c>
      <c r="DZ28" s="1430" t="str">
        <f aca="false">IF(AE28="","",LOOKUP(AE28,$B$49:$B$59,$T$49:$T$59)*AF28)</f>
        <v/>
      </c>
      <c r="EA28" s="1430" t="str">
        <f aca="false">IF(AG28="","",LOOKUP(AG28,$B$49:$B$59,$T$49:$T$59)*AH28)</f>
        <v/>
      </c>
      <c r="EB28" s="1430" t="str">
        <f aca="false">IF(AI28="","",LOOKUP(AI28,$B$49:$B$59,$T$49:$T$59)*AJ28)</f>
        <v/>
      </c>
      <c r="EC28" s="1430" t="str">
        <f aca="false">IF(AK28="","",LOOKUP(AK28,$B$49:$B$59,$T$49:$T$59)*AL28)</f>
        <v/>
      </c>
      <c r="ED28" s="1430" t="str">
        <f aca="false">IF(AM28="","",LOOKUP(AM28,$B$49:$B$59,$T$49:$T$59)*AN28)</f>
        <v/>
      </c>
      <c r="EE28" s="1430" t="str">
        <f aca="false">IF(AO28="","",LOOKUP(AO28,$B$49:$B$59,$T$49:$T$59)*AP28)</f>
        <v/>
      </c>
      <c r="EF28" s="1535" t="n">
        <f aca="false">SUM(DY28:EE28)</f>
        <v>0</v>
      </c>
    </row>
    <row r="29" customFormat="false" ht="19.5" hidden="false" customHeight="true" outlineLevel="0" collapsed="false">
      <c r="A29" s="16" t="s">
        <v>1573</v>
      </c>
      <c r="B29" s="1549"/>
      <c r="C29" s="1550"/>
      <c r="D29" s="1551"/>
      <c r="E29" s="1552"/>
      <c r="F29" s="1074"/>
      <c r="G29" s="1553"/>
      <c r="H29" s="1074"/>
      <c r="I29" s="1553"/>
      <c r="J29" s="1074"/>
      <c r="K29" s="1583"/>
      <c r="L29" s="1555"/>
      <c r="M29" s="1556"/>
      <c r="N29" s="1557"/>
      <c r="O29" s="1558"/>
      <c r="P29" s="1515" t="n">
        <f aca="false">IF(BQ29=0,0,BN29/BQ29)</f>
        <v>0</v>
      </c>
      <c r="Q29" s="1516" t="n">
        <f aca="false">(D29*F29/324)*(1+K$65)+BB29</f>
        <v>0</v>
      </c>
      <c r="R29" s="1517" t="n">
        <f aca="false">IF(D29=0,0,S29/D29)</f>
        <v>0</v>
      </c>
      <c r="S29" s="1518" t="e">
        <f aca="false">SUM(CM29-DE29)*(1+M$45)</f>
        <v>#DIV/0!</v>
      </c>
      <c r="T29" s="1519" t="n">
        <f aca="false">CF29+CG29+CH29</f>
        <v>0</v>
      </c>
      <c r="U29" s="1520" t="n">
        <f aca="false">IF(P29-(D29*0.35)&lt;0,0,P29-(D29*0.35))</f>
        <v>0</v>
      </c>
      <c r="V29" s="1521" t="n">
        <f aca="false">IF(D29="",0,IF(D29/-30+Q29&lt;1,0,D29/-30+Q29))</f>
        <v>0</v>
      </c>
      <c r="W29" s="1559"/>
      <c r="X29" s="1560"/>
      <c r="Y29" s="1559"/>
      <c r="Z29" s="1561"/>
      <c r="AA29" s="1559"/>
      <c r="AB29" s="1561"/>
      <c r="AC29" s="1562"/>
      <c r="AD29" s="1560"/>
      <c r="AE29" s="1559"/>
      <c r="AF29" s="1563"/>
      <c r="AG29" s="1564"/>
      <c r="AH29" s="1563"/>
      <c r="AI29" s="1565"/>
      <c r="AJ29" s="1560"/>
      <c r="AK29" s="1565"/>
      <c r="AL29" s="1581"/>
      <c r="AM29" s="1559"/>
      <c r="AN29" s="1566"/>
      <c r="AO29" s="1559"/>
      <c r="AP29" s="1561"/>
      <c r="AQ29" s="1435" t="e">
        <f aca="false">D29/Q29</f>
        <v>#DIV/0!</v>
      </c>
      <c r="AR29" s="1533" t="str">
        <f aca="false">IF(W29="","",LOOKUP(W29,$B$49:$B$59,$R$49:$R$59)*X29)</f>
        <v/>
      </c>
      <c r="AS29" s="1430" t="str">
        <f aca="false">IF(Y29="","",LOOKUP(Y29,$B$49:$B$59,$R$49:$R$59)*Z29)</f>
        <v/>
      </c>
      <c r="AT29" s="1430" t="str">
        <f aca="false">IF(AB29="","",LOOKUP(AA29,$B$49:$B$59,$R$49:$R$59)*AB29)</f>
        <v/>
      </c>
      <c r="AU29" s="1430" t="str">
        <f aca="false">IF(AC29="","",LOOKUP(AC29,$B$49:$B$59,$R$49:$R$59)*AD29)</f>
        <v/>
      </c>
      <c r="AV29" s="1430" t="str">
        <f aca="false">IF(AE29="","",LOOKUP(AE29,$B$49:$B$59,$R$49:$R$59)*AF29)</f>
        <v/>
      </c>
      <c r="AW29" s="1430" t="str">
        <f aca="false">IF(AG29="","",LOOKUP(AG29,$B$49:$B$59,$R$49:$R$59)*AH29)</f>
        <v/>
      </c>
      <c r="AX29" s="1430" t="str">
        <f aca="false">IF(AI29="","",LOOKUP(AI29,$B$49:$B$59,$R$49:$R$59)*AJ29)</f>
        <v/>
      </c>
      <c r="AY29" s="1430" t="str">
        <f aca="false">IF(AK29="","",LOOKUP(AK29,$B$49:$B$59,$R$49:$R$59)*AL29)</f>
        <v/>
      </c>
      <c r="AZ29" s="1430" t="str">
        <f aca="false">IF(AM29="","",LOOKUP(AM29,$B$49:$B$59,$R$49:$R$59)*AN29)</f>
        <v/>
      </c>
      <c r="BA29" s="1430" t="str">
        <f aca="false">IF(AO29="","",LOOKUP(AO29,$B$49:$B$59,$R$49:$R$59)*AP29)</f>
        <v/>
      </c>
      <c r="BB29" s="1535" t="n">
        <f aca="false">SUM(AR29:BA29)</f>
        <v>0</v>
      </c>
      <c r="BC29" s="1533" t="str">
        <f aca="false">IF(W29="","",LOOKUP(W29,$B$49:$B$59,$P$49:$P$59)*X29)</f>
        <v/>
      </c>
      <c r="BD29" s="654" t="str">
        <f aca="false">IF(Y29="","",LOOKUP(Y29,$B$49:$B$59,$P$49:$P$59)*Z29)</f>
        <v/>
      </c>
      <c r="BE29" s="1430"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584" t="n">
        <f aca="false">SUM(BC29:BL29)*BQ29</f>
        <v>0</v>
      </c>
      <c r="BN29" s="1536" t="n">
        <f aca="false">BM29+BO29</f>
        <v>0</v>
      </c>
      <c r="BO29" s="1536" t="n">
        <f aca="false">IF(M29=0,0,(M29/12+M29/12)/(M29/12*M29/12)*D29*((L29/16*L29/16)*10.6870159))*(1+K$70)*BQ29</f>
        <v>0</v>
      </c>
      <c r="BP29" s="1536" t="n">
        <f aca="false">IF(O29="Y",D29*(1+K$71)*BQ29,0)</f>
        <v>0</v>
      </c>
      <c r="BQ29" s="1538" t="n">
        <f aca="false">G29</f>
        <v>0</v>
      </c>
      <c r="BR29" s="1411" t="n">
        <f aca="false">IF(O29="y",D29,0)</f>
        <v>0</v>
      </c>
      <c r="BS29" s="1567" t="n">
        <f aca="false">IF($I29=1,$Q29,0)*BQ29</f>
        <v>0</v>
      </c>
      <c r="BT29" s="1536" t="n">
        <f aca="false">IF($I29=2,$Q29,0)*BQ29</f>
        <v>0</v>
      </c>
      <c r="BU29" s="1536" t="n">
        <f aca="false">IF($I29=3,$Q29,0)*BQ29</f>
        <v>0</v>
      </c>
      <c r="BV29" s="1536" t="n">
        <f aca="false">IF($I29=4,$Q29,0)*BQ29</f>
        <v>0</v>
      </c>
      <c r="BW29" s="1536" t="n">
        <f aca="false">IF($I29=5,$Q29,0)*BQ29</f>
        <v>0</v>
      </c>
      <c r="BX29" s="1536" t="n">
        <f aca="false">IF($I29=6,$Q29,0)*$BQ29</f>
        <v>0</v>
      </c>
      <c r="BY29" s="1536" t="n">
        <f aca="false">IF($I29=7,$Q29,0)*$BQ29</f>
        <v>0</v>
      </c>
      <c r="BZ29" s="1536" t="n">
        <f aca="false">IF($I29=8,$Q29,0)*$BQ29</f>
        <v>0</v>
      </c>
      <c r="CA29" s="1536" t="n">
        <f aca="false">IF($I29=9,$Q29,0)*$BQ29</f>
        <v>0</v>
      </c>
      <c r="CB29" s="1568" t="n">
        <f aca="false">IF($I29=10,$Q29,0)*$BQ29</f>
        <v>0</v>
      </c>
      <c r="CC29" s="1538" t="n">
        <f aca="false">SUM(BS29:BX29)</f>
        <v>0</v>
      </c>
      <c r="CD29" s="1538" t="n">
        <f aca="false">IF(H29="N",0,D29)*BQ29</f>
        <v>0</v>
      </c>
      <c r="CE29" s="1538" t="n">
        <f aca="false">K29*BQ29</f>
        <v>0</v>
      </c>
      <c r="CF29" s="1542" t="n">
        <f aca="false">ROUND(IF(W29="",0,LOOKUP(W29,B$49:B$59,D$49:D$59)*X29/12),0)</f>
        <v>0</v>
      </c>
      <c r="CG29" s="1542" t="n">
        <f aca="false">ROUND(IF(Y29="",0,LOOKUP(Y29,B$49:B$59,D$49:D$59)*Z29/12),0)</f>
        <v>0</v>
      </c>
      <c r="CH29" s="1542" t="n">
        <f aca="false">ROUND(IF(AA29="",0,LOOKUP(AA29,B$49:B$59,D$49:D$59)*AB29/12),0)</f>
        <v>0</v>
      </c>
      <c r="CI29" s="1538" t="n">
        <f aca="false">D29*BQ29</f>
        <v>0</v>
      </c>
      <c r="CJ29" s="1538" t="n">
        <f aca="false">D29*J29/324*(1+K$73)*G29</f>
        <v>0</v>
      </c>
      <c r="CK29" s="1538" t="str">
        <f aca="false">IF(N29="","",N29)</f>
        <v/>
      </c>
      <c r="CL29" s="1538" t="n">
        <f aca="false">P29*BQ29</f>
        <v>0</v>
      </c>
      <c r="CM29" s="1543"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544" t="n">
        <f aca="false">C29*D29</f>
        <v>0</v>
      </c>
      <c r="CQ29" s="656" t="n">
        <f aca="false">IF(I$79=0,0,D29*(SUM(O$79:P$82)+O$85)/I$79*BQ29)</f>
        <v>0</v>
      </c>
      <c r="CR29" s="656" t="n">
        <f aca="false">IF(CF29="",0,CF29*E$83)+IF(CG29="",0,CG29*E$83)+IF(CH29="",0,CH29*E$83)</f>
        <v>0</v>
      </c>
      <c r="CS29" s="656"/>
      <c r="CT29" s="1545"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546" t="e">
        <f aca="false">O$110/I$79*D29</f>
        <v>#DIV/0!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569" t="n">
        <f aca="false">D29</f>
        <v>0</v>
      </c>
      <c r="DQ29" s="1430" t="str">
        <f aca="false">IF(AC29="","",LOOKUP(AC29,$B$49:$B$59,$S$49:$S$59)*AD29)</f>
        <v/>
      </c>
      <c r="DR29" s="1430" t="str">
        <f aca="false">IF(AE29="","",LOOKUP(AE29,$B$49:$B$59,$S$49:$S$59)*AF29)</f>
        <v/>
      </c>
      <c r="DS29" s="1430" t="str">
        <f aca="false">IF(AG29="","",LOOKUP(AG29,$B$49:$B$59,$S$49:$S$59)*AH29)</f>
        <v/>
      </c>
      <c r="DT29" s="1430" t="str">
        <f aca="false">IF(AI29="","",LOOKUP(AI29,$B$49:$B$59,$S$49:$S$59)*AJ29)</f>
        <v/>
      </c>
      <c r="DU29" s="1430" t="str">
        <f aca="false">IF(AK29="","",LOOKUP(AK29,$B$49:$B$59,$S$49:$S$59)*AL29)</f>
        <v/>
      </c>
      <c r="DV29" s="1430" t="str">
        <f aca="false">IF(AM29="","",LOOKUP(AM29,$B$49:$B$59,$S$49:$S$59)*AN29)</f>
        <v/>
      </c>
      <c r="DW29" s="1430" t="str">
        <f aca="false">IF(AO29="","",LOOKUP(AO29,$B$49:$B$59,$S$49:$S$59)*AP29)</f>
        <v/>
      </c>
      <c r="DX29" s="1535" t="n">
        <f aca="false">SUM(DQ29:DW29)-(D29-EF29)*(S$45-F29)/324</f>
        <v>0</v>
      </c>
      <c r="DY29" s="1430" t="str">
        <f aca="false">IF(AC29="","",LOOKUP(AC29,$B$49:$B$59,$T$49:$T$59)*AD29)</f>
        <v/>
      </c>
      <c r="DZ29" s="1430" t="str">
        <f aca="false">IF(AE29="","",LOOKUP(AE29,$B$49:$B$59,$T$49:$T$59)*AF29)</f>
        <v/>
      </c>
      <c r="EA29" s="1430" t="str">
        <f aca="false">IF(AG29="","",LOOKUP(AG29,$B$49:$B$59,$T$49:$T$59)*AH29)</f>
        <v/>
      </c>
      <c r="EB29" s="1430" t="str">
        <f aca="false">IF(AI29="","",LOOKUP(AI29,$B$49:$B$59,$T$49:$T$59)*AJ29)</f>
        <v/>
      </c>
      <c r="EC29" s="1430" t="str">
        <f aca="false">IF(AK29="","",LOOKUP(AK29,$B$49:$B$59,$T$49:$T$59)*AL29)</f>
        <v/>
      </c>
      <c r="ED29" s="1430" t="str">
        <f aca="false">IF(AM29="","",LOOKUP(AM29,$B$49:$B$59,$T$49:$T$59)*AN29)</f>
        <v/>
      </c>
      <c r="EE29" s="1430" t="str">
        <f aca="false">IF(AO29="","",LOOKUP(AO29,$B$49:$B$59,$T$49:$T$59)*AP29)</f>
        <v/>
      </c>
      <c r="EF29" s="1535" t="n">
        <f aca="false">SUM(DY29:EE29)</f>
        <v>0</v>
      </c>
    </row>
    <row r="30" customFormat="false" ht="19.5" hidden="false" customHeight="true" outlineLevel="0" collapsed="false">
      <c r="A30" s="16" t="s">
        <v>1574</v>
      </c>
      <c r="B30" s="920"/>
      <c r="C30" s="1506"/>
      <c r="D30" s="1507"/>
      <c r="E30" s="1508"/>
      <c r="F30" s="1074"/>
      <c r="G30" s="1553"/>
      <c r="H30" s="1074"/>
      <c r="I30" s="1553"/>
      <c r="J30" s="1074"/>
      <c r="K30" s="1583"/>
      <c r="L30" s="528"/>
      <c r="M30" s="895"/>
      <c r="N30" s="1513"/>
      <c r="O30" s="1514"/>
      <c r="P30" s="1515" t="n">
        <f aca="false">IF(BQ30=0,0,BN30/BQ30)</f>
        <v>0</v>
      </c>
      <c r="Q30" s="1516" t="n">
        <f aca="false">(D30*F30/324)*(1+K$65)+BB30</f>
        <v>0</v>
      </c>
      <c r="R30" s="1517" t="n">
        <f aca="false">IF(D30=0,0,S30/D30)</f>
        <v>0</v>
      </c>
      <c r="S30" s="1518" t="e">
        <f aca="false">SUM(CM30-DE30)*(1+M$45)</f>
        <v>#DIV/0!</v>
      </c>
      <c r="T30" s="1519" t="n">
        <f aca="false">CF30+CG30+CH30</f>
        <v>0</v>
      </c>
      <c r="U30" s="1520" t="n">
        <f aca="false">IF(P30-(D30*0.35)&lt;0,0,P30-(D30*0.35))</f>
        <v>0</v>
      </c>
      <c r="V30" s="1521" t="n">
        <f aca="false">IF(D30="",0,IF(D30/-30+Q30&lt;1,0,D30/-30+Q30))</f>
        <v>0</v>
      </c>
      <c r="W30" s="528"/>
      <c r="X30" s="1526"/>
      <c r="Y30" s="1511"/>
      <c r="Z30" s="1524"/>
      <c r="AA30" s="1511"/>
      <c r="AB30" s="1524"/>
      <c r="AC30" s="1525"/>
      <c r="AD30" s="1526"/>
      <c r="AE30" s="1511"/>
      <c r="AF30" s="1527"/>
      <c r="AG30" s="1528"/>
      <c r="AH30" s="1527"/>
      <c r="AI30" s="1529"/>
      <c r="AJ30" s="1526"/>
      <c r="AK30" s="1572"/>
      <c r="AL30" s="1573"/>
      <c r="AM30" s="1511"/>
      <c r="AN30" s="1532"/>
      <c r="AO30" s="1511"/>
      <c r="AP30" s="1524"/>
      <c r="AQ30" s="1435" t="e">
        <f aca="false">D30/Q30</f>
        <v>#DIV/0!</v>
      </c>
      <c r="AR30" s="1533" t="str">
        <f aca="false">IF(W30="","",LOOKUP(W30,$B$49:$B$59,$R$49:$R$59)*X30)</f>
        <v/>
      </c>
      <c r="AS30" s="1430" t="str">
        <f aca="false">IF(Y30="","",LOOKUP(Y30,$B$49:$B$59,$R$49:$R$59)*Z30)</f>
        <v/>
      </c>
      <c r="AT30" s="1430" t="str">
        <f aca="false">IF(AB30="","",LOOKUP(AA30,$B$49:$B$59,$R$49:$R$59)*AB30)</f>
        <v/>
      </c>
      <c r="AU30" s="1430" t="str">
        <f aca="false">IF(AC30="","",LOOKUP(AC30,$B$49:$B$59,$R$49:$R$59)*AD30)</f>
        <v/>
      </c>
      <c r="AV30" s="1430" t="str">
        <f aca="false">IF(AE30="","",LOOKUP(AE30,$B$49:$B$59,$R$49:$R$59)*AF30)</f>
        <v/>
      </c>
      <c r="AW30" s="1430" t="str">
        <f aca="false">IF(AG30="","",LOOKUP(AG30,$B$49:$B$59,$R$49:$R$59)*AH30)</f>
        <v/>
      </c>
      <c r="AX30" s="1430" t="str">
        <f aca="false">IF(AI30="","",LOOKUP(AI30,$B$49:$B$59,$R$49:$R$59)*AJ30)</f>
        <v/>
      </c>
      <c r="AY30" s="1430" t="str">
        <f aca="false">IF(AK30="","",LOOKUP(AK30,$B$49:$B$59,$R$49:$R$59)*AL30)</f>
        <v/>
      </c>
      <c r="AZ30" s="1430" t="str">
        <f aca="false">IF(AM30="","",LOOKUP(AM30,$B$49:$B$59,$R$49:$R$59)*AN30)</f>
        <v/>
      </c>
      <c r="BA30" s="1430" t="str">
        <f aca="false">IF(AO30="","",LOOKUP(AO30,$B$49:$B$59,$R$49:$R$59)*AP30)</f>
        <v/>
      </c>
      <c r="BB30" s="1535" t="n">
        <f aca="false">SUM(AR30:BA30)</f>
        <v>0</v>
      </c>
      <c r="BC30" s="1533" t="str">
        <f aca="false">IF(W30="","",LOOKUP(W30,$B$49:$B$59,$P$49:$P$59)*X30)</f>
        <v/>
      </c>
      <c r="BD30" s="654" t="str">
        <f aca="false">IF(Y30="","",LOOKUP(Y30,$B$49:$B$59,$P$49:$P$59)*Z30)</f>
        <v/>
      </c>
      <c r="BE30" s="1430"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584" t="n">
        <f aca="false">SUM(BC30:BL30)*BQ30</f>
        <v>0</v>
      </c>
      <c r="BN30" s="1536" t="n">
        <f aca="false">BM30+BO30</f>
        <v>0</v>
      </c>
      <c r="BO30" s="1536" t="n">
        <f aca="false">IF(M30=0,0,(M30/12+M30/12)/(M30/12*M30/12)*D30*((L30/16*L30/16)*10.6870159))*(1+K$70)*BQ30</f>
        <v>0</v>
      </c>
      <c r="BP30" s="1536" t="n">
        <f aca="false">IF(O30="Y",D30*(1+K$71)*BQ30,0)</f>
        <v>0</v>
      </c>
      <c r="BQ30" s="1538" t="n">
        <f aca="false">G30</f>
        <v>0</v>
      </c>
      <c r="BR30" s="1411" t="n">
        <f aca="false">IF(O30="y",D30,0)</f>
        <v>0</v>
      </c>
      <c r="BS30" s="1567" t="n">
        <f aca="false">IF($I30=1,$Q30,0)*BQ30</f>
        <v>0</v>
      </c>
      <c r="BT30" s="1536" t="n">
        <f aca="false">IF($I30=2,$Q30,0)*BQ30</f>
        <v>0</v>
      </c>
      <c r="BU30" s="1536" t="n">
        <f aca="false">IF($I30=3,$Q30,0)*BQ30</f>
        <v>0</v>
      </c>
      <c r="BV30" s="1536" t="n">
        <f aca="false">IF($I30=4,$Q30,0)*BQ30</f>
        <v>0</v>
      </c>
      <c r="BW30" s="1536" t="n">
        <f aca="false">IF($I30=5,$Q30,0)*BQ30</f>
        <v>0</v>
      </c>
      <c r="BX30" s="1536" t="n">
        <f aca="false">IF($I30=6,$Q30,0)*$BQ30</f>
        <v>0</v>
      </c>
      <c r="BY30" s="1536" t="n">
        <f aca="false">IF($I30=7,$Q30,0)*$BQ30</f>
        <v>0</v>
      </c>
      <c r="BZ30" s="1536" t="n">
        <f aca="false">IF($I30=8,$Q30,0)*$BQ30</f>
        <v>0</v>
      </c>
      <c r="CA30" s="1536" t="n">
        <f aca="false">IF($I30=9,$Q30,0)*$BQ30</f>
        <v>0</v>
      </c>
      <c r="CB30" s="1568" t="n">
        <f aca="false">IF($I30=10,$Q30,0)*$BQ30</f>
        <v>0</v>
      </c>
      <c r="CC30" s="1538" t="n">
        <f aca="false">SUM(BS30:BX30)</f>
        <v>0</v>
      </c>
      <c r="CD30" s="1538" t="n">
        <f aca="false">IF(H30="N",0,D30)*BQ30</f>
        <v>0</v>
      </c>
      <c r="CE30" s="1538" t="n">
        <f aca="false">K30*BQ30</f>
        <v>0</v>
      </c>
      <c r="CF30" s="1542" t="n">
        <f aca="false">ROUND(IF(W30="",0,LOOKUP(W30,B$49:B$59,D$49:D$59)*X30/12),0)</f>
        <v>0</v>
      </c>
      <c r="CG30" s="1542" t="n">
        <f aca="false">ROUND(IF(Y30="",0,LOOKUP(Y30,B$49:B$59,D$49:D$59)*Z30/12),0)</f>
        <v>0</v>
      </c>
      <c r="CH30" s="1542" t="n">
        <f aca="false">ROUND(IF(AA30="",0,LOOKUP(AA30,B$49:B$59,D$49:D$59)*AB30/12),0)</f>
        <v>0</v>
      </c>
      <c r="CI30" s="1538" t="n">
        <f aca="false">D30*BQ30</f>
        <v>0</v>
      </c>
      <c r="CJ30" s="1538" t="n">
        <f aca="false">D30*J30/324*(1+K$73)*G30</f>
        <v>0</v>
      </c>
      <c r="CK30" s="1538" t="str">
        <f aca="false">IF(N30="","",N30)</f>
        <v/>
      </c>
      <c r="CL30" s="1538" t="n">
        <f aca="false">P30*BQ30</f>
        <v>0</v>
      </c>
      <c r="CM30" s="1543"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544" t="n">
        <f aca="false">C30*D30</f>
        <v>0</v>
      </c>
      <c r="CQ30" s="656" t="n">
        <f aca="false">IF(I$79=0,0,D30*(SUM(O$79:P$82)+O$85)/I$79*BQ30)</f>
        <v>0</v>
      </c>
      <c r="CR30" s="656" t="n">
        <f aca="false">IF(CF30="",0,CF30*E$83)+IF(CG30="",0,CG30*E$83)+IF(CH30="",0,CH30*E$83)</f>
        <v>0</v>
      </c>
      <c r="CS30" s="656"/>
      <c r="CT30" s="1545"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546" t="e">
        <f aca="false">O$110/I$79*D30</f>
        <v>#DIV/0!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569" t="n">
        <f aca="false">D30</f>
        <v>0</v>
      </c>
      <c r="DQ30" s="1430" t="str">
        <f aca="false">IF(AC30="","",LOOKUP(AC30,$B$49:$B$59,$S$49:$S$59)*AD30)</f>
        <v/>
      </c>
      <c r="DR30" s="1430" t="str">
        <f aca="false">IF(AE30="","",LOOKUP(AE30,$B$49:$B$59,$S$49:$S$59)*AF30)</f>
        <v/>
      </c>
      <c r="DS30" s="1430" t="str">
        <f aca="false">IF(AG30="","",LOOKUP(AG30,$B$49:$B$59,$S$49:$S$59)*AH30)</f>
        <v/>
      </c>
      <c r="DT30" s="1430" t="str">
        <f aca="false">IF(AI30="","",LOOKUP(AI30,$B$49:$B$59,$S$49:$S$59)*AJ30)</f>
        <v/>
      </c>
      <c r="DU30" s="1430" t="str">
        <f aca="false">IF(AK30="","",LOOKUP(AK30,$B$49:$B$59,$S$49:$S$59)*AL30)</f>
        <v/>
      </c>
      <c r="DV30" s="1430" t="str">
        <f aca="false">IF(AM30="","",LOOKUP(AM30,$B$49:$B$59,$S$49:$S$59)*AN30)</f>
        <v/>
      </c>
      <c r="DW30" s="1430" t="str">
        <f aca="false">IF(AO30="","",LOOKUP(AO30,$B$49:$B$59,$S$49:$S$59)*AP30)</f>
        <v/>
      </c>
      <c r="DX30" s="1535" t="n">
        <f aca="false">SUM(DQ30:DW30)-(D30-EF30)*(S$45-F30)/324</f>
        <v>0</v>
      </c>
      <c r="DY30" s="1430" t="str">
        <f aca="false">IF(AC30="","",LOOKUP(AC30,$B$49:$B$59,$T$49:$T$59)*AD30)</f>
        <v/>
      </c>
      <c r="DZ30" s="1430" t="str">
        <f aca="false">IF(AE30="","",LOOKUP(AE30,$B$49:$B$59,$T$49:$T$59)*AF30)</f>
        <v/>
      </c>
      <c r="EA30" s="1430" t="str">
        <f aca="false">IF(AG30="","",LOOKUP(AG30,$B$49:$B$59,$T$49:$T$59)*AH30)</f>
        <v/>
      </c>
      <c r="EB30" s="1430" t="str">
        <f aca="false">IF(AI30="","",LOOKUP(AI30,$B$49:$B$59,$T$49:$T$59)*AJ30)</f>
        <v/>
      </c>
      <c r="EC30" s="1430" t="str">
        <f aca="false">IF(AK30="","",LOOKUP(AK30,$B$49:$B$59,$T$49:$T$59)*AL30)</f>
        <v/>
      </c>
      <c r="ED30" s="1430" t="str">
        <f aca="false">IF(AM30="","",LOOKUP(AM30,$B$49:$B$59,$T$49:$T$59)*AN30)</f>
        <v/>
      </c>
      <c r="EE30" s="1430" t="str">
        <f aca="false">IF(AO30="","",LOOKUP(AO30,$B$49:$B$59,$T$49:$T$59)*AP30)</f>
        <v/>
      </c>
      <c r="EF30" s="1535" t="n">
        <f aca="false">SUM(DY30:EE30)</f>
        <v>0</v>
      </c>
    </row>
    <row r="31" customFormat="false" ht="19.5" hidden="false" customHeight="true" outlineLevel="0" collapsed="false">
      <c r="A31" s="16" t="s">
        <v>1575</v>
      </c>
      <c r="B31" s="1549"/>
      <c r="C31" s="1550"/>
      <c r="D31" s="1551"/>
      <c r="E31" s="1552"/>
      <c r="F31" s="1074"/>
      <c r="G31" s="1553"/>
      <c r="H31" s="1074"/>
      <c r="I31" s="1553"/>
      <c r="J31" s="1074"/>
      <c r="K31" s="1583"/>
      <c r="L31" s="1559"/>
      <c r="M31" s="1556"/>
      <c r="N31" s="1557"/>
      <c r="O31" s="1558"/>
      <c r="P31" s="1515" t="n">
        <f aca="false">IF(BQ31=0,0,BN31/BQ31)</f>
        <v>0</v>
      </c>
      <c r="Q31" s="1516" t="n">
        <f aca="false">(D31*F31/324)*(1+K$65)+BB31</f>
        <v>0</v>
      </c>
      <c r="R31" s="1517" t="n">
        <f aca="false">IF(D31=0,0,S31/D31)</f>
        <v>0</v>
      </c>
      <c r="S31" s="1518" t="e">
        <f aca="false">SUM(CM31-DE31)*(1+M$45)</f>
        <v>#DIV/0!</v>
      </c>
      <c r="T31" s="1519" t="n">
        <f aca="false">CF31+CG31+CH31</f>
        <v>0</v>
      </c>
      <c r="U31" s="1520" t="n">
        <f aca="false">IF(P31-(D31*0.35)&lt;0,0,P31-(D31*0.35))</f>
        <v>0</v>
      </c>
      <c r="V31" s="1521" t="n">
        <f aca="false">IF(D31="",0,IF(D31/-30+Q31&lt;1,0,D31/-30+Q31))</f>
        <v>0</v>
      </c>
      <c r="W31" s="1559"/>
      <c r="X31" s="1560"/>
      <c r="Y31" s="1559"/>
      <c r="Z31" s="1561"/>
      <c r="AA31" s="1559"/>
      <c r="AB31" s="1561"/>
      <c r="AC31" s="1562"/>
      <c r="AD31" s="1560"/>
      <c r="AE31" s="1559"/>
      <c r="AF31" s="1563"/>
      <c r="AG31" s="1564"/>
      <c r="AH31" s="1563"/>
      <c r="AI31" s="1565"/>
      <c r="AJ31" s="1560"/>
      <c r="AK31" s="1565"/>
      <c r="AL31" s="1581"/>
      <c r="AM31" s="1559"/>
      <c r="AN31" s="1566"/>
      <c r="AO31" s="1559"/>
      <c r="AP31" s="1561"/>
      <c r="AQ31" s="1435" t="e">
        <f aca="false">D31/Q31</f>
        <v>#DIV/0!</v>
      </c>
      <c r="AR31" s="1533" t="str">
        <f aca="false">IF(W31="","",LOOKUP(W31,$B$49:$B$59,$R$49:$R$59)*X31)</f>
        <v/>
      </c>
      <c r="AS31" s="1430" t="str">
        <f aca="false">IF(Y31="","",LOOKUP(Y31,$B$49:$B$59,$R$49:$R$59)*Z31)</f>
        <v/>
      </c>
      <c r="AT31" s="1430" t="str">
        <f aca="false">IF(AB31="","",LOOKUP(AA31,$B$49:$B$59,$R$49:$R$59)*AB31)</f>
        <v/>
      </c>
      <c r="AU31" s="1430" t="str">
        <f aca="false">IF(AC31="","",LOOKUP(AC31,$B$49:$B$59,$R$49:$R$59)*AD31)</f>
        <v/>
      </c>
      <c r="AV31" s="1430" t="str">
        <f aca="false">IF(AE31="","",LOOKUP(AE31,$B$49:$B$59,$R$49:$R$59)*AF31)</f>
        <v/>
      </c>
      <c r="AW31" s="1430" t="str">
        <f aca="false">IF(AG31="","",LOOKUP(AG31,$B$49:$B$59,$R$49:$R$59)*AH31)</f>
        <v/>
      </c>
      <c r="AX31" s="1430" t="str">
        <f aca="false">IF(AI31="","",LOOKUP(AI31,$B$49:$B$59,$R$49:$R$59)*AJ31)</f>
        <v/>
      </c>
      <c r="AY31" s="1430" t="str">
        <f aca="false">IF(AK31="","",LOOKUP(AK31,$B$49:$B$59,$R$49:$R$59)*AL31)</f>
        <v/>
      </c>
      <c r="AZ31" s="1430" t="str">
        <f aca="false">IF(AM31="","",LOOKUP(AM31,$B$49:$B$59,$R$49:$R$59)*AN31)</f>
        <v/>
      </c>
      <c r="BA31" s="1430" t="str">
        <f aca="false">IF(AO31="","",LOOKUP(AO31,$B$49:$B$59,$R$49:$R$59)*AP31)</f>
        <v/>
      </c>
      <c r="BB31" s="1535" t="n">
        <f aca="false">SUM(AR31:BA31)</f>
        <v>0</v>
      </c>
      <c r="BC31" s="1533" t="str">
        <f aca="false">IF(W31="","",LOOKUP(W31,$B$49:$B$59,$P$49:$P$59)*X31)</f>
        <v/>
      </c>
      <c r="BD31" s="654" t="str">
        <f aca="false">IF(Y31="","",LOOKUP(Y31,$B$49:$B$59,$P$49:$P$59)*Z31)</f>
        <v/>
      </c>
      <c r="BE31" s="1430"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584" t="n">
        <f aca="false">SUM(BC31:BL31)*BQ31</f>
        <v>0</v>
      </c>
      <c r="BN31" s="1536" t="n">
        <f aca="false">BM31+BO31</f>
        <v>0</v>
      </c>
      <c r="BO31" s="1536" t="n">
        <f aca="false">IF(M31=0,0,(M31/12+M31/12)/(M31/12*M31/12)*D31*((L31/16*L31/16)*10.6870159))*(1+K$70)*BQ31</f>
        <v>0</v>
      </c>
      <c r="BP31" s="1536" t="n">
        <f aca="false">IF(O31="Y",D31*(1+K$71)*BQ31,0)</f>
        <v>0</v>
      </c>
      <c r="BQ31" s="1538" t="n">
        <f aca="false">G31</f>
        <v>0</v>
      </c>
      <c r="BR31" s="1411" t="n">
        <f aca="false">IF(O31="y",D31,0)</f>
        <v>0</v>
      </c>
      <c r="BS31" s="1567" t="n">
        <f aca="false">IF($I31=1,$Q31,0)*BQ31</f>
        <v>0</v>
      </c>
      <c r="BT31" s="1536" t="n">
        <f aca="false">IF($I31=2,$Q31,0)*BQ31</f>
        <v>0</v>
      </c>
      <c r="BU31" s="1536" t="n">
        <f aca="false">IF($I31=3,$Q31,0)*BQ31</f>
        <v>0</v>
      </c>
      <c r="BV31" s="1536" t="n">
        <f aca="false">IF($I31=4,$Q31,0)*BQ31</f>
        <v>0</v>
      </c>
      <c r="BW31" s="1536" t="n">
        <f aca="false">IF($I31=5,$Q31,0)*BQ31</f>
        <v>0</v>
      </c>
      <c r="BX31" s="1536" t="n">
        <f aca="false">IF($I31=6,$Q31,0)*$BQ31</f>
        <v>0</v>
      </c>
      <c r="BY31" s="1536" t="n">
        <f aca="false">IF($I31=7,$Q31,0)*$BQ31</f>
        <v>0</v>
      </c>
      <c r="BZ31" s="1536" t="n">
        <f aca="false">IF($I31=8,$Q31,0)*$BQ31</f>
        <v>0</v>
      </c>
      <c r="CA31" s="1536" t="n">
        <f aca="false">IF($I31=9,$Q31,0)*$BQ31</f>
        <v>0</v>
      </c>
      <c r="CB31" s="1568" t="n">
        <f aca="false">IF($I31=10,$Q31,0)*$BQ31</f>
        <v>0</v>
      </c>
      <c r="CC31" s="1538" t="n">
        <f aca="false">SUM(BS31:BX31)</f>
        <v>0</v>
      </c>
      <c r="CD31" s="1538" t="n">
        <f aca="false">IF(H31="N",0,D31)*BQ31</f>
        <v>0</v>
      </c>
      <c r="CE31" s="1538" t="n">
        <f aca="false">K31*BQ31</f>
        <v>0</v>
      </c>
      <c r="CF31" s="1542" t="n">
        <f aca="false">ROUND(IF(W31="",0,LOOKUP(W31,B$49:B$59,D$49:D$59)*X31/12),0)</f>
        <v>0</v>
      </c>
      <c r="CG31" s="1542" t="n">
        <f aca="false">ROUND(IF(Y31="",0,LOOKUP(Y31,B$49:B$59,D$49:D$59)*Z31/12),0)</f>
        <v>0</v>
      </c>
      <c r="CH31" s="1542" t="n">
        <f aca="false">ROUND(IF(AA31="",0,LOOKUP(AA31,B$49:B$59,D$49:D$59)*AB31/12),0)</f>
        <v>0</v>
      </c>
      <c r="CI31" s="1538" t="n">
        <f aca="false">D31*BQ31</f>
        <v>0</v>
      </c>
      <c r="CJ31" s="1538" t="n">
        <f aca="false">D31*J31/324*(1+K$73)*G31</f>
        <v>0</v>
      </c>
      <c r="CK31" s="1538" t="str">
        <f aca="false">IF(N31="","",N31)</f>
        <v/>
      </c>
      <c r="CL31" s="1538" t="n">
        <f aca="false">P31*BQ31</f>
        <v>0</v>
      </c>
      <c r="CM31" s="1543"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544" t="n">
        <f aca="false">C31*D31</f>
        <v>0</v>
      </c>
      <c r="CQ31" s="656" t="n">
        <f aca="false">IF(I$79=0,0,D31*(SUM(O$79:P$82)+O$85)/I$79*BQ31)</f>
        <v>0</v>
      </c>
      <c r="CR31" s="656" t="n">
        <f aca="false">IF(CF31="",0,CF31*E$83)+IF(CG31="",0,CG31*E$83)+IF(CH31="",0,CH31*E$83)</f>
        <v>0</v>
      </c>
      <c r="CS31" s="656"/>
      <c r="CT31" s="1545"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546" t="e">
        <f aca="false">O$110/I$79*D31</f>
        <v>#DIV/0!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569" t="n">
        <f aca="false">D31</f>
        <v>0</v>
      </c>
      <c r="DQ31" s="1430" t="str">
        <f aca="false">IF(AC31="","",LOOKUP(AC31,$B$49:$B$59,$S$49:$S$59)*AD31)</f>
        <v/>
      </c>
      <c r="DR31" s="1430" t="str">
        <f aca="false">IF(AE31="","",LOOKUP(AE31,$B$49:$B$59,$S$49:$S$59)*AF31)</f>
        <v/>
      </c>
      <c r="DS31" s="1430" t="str">
        <f aca="false">IF(AG31="","",LOOKUP(AG31,$B$49:$B$59,$S$49:$S$59)*AH31)</f>
        <v/>
      </c>
      <c r="DT31" s="1430" t="str">
        <f aca="false">IF(AI31="","",LOOKUP(AI31,$B$49:$B$59,$S$49:$S$59)*AJ31)</f>
        <v/>
      </c>
      <c r="DU31" s="1430" t="str">
        <f aca="false">IF(AK31="","",LOOKUP(AK31,$B$49:$B$59,$S$49:$S$59)*AL31)</f>
        <v/>
      </c>
      <c r="DV31" s="1430" t="str">
        <f aca="false">IF(AM31="","",LOOKUP(AM31,$B$49:$B$59,$S$49:$S$59)*AN31)</f>
        <v/>
      </c>
      <c r="DW31" s="1430" t="str">
        <f aca="false">IF(AO31="","",LOOKUP(AO31,$B$49:$B$59,$S$49:$S$59)*AP31)</f>
        <v/>
      </c>
      <c r="DX31" s="1535" t="n">
        <f aca="false">SUM(DQ31:DW31)-(D31-EF31)*(S$45-F31)/324</f>
        <v>0</v>
      </c>
      <c r="DY31" s="1430" t="str">
        <f aca="false">IF(AC31="","",LOOKUP(AC31,$B$49:$B$59,$T$49:$T$59)*AD31)</f>
        <v/>
      </c>
      <c r="DZ31" s="1430" t="str">
        <f aca="false">IF(AE31="","",LOOKUP(AE31,$B$49:$B$59,$T$49:$T$59)*AF31)</f>
        <v/>
      </c>
      <c r="EA31" s="1430" t="str">
        <f aca="false">IF(AG31="","",LOOKUP(AG31,$B$49:$B$59,$T$49:$T$59)*AH31)</f>
        <v/>
      </c>
      <c r="EB31" s="1430" t="str">
        <f aca="false">IF(AI31="","",LOOKUP(AI31,$B$49:$B$59,$T$49:$T$59)*AJ31)</f>
        <v/>
      </c>
      <c r="EC31" s="1430" t="str">
        <f aca="false">IF(AK31="","",LOOKUP(AK31,$B$49:$B$59,$T$49:$T$59)*AL31)</f>
        <v/>
      </c>
      <c r="ED31" s="1430" t="str">
        <f aca="false">IF(AM31="","",LOOKUP(AM31,$B$49:$B$59,$T$49:$T$59)*AN31)</f>
        <v/>
      </c>
      <c r="EE31" s="1430" t="str">
        <f aca="false">IF(AO31="","",LOOKUP(AO31,$B$49:$B$59,$T$49:$T$59)*AP31)</f>
        <v/>
      </c>
      <c r="EF31" s="1535" t="n">
        <f aca="false">SUM(DY31:EE31)</f>
        <v>0</v>
      </c>
    </row>
    <row r="32" customFormat="false" ht="19.5" hidden="false" customHeight="true" outlineLevel="0" collapsed="false">
      <c r="A32" s="16" t="s">
        <v>1576</v>
      </c>
      <c r="B32" s="920"/>
      <c r="C32" s="1506"/>
      <c r="D32" s="1586"/>
      <c r="E32" s="1587"/>
      <c r="F32" s="1074"/>
      <c r="G32" s="1509"/>
      <c r="H32" s="1074"/>
      <c r="I32" s="1509"/>
      <c r="J32" s="1074"/>
      <c r="K32" s="1588"/>
      <c r="L32" s="528"/>
      <c r="M32" s="895"/>
      <c r="N32" s="1513"/>
      <c r="O32" s="1514"/>
      <c r="P32" s="1515" t="n">
        <f aca="false">IF(BQ32=0,0,BN32/BQ32)</f>
        <v>0</v>
      </c>
      <c r="Q32" s="1516" t="n">
        <f aca="false">(D32*F32/324)*(1+K$65)+BB32</f>
        <v>0</v>
      </c>
      <c r="R32" s="1517" t="n">
        <f aca="false">IF(D32=0,0,S32/D32)</f>
        <v>0</v>
      </c>
      <c r="S32" s="1518" t="e">
        <f aca="false">SUM(CM32-DE32)*(1+M$45)</f>
        <v>#DIV/0!</v>
      </c>
      <c r="T32" s="1519" t="n">
        <f aca="false">CF32+CG32+CH32</f>
        <v>0</v>
      </c>
      <c r="U32" s="1520" t="n">
        <f aca="false">IF(P32-(D32*0.35)&lt;0,0,P32-(D32*0.35))</f>
        <v>0</v>
      </c>
      <c r="V32" s="1521" t="n">
        <f aca="false">IF(D32="",0,IF(D32/-30+Q32&lt;1,0,D32/-30+Q32))</f>
        <v>0</v>
      </c>
      <c r="W32" s="528"/>
      <c r="X32" s="1526"/>
      <c r="Y32" s="1511"/>
      <c r="Z32" s="1524"/>
      <c r="AA32" s="1511"/>
      <c r="AB32" s="1524"/>
      <c r="AC32" s="1585"/>
      <c r="AD32" s="1526"/>
      <c r="AE32" s="528"/>
      <c r="AF32" s="1527"/>
      <c r="AG32" s="1531"/>
      <c r="AH32" s="1527"/>
      <c r="AI32" s="1531"/>
      <c r="AJ32" s="1589"/>
      <c r="AK32" s="1531"/>
      <c r="AL32" s="1527"/>
      <c r="AM32" s="1511"/>
      <c r="AN32" s="1532"/>
      <c r="AO32" s="1511"/>
      <c r="AP32" s="1524"/>
      <c r="AQ32" s="1435" t="e">
        <f aca="false">D32/Q32</f>
        <v>#DIV/0!</v>
      </c>
      <c r="AR32" s="1533" t="str">
        <f aca="false">IF(W32="","",LOOKUP(W32,$B$49:$B$59,$R$49:$R$59)*X32)</f>
        <v/>
      </c>
      <c r="AS32" s="1430" t="str">
        <f aca="false">IF(Y32="","",LOOKUP(Y32,$B$49:$B$59,$R$49:$R$59)*Z32)</f>
        <v/>
      </c>
      <c r="AT32" s="1430" t="str">
        <f aca="false">IF(AB32="","",LOOKUP(AA32,$B$49:$B$59,$R$49:$R$59)*AB32)</f>
        <v/>
      </c>
      <c r="AU32" s="1430" t="str">
        <f aca="false">IF(AC32="","",LOOKUP(AC32,$B$49:$B$59,$R$49:$R$59)*AD32)</f>
        <v/>
      </c>
      <c r="AV32" s="1430" t="str">
        <f aca="false">IF(AE32="","",LOOKUP(AE32,$B$49:$B$59,$R$49:$R$59)*AF32)</f>
        <v/>
      </c>
      <c r="AW32" s="1430" t="str">
        <f aca="false">IF(AG32="","",LOOKUP(AG32,$B$49:$B$59,$R$49:$R$59)*AH32)</f>
        <v/>
      </c>
      <c r="AX32" s="1430" t="str">
        <f aca="false">IF(AI32="","",LOOKUP(AI32,$B$49:$B$59,$R$49:$R$59)*AJ32)</f>
        <v/>
      </c>
      <c r="AY32" s="1430" t="str">
        <f aca="false">IF(AK32="","",LOOKUP(AK32,$B$49:$B$59,$R$49:$R$59)*AL32)</f>
        <v/>
      </c>
      <c r="AZ32" s="1430" t="str">
        <f aca="false">IF(AM32="","",LOOKUP(AM32,$B$49:$B$59,$R$49:$R$59)*AN32)</f>
        <v/>
      </c>
      <c r="BA32" s="1430" t="str">
        <f aca="false">IF(AO32="","",LOOKUP(AO32,$B$49:$B$59,$R$49:$R$59)*AP32)</f>
        <v/>
      </c>
      <c r="BB32" s="1535" t="n">
        <f aca="false">SUM(AR32:BA32)</f>
        <v>0</v>
      </c>
      <c r="BC32" s="1533" t="str">
        <f aca="false">IF(W32="","",LOOKUP(W32,$B$49:$B$59,$P$49:$P$59)*X32)</f>
        <v/>
      </c>
      <c r="BD32" s="654" t="str">
        <f aca="false">IF(Y32="","",LOOKUP(Y32,$B$49:$B$59,$P$49:$P$59)*Z32)</f>
        <v/>
      </c>
      <c r="BE32" s="1430"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584" t="n">
        <f aca="false">SUM(BC32:BL32)*BQ32</f>
        <v>0</v>
      </c>
      <c r="BN32" s="1536" t="n">
        <f aca="false">BM32+BO32</f>
        <v>0</v>
      </c>
      <c r="BO32" s="1536" t="n">
        <f aca="false">IF(M32=0,0,(M32/12+M32/12)/(M32/12*M32/12)*D32*((L32/16*L32/16)*10.6870159))*(1+K$70)*BQ32</f>
        <v>0</v>
      </c>
      <c r="BP32" s="1536" t="n">
        <f aca="false">IF(O32="Y",D32*(1+K$71)*BQ32,0)</f>
        <v>0</v>
      </c>
      <c r="BQ32" s="1538" t="n">
        <f aca="false">G32</f>
        <v>0</v>
      </c>
      <c r="BR32" s="1411" t="n">
        <f aca="false">IF(O32="y",D32,0)</f>
        <v>0</v>
      </c>
      <c r="BS32" s="1567" t="n">
        <f aca="false">IF($I32=1,$Q32,0)*BQ32</f>
        <v>0</v>
      </c>
      <c r="BT32" s="1536" t="n">
        <f aca="false">IF($I32=2,$Q32,0)*BQ32</f>
        <v>0</v>
      </c>
      <c r="BU32" s="1536" t="n">
        <f aca="false">IF($I32=3,$Q32,0)*BQ32</f>
        <v>0</v>
      </c>
      <c r="BV32" s="1536" t="n">
        <f aca="false">IF($I32=4,$Q32,0)*BQ32</f>
        <v>0</v>
      </c>
      <c r="BW32" s="1536" t="n">
        <f aca="false">IF($I32=5,$Q32,0)*BQ32</f>
        <v>0</v>
      </c>
      <c r="BX32" s="1536" t="n">
        <f aca="false">IF($I32=6,$Q32,0)*$BQ32</f>
        <v>0</v>
      </c>
      <c r="BY32" s="1536" t="n">
        <f aca="false">IF($I32=7,$Q32,0)*$BQ32</f>
        <v>0</v>
      </c>
      <c r="BZ32" s="1536" t="n">
        <f aca="false">IF($I32=8,$Q32,0)*$BQ32</f>
        <v>0</v>
      </c>
      <c r="CA32" s="1536" t="n">
        <f aca="false">IF($I32=9,$Q32,0)*$BQ32</f>
        <v>0</v>
      </c>
      <c r="CB32" s="1568" t="n">
        <f aca="false">IF($I32=10,$Q32,0)*$BQ32</f>
        <v>0</v>
      </c>
      <c r="CC32" s="1538" t="n">
        <f aca="false">SUM(BS32:BX32)</f>
        <v>0</v>
      </c>
      <c r="CD32" s="1538" t="n">
        <f aca="false">IF(H32="N",0,D32)*BQ32</f>
        <v>0</v>
      </c>
      <c r="CE32" s="1538" t="n">
        <f aca="false">K32*BQ32</f>
        <v>0</v>
      </c>
      <c r="CF32" s="1542" t="n">
        <f aca="false">ROUND(IF(W32="",0,LOOKUP(W32,B$49:B$59,D$49:D$59)*X32/12),0)</f>
        <v>0</v>
      </c>
      <c r="CG32" s="1542" t="n">
        <f aca="false">ROUND(IF(Y32="",0,LOOKUP(Y32,B$49:B$59,D$49:D$59)*Z32/12),0)</f>
        <v>0</v>
      </c>
      <c r="CH32" s="1542" t="n">
        <f aca="false">ROUND(IF(AA32="",0,LOOKUP(AA32,B$49:B$59,D$49:D$59)*AB32/12),0)</f>
        <v>0</v>
      </c>
      <c r="CI32" s="1538" t="n">
        <f aca="false">D32*BQ32</f>
        <v>0</v>
      </c>
      <c r="CJ32" s="1538" t="n">
        <f aca="false">D32*J32/324*(1+K$73)*G32</f>
        <v>0</v>
      </c>
      <c r="CK32" s="1538" t="str">
        <f aca="false">IF(N32="","",N32)</f>
        <v/>
      </c>
      <c r="CL32" s="1538" t="n">
        <f aca="false">P32*BQ32</f>
        <v>0</v>
      </c>
      <c r="CM32" s="1543"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544" t="n">
        <f aca="false">C32*D32</f>
        <v>0</v>
      </c>
      <c r="CQ32" s="656" t="n">
        <f aca="false">IF(I$79=0,0,D32*(SUM(O$79:P$82)+O$85)/I$79*BQ32)</f>
        <v>0</v>
      </c>
      <c r="CR32" s="656" t="n">
        <f aca="false">IF(CF32="",0,CF32*E$83)+IF(CG32="",0,CG32*E$83)+IF(CH32="",0,CH32*E$83)</f>
        <v>0</v>
      </c>
      <c r="CS32" s="656"/>
      <c r="CT32" s="1545"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546" t="e">
        <f aca="false">O$110/I$79*D32</f>
        <v>#DIV/0!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569" t="n">
        <f aca="false">D32</f>
        <v>0</v>
      </c>
      <c r="DQ32" s="1430" t="str">
        <f aca="false">IF(AC32="","",LOOKUP(AC32,$B$49:$B$59,$S$49:$S$59)*AD32)</f>
        <v/>
      </c>
      <c r="DR32" s="1430" t="str">
        <f aca="false">IF(AE32="","",LOOKUP(AE32,$B$49:$B$59,$S$49:$S$59)*AF32)</f>
        <v/>
      </c>
      <c r="DS32" s="1430" t="str">
        <f aca="false">IF(AG32="","",LOOKUP(AG32,$B$49:$B$59,$S$49:$S$59)*AH32)</f>
        <v/>
      </c>
      <c r="DT32" s="1430" t="str">
        <f aca="false">IF(AI32="","",LOOKUP(AI32,$B$49:$B$59,$S$49:$S$59)*AJ32)</f>
        <v/>
      </c>
      <c r="DU32" s="1430" t="str">
        <f aca="false">IF(AK32="","",LOOKUP(AK32,$B$49:$B$59,$S$49:$S$59)*AL32)</f>
        <v/>
      </c>
      <c r="DV32" s="1430" t="str">
        <f aca="false">IF(AM32="","",LOOKUP(AM32,$B$49:$B$59,$S$49:$S$59)*AN32)</f>
        <v/>
      </c>
      <c r="DW32" s="1430" t="str">
        <f aca="false">IF(AO32="","",LOOKUP(AO32,$B$49:$B$59,$S$49:$S$59)*AP32)</f>
        <v/>
      </c>
      <c r="DX32" s="1535" t="n">
        <f aca="false">SUM(DQ32:DW32)-(D32-EF32)*(S$45-F32)/324</f>
        <v>0</v>
      </c>
      <c r="DY32" s="1430" t="str">
        <f aca="false">IF(AC32="","",LOOKUP(AC32,$B$49:$B$59,$T$49:$T$59)*AD32)</f>
        <v/>
      </c>
      <c r="DZ32" s="1430" t="str">
        <f aca="false">IF(AE32="","",LOOKUP(AE32,$B$49:$B$59,$T$49:$T$59)*AF32)</f>
        <v/>
      </c>
      <c r="EA32" s="1430" t="str">
        <f aca="false">IF(AG32="","",LOOKUP(AG32,$B$49:$B$59,$T$49:$T$59)*AH32)</f>
        <v/>
      </c>
      <c r="EB32" s="1430" t="str">
        <f aca="false">IF(AI32="","",LOOKUP(AI32,$B$49:$B$59,$T$49:$T$59)*AJ32)</f>
        <v/>
      </c>
      <c r="EC32" s="1430" t="str">
        <f aca="false">IF(AK32="","",LOOKUP(AK32,$B$49:$B$59,$T$49:$T$59)*AL32)</f>
        <v/>
      </c>
      <c r="ED32" s="1430" t="str">
        <f aca="false">IF(AM32="","",LOOKUP(AM32,$B$49:$B$59,$T$49:$T$59)*AN32)</f>
        <v/>
      </c>
      <c r="EE32" s="1430" t="str">
        <f aca="false">IF(AO32="","",LOOKUP(AO32,$B$49:$B$59,$T$49:$T$59)*AP32)</f>
        <v/>
      </c>
      <c r="EF32" s="1535" t="n">
        <f aca="false">SUM(DY32:EE32)</f>
        <v>0</v>
      </c>
    </row>
    <row r="33" customFormat="false" ht="19.5" hidden="false" customHeight="true" outlineLevel="0" collapsed="false">
      <c r="A33" s="16" t="s">
        <v>1577</v>
      </c>
      <c r="B33" s="1549"/>
      <c r="C33" s="1550"/>
      <c r="D33" s="1551"/>
      <c r="E33" s="1552"/>
      <c r="F33" s="1074"/>
      <c r="G33" s="1553"/>
      <c r="H33" s="1074"/>
      <c r="I33" s="1553"/>
      <c r="J33" s="1074"/>
      <c r="K33" s="1583"/>
      <c r="L33" s="1559"/>
      <c r="M33" s="1556"/>
      <c r="N33" s="1557"/>
      <c r="O33" s="1558"/>
      <c r="P33" s="1515" t="n">
        <f aca="false">IF(BQ33=0,0,BN33/BQ33)</f>
        <v>0</v>
      </c>
      <c r="Q33" s="1516" t="n">
        <f aca="false">(D33*F33/324)*(1+K$65)+BB33</f>
        <v>0</v>
      </c>
      <c r="R33" s="1517" t="n">
        <f aca="false">IF(D33=0,0,S33/D33)</f>
        <v>0</v>
      </c>
      <c r="S33" s="1518" t="e">
        <f aca="false">SUM(CM33-DE33)*(1+M$45)</f>
        <v>#DIV/0!</v>
      </c>
      <c r="T33" s="1519" t="n">
        <f aca="false">CF33+CG33+CH33</f>
        <v>0</v>
      </c>
      <c r="U33" s="1520" t="n">
        <f aca="false">IF(P33-(D33*0.35)&lt;0,0,P33-(D33*0.35))</f>
        <v>0</v>
      </c>
      <c r="V33" s="1521" t="n">
        <f aca="false">IF(D33="",0,IF(D33/-30+Q33&lt;1,0,D33/-30+Q33))</f>
        <v>0</v>
      </c>
      <c r="W33" s="1559"/>
      <c r="X33" s="1560"/>
      <c r="Y33" s="1559"/>
      <c r="Z33" s="1561"/>
      <c r="AA33" s="1559"/>
      <c r="AB33" s="1561"/>
      <c r="AC33" s="1562"/>
      <c r="AD33" s="1560"/>
      <c r="AE33" s="1559"/>
      <c r="AF33" s="1563"/>
      <c r="AG33" s="1564"/>
      <c r="AH33" s="1563"/>
      <c r="AI33" s="1565"/>
      <c r="AJ33" s="1581"/>
      <c r="AK33" s="1565"/>
      <c r="AL33" s="1581"/>
      <c r="AM33" s="1559"/>
      <c r="AN33" s="1561"/>
      <c r="AO33" s="1559"/>
      <c r="AP33" s="1561"/>
      <c r="AQ33" s="1435" t="e">
        <f aca="false">D33/Q33</f>
        <v>#DIV/0!</v>
      </c>
      <c r="AR33" s="1533" t="str">
        <f aca="false">IF(W33="","",LOOKUP(W33,$B$49:$B$59,$R$49:$R$59)*X33)</f>
        <v/>
      </c>
      <c r="AS33" s="1430" t="str">
        <f aca="false">IF(Y33="","",LOOKUP(Y33,$B$49:$B$59,$R$49:$R$59)*Z33)</f>
        <v/>
      </c>
      <c r="AT33" s="1430" t="str">
        <f aca="false">IF(AB33="","",LOOKUP(AA33,$B$49:$B$59,$R$49:$R$59)*AB33)</f>
        <v/>
      </c>
      <c r="AU33" s="1430" t="str">
        <f aca="false">IF(AC33="","",LOOKUP(AC33,$B$49:$B$59,$R$49:$R$59)*AD33)</f>
        <v/>
      </c>
      <c r="AV33" s="1430" t="str">
        <f aca="false">IF(AE33="","",LOOKUP(AE33,$B$49:$B$59,$R$49:$R$59)*AF33)</f>
        <v/>
      </c>
      <c r="AW33" s="1430" t="str">
        <f aca="false">IF(AG33="","",LOOKUP(AG33,$B$49:$B$59,$R$49:$R$59)*AH33)</f>
        <v/>
      </c>
      <c r="AX33" s="1430" t="str">
        <f aca="false">IF(AI33="","",LOOKUP(AI33,$B$49:$B$59,$R$49:$R$59)*AJ33)</f>
        <v/>
      </c>
      <c r="AY33" s="1430" t="str">
        <f aca="false">IF(AK33="","",LOOKUP(AK33,$B$49:$B$59,$R$49:$R$59)*AL33)</f>
        <v/>
      </c>
      <c r="AZ33" s="1430" t="str">
        <f aca="false">IF(AM33="","",LOOKUP(AM33,$B$49:$B$59,$R$49:$R$59)*AN33)</f>
        <v/>
      </c>
      <c r="BA33" s="1430" t="str">
        <f aca="false">IF(AO33="","",LOOKUP(AO33,$B$49:$B$59,$R$49:$R$59)*AP33)</f>
        <v/>
      </c>
      <c r="BB33" s="1535" t="n">
        <f aca="false">SUM(AR33:BA33)</f>
        <v>0</v>
      </c>
      <c r="BC33" s="1533" t="str">
        <f aca="false">IF(W33="","",LOOKUP(W33,$B$49:$B$59,$P$49:$P$59)*X33)</f>
        <v/>
      </c>
      <c r="BD33" s="654" t="str">
        <f aca="false">IF(Y33="","",LOOKUP(Y33,$B$49:$B$59,$P$49:$P$59)*Z33)</f>
        <v/>
      </c>
      <c r="BE33" s="1430"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584" t="n">
        <f aca="false">SUM(BC33:BL33)*BQ33</f>
        <v>0</v>
      </c>
      <c r="BN33" s="1536" t="n">
        <f aca="false">BM33+BO33</f>
        <v>0</v>
      </c>
      <c r="BO33" s="1536" t="n">
        <f aca="false">IF(M33=0,0,(M33/12+M33/12)/(M33/12*M33/12)*D33*((L33/16*L33/16)*10.6870159))*(1+K$70)*BQ33</f>
        <v>0</v>
      </c>
      <c r="BP33" s="1536" t="n">
        <f aca="false">IF(O33="Y",D33*(1+K$71)*BQ33,0)</f>
        <v>0</v>
      </c>
      <c r="BQ33" s="1538" t="n">
        <f aca="false">G33</f>
        <v>0</v>
      </c>
      <c r="BR33" s="1411" t="n">
        <f aca="false">IF(O33="y",D33,0)</f>
        <v>0</v>
      </c>
      <c r="BS33" s="1567" t="n">
        <f aca="false">IF($I33=1,$Q33,0)*BQ33</f>
        <v>0</v>
      </c>
      <c r="BT33" s="1536" t="n">
        <f aca="false">IF($I33=2,$Q33,0)*BQ33</f>
        <v>0</v>
      </c>
      <c r="BU33" s="1536" t="n">
        <f aca="false">IF($I33=3,$Q33,0)*BQ33</f>
        <v>0</v>
      </c>
      <c r="BV33" s="1536" t="n">
        <f aca="false">IF($I33=4,$Q33,0)*BQ33</f>
        <v>0</v>
      </c>
      <c r="BW33" s="1536" t="n">
        <f aca="false">IF($I33=5,$Q33,0)*BQ33</f>
        <v>0</v>
      </c>
      <c r="BX33" s="1536" t="n">
        <f aca="false">IF($I33=6,$Q33,0)*$BQ33</f>
        <v>0</v>
      </c>
      <c r="BY33" s="1536" t="n">
        <f aca="false">IF($I33=7,$Q33,0)*$BQ33</f>
        <v>0</v>
      </c>
      <c r="BZ33" s="1536" t="n">
        <f aca="false">IF($I33=8,$Q33,0)*$BQ33</f>
        <v>0</v>
      </c>
      <c r="CA33" s="1536" t="n">
        <f aca="false">IF($I33=9,$Q33,0)*$BQ33</f>
        <v>0</v>
      </c>
      <c r="CB33" s="1568" t="n">
        <f aca="false">IF($I33=10,$Q33,0)*$BQ33</f>
        <v>0</v>
      </c>
      <c r="CC33" s="1538" t="n">
        <f aca="false">SUM(BS33:BX33)</f>
        <v>0</v>
      </c>
      <c r="CD33" s="1538" t="n">
        <f aca="false">IF(H33="N",0,D33)*BQ33</f>
        <v>0</v>
      </c>
      <c r="CE33" s="1538" t="n">
        <f aca="false">K33*BQ33</f>
        <v>0</v>
      </c>
      <c r="CF33" s="1542" t="n">
        <f aca="false">ROUND(IF(W33="",0,LOOKUP(W33,B$49:B$59,D$49:D$59)*X33/12),0)</f>
        <v>0</v>
      </c>
      <c r="CG33" s="1542" t="n">
        <f aca="false">ROUND(IF(Y33="",0,LOOKUP(Y33,B$49:B$59,D$49:D$59)*Z33/12),0)</f>
        <v>0</v>
      </c>
      <c r="CH33" s="1542" t="n">
        <f aca="false">ROUND(IF(AA33="",0,LOOKUP(AA33,B$49:B$59,D$49:D$59)*AB33/12),0)</f>
        <v>0</v>
      </c>
      <c r="CI33" s="1538" t="n">
        <f aca="false">D33*BQ33</f>
        <v>0</v>
      </c>
      <c r="CJ33" s="1538" t="n">
        <f aca="false">D33*J33/324*(1+K$73)*G33</f>
        <v>0</v>
      </c>
      <c r="CK33" s="1538" t="str">
        <f aca="false">IF(N33="","",N33)</f>
        <v/>
      </c>
      <c r="CL33" s="1538" t="n">
        <f aca="false">P33*BQ33</f>
        <v>0</v>
      </c>
      <c r="CM33" s="1543"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544" t="n">
        <f aca="false">C33*D33</f>
        <v>0</v>
      </c>
      <c r="CQ33" s="656" t="n">
        <f aca="false">IF(I$79=0,0,D33*(SUM(O$79:P$82)+O$85)/I$79*BQ33)</f>
        <v>0</v>
      </c>
      <c r="CR33" s="656" t="n">
        <f aca="false">IF(CF33="",0,CF33*E$83)+IF(CG33="",0,CG33*E$83)+IF(CH33="",0,CH33*E$83)</f>
        <v>0</v>
      </c>
      <c r="CS33" s="656"/>
      <c r="CT33" s="1545"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546" t="e">
        <f aca="false">O$110/I$79*D33</f>
        <v>#DIV/0!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569" t="n">
        <f aca="false">D33</f>
        <v>0</v>
      </c>
      <c r="DQ33" s="1430" t="str">
        <f aca="false">IF(AC33="","",LOOKUP(AC33,$B$49:$B$59,$S$49:$S$59)*AD33)</f>
        <v/>
      </c>
      <c r="DR33" s="1430" t="str">
        <f aca="false">IF(AE33="","",LOOKUP(AE33,$B$49:$B$59,$S$49:$S$59)*AF33)</f>
        <v/>
      </c>
      <c r="DS33" s="1430" t="str">
        <f aca="false">IF(AG33="","",LOOKUP(AG33,$B$49:$B$59,$S$49:$S$59)*AH33)</f>
        <v/>
      </c>
      <c r="DT33" s="1430" t="str">
        <f aca="false">IF(AI33="","",LOOKUP(AI33,$B$49:$B$59,$S$49:$S$59)*AJ33)</f>
        <v/>
      </c>
      <c r="DU33" s="1430" t="str">
        <f aca="false">IF(AK33="","",LOOKUP(AK33,$B$49:$B$59,$S$49:$S$59)*AL33)</f>
        <v/>
      </c>
      <c r="DV33" s="1430" t="str">
        <f aca="false">IF(AM33="","",LOOKUP(AM33,$B$49:$B$59,$S$49:$S$59)*AN33)</f>
        <v/>
      </c>
      <c r="DW33" s="1430" t="str">
        <f aca="false">IF(AO33="","",LOOKUP(AO33,$B$49:$B$59,$S$49:$S$59)*AP33)</f>
        <v/>
      </c>
      <c r="DX33" s="1535" t="n">
        <f aca="false">SUM(DQ33:DW33)-(D33-EF33)*(S$45-F33)/324</f>
        <v>0</v>
      </c>
      <c r="DY33" s="1430" t="str">
        <f aca="false">IF(AC33="","",LOOKUP(AC33,$B$49:$B$59,$T$49:$T$59)*AD33)</f>
        <v/>
      </c>
      <c r="DZ33" s="1430" t="str">
        <f aca="false">IF(AE33="","",LOOKUP(AE33,$B$49:$B$59,$T$49:$T$59)*AF33)</f>
        <v/>
      </c>
      <c r="EA33" s="1430" t="str">
        <f aca="false">IF(AG33="","",LOOKUP(AG33,$B$49:$B$59,$T$49:$T$59)*AH33)</f>
        <v/>
      </c>
      <c r="EB33" s="1430" t="str">
        <f aca="false">IF(AI33="","",LOOKUP(AI33,$B$49:$B$59,$T$49:$T$59)*AJ33)</f>
        <v/>
      </c>
      <c r="EC33" s="1430" t="str">
        <f aca="false">IF(AK33="","",LOOKUP(AK33,$B$49:$B$59,$T$49:$T$59)*AL33)</f>
        <v/>
      </c>
      <c r="ED33" s="1430" t="str">
        <f aca="false">IF(AM33="","",LOOKUP(AM33,$B$49:$B$59,$T$49:$T$59)*AN33)</f>
        <v/>
      </c>
      <c r="EE33" s="1430" t="str">
        <f aca="false">IF(AO33="","",LOOKUP(AO33,$B$49:$B$59,$T$49:$T$59)*AP33)</f>
        <v/>
      </c>
      <c r="EF33" s="1535" t="n">
        <f aca="false">SUM(DY33:EE33)</f>
        <v>0</v>
      </c>
    </row>
    <row r="34" customFormat="false" ht="19.5" hidden="false" customHeight="true" outlineLevel="0" collapsed="false">
      <c r="A34" s="16" t="s">
        <v>1578</v>
      </c>
      <c r="B34" s="920"/>
      <c r="C34" s="1506"/>
      <c r="D34" s="1586"/>
      <c r="E34" s="1587"/>
      <c r="F34" s="1074"/>
      <c r="G34" s="1553"/>
      <c r="H34" s="1074"/>
      <c r="I34" s="1553"/>
      <c r="J34" s="1074"/>
      <c r="K34" s="1590"/>
      <c r="L34" s="528"/>
      <c r="M34" s="895"/>
      <c r="N34" s="1513"/>
      <c r="O34" s="1514"/>
      <c r="P34" s="1515" t="n">
        <f aca="false">IF(BQ34=0,0,BN34/BQ34)</f>
        <v>0</v>
      </c>
      <c r="Q34" s="1516" t="n">
        <f aca="false">(D34*F34/324)*(1+K$65)+BB34</f>
        <v>0</v>
      </c>
      <c r="R34" s="1517" t="n">
        <f aca="false">IF(D34=0,0,S34/D34)</f>
        <v>0</v>
      </c>
      <c r="S34" s="1518" t="e">
        <f aca="false">SUM(CM34-DE34)*(1+M$45)</f>
        <v>#DIV/0!</v>
      </c>
      <c r="T34" s="1519" t="n">
        <f aca="false">CF34+CG34+CH34</f>
        <v>0</v>
      </c>
      <c r="U34" s="1520" t="n">
        <f aca="false">IF(P34-(D34*0.35)&lt;0,0,P34-(D34*0.35))</f>
        <v>0</v>
      </c>
      <c r="V34" s="1521" t="n">
        <f aca="false">IF(D34="",0,IF(D34/-30+Q34&lt;1,0,D34/-30+Q34))</f>
        <v>0</v>
      </c>
      <c r="W34" s="528"/>
      <c r="X34" s="1591"/>
      <c r="Y34" s="1511"/>
      <c r="Z34" s="1524"/>
      <c r="AA34" s="1511"/>
      <c r="AB34" s="1524"/>
      <c r="AC34" s="1525"/>
      <c r="AD34" s="1591"/>
      <c r="AE34" s="1511"/>
      <c r="AF34" s="1592"/>
      <c r="AG34" s="1593"/>
      <c r="AH34" s="1512"/>
      <c r="AI34" s="528"/>
      <c r="AJ34" s="1591"/>
      <c r="AK34" s="528"/>
      <c r="AL34" s="1592"/>
      <c r="AM34" s="1511"/>
      <c r="AN34" s="1524"/>
      <c r="AO34" s="1511"/>
      <c r="AP34" s="1524"/>
      <c r="AQ34" s="1435" t="e">
        <f aca="false">D34/Q34</f>
        <v>#DIV/0!</v>
      </c>
      <c r="AR34" s="1533" t="str">
        <f aca="false">IF(W34="","",LOOKUP(W34,$B$49:$B$59,$R$49:$R$59)*X34)</f>
        <v/>
      </c>
      <c r="AS34" s="1430" t="str">
        <f aca="false">IF(Y34="","",LOOKUP(Y34,$B$49:$B$59,$R$49:$R$59)*Z34)</f>
        <v/>
      </c>
      <c r="AT34" s="1430" t="str">
        <f aca="false">IF(AB34="","",LOOKUP(AA34,$B$49:$B$59,$R$49:$R$59)*AB34)</f>
        <v/>
      </c>
      <c r="AU34" s="1430" t="str">
        <f aca="false">IF(AC34="","",LOOKUP(AC34,$B$49:$B$59,$R$49:$R$59)*AD34)</f>
        <v/>
      </c>
      <c r="AV34" s="1430" t="str">
        <f aca="false">IF(AE34="","",LOOKUP(AE34,$B$49:$B$59,$R$49:$R$59)*AF34)</f>
        <v/>
      </c>
      <c r="AW34" s="1430" t="str">
        <f aca="false">IF(AG34="","",LOOKUP(AG34,$B$49:$B$59,$R$49:$R$59)*AH34)</f>
        <v/>
      </c>
      <c r="AX34" s="1430" t="str">
        <f aca="false">IF(AI34="","",LOOKUP(AI34,$B$49:$B$59,$R$49:$R$59)*AJ34)</f>
        <v/>
      </c>
      <c r="AY34" s="1430" t="str">
        <f aca="false">IF(AK34="","",LOOKUP(AK34,$B$49:$B$59,$R$49:$R$59)*AL34)</f>
        <v/>
      </c>
      <c r="AZ34" s="1430" t="str">
        <f aca="false">IF(AM34="","",LOOKUP(AM34,$B$49:$B$59,$R$49:$R$59)*AN34)</f>
        <v/>
      </c>
      <c r="BA34" s="1430" t="str">
        <f aca="false">IF(AO34="","",LOOKUP(AO34,$B$49:$B$59,$R$49:$R$59)*AP34)</f>
        <v/>
      </c>
      <c r="BB34" s="1535" t="n">
        <f aca="false">SUM(AR34:BA34)</f>
        <v>0</v>
      </c>
      <c r="BC34" s="1533" t="str">
        <f aca="false">IF(W34="","",LOOKUP(W34,$B$49:$B$59,$P$49:$P$59)*X34)</f>
        <v/>
      </c>
      <c r="BD34" s="654" t="str">
        <f aca="false">IF(Y34="","",LOOKUP(Y34,$B$49:$B$59,$P$49:$P$59)*Z34)</f>
        <v/>
      </c>
      <c r="BE34" s="1430"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584" t="n">
        <f aca="false">SUM(BC34:BL34)*BQ34</f>
        <v>0</v>
      </c>
      <c r="BN34" s="1536" t="n">
        <f aca="false">BM34+BO34</f>
        <v>0</v>
      </c>
      <c r="BO34" s="1536" t="n">
        <f aca="false">IF(M34=0,0,(M34/12+M34/12)/(M34/12*M34/12)*D34*((L34/16*L34/16)*10.6870159))*(1+K$70)*BQ34</f>
        <v>0</v>
      </c>
      <c r="BP34" s="1536" t="n">
        <f aca="false">IF(O34="Y",D34*(1+K$71)*BQ34,0)</f>
        <v>0</v>
      </c>
      <c r="BQ34" s="1538" t="n">
        <f aca="false">G34</f>
        <v>0</v>
      </c>
      <c r="BR34" s="1411" t="n">
        <f aca="false">IF(O34="y",D34,0)</f>
        <v>0</v>
      </c>
      <c r="BS34" s="1567" t="n">
        <f aca="false">IF($I34=1,$Q34,0)*BQ34</f>
        <v>0</v>
      </c>
      <c r="BT34" s="1536" t="n">
        <f aca="false">IF($I34=2,$Q34,0)*BQ34</f>
        <v>0</v>
      </c>
      <c r="BU34" s="1536" t="n">
        <f aca="false">IF($I34=3,$Q34,0)*BQ34</f>
        <v>0</v>
      </c>
      <c r="BV34" s="1536" t="n">
        <f aca="false">IF($I34=4,$Q34,0)*BQ34</f>
        <v>0</v>
      </c>
      <c r="BW34" s="1536" t="n">
        <f aca="false">IF($I34=5,$Q34,0)*BQ34</f>
        <v>0</v>
      </c>
      <c r="BX34" s="1536" t="n">
        <f aca="false">IF($I34=6,$Q34,0)*$BQ34</f>
        <v>0</v>
      </c>
      <c r="BY34" s="1536" t="n">
        <f aca="false">IF($I34=7,$Q34,0)*$BQ34</f>
        <v>0</v>
      </c>
      <c r="BZ34" s="1536" t="n">
        <f aca="false">IF($I34=8,$Q34,0)*$BQ34</f>
        <v>0</v>
      </c>
      <c r="CA34" s="1536" t="n">
        <f aca="false">IF($I34=9,$Q34,0)*$BQ34</f>
        <v>0</v>
      </c>
      <c r="CB34" s="1568" t="n">
        <f aca="false">IF($I34=10,$Q34,0)*$BQ34</f>
        <v>0</v>
      </c>
      <c r="CC34" s="1538" t="n">
        <f aca="false">SUM(BS34:BX34)</f>
        <v>0</v>
      </c>
      <c r="CD34" s="1538" t="n">
        <f aca="false">IF(H34="N",0,D34)*BQ34</f>
        <v>0</v>
      </c>
      <c r="CE34" s="1538" t="n">
        <f aca="false">K34*BQ34</f>
        <v>0</v>
      </c>
      <c r="CF34" s="1542" t="n">
        <f aca="false">ROUND(IF(W34="",0,LOOKUP(W34,B$49:B$59,D$49:D$59)*X34/12),0)</f>
        <v>0</v>
      </c>
      <c r="CG34" s="1542" t="n">
        <f aca="false">ROUND(IF(Y34="",0,LOOKUP(Y34,B$49:B$59,D$49:D$59)*Z34/12),0)</f>
        <v>0</v>
      </c>
      <c r="CH34" s="1542" t="n">
        <f aca="false">ROUND(IF(AA34="",0,LOOKUP(AA34,B$49:B$59,D$49:D$59)*AB34/12),0)</f>
        <v>0</v>
      </c>
      <c r="CI34" s="1538" t="n">
        <f aca="false">D34*BQ34</f>
        <v>0</v>
      </c>
      <c r="CJ34" s="1538" t="n">
        <f aca="false">D34*J34/324*(1+K$73)*G34</f>
        <v>0</v>
      </c>
      <c r="CK34" s="1538" t="str">
        <f aca="false">IF(N34="","",N34)</f>
        <v/>
      </c>
      <c r="CL34" s="1538" t="n">
        <f aca="false">P34*BQ34</f>
        <v>0</v>
      </c>
      <c r="CM34" s="1543" t="n">
        <f aca="false">IF(BQ34=0,0,SUM(CN34:DE34)/BQ34)</f>
        <v>0</v>
      </c>
      <c r="CN34" s="656" t="n">
        <f aca="false">(BS34*Pricing!F$3+BT34*Pricing!G$3+BU34*Pricing!H$3+BV34*Pricing!I$3+BW34*Pricing!J$3+BX34*Pricing!K$3+BY34*Pricing!L$3+BZ34*Pricing!M$3+CA34*Pricing!N$3+CB34*Pricing!O$3)*IF(W$44="N",(1+Y$44),1)</f>
        <v>0</v>
      </c>
      <c r="CO34" s="656" t="n">
        <f aca="false">BN34*G$70*IF(W$44="n",1+Y$44,1)</f>
        <v>0</v>
      </c>
      <c r="CP34" s="1544" t="n">
        <f aca="false">C34*D34</f>
        <v>0</v>
      </c>
      <c r="CQ34" s="656" t="n">
        <f aca="false">IF(I$79=0,0,D34*(SUM(O$79:P$82)+O$85)/I$79*BQ34)</f>
        <v>0</v>
      </c>
      <c r="CR34" s="656" t="n">
        <f aca="false">IF(CF34="",0,CF34*E$83)+IF(CG34="",0,CG34*E$83)+IF(CH34="",0,CH34*E$83)</f>
        <v>0</v>
      </c>
      <c r="CS34" s="656"/>
      <c r="CT34" s="1545" t="n">
        <f aca="false">(U34/2000)*E$87</f>
        <v>0</v>
      </c>
      <c r="CU34" s="656" t="n">
        <f aca="false">IF(I$79=0,0,D34*(O$88)/I$79*BQ34)</f>
        <v>0</v>
      </c>
      <c r="CV34" s="656" t="n">
        <f aca="false">IF(D$42=0,0,SUM(O$91:P$94)/D$42*D34)*BQ34</f>
        <v>0</v>
      </c>
      <c r="CW34" s="656" t="n">
        <f aca="false">IF(D$42=0,0,SUM(Z$66:Z$97)/D$42*D34*BQ34)</f>
        <v>0</v>
      </c>
      <c r="CX34" s="656" t="n">
        <f aca="false">IF(D$42=0,0,SUM(O$96:P$101)/D$42*D34)*BQ34</f>
        <v>0</v>
      </c>
      <c r="CY34" s="656" t="n">
        <f aca="false">IF(D$42=0,0,SUM(O$103:O$109)/D$42)*D34*BQ34</f>
        <v>0</v>
      </c>
      <c r="CZ34" s="656" t="n">
        <f aca="false">IF(I$79=0,0,IF(I$79=0,0,SUM(Z$98:Z$109)/I$79*D34))</f>
        <v>0</v>
      </c>
      <c r="DA34" s="656" t="n">
        <f aca="false">IF(J$72&gt;0,J$72/D$42*D34*G34,CD34*(G$72*IF(W$44="n",(1+Y$44),1)))</f>
        <v>0</v>
      </c>
      <c r="DB34" s="656" t="n">
        <f aca="false">IF(CK34="",0,CK34*E$86)</f>
        <v>0</v>
      </c>
      <c r="DC34" s="656" t="n">
        <f aca="false">BP34*G$71*IF(W$44="Y",1,1+Y$44)</f>
        <v>0</v>
      </c>
      <c r="DD34" s="656" t="n">
        <f aca="false">CJ34*G$73*IF(W$44="Y",1,1+Y$44)</f>
        <v>0</v>
      </c>
      <c r="DE34" s="1546" t="e">
        <f aca="false">O$110/I$79*D34</f>
        <v>#DIV/0!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569" t="n">
        <f aca="false">D34</f>
        <v>0</v>
      </c>
      <c r="DQ34" s="1430" t="str">
        <f aca="false">IF(AC34="","",LOOKUP(AC34,$B$49:$B$59,$S$49:$S$59)*AD34)</f>
        <v/>
      </c>
      <c r="DR34" s="1430" t="str">
        <f aca="false">IF(AE34="","",LOOKUP(AE34,$B$49:$B$59,$S$49:$S$59)*AF34)</f>
        <v/>
      </c>
      <c r="DS34" s="1430" t="str">
        <f aca="false">IF(AG34="","",LOOKUP(AG34,$B$49:$B$59,$S$49:$S$59)*AH34)</f>
        <v/>
      </c>
      <c r="DT34" s="1430" t="str">
        <f aca="false">IF(AI34="","",LOOKUP(AI34,$B$49:$B$59,$S$49:$S$59)*AJ34)</f>
        <v/>
      </c>
      <c r="DU34" s="1430" t="str">
        <f aca="false">IF(AK34="","",LOOKUP(AK34,$B$49:$B$59,$S$49:$S$59)*AL34)</f>
        <v/>
      </c>
      <c r="DV34" s="1430" t="str">
        <f aca="false">IF(AM34="","",LOOKUP(AM34,$B$49:$B$59,$S$49:$S$59)*AN34)</f>
        <v/>
      </c>
      <c r="DW34" s="1430" t="str">
        <f aca="false">IF(AO34="","",LOOKUP(AO34,$B$49:$B$59,$S$49:$S$59)*AP34)</f>
        <v/>
      </c>
      <c r="DX34" s="1535" t="n">
        <f aca="false">SUM(DQ34:DW34)-(D34-EF34)*(S$45-F34)/324</f>
        <v>0</v>
      </c>
      <c r="DY34" s="1430" t="str">
        <f aca="false">IF(AC34="","",LOOKUP(AC34,$B$49:$B$59,$T$49:$T$59)*AD34)</f>
        <v/>
      </c>
      <c r="DZ34" s="1430" t="str">
        <f aca="false">IF(AE34="","",LOOKUP(AE34,$B$49:$B$59,$T$49:$T$59)*AF34)</f>
        <v/>
      </c>
      <c r="EA34" s="1430" t="str">
        <f aca="false">IF(AG34="","",LOOKUP(AG34,$B$49:$B$59,$T$49:$T$59)*AH34)</f>
        <v/>
      </c>
      <c r="EB34" s="1430" t="str">
        <f aca="false">IF(AI34="","",LOOKUP(AI34,$B$49:$B$59,$T$49:$T$59)*AJ34)</f>
        <v/>
      </c>
      <c r="EC34" s="1430" t="str">
        <f aca="false">IF(AK34="","",LOOKUP(AK34,$B$49:$B$59,$T$49:$T$59)*AL34)</f>
        <v/>
      </c>
      <c r="ED34" s="1430" t="str">
        <f aca="false">IF(AM34="","",LOOKUP(AM34,$B$49:$B$59,$T$49:$T$59)*AN34)</f>
        <v/>
      </c>
      <c r="EE34" s="1430" t="str">
        <f aca="false">IF(AO34="","",LOOKUP(AO34,$B$49:$B$59,$T$49:$T$59)*AP34)</f>
        <v/>
      </c>
      <c r="EF34" s="1535" t="n">
        <f aca="false">SUM(DY34:EE34)</f>
        <v>0</v>
      </c>
    </row>
    <row r="35" customFormat="false" ht="19.5" hidden="false" customHeight="true" outlineLevel="0" collapsed="false">
      <c r="A35" s="16" t="s">
        <v>1580</v>
      </c>
      <c r="B35" s="1549"/>
      <c r="C35" s="1550"/>
      <c r="D35" s="1551"/>
      <c r="E35" s="1552"/>
      <c r="F35" s="1074"/>
      <c r="G35" s="1553"/>
      <c r="H35" s="1074"/>
      <c r="I35" s="1553"/>
      <c r="J35" s="1074"/>
      <c r="K35" s="1583"/>
      <c r="L35" s="1559"/>
      <c r="M35" s="1556"/>
      <c r="N35" s="1557"/>
      <c r="O35" s="1558"/>
      <c r="P35" s="1515" t="n">
        <f aca="false">IF(BQ35=0,0,BN35/BQ35)</f>
        <v>0</v>
      </c>
      <c r="Q35" s="1516" t="n">
        <f aca="false">(D35*F35/324)*(1+K$65)+BB35</f>
        <v>0</v>
      </c>
      <c r="R35" s="1517" t="n">
        <f aca="false">IF(D35=0,0,S35/D35)</f>
        <v>0</v>
      </c>
      <c r="S35" s="1518" t="e">
        <f aca="false">SUM(CM35-DE35)*(1+M$45)</f>
        <v>#DIV/0!</v>
      </c>
      <c r="T35" s="1519" t="n">
        <f aca="false">CF35+CG35+CH35</f>
        <v>0</v>
      </c>
      <c r="U35" s="1520" t="n">
        <f aca="false">IF(P35-(D35*0.35)&lt;0,0,P35-(D35*0.35))</f>
        <v>0</v>
      </c>
      <c r="V35" s="1521" t="n">
        <f aca="false">IF(D35="",0,IF(D35/-30+Q35&lt;1,0,D35/-30+Q35))</f>
        <v>0</v>
      </c>
      <c r="W35" s="1559"/>
      <c r="X35" s="1594"/>
      <c r="Y35" s="1559"/>
      <c r="Z35" s="1561"/>
      <c r="AA35" s="1559"/>
      <c r="AB35" s="1561"/>
      <c r="AC35" s="1562"/>
      <c r="AD35" s="1594"/>
      <c r="AE35" s="1559"/>
      <c r="AF35" s="1556"/>
      <c r="AG35" s="1595"/>
      <c r="AH35" s="1556"/>
      <c r="AI35" s="1559"/>
      <c r="AJ35" s="1556"/>
      <c r="AK35" s="1559"/>
      <c r="AL35" s="1556"/>
      <c r="AM35" s="1559"/>
      <c r="AN35" s="1561"/>
      <c r="AO35" s="1559"/>
      <c r="AP35" s="1561"/>
      <c r="AQ35" s="1435" t="e">
        <f aca="false">D35/Q35</f>
        <v>#DIV/0!</v>
      </c>
      <c r="AR35" s="1533" t="str">
        <f aca="false">IF(W35="","",LOOKUP(W35,$B$49:$B$59,$R$49:$R$59)*X35)</f>
        <v/>
      </c>
      <c r="AS35" s="1430" t="str">
        <f aca="false">IF(Y35="","",LOOKUP(Y35,$B$49:$B$59,$R$49:$R$59)*Z35)</f>
        <v/>
      </c>
      <c r="AT35" s="1430" t="str">
        <f aca="false">IF(AB35="","",LOOKUP(AA35,$B$49:$B$59,$R$49:$R$59)*AB35)</f>
        <v/>
      </c>
      <c r="AU35" s="1430" t="str">
        <f aca="false">IF(AC35="","",LOOKUP(AC35,$B$49:$B$59,$R$49:$R$59)*AD35)</f>
        <v/>
      </c>
      <c r="AV35" s="1430" t="str">
        <f aca="false">IF(AE35="","",LOOKUP(AE35,$B$49:$B$59,$R$49:$R$59)*AF35)</f>
        <v/>
      </c>
      <c r="AW35" s="1430" t="str">
        <f aca="false">IF(AG35="","",LOOKUP(AG35,$B$49:$B$59,$R$49:$R$59)*AH35)</f>
        <v/>
      </c>
      <c r="AX35" s="1430" t="str">
        <f aca="false">IF(AI35="","",LOOKUP(AI35,$B$49:$B$59,$R$49:$R$59)*AJ35)</f>
        <v/>
      </c>
      <c r="AY35" s="1430" t="str">
        <f aca="false">IF(AK35="","",LOOKUP(AK35,$B$49:$B$59,$R$49:$R$59)*AL35)</f>
        <v/>
      </c>
      <c r="AZ35" s="1430" t="str">
        <f aca="false">IF(AM35="","",LOOKUP(AM35,$B$49:$B$59,$R$49:$R$59)*AN35)</f>
        <v/>
      </c>
      <c r="BA35" s="1430" t="str">
        <f aca="false">IF(AO35="","",LOOKUP(AO35,$B$49:$B$59,$R$49:$R$59)*AP35)</f>
        <v/>
      </c>
      <c r="BB35" s="1535" t="n">
        <f aca="false">SUM(AR35:BA35)</f>
        <v>0</v>
      </c>
      <c r="BC35" s="1533" t="str">
        <f aca="false">IF(W35="","",LOOKUP(W35,$B$49:$B$59,$P$49:$P$59)*X35)</f>
        <v/>
      </c>
      <c r="BD35" s="654" t="str">
        <f aca="false">IF(Y35="","",LOOKUP(Y35,$B$49:$B$59,$P$49:$P$59)*Z35)</f>
        <v/>
      </c>
      <c r="BE35" s="1430"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584" t="n">
        <f aca="false">SUM(BC35:BL35)*BQ35</f>
        <v>0</v>
      </c>
      <c r="BN35" s="1536" t="n">
        <f aca="false">BM35+BO35</f>
        <v>0</v>
      </c>
      <c r="BO35" s="1536" t="n">
        <f aca="false">IF(M35=0,0,(M35/12+M35/12)/(M35/12*M35/12)*D35*((L35/16*L35/16)*10.6870159))*(1+K$70)*BQ35</f>
        <v>0</v>
      </c>
      <c r="BP35" s="1536" t="n">
        <f aca="false">IF(O35="Y",D35*(1+K$71)*BQ35,0)</f>
        <v>0</v>
      </c>
      <c r="BQ35" s="1538" t="n">
        <f aca="false">G35</f>
        <v>0</v>
      </c>
      <c r="BR35" s="1411" t="n">
        <f aca="false">IF(O35="y",D35,0)</f>
        <v>0</v>
      </c>
      <c r="BS35" s="1567" t="n">
        <f aca="false">IF($I35=1,$Q35,0)*BQ35</f>
        <v>0</v>
      </c>
      <c r="BT35" s="1536" t="n">
        <f aca="false">IF($I35=2,$Q35,0)*BQ35</f>
        <v>0</v>
      </c>
      <c r="BU35" s="1536" t="n">
        <f aca="false">IF($I35=3,$Q35,0)*BQ35</f>
        <v>0</v>
      </c>
      <c r="BV35" s="1536" t="n">
        <f aca="false">IF($I35=4,$Q35,0)*BQ35</f>
        <v>0</v>
      </c>
      <c r="BW35" s="1536" t="n">
        <f aca="false">IF($I35=5,$Q35,0)*BQ35</f>
        <v>0</v>
      </c>
      <c r="BX35" s="1536" t="n">
        <f aca="false">IF($I35=6,$Q35,0)*$BQ35</f>
        <v>0</v>
      </c>
      <c r="BY35" s="1536" t="n">
        <f aca="false">IF($I35=7,$Q35,0)*$BQ35</f>
        <v>0</v>
      </c>
      <c r="BZ35" s="1536" t="n">
        <f aca="false">IF($I35=8,$Q35,0)*$BQ35</f>
        <v>0</v>
      </c>
      <c r="CA35" s="1536" t="n">
        <f aca="false">IF($I35=9,$Q35,0)*$BQ35</f>
        <v>0</v>
      </c>
      <c r="CB35" s="1568" t="n">
        <f aca="false">IF($I35=10,$Q35,0)*$BQ35</f>
        <v>0</v>
      </c>
      <c r="CC35" s="1538" t="n">
        <f aca="false">SUM(BS35:BX35)</f>
        <v>0</v>
      </c>
      <c r="CD35" s="1538" t="n">
        <f aca="false">IF(H35="N",0,D35)*BQ35</f>
        <v>0</v>
      </c>
      <c r="CE35" s="1538" t="n">
        <f aca="false">K35*BQ35</f>
        <v>0</v>
      </c>
      <c r="CF35" s="1542" t="n">
        <f aca="false">ROUND(IF(W35="",0,LOOKUP(W35,B$49:B$59,D$49:D$59)*X35/12),0)</f>
        <v>0</v>
      </c>
      <c r="CG35" s="1542" t="n">
        <f aca="false">ROUND(IF(Y35="",0,LOOKUP(Y35,B$49:B$59,D$49:D$59)*Z35/12),0)</f>
        <v>0</v>
      </c>
      <c r="CH35" s="1542" t="n">
        <f aca="false">ROUND(IF(AA35="",0,LOOKUP(AA35,B$49:B$59,D$49:D$59)*AB35/12),0)</f>
        <v>0</v>
      </c>
      <c r="CI35" s="1538" t="n">
        <f aca="false">D35*BQ35</f>
        <v>0</v>
      </c>
      <c r="CJ35" s="1538" t="n">
        <f aca="false">D35*J35/324*(1+K$73)*G35</f>
        <v>0</v>
      </c>
      <c r="CK35" s="1538" t="str">
        <f aca="false">IF(N35="","",N35)</f>
        <v/>
      </c>
      <c r="CL35" s="1538" t="n">
        <f aca="false">P35*BQ35</f>
        <v>0</v>
      </c>
      <c r="CM35" s="1543"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544" t="n">
        <f aca="false">C35*D35</f>
        <v>0</v>
      </c>
      <c r="CQ35" s="656" t="n">
        <f aca="false">IF(I$79=0,0,D35*(SUM(O$79:P$82)+O$85)/I$79*BQ35)</f>
        <v>0</v>
      </c>
      <c r="CR35" s="656" t="n">
        <f aca="false">IF(CF35="",0,CF35*E$83)+IF(CG35="",0,CG35*E$83)+IF(CH35="",0,CH35*E$83)</f>
        <v>0</v>
      </c>
      <c r="CS35" s="656"/>
      <c r="CT35" s="1545"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546" t="e">
        <f aca="false">O$110/I$79*D35</f>
        <v>#DIV/0!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569" t="n">
        <f aca="false">D35</f>
        <v>0</v>
      </c>
      <c r="DQ35" s="1430" t="str">
        <f aca="false">IF(AC35="","",LOOKUP(AC35,$B$49:$B$59,$S$49:$S$59)*AD35)</f>
        <v/>
      </c>
      <c r="DR35" s="1430" t="str">
        <f aca="false">IF(AE35="","",LOOKUP(AE35,$B$49:$B$59,$S$49:$S$59)*AF35)</f>
        <v/>
      </c>
      <c r="DS35" s="1430" t="str">
        <f aca="false">IF(AG35="","",LOOKUP(AG35,$B$49:$B$59,$S$49:$S$59)*AH35)</f>
        <v/>
      </c>
      <c r="DT35" s="1430" t="str">
        <f aca="false">IF(AI35="","",LOOKUP(AI35,$B$49:$B$59,$S$49:$S$59)*AJ35)</f>
        <v/>
      </c>
      <c r="DU35" s="1430" t="str">
        <f aca="false">IF(AK35="","",LOOKUP(AK35,$B$49:$B$59,$S$49:$S$59)*AL35)</f>
        <v/>
      </c>
      <c r="DV35" s="1430" t="str">
        <f aca="false">IF(AM35="","",LOOKUP(AM35,$B$49:$B$59,$S$49:$S$59)*AN35)</f>
        <v/>
      </c>
      <c r="DW35" s="1430" t="str">
        <f aca="false">IF(AO35="","",LOOKUP(AO35,$B$49:$B$59,$S$49:$S$59)*AP35)</f>
        <v/>
      </c>
      <c r="DX35" s="1535" t="n">
        <f aca="false">SUM(DQ35:DW35)-(D35-EF35)*(S$45-F35)/324</f>
        <v>0</v>
      </c>
      <c r="DY35" s="1430" t="str">
        <f aca="false">IF(AC35="","",LOOKUP(AC35,$B$49:$B$59,$T$49:$T$59)*AD35)</f>
        <v/>
      </c>
      <c r="DZ35" s="1430" t="str">
        <f aca="false">IF(AE35="","",LOOKUP(AE35,$B$49:$B$59,$T$49:$T$59)*AF35)</f>
        <v/>
      </c>
      <c r="EA35" s="1430" t="str">
        <f aca="false">IF(AG35="","",LOOKUP(AG35,$B$49:$B$59,$T$49:$T$59)*AH35)</f>
        <v/>
      </c>
      <c r="EB35" s="1430" t="str">
        <f aca="false">IF(AI35="","",LOOKUP(AI35,$B$49:$B$59,$T$49:$T$59)*AJ35)</f>
        <v/>
      </c>
      <c r="EC35" s="1430" t="str">
        <f aca="false">IF(AK35="","",LOOKUP(AK35,$B$49:$B$59,$T$49:$T$59)*AL35)</f>
        <v/>
      </c>
      <c r="ED35" s="1430" t="str">
        <f aca="false">IF(AM35="","",LOOKUP(AM35,$B$49:$B$59,$T$49:$T$59)*AN35)</f>
        <v/>
      </c>
      <c r="EE35" s="1430" t="str">
        <f aca="false">IF(AO35="","",LOOKUP(AO35,$B$49:$B$59,$T$49:$T$59)*AP35)</f>
        <v/>
      </c>
      <c r="EF35" s="1535" t="n">
        <f aca="false">SUM(DY35:EE35)</f>
        <v>0</v>
      </c>
    </row>
    <row r="36" customFormat="false" ht="19.5" hidden="false" customHeight="true" outlineLevel="0" collapsed="false">
      <c r="A36" s="16" t="s">
        <v>1581</v>
      </c>
      <c r="B36" s="920"/>
      <c r="C36" s="1506"/>
      <c r="D36" s="1507"/>
      <c r="E36" s="1508"/>
      <c r="F36" s="1074"/>
      <c r="G36" s="1553"/>
      <c r="H36" s="1074"/>
      <c r="I36" s="1553"/>
      <c r="J36" s="1074"/>
      <c r="K36" s="1554"/>
      <c r="L36" s="528"/>
      <c r="M36" s="895"/>
      <c r="N36" s="1513"/>
      <c r="O36" s="1514"/>
      <c r="P36" s="1515" t="n">
        <f aca="false">IF(BQ36=0,0,BN36/BQ36)</f>
        <v>0</v>
      </c>
      <c r="Q36" s="1516" t="n">
        <f aca="false">(D36*F36/324)*(1+K$65)+BB36</f>
        <v>0</v>
      </c>
      <c r="R36" s="1517" t="n">
        <f aca="false">IF(D36=0,0,S36/D36)</f>
        <v>0</v>
      </c>
      <c r="S36" s="1518" t="e">
        <f aca="false">SUM(CM36-DE36)*(1+M$45)</f>
        <v>#DIV/0!</v>
      </c>
      <c r="T36" s="1519" t="n">
        <f aca="false">CF36+CG36+CH36</f>
        <v>0</v>
      </c>
      <c r="U36" s="1520" t="n">
        <f aca="false">IF(P36-(D36*0.35)&lt;0,0,P36-(D36*0.35))</f>
        <v>0</v>
      </c>
      <c r="V36" s="1521" t="n">
        <f aca="false">IF(D36="",0,IF(D36/-30+Q36&lt;1,0,D36/-30+Q36))</f>
        <v>0</v>
      </c>
      <c r="W36" s="1511"/>
      <c r="X36" s="1591"/>
      <c r="Y36" s="1511"/>
      <c r="Z36" s="1524"/>
      <c r="AA36" s="1511"/>
      <c r="AB36" s="1524"/>
      <c r="AC36" s="1585"/>
      <c r="AD36" s="1591"/>
      <c r="AE36" s="528"/>
      <c r="AF36" s="1592"/>
      <c r="AG36" s="528"/>
      <c r="AH36" s="1512"/>
      <c r="AI36" s="1511"/>
      <c r="AJ36" s="1512"/>
      <c r="AK36" s="1511"/>
      <c r="AL36" s="1512"/>
      <c r="AM36" s="1511"/>
      <c r="AN36" s="1524"/>
      <c r="AO36" s="1511"/>
      <c r="AP36" s="1524"/>
      <c r="AQ36" s="1435" t="e">
        <f aca="false">D36/Q36</f>
        <v>#DIV/0!</v>
      </c>
      <c r="AR36" s="1533" t="str">
        <f aca="false">IF(W36="","",LOOKUP(W36,$B$49:$B$59,$R$49:$R$59)*X36)</f>
        <v/>
      </c>
      <c r="AS36" s="1430" t="str">
        <f aca="false">IF(Y36="","",LOOKUP(Y36,$B$49:$B$59,$R$49:$R$59)*Z36)</f>
        <v/>
      </c>
      <c r="AT36" s="1430" t="str">
        <f aca="false">IF(AB36="","",LOOKUP(AA36,$B$49:$B$59,$R$49:$R$59)*AB36)</f>
        <v/>
      </c>
      <c r="AU36" s="1430" t="str">
        <f aca="false">IF(AC36="","",LOOKUP(AC36,$B$49:$B$59,$R$49:$R$59)*AD36)</f>
        <v/>
      </c>
      <c r="AV36" s="1430" t="str">
        <f aca="false">IF(AE36="","",LOOKUP(AE36,$B$49:$B$59,$R$49:$R$59)*AF36)</f>
        <v/>
      </c>
      <c r="AW36" s="1430" t="str">
        <f aca="false">IF(AG36="","",LOOKUP(AG36,$B$49:$B$59,$R$49:$R$59)*AH36)</f>
        <v/>
      </c>
      <c r="AX36" s="1430" t="str">
        <f aca="false">IF(AI36="","",LOOKUP(AI36,$B$49:$B$59,$R$49:$R$59)*AJ36)</f>
        <v/>
      </c>
      <c r="AY36" s="1430" t="str">
        <f aca="false">IF(AK36="","",LOOKUP(AK36,$B$49:$B$59,$R$49:$R$59)*AL36)</f>
        <v/>
      </c>
      <c r="AZ36" s="1430" t="str">
        <f aca="false">IF(AM36="","",LOOKUP(AM36,$B$49:$B$59,$R$49:$R$59)*AN36)</f>
        <v/>
      </c>
      <c r="BA36" s="1430" t="str">
        <f aca="false">IF(AO36="","",LOOKUP(AO36,$B$49:$B$59,$R$49:$R$59)*AP36)</f>
        <v/>
      </c>
      <c r="BB36" s="1535" t="n">
        <f aca="false">SUM(AR36:BA36)</f>
        <v>0</v>
      </c>
      <c r="BC36" s="1533" t="str">
        <f aca="false">IF(W36="","",LOOKUP(W36,$B$49:$B$59,$P$49:$P$59)*X36)</f>
        <v/>
      </c>
      <c r="BD36" s="654" t="str">
        <f aca="false">IF(Y36="","",LOOKUP(Y36,$B$49:$B$59,$P$49:$P$59)*Z36)</f>
        <v/>
      </c>
      <c r="BE36" s="1430"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584" t="n">
        <f aca="false">SUM(BC36:BL36)*BQ36</f>
        <v>0</v>
      </c>
      <c r="BN36" s="1536" t="n">
        <f aca="false">BM36+BO36</f>
        <v>0</v>
      </c>
      <c r="BO36" s="1536" t="n">
        <f aca="false">IF(M36=0,0,(M36/12+M36/12)/(M36/12*M36/12)*D36*((L36/16*L36/16)*10.6870159))*(1+K$70)*BQ36</f>
        <v>0</v>
      </c>
      <c r="BP36" s="1536" t="n">
        <f aca="false">IF(O36="Y",D36*(1+K$71)*BQ36,0)</f>
        <v>0</v>
      </c>
      <c r="BQ36" s="1538" t="n">
        <f aca="false">G36</f>
        <v>0</v>
      </c>
      <c r="BR36" s="1411" t="n">
        <f aca="false">IF(O36="y",D36,0)</f>
        <v>0</v>
      </c>
      <c r="BS36" s="1567" t="n">
        <f aca="false">IF($I36=1,$Q36,0)*BQ36</f>
        <v>0</v>
      </c>
      <c r="BT36" s="1536" t="n">
        <f aca="false">IF($I36=2,$Q36,0)*BQ36</f>
        <v>0</v>
      </c>
      <c r="BU36" s="1536" t="n">
        <f aca="false">IF($I36=3,$Q36,0)*BQ36</f>
        <v>0</v>
      </c>
      <c r="BV36" s="1536" t="n">
        <f aca="false">IF($I36=4,$Q36,0)*BQ36</f>
        <v>0</v>
      </c>
      <c r="BW36" s="1536" t="n">
        <f aca="false">IF($I36=5,$Q36,0)*BQ36</f>
        <v>0</v>
      </c>
      <c r="BX36" s="1536" t="n">
        <f aca="false">IF($I36=6,$Q36,0)*$BQ36</f>
        <v>0</v>
      </c>
      <c r="BY36" s="1536" t="n">
        <f aca="false">IF($I36=7,$Q36,0)*$BQ36</f>
        <v>0</v>
      </c>
      <c r="BZ36" s="1536" t="n">
        <f aca="false">IF($I36=8,$Q36,0)*$BQ36</f>
        <v>0</v>
      </c>
      <c r="CA36" s="1536" t="n">
        <f aca="false">IF($I36=9,$Q36,0)*$BQ36</f>
        <v>0</v>
      </c>
      <c r="CB36" s="1568" t="n">
        <f aca="false">IF($I36=10,$Q36,0)*$BQ36</f>
        <v>0</v>
      </c>
      <c r="CC36" s="1538" t="n">
        <f aca="false">SUM(BS36:BX36)</f>
        <v>0</v>
      </c>
      <c r="CD36" s="1538" t="n">
        <f aca="false">IF(H36="N",0,D36)*BQ36</f>
        <v>0</v>
      </c>
      <c r="CE36" s="1538" t="n">
        <f aca="false">K36*BQ36</f>
        <v>0</v>
      </c>
      <c r="CF36" s="1542" t="n">
        <f aca="false">ROUND(IF(W36="",0,LOOKUP(W36,B$49:B$59,D$49:D$59)*X36/12),0)</f>
        <v>0</v>
      </c>
      <c r="CG36" s="1542" t="n">
        <f aca="false">ROUND(IF(Y36="",0,LOOKUP(Y36,B$49:B$59,D$49:D$59)*Z36/12),0)</f>
        <v>0</v>
      </c>
      <c r="CH36" s="1542" t="n">
        <f aca="false">ROUND(IF(AA36="",0,LOOKUP(AA36,B$49:B$59,D$49:D$59)*AB36/12),0)</f>
        <v>0</v>
      </c>
      <c r="CI36" s="1538" t="n">
        <f aca="false">D36*BQ36</f>
        <v>0</v>
      </c>
      <c r="CJ36" s="1538" t="n">
        <f aca="false">D36*J36/324*(1+K$73)*G36</f>
        <v>0</v>
      </c>
      <c r="CK36" s="1538" t="str">
        <f aca="false">IF(N36="","",N36)</f>
        <v/>
      </c>
      <c r="CL36" s="1538" t="n">
        <f aca="false">P36*BQ36</f>
        <v>0</v>
      </c>
      <c r="CM36" s="1543"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544" t="n">
        <f aca="false">C36*D36</f>
        <v>0</v>
      </c>
      <c r="CQ36" s="656" t="n">
        <f aca="false">IF(I$79=0,0,D36*(SUM(O$79:P$82)+O$85)/I$79*BQ36)</f>
        <v>0</v>
      </c>
      <c r="CR36" s="656" t="n">
        <f aca="false">IF(CF36="",0,CF36*E$83)+IF(CG36="",0,CG36*E$83)+IF(CH36="",0,CH36*E$83)</f>
        <v>0</v>
      </c>
      <c r="CS36" s="656"/>
      <c r="CT36" s="1545"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546" t="e">
        <f aca="false">O$110/I$79*D36</f>
        <v>#DIV/0!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569" t="n">
        <f aca="false">D36</f>
        <v>0</v>
      </c>
      <c r="DQ36" s="1430" t="str">
        <f aca="false">IF(AC36="","",LOOKUP(AC36,$B$49:$B$59,$S$49:$S$59)*AD36)</f>
        <v/>
      </c>
      <c r="DR36" s="1430" t="str">
        <f aca="false">IF(AE36="","",LOOKUP(AE36,$B$49:$B$59,$S$49:$S$59)*AF36)</f>
        <v/>
      </c>
      <c r="DS36" s="1430" t="str">
        <f aca="false">IF(AG36="","",LOOKUP(AG36,$B$49:$B$59,$S$49:$S$59)*AH36)</f>
        <v/>
      </c>
      <c r="DT36" s="1430" t="str">
        <f aca="false">IF(AI36="","",LOOKUP(AI36,$B$49:$B$59,$S$49:$S$59)*AJ36)</f>
        <v/>
      </c>
      <c r="DU36" s="1430" t="str">
        <f aca="false">IF(AK36="","",LOOKUP(AK36,$B$49:$B$59,$S$49:$S$59)*AL36)</f>
        <v/>
      </c>
      <c r="DV36" s="1430" t="str">
        <f aca="false">IF(AM36="","",LOOKUP(AM36,$B$49:$B$59,$S$49:$S$59)*AN36)</f>
        <v/>
      </c>
      <c r="DW36" s="1430" t="str">
        <f aca="false">IF(AO36="","",LOOKUP(AO36,$B$49:$B$59,$S$49:$S$59)*AP36)</f>
        <v/>
      </c>
      <c r="DX36" s="1535" t="n">
        <f aca="false">SUM(DQ36:DW36)-(D36-EF36)*(S$45-F36)/324</f>
        <v>0</v>
      </c>
      <c r="DY36" s="1430" t="str">
        <f aca="false">IF(AC36="","",LOOKUP(AC36,$B$49:$B$59,$T$49:$T$59)*AD36)</f>
        <v/>
      </c>
      <c r="DZ36" s="1430" t="str">
        <f aca="false">IF(AE36="","",LOOKUP(AE36,$B$49:$B$59,$T$49:$T$59)*AF36)</f>
        <v/>
      </c>
      <c r="EA36" s="1430" t="str">
        <f aca="false">IF(AG36="","",LOOKUP(AG36,$B$49:$B$59,$T$49:$T$59)*AH36)</f>
        <v/>
      </c>
      <c r="EB36" s="1430" t="str">
        <f aca="false">IF(AI36="","",LOOKUP(AI36,$B$49:$B$59,$T$49:$T$59)*AJ36)</f>
        <v/>
      </c>
      <c r="EC36" s="1430" t="str">
        <f aca="false">IF(AK36="","",LOOKUP(AK36,$B$49:$B$59,$T$49:$T$59)*AL36)</f>
        <v/>
      </c>
      <c r="ED36" s="1430" t="str">
        <f aca="false">IF(AM36="","",LOOKUP(AM36,$B$49:$B$59,$T$49:$T$59)*AN36)</f>
        <v/>
      </c>
      <c r="EE36" s="1430" t="str">
        <f aca="false">IF(AO36="","",LOOKUP(AO36,$B$49:$B$59,$T$49:$T$59)*AP36)</f>
        <v/>
      </c>
      <c r="EF36" s="1535" t="n">
        <f aca="false">SUM(DY36:EE36)</f>
        <v>0</v>
      </c>
    </row>
    <row r="37" customFormat="false" ht="19.5" hidden="false" customHeight="true" outlineLevel="0" collapsed="false">
      <c r="A37" s="16" t="s">
        <v>1582</v>
      </c>
      <c r="B37" s="1549"/>
      <c r="C37" s="1550"/>
      <c r="D37" s="1551"/>
      <c r="E37" s="1552"/>
      <c r="F37" s="1074"/>
      <c r="G37" s="1553"/>
      <c r="H37" s="1074"/>
      <c r="I37" s="1553"/>
      <c r="J37" s="1074"/>
      <c r="K37" s="1583"/>
      <c r="L37" s="1559"/>
      <c r="M37" s="1556"/>
      <c r="N37" s="1557"/>
      <c r="O37" s="1558"/>
      <c r="P37" s="1515" t="n">
        <f aca="false">IF(BQ37=0,0,BN37/BQ37)</f>
        <v>0</v>
      </c>
      <c r="Q37" s="1516" t="n">
        <f aca="false">(D37*F37/324)*(1+K$65)+BB37</f>
        <v>0</v>
      </c>
      <c r="R37" s="1517" t="n">
        <f aca="false">IF(D37=0,0,S37/D37)</f>
        <v>0</v>
      </c>
      <c r="S37" s="1518" t="e">
        <f aca="false">SUM(CM37-DE37)*(1+M$45)</f>
        <v>#DIV/0!</v>
      </c>
      <c r="T37" s="1519" t="n">
        <f aca="false">CF37+CG37+CH37</f>
        <v>0</v>
      </c>
      <c r="U37" s="1520" t="n">
        <f aca="false">IF(P37-(D37*0.35)&lt;0,0,P37-(D37*0.35))</f>
        <v>0</v>
      </c>
      <c r="V37" s="1521" t="n">
        <f aca="false">IF(D37="",0,IF(D37/-30+Q37&lt;1,0,D37/-30+Q37))</f>
        <v>0</v>
      </c>
      <c r="W37" s="1559"/>
      <c r="X37" s="1594"/>
      <c r="Y37" s="1559"/>
      <c r="Z37" s="1561"/>
      <c r="AA37" s="1559"/>
      <c r="AB37" s="1561"/>
      <c r="AC37" s="1562"/>
      <c r="AD37" s="1594"/>
      <c r="AE37" s="1559"/>
      <c r="AF37" s="1556"/>
      <c r="AG37" s="1595"/>
      <c r="AH37" s="1556"/>
      <c r="AI37" s="1559"/>
      <c r="AJ37" s="1556"/>
      <c r="AK37" s="1559"/>
      <c r="AL37" s="1556"/>
      <c r="AM37" s="1559"/>
      <c r="AN37" s="1561"/>
      <c r="AO37" s="1559"/>
      <c r="AP37" s="1561"/>
      <c r="AQ37" s="1435" t="e">
        <f aca="false">D37/Q37</f>
        <v>#DIV/0!</v>
      </c>
      <c r="AR37" s="1533" t="str">
        <f aca="false">IF(W37="","",LOOKUP(W37,$B$49:$B$59,$R$49:$R$59)*X37)</f>
        <v/>
      </c>
      <c r="AS37" s="1430" t="str">
        <f aca="false">IF(Y37="","",LOOKUP(Y37,$B$49:$B$59,$R$49:$R$59)*Z37)</f>
        <v/>
      </c>
      <c r="AT37" s="1430" t="str">
        <f aca="false">IF(AB37="","",LOOKUP(AA37,$B$49:$B$59,$R$49:$R$59)*AB37)</f>
        <v/>
      </c>
      <c r="AU37" s="1430" t="str">
        <f aca="false">IF(AC37="","",LOOKUP(AC37,$B$49:$B$59,$R$49:$R$59)*AD37)</f>
        <v/>
      </c>
      <c r="AV37" s="1430" t="str">
        <f aca="false">IF(AE37="","",LOOKUP(AE37,$B$49:$B$59,$R$49:$R$59)*AF37)</f>
        <v/>
      </c>
      <c r="AW37" s="1430" t="str">
        <f aca="false">IF(AG37="","",LOOKUP(AG37,$B$49:$B$59,$R$49:$R$59)*AH37)</f>
        <v/>
      </c>
      <c r="AX37" s="1430" t="str">
        <f aca="false">IF(AI37="","",LOOKUP(AI37,$B$49:$B$59,$R$49:$R$59)*AJ37)</f>
        <v/>
      </c>
      <c r="AY37" s="1430" t="str">
        <f aca="false">IF(AK37="","",LOOKUP(AK37,$B$49:$B$59,$R$49:$R$59)*AL37)</f>
        <v/>
      </c>
      <c r="AZ37" s="1430" t="str">
        <f aca="false">IF(AM37="","",LOOKUP(AM37,$B$49:$B$59,$R$49:$R$59)*AN37)</f>
        <v/>
      </c>
      <c r="BA37" s="1430" t="str">
        <f aca="false">IF(AO37="","",LOOKUP(AO37,$B$49:$B$59,$R$49:$R$59)*AP37)</f>
        <v/>
      </c>
      <c r="BB37" s="1535" t="n">
        <f aca="false">SUM(AR37:BA37)</f>
        <v>0</v>
      </c>
      <c r="BC37" s="1533" t="str">
        <f aca="false">IF(W37="","",LOOKUP(W37,$B$49:$B$59,$P$49:$P$59)*X37)</f>
        <v/>
      </c>
      <c r="BD37" s="654" t="str">
        <f aca="false">IF(Y37="","",LOOKUP(Y37,$B$49:$B$59,$P$49:$P$59)*Z37)</f>
        <v/>
      </c>
      <c r="BE37" s="1430"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584" t="n">
        <f aca="false">SUM(BC37:BL37)*BQ37</f>
        <v>0</v>
      </c>
      <c r="BN37" s="1536" t="n">
        <f aca="false">BM37+BO37</f>
        <v>0</v>
      </c>
      <c r="BO37" s="1536" t="n">
        <f aca="false">IF(M37=0,0,(M37/12+M37/12)/(M37/12*M37/12)*D37*((L37/16*L37/16)*10.6870159))*(1+K$70)*BQ37</f>
        <v>0</v>
      </c>
      <c r="BP37" s="1536" t="n">
        <f aca="false">IF(O37="Y",D37*(1+K$71)*BQ37,0)</f>
        <v>0</v>
      </c>
      <c r="BQ37" s="1538" t="n">
        <f aca="false">G37</f>
        <v>0</v>
      </c>
      <c r="BR37" s="1411" t="n">
        <f aca="false">IF(O37="y",D37,0)</f>
        <v>0</v>
      </c>
      <c r="BS37" s="1567" t="n">
        <f aca="false">IF($I37=1,$Q37,0)*BQ37</f>
        <v>0</v>
      </c>
      <c r="BT37" s="1536" t="n">
        <f aca="false">IF($I37=2,$Q37,0)*BQ37</f>
        <v>0</v>
      </c>
      <c r="BU37" s="1536" t="n">
        <f aca="false">IF($I37=3,$Q37,0)*BQ37</f>
        <v>0</v>
      </c>
      <c r="BV37" s="1536" t="n">
        <f aca="false">IF($I37=4,$Q37,0)*BQ37</f>
        <v>0</v>
      </c>
      <c r="BW37" s="1536" t="n">
        <f aca="false">IF($I37=5,$Q37,0)*BQ37</f>
        <v>0</v>
      </c>
      <c r="BX37" s="1536" t="n">
        <f aca="false">IF($I37=6,$Q37,0)*$BQ37</f>
        <v>0</v>
      </c>
      <c r="BY37" s="1536" t="n">
        <f aca="false">IF($I37=7,$Q37,0)*$BQ37</f>
        <v>0</v>
      </c>
      <c r="BZ37" s="1536" t="n">
        <f aca="false">IF($I37=8,$Q37,0)*$BQ37</f>
        <v>0</v>
      </c>
      <c r="CA37" s="1536" t="n">
        <f aca="false">IF($I37=9,$Q37,0)*$BQ37</f>
        <v>0</v>
      </c>
      <c r="CB37" s="1568" t="n">
        <f aca="false">IF($I37=10,$Q37,0)*$BQ37</f>
        <v>0</v>
      </c>
      <c r="CC37" s="1538" t="n">
        <f aca="false">SUM(BS37:BX37)</f>
        <v>0</v>
      </c>
      <c r="CD37" s="1538" t="n">
        <f aca="false">IF(H37="N",0,D37)*BQ37</f>
        <v>0</v>
      </c>
      <c r="CE37" s="1538" t="n">
        <f aca="false">K37*BQ37</f>
        <v>0</v>
      </c>
      <c r="CF37" s="1542" t="n">
        <f aca="false">ROUND(IF(W37="",0,LOOKUP(W37,B$49:B$59,D$49:D$59)*X37/12),0)</f>
        <v>0</v>
      </c>
      <c r="CG37" s="1542" t="n">
        <f aca="false">ROUND(IF(Y37="",0,LOOKUP(Y37,B$49:B$59,D$49:D$59)*Z37/12),0)</f>
        <v>0</v>
      </c>
      <c r="CH37" s="1542" t="n">
        <f aca="false">ROUND(IF(AA37="",0,LOOKUP(AA37,B$49:B$59,D$49:D$59)*AB37/12),0)</f>
        <v>0</v>
      </c>
      <c r="CI37" s="1538" t="n">
        <f aca="false">D37*BQ37</f>
        <v>0</v>
      </c>
      <c r="CJ37" s="1538" t="n">
        <f aca="false">D37*J37/324*(1+K$73)*G37</f>
        <v>0</v>
      </c>
      <c r="CK37" s="1538" t="str">
        <f aca="false">IF(N37="","",N37)</f>
        <v/>
      </c>
      <c r="CL37" s="1538" t="n">
        <f aca="false">P37*BQ37</f>
        <v>0</v>
      </c>
      <c r="CM37" s="1543"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544" t="n">
        <f aca="false">C37*D37</f>
        <v>0</v>
      </c>
      <c r="CQ37" s="656" t="n">
        <f aca="false">IF(I$79=0,0,D37*(SUM(O$79:P$82)+O$85)/I$79*BQ37)</f>
        <v>0</v>
      </c>
      <c r="CR37" s="656" t="n">
        <f aca="false">IF(CF37="",0,CF37*E$83)+IF(CG37="",0,CG37*E$83)+IF(CH37="",0,CH37*E$83)</f>
        <v>0</v>
      </c>
      <c r="CS37" s="656"/>
      <c r="CT37" s="1545"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546" t="e">
        <f aca="false">O$110/I$79*D37</f>
        <v>#DIV/0!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569" t="n">
        <f aca="false">D37</f>
        <v>0</v>
      </c>
      <c r="DQ37" s="1430" t="str">
        <f aca="false">IF(AC37="","",LOOKUP(AC37,$B$49:$B$59,$S$49:$S$59)*AD37)</f>
        <v/>
      </c>
      <c r="DR37" s="1430" t="str">
        <f aca="false">IF(AE37="","",LOOKUP(AE37,$B$49:$B$59,$S$49:$S$59)*AF37)</f>
        <v/>
      </c>
      <c r="DS37" s="1430" t="str">
        <f aca="false">IF(AG37="","",LOOKUP(AG37,$B$49:$B$59,$S$49:$S$59)*AH37)</f>
        <v/>
      </c>
      <c r="DT37" s="1430" t="str">
        <f aca="false">IF(AI37="","",LOOKUP(AI37,$B$49:$B$59,$S$49:$S$59)*AJ37)</f>
        <v/>
      </c>
      <c r="DU37" s="1430" t="str">
        <f aca="false">IF(AK37="","",LOOKUP(AK37,$B$49:$B$59,$S$49:$S$59)*AL37)</f>
        <v/>
      </c>
      <c r="DV37" s="1430" t="str">
        <f aca="false">IF(AM37="","",LOOKUP(AM37,$B$49:$B$59,$S$49:$S$59)*AN37)</f>
        <v/>
      </c>
      <c r="DW37" s="1430" t="str">
        <f aca="false">IF(AO37="","",LOOKUP(AO37,$B$49:$B$59,$S$49:$S$59)*AP37)</f>
        <v/>
      </c>
      <c r="DX37" s="1535" t="n">
        <f aca="false">SUM(DQ37:DW37)-(D37-EF37)*(S$45-F37)/324</f>
        <v>0</v>
      </c>
      <c r="DY37" s="1430" t="str">
        <f aca="false">IF(AC37="","",LOOKUP(AC37,$B$49:$B$59,$T$49:$T$59)*AD37)</f>
        <v/>
      </c>
      <c r="DZ37" s="1430" t="str">
        <f aca="false">IF(AE37="","",LOOKUP(AE37,$B$49:$B$59,$T$49:$T$59)*AF37)</f>
        <v/>
      </c>
      <c r="EA37" s="1430" t="str">
        <f aca="false">IF(AG37="","",LOOKUP(AG37,$B$49:$B$59,$T$49:$T$59)*AH37)</f>
        <v/>
      </c>
      <c r="EB37" s="1430" t="str">
        <f aca="false">IF(AI37="","",LOOKUP(AI37,$B$49:$B$59,$T$49:$T$59)*AJ37)</f>
        <v/>
      </c>
      <c r="EC37" s="1430" t="str">
        <f aca="false">IF(AK37="","",LOOKUP(AK37,$B$49:$B$59,$T$49:$T$59)*AL37)</f>
        <v/>
      </c>
      <c r="ED37" s="1430" t="str">
        <f aca="false">IF(AM37="","",LOOKUP(AM37,$B$49:$B$59,$T$49:$T$59)*AN37)</f>
        <v/>
      </c>
      <c r="EE37" s="1430" t="str">
        <f aca="false">IF(AO37="","",LOOKUP(AO37,$B$49:$B$59,$T$49:$T$59)*AP37)</f>
        <v/>
      </c>
      <c r="EF37" s="1535" t="n">
        <f aca="false">SUM(DY37:EE37)</f>
        <v>0</v>
      </c>
    </row>
    <row r="38" customFormat="false" ht="19.5" hidden="false" customHeight="true" outlineLevel="0" collapsed="false">
      <c r="A38" s="16" t="s">
        <v>1583</v>
      </c>
      <c r="B38" s="920"/>
      <c r="C38" s="1550"/>
      <c r="D38" s="1507"/>
      <c r="E38" s="1508"/>
      <c r="F38" s="1074"/>
      <c r="G38" s="1553"/>
      <c r="H38" s="1074"/>
      <c r="I38" s="1553"/>
      <c r="J38" s="1074"/>
      <c r="K38" s="1583"/>
      <c r="L38" s="1511"/>
      <c r="M38" s="1512"/>
      <c r="N38" s="1513"/>
      <c r="O38" s="1514"/>
      <c r="P38" s="1515" t="n">
        <f aca="false">IF(BQ38=0,0,BN38/BQ38)</f>
        <v>0</v>
      </c>
      <c r="Q38" s="1516" t="n">
        <f aca="false">(D38*F38/324)*(1+K$65)+BB38</f>
        <v>0</v>
      </c>
      <c r="R38" s="1517" t="n">
        <f aca="false">IF(D38=0,0,S38/D38)</f>
        <v>0</v>
      </c>
      <c r="S38" s="1518" t="e">
        <f aca="false">SUM(CM38-DE38)*(1+M$45)</f>
        <v>#DIV/0!</v>
      </c>
      <c r="T38" s="1519" t="n">
        <f aca="false">CF38+CG38+CH38</f>
        <v>0</v>
      </c>
      <c r="U38" s="1520" t="n">
        <f aca="false">IF(P38-(D38*0.35)&lt;0,0,P38-(D38*0.35))</f>
        <v>0</v>
      </c>
      <c r="V38" s="1521" t="n">
        <f aca="false">IF(D38="",0,IF(D38/-30+Q38&lt;1,0,D38/-30+Q38))</f>
        <v>0</v>
      </c>
      <c r="W38" s="1511"/>
      <c r="X38" s="1596"/>
      <c r="Y38" s="1511"/>
      <c r="Z38" s="1524"/>
      <c r="AA38" s="1511"/>
      <c r="AB38" s="1524"/>
      <c r="AC38" s="1525"/>
      <c r="AD38" s="1596"/>
      <c r="AE38" s="1511"/>
      <c r="AF38" s="1512"/>
      <c r="AG38" s="1593"/>
      <c r="AH38" s="1512"/>
      <c r="AI38" s="1511"/>
      <c r="AJ38" s="1512"/>
      <c r="AK38" s="1511"/>
      <c r="AL38" s="1512"/>
      <c r="AM38" s="1511"/>
      <c r="AN38" s="1524"/>
      <c r="AO38" s="1511"/>
      <c r="AP38" s="1524"/>
      <c r="AQ38" s="1435" t="e">
        <f aca="false">D38/Q38</f>
        <v>#DIV/0!</v>
      </c>
      <c r="AR38" s="1533" t="str">
        <f aca="false">IF(W38="","",LOOKUP(W38,$B$49:$B$59,$R$49:$R$59)*X38)</f>
        <v/>
      </c>
      <c r="AS38" s="1430" t="str">
        <f aca="false">IF(Y38="","",LOOKUP(Y38,$B$49:$B$59,$R$49:$R$59)*Z38)</f>
        <v/>
      </c>
      <c r="AT38" s="1430" t="str">
        <f aca="false">IF(AB38="","",LOOKUP(AA38,$B$49:$B$59,$R$49:$R$59)*AB38)</f>
        <v/>
      </c>
      <c r="AU38" s="1430" t="str">
        <f aca="false">IF(AC38="","",LOOKUP(AC38,$B$49:$B$59,$R$49:$R$59)*AD38)</f>
        <v/>
      </c>
      <c r="AV38" s="1430" t="str">
        <f aca="false">IF(AE38="","",LOOKUP(AE38,$B$49:$B$59,$R$49:$R$59)*AF38)</f>
        <v/>
      </c>
      <c r="AW38" s="1430" t="str">
        <f aca="false">IF(AG38="","",LOOKUP(AG38,$B$49:$B$59,$R$49:$R$59)*AH38)</f>
        <v/>
      </c>
      <c r="AX38" s="1430" t="str">
        <f aca="false">IF(AI38="","",LOOKUP(AI38,$B$49:$B$59,$R$49:$R$59)*AJ38)</f>
        <v/>
      </c>
      <c r="AY38" s="1430" t="str">
        <f aca="false">IF(AK38="","",LOOKUP(AK38,$B$49:$B$59,$R$49:$R$59)*AL38)</f>
        <v/>
      </c>
      <c r="AZ38" s="1430" t="str">
        <f aca="false">IF(AM38="","",LOOKUP(AM38,$B$49:$B$59,$R$49:$R$59)*AN38)</f>
        <v/>
      </c>
      <c r="BA38" s="1430" t="str">
        <f aca="false">IF(AO38="","",LOOKUP(AO38,$B$49:$B$59,$R$49:$R$59)*AP38)</f>
        <v/>
      </c>
      <c r="BB38" s="1535" t="n">
        <f aca="false">SUM(AR38:BA38)</f>
        <v>0</v>
      </c>
      <c r="BC38" s="1533" t="str">
        <f aca="false">IF(W38="","",LOOKUP(W38,$B$49:$B$59,$P$49:$P$59)*X38)</f>
        <v/>
      </c>
      <c r="BD38" s="654" t="str">
        <f aca="false">IF(Y38="","",LOOKUP(Y38,$B$49:$B$59,$P$49:$P$59)*Z38)</f>
        <v/>
      </c>
      <c r="BE38" s="1430"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584" t="n">
        <f aca="false">SUM(BC38:BL38)*BQ38</f>
        <v>0</v>
      </c>
      <c r="BN38" s="1536" t="n">
        <f aca="false">BM38+BO38</f>
        <v>0</v>
      </c>
      <c r="BO38" s="1536" t="n">
        <f aca="false">IF(M38=0,0,(M38/12+M38/12)/(M38/12*M38/12)*D38*((L38/16*L38/16)*10.6870159))*(1+K$70)*BQ38</f>
        <v>0</v>
      </c>
      <c r="BP38" s="1536" t="n">
        <f aca="false">IF(O38="Y",D38*(1+K$71)*BQ38,0)</f>
        <v>0</v>
      </c>
      <c r="BQ38" s="1538" t="n">
        <f aca="false">G38</f>
        <v>0</v>
      </c>
      <c r="BR38" s="1411" t="n">
        <f aca="false">IF(O38="y",D38,0)</f>
        <v>0</v>
      </c>
      <c r="BS38" s="1567" t="n">
        <f aca="false">IF($I38=1,$Q38,0)*BQ38</f>
        <v>0</v>
      </c>
      <c r="BT38" s="1536" t="n">
        <f aca="false">IF($I38=2,$Q38,0)*BQ38</f>
        <v>0</v>
      </c>
      <c r="BU38" s="1536" t="n">
        <f aca="false">IF($I38=3,$Q38,0)*BQ38</f>
        <v>0</v>
      </c>
      <c r="BV38" s="1536" t="n">
        <f aca="false">IF($I38=4,$Q38,0)*BQ38</f>
        <v>0</v>
      </c>
      <c r="BW38" s="1536" t="n">
        <f aca="false">IF($I38=5,$Q38,0)*BQ38</f>
        <v>0</v>
      </c>
      <c r="BX38" s="1536" t="n">
        <f aca="false">IF($I38=6,$Q38,0)*$BQ38</f>
        <v>0</v>
      </c>
      <c r="BY38" s="1536" t="n">
        <f aca="false">IF($I38=7,$Q38,0)*$BQ38</f>
        <v>0</v>
      </c>
      <c r="BZ38" s="1536" t="n">
        <f aca="false">IF($I38=8,$Q38,0)*$BQ38</f>
        <v>0</v>
      </c>
      <c r="CA38" s="1536" t="n">
        <f aca="false">IF($I38=9,$Q38,0)*$BQ38</f>
        <v>0</v>
      </c>
      <c r="CB38" s="1568" t="n">
        <f aca="false">IF($I38=10,$Q38,0)*$BQ38</f>
        <v>0</v>
      </c>
      <c r="CC38" s="1538" t="n">
        <f aca="false">SUM(BS38:BX38)</f>
        <v>0</v>
      </c>
      <c r="CD38" s="1538" t="n">
        <f aca="false">IF(H38="N",0,D38)*BQ38</f>
        <v>0</v>
      </c>
      <c r="CE38" s="1538" t="n">
        <f aca="false">K38*BQ38</f>
        <v>0</v>
      </c>
      <c r="CF38" s="1542" t="n">
        <f aca="false">ROUND(IF(W38="",0,LOOKUP(W38,B$49:B$59,D$49:D$59)*X38/12),0)</f>
        <v>0</v>
      </c>
      <c r="CG38" s="1542" t="n">
        <f aca="false">ROUND(IF(Y38="",0,LOOKUP(Y38,B$49:B$59,D$49:D$59)*Z38/12),0)</f>
        <v>0</v>
      </c>
      <c r="CH38" s="1542" t="n">
        <f aca="false">ROUND(IF(AA38="",0,LOOKUP(AA38,B$49:B$59,D$49:D$59)*AB38/12),0)</f>
        <v>0</v>
      </c>
      <c r="CI38" s="1538" t="n">
        <f aca="false">D38*BQ38</f>
        <v>0</v>
      </c>
      <c r="CJ38" s="1538" t="n">
        <f aca="false">D38*J38/324*(1+K$73)*G38</f>
        <v>0</v>
      </c>
      <c r="CK38" s="1538" t="str">
        <f aca="false">IF(N38="","",N38)</f>
        <v/>
      </c>
      <c r="CL38" s="1538" t="n">
        <f aca="false">P38*BQ38</f>
        <v>0</v>
      </c>
      <c r="CM38" s="1543"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544" t="n">
        <f aca="false">C38*D38</f>
        <v>0</v>
      </c>
      <c r="CQ38" s="656" t="n">
        <f aca="false">IF(I$79=0,0,D38*(SUM(O$79:P$82)+O$85)/I$79*BQ38)</f>
        <v>0</v>
      </c>
      <c r="CR38" s="656" t="n">
        <f aca="false">IF(CF38="",0,CF38*E$83)+IF(CG38="",0,CG38*E$83)+IF(CH38="",0,CH38*E$83)</f>
        <v>0</v>
      </c>
      <c r="CS38" s="656"/>
      <c r="CT38" s="1545"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546" t="e">
        <f aca="false">O$110/I$79*D38</f>
        <v>#DIV/0!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569" t="n">
        <f aca="false">D38</f>
        <v>0</v>
      </c>
      <c r="DQ38" s="1430" t="str">
        <f aca="false">IF(AC38="","",LOOKUP(AC38,$B$49:$B$59,$S$49:$S$59)*AD38)</f>
        <v/>
      </c>
      <c r="DR38" s="1430" t="str">
        <f aca="false">IF(AE38="","",LOOKUP(AE38,$B$49:$B$59,$S$49:$S$59)*AF38)</f>
        <v/>
      </c>
      <c r="DS38" s="1430" t="str">
        <f aca="false">IF(AG38="","",LOOKUP(AG38,$B$49:$B$59,$S$49:$S$59)*AH38)</f>
        <v/>
      </c>
      <c r="DT38" s="1430" t="str">
        <f aca="false">IF(AI38="","",LOOKUP(AI38,$B$49:$B$59,$S$49:$S$59)*AJ38)</f>
        <v/>
      </c>
      <c r="DU38" s="1430" t="str">
        <f aca="false">IF(AK38="","",LOOKUP(AK38,$B$49:$B$59,$S$49:$S$59)*AL38)</f>
        <v/>
      </c>
      <c r="DV38" s="1430" t="str">
        <f aca="false">IF(AM38="","",LOOKUP(AM38,$B$49:$B$59,$S$49:$S$59)*AN38)</f>
        <v/>
      </c>
      <c r="DW38" s="1430" t="str">
        <f aca="false">IF(AO38="","",LOOKUP(AO38,$B$49:$B$59,$S$49:$S$59)*AP38)</f>
        <v/>
      </c>
      <c r="DX38" s="1535" t="n">
        <f aca="false">SUM(DQ38:DW38)-(D38-EF38)*(S$45-F38)/324</f>
        <v>0</v>
      </c>
      <c r="DY38" s="1430" t="str">
        <f aca="false">IF(AC38="","",LOOKUP(AC38,$B$49:$B$59,$T$49:$T$59)*AD38)</f>
        <v/>
      </c>
      <c r="DZ38" s="1430" t="str">
        <f aca="false">IF(AE38="","",LOOKUP(AE38,$B$49:$B$59,$T$49:$T$59)*AF38)</f>
        <v/>
      </c>
      <c r="EA38" s="1430" t="str">
        <f aca="false">IF(AG38="","",LOOKUP(AG38,$B$49:$B$59,$T$49:$T$59)*AH38)</f>
        <v/>
      </c>
      <c r="EB38" s="1430" t="str">
        <f aca="false">IF(AI38="","",LOOKUP(AI38,$B$49:$B$59,$T$49:$T$59)*AJ38)</f>
        <v/>
      </c>
      <c r="EC38" s="1430" t="str">
        <f aca="false">IF(AK38="","",LOOKUP(AK38,$B$49:$B$59,$T$49:$T$59)*AL38)</f>
        <v/>
      </c>
      <c r="ED38" s="1430" t="str">
        <f aca="false">IF(AM38="","",LOOKUP(AM38,$B$49:$B$59,$T$49:$T$59)*AN38)</f>
        <v/>
      </c>
      <c r="EE38" s="1430" t="str">
        <f aca="false">IF(AO38="","",LOOKUP(AO38,$B$49:$B$59,$T$49:$T$59)*AP38)</f>
        <v/>
      </c>
      <c r="EF38" s="1535" t="n">
        <f aca="false">SUM(DY38:EE38)</f>
        <v>0</v>
      </c>
    </row>
    <row r="39" customFormat="false" ht="19.5" hidden="false" customHeight="true" outlineLevel="0" collapsed="false">
      <c r="A39" s="16" t="s">
        <v>1584</v>
      </c>
      <c r="B39" s="1549"/>
      <c r="C39" s="1550"/>
      <c r="D39" s="1551"/>
      <c r="E39" s="1552"/>
      <c r="F39" s="1074"/>
      <c r="G39" s="1553"/>
      <c r="H39" s="1074"/>
      <c r="I39" s="1553"/>
      <c r="J39" s="1597"/>
      <c r="K39" s="1583"/>
      <c r="L39" s="1559"/>
      <c r="M39" s="1556"/>
      <c r="N39" s="1557"/>
      <c r="O39" s="1558"/>
      <c r="P39" s="1515" t="n">
        <f aca="false">IF(BQ39=0,0,BN39/BQ39)</f>
        <v>0</v>
      </c>
      <c r="Q39" s="1516" t="n">
        <f aca="false">(D39*F39/324)*(1+K$65)+BB39</f>
        <v>0</v>
      </c>
      <c r="R39" s="1517" t="n">
        <f aca="false">IF(D39=0,0,S39/D39)</f>
        <v>0</v>
      </c>
      <c r="S39" s="1518" t="e">
        <f aca="false">SUM(CM39-DE39)*(1+M$45)</f>
        <v>#DIV/0!</v>
      </c>
      <c r="T39" s="1519" t="n">
        <f aca="false">CF39+CG39+CH39</f>
        <v>0</v>
      </c>
      <c r="U39" s="1520" t="n">
        <f aca="false">IF(P39-(D39*0.35)&lt;0,0,P39-(D39*0.35))</f>
        <v>0</v>
      </c>
      <c r="V39" s="1521" t="n">
        <f aca="false">IF(D39="",0,IF(D39/-30+Q39&lt;1,0,D39/-30+Q39))</f>
        <v>0</v>
      </c>
      <c r="W39" s="1559"/>
      <c r="X39" s="1594"/>
      <c r="Y39" s="1559"/>
      <c r="Z39" s="1561"/>
      <c r="AA39" s="1559"/>
      <c r="AB39" s="1561"/>
      <c r="AC39" s="1595"/>
      <c r="AD39" s="1594"/>
      <c r="AE39" s="1559"/>
      <c r="AF39" s="1556"/>
      <c r="AG39" s="1595"/>
      <c r="AH39" s="1556"/>
      <c r="AI39" s="1559"/>
      <c r="AJ39" s="1556"/>
      <c r="AK39" s="1559"/>
      <c r="AL39" s="1556"/>
      <c r="AM39" s="1559"/>
      <c r="AN39" s="1561"/>
      <c r="AO39" s="1559"/>
      <c r="AP39" s="1561"/>
      <c r="AQ39" s="1435" t="e">
        <f aca="false">D39/Q39</f>
        <v>#DIV/0!</v>
      </c>
      <c r="AR39" s="1533" t="str">
        <f aca="false">IF(W39="","",LOOKUP(W39,$B$49:$B$59,$R$49:$R$59)*X39)</f>
        <v/>
      </c>
      <c r="AS39" s="1430" t="str">
        <f aca="false">IF(Y39="","",LOOKUP(Y39,$B$49:$B$59,$R$49:$R$59)*Z39)</f>
        <v/>
      </c>
      <c r="AT39" s="1430" t="str">
        <f aca="false">IF(AB39="","",LOOKUP(AA39,$B$49:$B$59,$R$49:$R$59)*AB39)</f>
        <v/>
      </c>
      <c r="AU39" s="1430" t="str">
        <f aca="false">IF(AC39="","",LOOKUP(AC39,$B$49:$B$59,$R$49:$R$59)*AD39)</f>
        <v/>
      </c>
      <c r="AV39" s="1430" t="str">
        <f aca="false">IF(AE39="","",LOOKUP(AE39,$B$49:$B$59,$R$49:$R$59)*AF39)</f>
        <v/>
      </c>
      <c r="AW39" s="1430" t="str">
        <f aca="false">IF(AG39="","",LOOKUP(AG39,$B$49:$B$59,$R$49:$R$59)*AH39)</f>
        <v/>
      </c>
      <c r="AX39" s="1430" t="str">
        <f aca="false">IF(AI39="","",LOOKUP(AI39,$B$49:$B$59,$R$49:$R$59)*AJ39)</f>
        <v/>
      </c>
      <c r="AY39" s="1430" t="str">
        <f aca="false">IF(AK39="","",LOOKUP(AK39,$B$49:$B$59,$R$49:$R$59)*AL39)</f>
        <v/>
      </c>
      <c r="AZ39" s="1430" t="str">
        <f aca="false">IF(AM39="","",LOOKUP(AM39,$B$49:$B$59,$R$49:$R$59)*AN39)</f>
        <v/>
      </c>
      <c r="BA39" s="1430" t="str">
        <f aca="false">IF(AO39="","",LOOKUP(AO39,$B$49:$B$59,$R$49:$R$59)*AP39)</f>
        <v/>
      </c>
      <c r="BB39" s="1535" t="n">
        <f aca="false">SUM(AR39:BA39)</f>
        <v>0</v>
      </c>
      <c r="BC39" s="1533" t="str">
        <f aca="false">IF(W39="","",LOOKUP(W39,$B$49:$B$59,$P$49:$P$59)*X39)</f>
        <v/>
      </c>
      <c r="BD39" s="654" t="str">
        <f aca="false">IF(Y39="","",LOOKUP(Y39,$B$49:$B$59,$P$49:$P$59)*Z39)</f>
        <v/>
      </c>
      <c r="BE39" s="1430"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584" t="n">
        <f aca="false">SUM(BC39:BL39)*BQ39</f>
        <v>0</v>
      </c>
      <c r="BN39" s="1536" t="n">
        <f aca="false">BM39+BO39</f>
        <v>0</v>
      </c>
      <c r="BO39" s="1536" t="n">
        <f aca="false">IF(M39=0,0,(M39/12+M39/12)/(M39/12*M39/12)*D39*((L39/16*L39/16)*10.6870159))*(1+K$70)*BQ39</f>
        <v>0</v>
      </c>
      <c r="BP39" s="1536" t="n">
        <f aca="false">IF(O39="Y",D39*(1+K$71)*BQ39,0)</f>
        <v>0</v>
      </c>
      <c r="BQ39" s="1538" t="n">
        <f aca="false">G39</f>
        <v>0</v>
      </c>
      <c r="BR39" s="1411" t="n">
        <f aca="false">IF(O39="y",D39,0)</f>
        <v>0</v>
      </c>
      <c r="BS39" s="1567" t="n">
        <f aca="false">IF($I39=1,$Q39,0)*BQ39</f>
        <v>0</v>
      </c>
      <c r="BT39" s="1536" t="n">
        <f aca="false">IF($I39=2,$Q39,0)*BQ39</f>
        <v>0</v>
      </c>
      <c r="BU39" s="1536" t="n">
        <f aca="false">IF($I39=3,$Q39,0)*BQ39</f>
        <v>0</v>
      </c>
      <c r="BV39" s="1536" t="n">
        <f aca="false">IF($I39=4,$Q39,0)*BQ39</f>
        <v>0</v>
      </c>
      <c r="BW39" s="1536" t="n">
        <f aca="false">IF($I39=5,$Q39,0)*BQ39</f>
        <v>0</v>
      </c>
      <c r="BX39" s="1536" t="n">
        <f aca="false">IF($I39=6,$Q39,0)*$BQ39</f>
        <v>0</v>
      </c>
      <c r="BY39" s="1536" t="n">
        <f aca="false">IF($I39=7,$Q39,0)*$BQ39</f>
        <v>0</v>
      </c>
      <c r="BZ39" s="1536" t="n">
        <f aca="false">IF($I39=8,$Q39,0)*$BQ39</f>
        <v>0</v>
      </c>
      <c r="CA39" s="1536" t="n">
        <f aca="false">IF($I39=9,$Q39,0)*$BQ39</f>
        <v>0</v>
      </c>
      <c r="CB39" s="1568" t="n">
        <f aca="false">IF($I39=10,$Q39,0)*$BQ39</f>
        <v>0</v>
      </c>
      <c r="CC39" s="1538" t="n">
        <f aca="false">SUM(BS39:BX39)</f>
        <v>0</v>
      </c>
      <c r="CD39" s="1538" t="n">
        <f aca="false">IF(H39="N",0,D39)*BQ39</f>
        <v>0</v>
      </c>
      <c r="CE39" s="1538" t="n">
        <f aca="false">K39*BQ39</f>
        <v>0</v>
      </c>
      <c r="CF39" s="1542" t="n">
        <f aca="false">ROUND(IF(W39="",0,LOOKUP(W39,B$49:B$59,D$49:D$59)*X39/12),0)</f>
        <v>0</v>
      </c>
      <c r="CG39" s="1542" t="n">
        <f aca="false">ROUND(IF(Y39="",0,LOOKUP(Y39,B$49:B$59,D$49:D$59)*Z39/12),0)</f>
        <v>0</v>
      </c>
      <c r="CH39" s="1542" t="n">
        <f aca="false">ROUND(IF(AA39="",0,LOOKUP(AA39,B$49:B$59,D$49:D$59)*AB39/12),0)</f>
        <v>0</v>
      </c>
      <c r="CI39" s="1538" t="n">
        <f aca="false">D39*BQ39</f>
        <v>0</v>
      </c>
      <c r="CJ39" s="1538" t="n">
        <f aca="false">D39*J39/324*(1+K$73)*G39</f>
        <v>0</v>
      </c>
      <c r="CK39" s="1538" t="str">
        <f aca="false">IF(N39="","",N39)</f>
        <v/>
      </c>
      <c r="CL39" s="1538" t="n">
        <f aca="false">P39*BQ39</f>
        <v>0</v>
      </c>
      <c r="CM39" s="1543"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544" t="n">
        <f aca="false">C39*D39</f>
        <v>0</v>
      </c>
      <c r="CQ39" s="656" t="n">
        <f aca="false">IF(I$79=0,0,D39*(SUM(O$79:P$82)+O$85)/I$79*BQ39)</f>
        <v>0</v>
      </c>
      <c r="CR39" s="656" t="n">
        <f aca="false">IF(CF39="",0,CF39*E$83)+IF(CG39="",0,CG39*E$83)+IF(CH39="",0,CH39*E$83)</f>
        <v>0</v>
      </c>
      <c r="CS39" s="656"/>
      <c r="CT39" s="1545"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546" t="e">
        <f aca="false">O$110/I$79*D39</f>
        <v>#DIV/0!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569" t="n">
        <f aca="false">D39</f>
        <v>0</v>
      </c>
      <c r="DQ39" s="1430" t="str">
        <f aca="false">IF(AC39="","",LOOKUP(AC39,$B$49:$B$59,$S$49:$S$59)*AD39)</f>
        <v/>
      </c>
      <c r="DR39" s="1430" t="str">
        <f aca="false">IF(AE39="","",LOOKUP(AE39,$B$49:$B$59,$S$49:$S$59)*AF39)</f>
        <v/>
      </c>
      <c r="DS39" s="1430" t="str">
        <f aca="false">IF(AG39="","",LOOKUP(AG39,$B$49:$B$59,$S$49:$S$59)*AH39)</f>
        <v/>
      </c>
      <c r="DT39" s="1430" t="str">
        <f aca="false">IF(AI39="","",LOOKUP(AI39,$B$49:$B$59,$S$49:$S$59)*AJ39)</f>
        <v/>
      </c>
      <c r="DU39" s="1430" t="str">
        <f aca="false">IF(AK39="","",LOOKUP(AK39,$B$49:$B$59,$S$49:$S$59)*AL39)</f>
        <v/>
      </c>
      <c r="DV39" s="1430" t="str">
        <f aca="false">IF(AM39="","",LOOKUP(AM39,$B$49:$B$59,$S$49:$S$59)*AN39)</f>
        <v/>
      </c>
      <c r="DW39" s="1430" t="str">
        <f aca="false">IF(AO39="","",LOOKUP(AO39,$B$49:$B$59,$S$49:$S$59)*AP39)</f>
        <v/>
      </c>
      <c r="DX39" s="1535" t="n">
        <f aca="false">SUM(DQ39:DW39)-(D39-EF39)*(S$45-F39)/324</f>
        <v>0</v>
      </c>
      <c r="DY39" s="1430" t="str">
        <f aca="false">IF(AC39="","",LOOKUP(AC39,$B$49:$B$59,$T$49:$T$59)*AD39)</f>
        <v/>
      </c>
      <c r="DZ39" s="1430" t="str">
        <f aca="false">IF(AE39="","",LOOKUP(AE39,$B$49:$B$59,$T$49:$T$59)*AF39)</f>
        <v/>
      </c>
      <c r="EA39" s="1430" t="str">
        <f aca="false">IF(AG39="","",LOOKUP(AG39,$B$49:$B$59,$T$49:$T$59)*AH39)</f>
        <v/>
      </c>
      <c r="EB39" s="1430" t="str">
        <f aca="false">IF(AI39="","",LOOKUP(AI39,$B$49:$B$59,$T$49:$T$59)*AJ39)</f>
        <v/>
      </c>
      <c r="EC39" s="1430" t="str">
        <f aca="false">IF(AK39="","",LOOKUP(AK39,$B$49:$B$59,$T$49:$T$59)*AL39)</f>
        <v/>
      </c>
      <c r="ED39" s="1430" t="str">
        <f aca="false">IF(AM39="","",LOOKUP(AM39,$B$49:$B$59,$T$49:$T$59)*AN39)</f>
        <v/>
      </c>
      <c r="EE39" s="1430" t="str">
        <f aca="false">IF(AO39="","",LOOKUP(AO39,$B$49:$B$59,$T$49:$T$59)*AP39)</f>
        <v/>
      </c>
      <c r="EF39" s="1535" t="n">
        <f aca="false">SUM(DY39:EE39)</f>
        <v>0</v>
      </c>
    </row>
    <row r="40" customFormat="false" ht="19.5" hidden="false" customHeight="true" outlineLevel="0" collapsed="false">
      <c r="A40" s="16" t="s">
        <v>1585</v>
      </c>
      <c r="B40" s="1598"/>
      <c r="C40" s="1550"/>
      <c r="D40" s="1586"/>
      <c r="E40" s="1587"/>
      <c r="F40" s="1074"/>
      <c r="G40" s="1553"/>
      <c r="H40" s="1074"/>
      <c r="I40" s="1553"/>
      <c r="J40" s="1597"/>
      <c r="K40" s="1583"/>
      <c r="L40" s="528"/>
      <c r="M40" s="895"/>
      <c r="N40" s="1513"/>
      <c r="O40" s="1514"/>
      <c r="P40" s="1515" t="n">
        <f aca="false">IF(BQ40=0,0,BN40/BQ40)</f>
        <v>0</v>
      </c>
      <c r="Q40" s="1516" t="n">
        <f aca="false">(D40*F40/324)*(1+K$65)+BB40</f>
        <v>0</v>
      </c>
      <c r="R40" s="1517" t="n">
        <f aca="false">IF(D40=0,0,S40/D40)</f>
        <v>0</v>
      </c>
      <c r="S40" s="1518" t="e">
        <f aca="false">SUM(CM40-DE40)*(1+M$45)</f>
        <v>#DIV/0!</v>
      </c>
      <c r="T40" s="1519" t="n">
        <f aca="false">CF40+CG40+CH40</f>
        <v>0</v>
      </c>
      <c r="U40" s="1520" t="n">
        <f aca="false">IF(P40-(D40*0.35)&lt;0,0,P40-(D40*0.35))</f>
        <v>0</v>
      </c>
      <c r="V40" s="1521" t="n">
        <f aca="false">IF(D40="",0,IF(D40/-30+Q40&lt;1,0,D40/-30+Q40))</f>
        <v>0</v>
      </c>
      <c r="W40" s="528"/>
      <c r="X40" s="895"/>
      <c r="Y40" s="528"/>
      <c r="Z40" s="1574"/>
      <c r="AA40" s="528"/>
      <c r="AB40" s="1574"/>
      <c r="AC40" s="1593"/>
      <c r="AD40" s="1591"/>
      <c r="AE40" s="528"/>
      <c r="AF40" s="895"/>
      <c r="AG40" s="1593"/>
      <c r="AH40" s="895"/>
      <c r="AI40" s="528"/>
      <c r="AJ40" s="895"/>
      <c r="AK40" s="528"/>
      <c r="AL40" s="895"/>
      <c r="AM40" s="528"/>
      <c r="AN40" s="1574"/>
      <c r="AO40" s="528"/>
      <c r="AP40" s="1574"/>
      <c r="AQ40" s="1435" t="e">
        <f aca="false">D40/Q40</f>
        <v>#DIV/0!</v>
      </c>
      <c r="AR40" s="1533" t="str">
        <f aca="false">IF(W40="","",LOOKUP(W40,$B$49:$B$59,$R$49:$R$59)*X40)</f>
        <v/>
      </c>
      <c r="AS40" s="1430" t="str">
        <f aca="false">IF(Y40="","",LOOKUP(Y40,$B$49:$B$59,$R$49:$R$59)*Z40)</f>
        <v/>
      </c>
      <c r="AT40" s="1430" t="str">
        <f aca="false">IF(AB40="","",LOOKUP(AA40,$B$49:$B$59,$R$49:$R$59)*AB40)</f>
        <v/>
      </c>
      <c r="AU40" s="1430" t="str">
        <f aca="false">IF(AC40="","",LOOKUP(AC40,$B$49:$B$59,$R$49:$R$59)*AD40)</f>
        <v/>
      </c>
      <c r="AV40" s="1430" t="str">
        <f aca="false">IF(AE40="","",LOOKUP(AE40,$B$49:$B$59,$R$49:$R$59)*AF40)</f>
        <v/>
      </c>
      <c r="AW40" s="1430" t="str">
        <f aca="false">IF(AG40="","",LOOKUP(AG40,$B$49:$B$59,$R$49:$R$59)*AH40)</f>
        <v/>
      </c>
      <c r="AX40" s="1430" t="str">
        <f aca="false">IF(AI40="","",LOOKUP(AI40,$B$49:$B$59,$R$49:$R$59)*AJ40)</f>
        <v/>
      </c>
      <c r="AY40" s="1430" t="str">
        <f aca="false">IF(AK40="","",LOOKUP(AK40,$B$49:$B$59,$R$49:$R$59)*AL40)</f>
        <v/>
      </c>
      <c r="AZ40" s="1430" t="str">
        <f aca="false">IF(AM40="","",LOOKUP(AM40,$B$49:$B$59,$R$49:$R$59)*AN40)</f>
        <v/>
      </c>
      <c r="BA40" s="1430" t="str">
        <f aca="false">IF(AO40="","",LOOKUP(AO40,$B$49:$B$59,$R$49:$R$59)*AP40)</f>
        <v/>
      </c>
      <c r="BB40" s="1535" t="n">
        <f aca="false">SUM(AR40:BA40)</f>
        <v>0</v>
      </c>
      <c r="BC40" s="1533" t="str">
        <f aca="false">IF(W40="","",LOOKUP(W40,$B$49:$B$59,$P$49:$P$59)*X40)</f>
        <v/>
      </c>
      <c r="BD40" s="654" t="str">
        <f aca="false">IF(Y40="","",LOOKUP(Y40,$B$49:$B$59,$P$49:$P$59)*Z40)</f>
        <v/>
      </c>
      <c r="BE40" s="1430"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584" t="n">
        <f aca="false">SUM(BC40:BL40)*BQ40</f>
        <v>0</v>
      </c>
      <c r="BN40" s="1536" t="n">
        <f aca="false">BM40+BO40</f>
        <v>0</v>
      </c>
      <c r="BO40" s="1536" t="n">
        <f aca="false">IF(M40=0,0,(M40/12+M40/12)/(M40/12*M40/12)*D40*((L40/16*L40/16)*10.6870159))*(1+K$70)*BQ40</f>
        <v>0</v>
      </c>
      <c r="BP40" s="1536" t="n">
        <f aca="false">IF(O40="Y",D40*(1+K$71)*BQ40,0)</f>
        <v>0</v>
      </c>
      <c r="BQ40" s="1538" t="n">
        <f aca="false">G40</f>
        <v>0</v>
      </c>
      <c r="BR40" s="1411" t="n">
        <f aca="false">IF(O40="y",D40,0)</f>
        <v>0</v>
      </c>
      <c r="BS40" s="1567" t="n">
        <f aca="false">IF($I40=1,$Q40,0)*BQ40</f>
        <v>0</v>
      </c>
      <c r="BT40" s="1536" t="n">
        <f aca="false">IF($I40=2,$Q40,0)*BQ40</f>
        <v>0</v>
      </c>
      <c r="BU40" s="1536" t="n">
        <f aca="false">IF($I40=3,$Q40,0)*BQ40</f>
        <v>0</v>
      </c>
      <c r="BV40" s="1536" t="n">
        <f aca="false">IF($I40=4,$Q40,0)*BQ40</f>
        <v>0</v>
      </c>
      <c r="BW40" s="1536" t="n">
        <f aca="false">IF($I40=5,$Q40,0)*BQ40</f>
        <v>0</v>
      </c>
      <c r="BX40" s="1536" t="n">
        <f aca="false">IF($I40=6,$Q40,0)*$BQ40</f>
        <v>0</v>
      </c>
      <c r="BY40" s="1536" t="n">
        <f aca="false">IF($I40=7,$Q40,0)*$BQ40</f>
        <v>0</v>
      </c>
      <c r="BZ40" s="1536" t="n">
        <f aca="false">IF($I40=8,$Q40,0)*$BQ40</f>
        <v>0</v>
      </c>
      <c r="CA40" s="1536" t="n">
        <f aca="false">IF($I40=9,$Q40,0)*$BQ40</f>
        <v>0</v>
      </c>
      <c r="CB40" s="1568" t="n">
        <f aca="false">IF($I40=10,$Q40,0)*$BQ40</f>
        <v>0</v>
      </c>
      <c r="CC40" s="1538" t="n">
        <f aca="false">SUM(BS40:BX40)</f>
        <v>0</v>
      </c>
      <c r="CD40" s="1538" t="n">
        <f aca="false">IF(H40="N",0,D40)*BQ40</f>
        <v>0</v>
      </c>
      <c r="CE40" s="1538" t="n">
        <f aca="false">K40*BQ40</f>
        <v>0</v>
      </c>
      <c r="CF40" s="1542" t="n">
        <f aca="false">ROUND(IF(W40="",0,LOOKUP(W40,B$49:B$59,D$49:D$59)*X40/12),0)</f>
        <v>0</v>
      </c>
      <c r="CG40" s="1542" t="n">
        <f aca="false">ROUND(IF(Y40="",0,LOOKUP(Y40,B$49:B$59,D$49:D$59)*Z40/12),0)</f>
        <v>0</v>
      </c>
      <c r="CH40" s="1542" t="n">
        <f aca="false">ROUND(IF(AA40="",0,LOOKUP(AA40,B$49:B$59,D$49:D$59)*AB40/12),0)</f>
        <v>0</v>
      </c>
      <c r="CI40" s="1538" t="n">
        <f aca="false">D40*BQ40</f>
        <v>0</v>
      </c>
      <c r="CJ40" s="1538" t="n">
        <f aca="false">D40*J40/324*(1+K$73)*G40</f>
        <v>0</v>
      </c>
      <c r="CK40" s="1538" t="str">
        <f aca="false">IF(N40="","",N40)</f>
        <v/>
      </c>
      <c r="CL40" s="1538" t="n">
        <f aca="false">P40*BQ40</f>
        <v>0</v>
      </c>
      <c r="CM40" s="1543"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544" t="n">
        <f aca="false">C40*D40</f>
        <v>0</v>
      </c>
      <c r="CQ40" s="656" t="n">
        <f aca="false">IF(I$79=0,0,D40*(SUM(O$79:P$82)+O$85)/I$79*BQ40)</f>
        <v>0</v>
      </c>
      <c r="CR40" s="656" t="n">
        <f aca="false">IF(CF40="",0,CF40*E$83)+IF(CG40="",0,CG40*E$83)+IF(CH40="",0,CH40*E$83)</f>
        <v>0</v>
      </c>
      <c r="CS40" s="656"/>
      <c r="CT40" s="1545"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546" t="e">
        <f aca="false">O$110/I$79*D40</f>
        <v>#DIV/0!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569" t="n">
        <f aca="false">D40</f>
        <v>0</v>
      </c>
      <c r="DQ40" s="1430" t="str">
        <f aca="false">IF(AC40="","",LOOKUP(AC40,$B$49:$B$59,$S$49:$S$59)*AD40)</f>
        <v/>
      </c>
      <c r="DR40" s="1430" t="str">
        <f aca="false">IF(AE40="","",LOOKUP(AE40,$B$49:$B$59,$S$49:$S$59)*AF40)</f>
        <v/>
      </c>
      <c r="DS40" s="1430" t="str">
        <f aca="false">IF(AG40="","",LOOKUP(AG40,$B$49:$B$59,$S$49:$S$59)*AH40)</f>
        <v/>
      </c>
      <c r="DT40" s="1430" t="str">
        <f aca="false">IF(AI40="","",LOOKUP(AI40,$B$49:$B$59,$S$49:$S$59)*AJ40)</f>
        <v/>
      </c>
      <c r="DU40" s="1430" t="str">
        <f aca="false">IF(AK40="","",LOOKUP(AK40,$B$49:$B$59,$S$49:$S$59)*AL40)</f>
        <v/>
      </c>
      <c r="DV40" s="1430" t="str">
        <f aca="false">IF(AM40="","",LOOKUP(AM40,$B$49:$B$59,$S$49:$S$59)*AN40)</f>
        <v/>
      </c>
      <c r="DW40" s="1430" t="str">
        <f aca="false">IF(AO40="","",LOOKUP(AO40,$B$49:$B$59,$S$49:$S$59)*AP40)</f>
        <v/>
      </c>
      <c r="DX40" s="1535" t="n">
        <f aca="false">SUM(DQ40:DW40)-(D40-EF40)*(S$45-F40)/324</f>
        <v>0</v>
      </c>
      <c r="DY40" s="1430" t="str">
        <f aca="false">IF(AC40="","",LOOKUP(AC40,$B$49:$B$59,$T$49:$T$59)*AD40)</f>
        <v/>
      </c>
      <c r="DZ40" s="1430" t="str">
        <f aca="false">IF(AE40="","",LOOKUP(AE40,$B$49:$B$59,$T$49:$T$59)*AF40)</f>
        <v/>
      </c>
      <c r="EA40" s="1430" t="str">
        <f aca="false">IF(AG40="","",LOOKUP(AG40,$B$49:$B$59,$T$49:$T$59)*AH40)</f>
        <v/>
      </c>
      <c r="EB40" s="1430" t="str">
        <f aca="false">IF(AI40="","",LOOKUP(AI40,$B$49:$B$59,$T$49:$T$59)*AJ40)</f>
        <v/>
      </c>
      <c r="EC40" s="1430" t="str">
        <f aca="false">IF(AK40="","",LOOKUP(AK40,$B$49:$B$59,$T$49:$T$59)*AL40)</f>
        <v/>
      </c>
      <c r="ED40" s="1430" t="str">
        <f aca="false">IF(AM40="","",LOOKUP(AM40,$B$49:$B$59,$T$49:$T$59)*AN40)</f>
        <v/>
      </c>
      <c r="EE40" s="1430" t="str">
        <f aca="false">IF(AO40="","",LOOKUP(AO40,$B$49:$B$59,$T$49:$T$59)*AP40)</f>
        <v/>
      </c>
      <c r="EF40" s="1535" t="n">
        <f aca="false">SUM(DY40:EE40)</f>
        <v>0</v>
      </c>
    </row>
    <row r="41" customFormat="false" ht="19.5" hidden="false" customHeight="true" outlineLevel="0" collapsed="false">
      <c r="A41" s="16" t="s">
        <v>1586</v>
      </c>
      <c r="B41" s="1599"/>
      <c r="C41" s="1600"/>
      <c r="D41" s="1601"/>
      <c r="E41" s="1602"/>
      <c r="F41" s="1603"/>
      <c r="G41" s="1604"/>
      <c r="H41" s="1605"/>
      <c r="I41" s="1606"/>
      <c r="J41" s="1607"/>
      <c r="K41" s="1608"/>
      <c r="L41" s="1605"/>
      <c r="M41" s="1609"/>
      <c r="N41" s="1610"/>
      <c r="O41" s="1611"/>
      <c r="P41" s="1612" t="n">
        <f aca="false">IF(BQ41=0,0,BN41/BQ41)</f>
        <v>0</v>
      </c>
      <c r="Q41" s="1613" t="n">
        <f aca="false">(D41*F41/324)*(1+K$65)+BB41</f>
        <v>0</v>
      </c>
      <c r="R41" s="1614" t="n">
        <f aca="false">IF(D41=0,0,S41/D41)</f>
        <v>0</v>
      </c>
      <c r="S41" s="1518" t="e">
        <f aca="false">SUM(CM41-DE41)*(1+M$45)</f>
        <v>#DIV/0!</v>
      </c>
      <c r="T41" s="1519" t="n">
        <f aca="false">CF41+CG41+CH41</f>
        <v>0</v>
      </c>
      <c r="U41" s="1520" t="n">
        <f aca="false">IF(P41-(D41*0.35)&lt;0,0,P41-(D41*0.35))</f>
        <v>0</v>
      </c>
      <c r="V41" s="1521" t="n">
        <f aca="false">IF(D41="",0,IF(D41/-30+Q41&lt;1,0,D41/-30+Q41))</f>
        <v>0</v>
      </c>
      <c r="W41" s="1605"/>
      <c r="X41" s="1609"/>
      <c r="Y41" s="1605"/>
      <c r="Z41" s="1615"/>
      <c r="AA41" s="1605"/>
      <c r="AB41" s="1615"/>
      <c r="AC41" s="1605"/>
      <c r="AD41" s="1609"/>
      <c r="AE41" s="1605"/>
      <c r="AF41" s="1609"/>
      <c r="AG41" s="1605"/>
      <c r="AH41" s="1609"/>
      <c r="AI41" s="1605"/>
      <c r="AJ41" s="1609"/>
      <c r="AK41" s="1605"/>
      <c r="AL41" s="1609"/>
      <c r="AM41" s="1605"/>
      <c r="AN41" s="1615"/>
      <c r="AO41" s="1605"/>
      <c r="AP41" s="1615"/>
      <c r="AQ41" s="1435" t="e">
        <f aca="false">D41/Q41</f>
        <v>#DIV/0!</v>
      </c>
      <c r="AR41" s="1533" t="str">
        <f aca="false">IF(W41="","",LOOKUP(W41,$B$49:$B$59,$R$49:$R$59)*X41)</f>
        <v/>
      </c>
      <c r="AS41" s="1616" t="str">
        <f aca="false">IF(Y41="","",LOOKUP(Y41,$B$49:$B$59,$R$49:$R$59)*Z41)</f>
        <v/>
      </c>
      <c r="AT41" s="1616" t="str">
        <f aca="false">IF(AB41="","",LOOKUP(AA41,$B$49:$B$59,$R$49:$R$59)*AB41)</f>
        <v/>
      </c>
      <c r="AU41" s="1616" t="str">
        <f aca="false">IF(AC41="","",LOOKUP(AC41,$B$49:$B$59,$R$49:$R$59)*AD41)</f>
        <v/>
      </c>
      <c r="AV41" s="1616" t="str">
        <f aca="false">IF(AE41="","",LOOKUP(AE41,$B$49:$B$59,$R$49:$R$59)*AF41)</f>
        <v/>
      </c>
      <c r="AW41" s="1616" t="str">
        <f aca="false">IF(AG41="","",LOOKUP(AG41,$B$49:$B$59,$R$49:$R$59)*AH41)</f>
        <v/>
      </c>
      <c r="AX41" s="1616" t="str">
        <f aca="false">IF(AI41="","",LOOKUP(AI41,$B$49:$B$59,$R$49:$R$59)*AJ41)</f>
        <v/>
      </c>
      <c r="AY41" s="1616" t="str">
        <f aca="false">IF(AK41="","",LOOKUP(AK41,$B$49:$B$59,$R$49:$R$59)*AL41)</f>
        <v/>
      </c>
      <c r="AZ41" s="1616" t="str">
        <f aca="false">IF(AM41="","",LOOKUP(AM41,$B$49:$B$59,$R$49:$R$59)*AN41)</f>
        <v/>
      </c>
      <c r="BA41" s="1616" t="str">
        <f aca="false">IF(AO41="","",LOOKUP(AO41,$B$49:$B$59,$R$49:$R$59)*AP41)</f>
        <v/>
      </c>
      <c r="BB41" s="1617" t="n">
        <f aca="false">SUM(AR41:BA41)</f>
        <v>0</v>
      </c>
      <c r="BC41" s="1618" t="str">
        <f aca="false">IF(W41="","",LOOKUP(W41,$B$49:$B$59,$P$49:$P$59)*X41)</f>
        <v/>
      </c>
      <c r="BD41" s="726" t="str">
        <f aca="false">IF(Y41="","",LOOKUP(Y41,$B$49:$B$59,$P$49:$P$59)*Z41)</f>
        <v/>
      </c>
      <c r="BE41" s="1616" t="str">
        <f aca="false">IF(AA41="","",LOOKUP(AA41,$B$49:$B$59,$P$49:$P$59)*AB41)</f>
        <v/>
      </c>
      <c r="BF41" s="726" t="str">
        <f aca="false">IF(AC41="","",LOOKUP(AC41,$B$49:$B$59,$P$49:$P$59)*AD41)</f>
        <v/>
      </c>
      <c r="BG41" s="726" t="str">
        <f aca="false">IF(AE41="","",LOOKUP(AE41,$B$49:$B$59,$P$49:$P$59)*AF41)</f>
        <v/>
      </c>
      <c r="BH41" s="726" t="str">
        <f aca="false">IF(AG41="","",LOOKUP(AG41,$B$49:$B$59,$P$49:$P$59)*AH41)</f>
        <v/>
      </c>
      <c r="BI41" s="726" t="str">
        <f aca="false">IF(AI41="","",LOOKUP(AI41,$B$49:$B$59,$P$49:$P$59)*AJ41)</f>
        <v/>
      </c>
      <c r="BJ41" s="726" t="str">
        <f aca="false">IF(AK41="","",LOOKUP(AK41,$B$49:$B$59,$P$49:$P$59)*AL41)</f>
        <v/>
      </c>
      <c r="BK41" s="726" t="str">
        <f aca="false">IF(AM41="","",LOOKUP(AM41,$B$49:$B$59,$P$49:$P$59)*AN41)</f>
        <v/>
      </c>
      <c r="BL41" s="726" t="str">
        <f aca="false">IF(AO41="","",LOOKUP(AO41,$B$49:$B$59,$P$49:$P$59)*AP41)</f>
        <v/>
      </c>
      <c r="BM41" s="1619" t="n">
        <f aca="false">SUM(BC41:BL41)*BQ41</f>
        <v>0</v>
      </c>
      <c r="BN41" s="1536" t="n">
        <f aca="false">BM41+BO41</f>
        <v>0</v>
      </c>
      <c r="BO41" s="1536" t="n">
        <f aca="false">IF(M41=0,0,(M41/12+M41/12)/(M41/12*M41/12)*D41*((L41/16*L41/16)*10.6870159))*(1+K$70)*BQ41</f>
        <v>0</v>
      </c>
      <c r="BP41" s="1536" t="n">
        <f aca="false">IF(O41="Y",D41*(1+K$71)*BQ41,0)</f>
        <v>0</v>
      </c>
      <c r="BQ41" s="1538" t="n">
        <f aca="false">G41</f>
        <v>0</v>
      </c>
      <c r="BR41" s="1411" t="n">
        <f aca="false">IF(O41="y",D41,0)</f>
        <v>0</v>
      </c>
      <c r="BS41" s="1620" t="n">
        <f aca="false">IF($I41=1,$Q41,0)*BQ41</f>
        <v>0</v>
      </c>
      <c r="BT41" s="1621" t="n">
        <f aca="false">IF($I41=2,$Q41,0)*BQ41</f>
        <v>0</v>
      </c>
      <c r="BU41" s="1621" t="n">
        <f aca="false">IF($I41=3,$Q41,0)*BQ41</f>
        <v>0</v>
      </c>
      <c r="BV41" s="1621" t="n">
        <f aca="false">IF($I41=4,$Q41,0)*BQ41</f>
        <v>0</v>
      </c>
      <c r="BW41" s="1621" t="n">
        <f aca="false">IF($I41=5,$Q41,0)*BQ41</f>
        <v>0</v>
      </c>
      <c r="BX41" s="1621" t="n">
        <f aca="false">IF($I41=6,$Q41,0)*$BQ41</f>
        <v>0</v>
      </c>
      <c r="BY41" s="1621" t="n">
        <f aca="false">IF($I41=7,$Q41,0)*$BQ41</f>
        <v>0</v>
      </c>
      <c r="BZ41" s="1621" t="n">
        <f aca="false">IF($I41=8,$Q41,0)*$BQ41</f>
        <v>0</v>
      </c>
      <c r="CA41" s="1621" t="n">
        <f aca="false">IF($I41=9,$Q41,0)*$BQ41</f>
        <v>0</v>
      </c>
      <c r="CB41" s="1622" t="n">
        <f aca="false">IF($I41=10,$Q41,0)*$BQ41</f>
        <v>0</v>
      </c>
      <c r="CC41" s="1538" t="n">
        <f aca="false">SUM(BS41:BX41)</f>
        <v>0</v>
      </c>
      <c r="CD41" s="1538" t="n">
        <f aca="false">IF(H41="N",0,D41)*BQ41</f>
        <v>0</v>
      </c>
      <c r="CE41" s="1538" t="n">
        <f aca="false">K41*BQ41</f>
        <v>0</v>
      </c>
      <c r="CF41" s="1542" t="n">
        <f aca="false">ROUND(IF(W41="",0,LOOKUP(W41,B$49:B$59,D$49:D$59)*X41/12),0)</f>
        <v>0</v>
      </c>
      <c r="CG41" s="1542" t="n">
        <f aca="false">ROUND(IF(Y41="",0,LOOKUP(Y41,B$49:B$59,D$49:D$59)*Z41/12),0)</f>
        <v>0</v>
      </c>
      <c r="CH41" s="1542" t="n">
        <f aca="false">ROUND(IF(AA41="",0,LOOKUP(AA41,B$49:B$59,D$49:D$59)*AB41/12),0)</f>
        <v>0</v>
      </c>
      <c r="CI41" s="1538" t="n">
        <f aca="false">D41*BQ41</f>
        <v>0</v>
      </c>
      <c r="CJ41" s="1538" t="n">
        <f aca="false">D41*J41/324*(1+K$73)*G41</f>
        <v>0</v>
      </c>
      <c r="CK41" s="1538" t="str">
        <f aca="false">IF(N41="","",N41)</f>
        <v/>
      </c>
      <c r="CL41" s="1538" t="n">
        <f aca="false">P41*BQ41</f>
        <v>0</v>
      </c>
      <c r="CM41" s="1543"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544" t="n">
        <f aca="false">C41*D41</f>
        <v>0</v>
      </c>
      <c r="CQ41" s="656" t="n">
        <f aca="false">IF(I$79=0,0,D41*(SUM(O$79:P$82)+O$85)/I$79*BQ41)</f>
        <v>0</v>
      </c>
      <c r="CR41" s="656" t="n">
        <f aca="false">IF(CF41="",0,CF41*E$83)+IF(CG41="",0,CG41*E$83)+IF(CH41="",0,CH41*E$83)</f>
        <v>0</v>
      </c>
      <c r="CS41" s="656"/>
      <c r="CT41" s="1545"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546" t="e">
        <f aca="false">O$110/I$79*D41</f>
        <v>#DIV/0!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569" t="n">
        <f aca="false">D41</f>
        <v>0</v>
      </c>
      <c r="DQ41" s="1430" t="str">
        <f aca="false">IF(AC41="","",LOOKUP(AC41,$B$49:$B$59,$S$49:$S$59)*AD41)</f>
        <v/>
      </c>
      <c r="DR41" s="1430" t="str">
        <f aca="false">IF(AE41="","",LOOKUP(AE41,$B$49:$B$59,$S$49:$S$59)*AF41)</f>
        <v/>
      </c>
      <c r="DS41" s="1430" t="str">
        <f aca="false">IF(AG41="","",LOOKUP(AG41,$B$49:$B$59,$S$49:$S$59)*AH41)</f>
        <v/>
      </c>
      <c r="DT41" s="1430" t="str">
        <f aca="false">IF(AI41="","",LOOKUP(AI41,$B$49:$B$59,$S$49:$S$59)*AJ41)</f>
        <v/>
      </c>
      <c r="DU41" s="1430" t="str">
        <f aca="false">IF(AK41="","",LOOKUP(AK41,$B$49:$B$59,$S$49:$S$59)*AL41)</f>
        <v/>
      </c>
      <c r="DV41" s="1430" t="str">
        <f aca="false">IF(AM41="","",LOOKUP(AM41,$B$49:$B$59,$S$49:$S$59)*AN41)</f>
        <v/>
      </c>
      <c r="DW41" s="1430" t="str">
        <f aca="false">IF(AO41="","",LOOKUP(AO41,$B$49:$B$59,$S$49:$S$59)*AP41)</f>
        <v/>
      </c>
      <c r="DX41" s="1535" t="n">
        <f aca="false">SUM(DQ41:DW41)-(D41-EF41)*(S$45-F41)/324</f>
        <v>0</v>
      </c>
      <c r="DY41" s="1430" t="str">
        <f aca="false">IF(AC41="","",LOOKUP(AC41,$B$49:$B$59,$T$49:$T$59)*AD41)</f>
        <v/>
      </c>
      <c r="DZ41" s="1430" t="str">
        <f aca="false">IF(AE41="","",LOOKUP(AE41,$B$49:$B$59,$T$49:$T$59)*AF41)</f>
        <v/>
      </c>
      <c r="EA41" s="1430" t="str">
        <f aca="false">IF(AG41="","",LOOKUP(AG41,$B$49:$B$59,$T$49:$T$59)*AH41)</f>
        <v/>
      </c>
      <c r="EB41" s="1430" t="str">
        <f aca="false">IF(AI41="","",LOOKUP(AI41,$B$49:$B$59,$T$49:$T$59)*AJ41)</f>
        <v/>
      </c>
      <c r="EC41" s="1430" t="str">
        <f aca="false">IF(AK41="","",LOOKUP(AK41,$B$49:$B$59,$T$49:$T$59)*AL41)</f>
        <v/>
      </c>
      <c r="ED41" s="1430" t="str">
        <f aca="false">IF(AM41="","",LOOKUP(AM41,$B$49:$B$59,$T$49:$T$59)*AN41)</f>
        <v/>
      </c>
      <c r="EE41" s="1430" t="str">
        <f aca="false">IF(AO41="","",LOOKUP(AO41,$B$49:$B$59,$T$49:$T$59)*AP41)</f>
        <v/>
      </c>
      <c r="EF41" s="1535" t="n">
        <f aca="false">SUM(DY41:EE41)</f>
        <v>0</v>
      </c>
    </row>
    <row r="42" customFormat="false" ht="34.5" hidden="false" customHeight="true" outlineLevel="0" collapsed="false">
      <c r="C42" s="5" t="s">
        <v>1587</v>
      </c>
      <c r="D42" s="1623" t="n">
        <f aca="false">CI42</f>
        <v>0</v>
      </c>
      <c r="E42" s="1623"/>
      <c r="G42" s="405" t="n">
        <f aca="false">SUM(G10:G41)</f>
        <v>0</v>
      </c>
      <c r="H42" s="654"/>
      <c r="I42" s="654"/>
      <c r="J42" s="654"/>
      <c r="K42" s="1624" t="n">
        <f aca="false">SUM(K10:K41)</f>
        <v>0</v>
      </c>
      <c r="L42" s="654"/>
      <c r="M42" s="654"/>
      <c r="N42" s="654"/>
      <c r="O42" s="1537" t="n">
        <f aca="false">SUM(O10:O41)</f>
        <v>0</v>
      </c>
      <c r="P42" s="654"/>
      <c r="Q42" s="1625" t="n">
        <f aca="false">SUM(Q10:Q41)</f>
        <v>0</v>
      </c>
      <c r="R42" s="1626" t="e">
        <f aca="false">S42-E45</f>
        <v>#DIV/0!</v>
      </c>
      <c r="S42" s="656" t="e">
        <f aca="false">SUM(S10:S41)</f>
        <v>#DIV/0!</v>
      </c>
      <c r="T42" s="656"/>
      <c r="U42" s="1627" t="n">
        <f aca="false">SUM(U10:U41)</f>
        <v>0</v>
      </c>
      <c r="V42" s="656"/>
      <c r="W42" s="1414"/>
      <c r="X42" s="1628" t="s">
        <v>1588</v>
      </c>
      <c r="Y42" s="1629"/>
      <c r="Z42" s="1537"/>
      <c r="AA42" s="1414"/>
      <c r="AB42" s="1414"/>
      <c r="AC42" s="1465"/>
      <c r="AD42" s="1630"/>
      <c r="AE42" s="246"/>
      <c r="AF42" s="246"/>
      <c r="AG42" s="1058"/>
      <c r="AH42" s="1058"/>
      <c r="AI42" s="1058"/>
      <c r="AJ42" s="1058"/>
      <c r="AK42" s="1058"/>
      <c r="AL42" s="726"/>
      <c r="AM42" s="1258"/>
      <c r="AN42" s="654"/>
      <c r="AO42" s="654"/>
      <c r="AP42" s="654"/>
      <c r="AQ42" s="654"/>
      <c r="AR42" s="654"/>
      <c r="AS42" s="654"/>
      <c r="AT42" s="654"/>
      <c r="AU42" s="654"/>
      <c r="AV42" s="654"/>
      <c r="AW42" s="654"/>
      <c r="AX42" s="654"/>
      <c r="AY42" s="654"/>
      <c r="AZ42" s="654"/>
      <c r="BA42" s="654"/>
      <c r="BB42" s="1536" t="n">
        <f aca="false">SUM(BB10:BB41)</f>
        <v>0</v>
      </c>
      <c r="BC42" s="654"/>
      <c r="BD42" s="654"/>
      <c r="BE42" s="654"/>
      <c r="BF42" s="654"/>
      <c r="BG42" s="654"/>
      <c r="BH42" s="654"/>
      <c r="BI42" s="654"/>
      <c r="BJ42" s="654"/>
      <c r="BK42" s="654"/>
      <c r="BL42" s="654"/>
      <c r="BM42" s="1536" t="n">
        <f aca="false">SUM(BM10:BM41)</f>
        <v>0</v>
      </c>
      <c r="BN42" s="1537" t="n">
        <f aca="false">SUM(BN10:BN41)</f>
        <v>0</v>
      </c>
      <c r="BO42" s="1536" t="n">
        <f aca="false">SUM(BO10:BO41)</f>
        <v>0</v>
      </c>
      <c r="BP42" s="654" t="n">
        <f aca="false">SUM(BP10:BP41)</f>
        <v>0</v>
      </c>
      <c r="BQ42" s="1538" t="n">
        <f aca="false">SUM(BQ10:BQ41)/2</f>
        <v>0</v>
      </c>
      <c r="BR42" s="1538" t="n">
        <f aca="false">SUM(BR10:BR41)</f>
        <v>0</v>
      </c>
      <c r="BS42" s="1430" t="n">
        <f aca="false">SUM(BS10:BS41)</f>
        <v>0</v>
      </c>
      <c r="BT42" s="1430" t="n">
        <f aca="false">SUM(BT10:BT41)</f>
        <v>0</v>
      </c>
      <c r="BU42" s="1430" t="n">
        <f aca="false">SUM(BU10:BU41)</f>
        <v>0</v>
      </c>
      <c r="BV42" s="1430" t="n">
        <f aca="false">SUM(BV10:BV41)</f>
        <v>0</v>
      </c>
      <c r="BW42" s="1430" t="n">
        <f aca="false">SUM(BW10:BW41)</f>
        <v>0</v>
      </c>
      <c r="BX42" s="1430" t="n">
        <f aca="false">SUM(BX10:BX41)</f>
        <v>0</v>
      </c>
      <c r="BY42" s="1430" t="n">
        <f aca="false">SUM(BY10:BY41)</f>
        <v>0</v>
      </c>
      <c r="BZ42" s="1430" t="n">
        <f aca="false">SUM(BZ10:BZ41)</f>
        <v>0</v>
      </c>
      <c r="CA42" s="1430" t="n">
        <f aca="false">SUM(CA10:CA41)</f>
        <v>0</v>
      </c>
      <c r="CB42" s="1430" t="n">
        <f aca="false">SUM(CB10:CB41)</f>
        <v>0</v>
      </c>
      <c r="CC42" s="1430" t="n">
        <f aca="false">SUM(CC10:CC41)</f>
        <v>0</v>
      </c>
      <c r="CD42" s="1430" t="n">
        <f aca="false">SUM(CD10:CD41)</f>
        <v>0</v>
      </c>
      <c r="CE42" s="1430" t="n">
        <f aca="false">SUM(CE10:CE41)</f>
        <v>0</v>
      </c>
      <c r="CF42" s="1430" t="n">
        <f aca="false">SUM(CF10:CF41)</f>
        <v>0</v>
      </c>
      <c r="CG42" s="1430" t="n">
        <f aca="false">SUM(CG10:CG41)</f>
        <v>0</v>
      </c>
      <c r="CH42" s="1537" t="n">
        <f aca="false">SUM(CH10:CH41)</f>
        <v>0</v>
      </c>
      <c r="CI42" s="1537" t="n">
        <f aca="false">SUM(CI10:CI41)</f>
        <v>0</v>
      </c>
      <c r="CJ42" s="1537" t="n">
        <f aca="false">SUM(CJ10:CJ41)</f>
        <v>0</v>
      </c>
      <c r="CK42" s="1537" t="n">
        <f aca="false">SUM(CK10:CK41)</f>
        <v>0</v>
      </c>
      <c r="CL42" s="1537" t="n">
        <f aca="false">SUM(CL10:CL41)</f>
        <v>0</v>
      </c>
      <c r="CM42" s="1631" t="n">
        <f aca="false">SUM(CM10:CM41)</f>
        <v>0</v>
      </c>
      <c r="CN42" s="1632" t="n">
        <f aca="false">SUM(CN10:CN41)</f>
        <v>0</v>
      </c>
      <c r="CO42" s="1632" t="n">
        <f aca="false">SUM(CO10:CO41)</f>
        <v>0</v>
      </c>
      <c r="CP42" s="1633" t="n">
        <f aca="false">SUM(CP10:CP41)</f>
        <v>0</v>
      </c>
      <c r="CQ42" s="1634" t="n">
        <f aca="false">SUM(CQ10:CQ41)</f>
        <v>0</v>
      </c>
      <c r="CR42" s="1634" t="n">
        <f aca="false">SUM(CR10:CR41)</f>
        <v>0</v>
      </c>
      <c r="CS42" s="1634" t="n">
        <f aca="false">SUM(CS10:CS41)</f>
        <v>0</v>
      </c>
      <c r="CT42" s="1635" t="n">
        <f aca="false">SUM(CT10:CT41)</f>
        <v>0</v>
      </c>
      <c r="CU42" s="1635" t="n">
        <f aca="false">SUM(CU10:CU41)</f>
        <v>0</v>
      </c>
      <c r="CV42" s="1632" t="n">
        <f aca="false">SUM(CV10:CV41)</f>
        <v>0</v>
      </c>
      <c r="CW42" s="1632" t="n">
        <f aca="false">SUM(CW10:CW41)</f>
        <v>0</v>
      </c>
      <c r="CX42" s="1632" t="n">
        <f aca="false">SUM(CX10:CX41)</f>
        <v>0</v>
      </c>
      <c r="CY42" s="1632" t="n">
        <f aca="false">SUM(CY10:CY41)</f>
        <v>0</v>
      </c>
      <c r="CZ42" s="1632" t="n">
        <f aca="false">SUM(CZ10:CZ41)</f>
        <v>0</v>
      </c>
      <c r="DA42" s="1632" t="n">
        <f aca="false">SUM(DA10:DA41)</f>
        <v>0</v>
      </c>
      <c r="DB42" s="1632" t="n">
        <f aca="false">SUM(DB10:DB41)</f>
        <v>0</v>
      </c>
      <c r="DC42" s="1632" t="n">
        <f aca="false">SUM(DC10:DC41)</f>
        <v>0</v>
      </c>
      <c r="DD42" s="1632" t="n">
        <f aca="false">SUM(DC10:DD41)</f>
        <v>0</v>
      </c>
      <c r="DE42" s="1636" t="e">
        <f aca="false">SUM(DE10:DE41)</f>
        <v>#DIV/0!</v>
      </c>
      <c r="DF42" s="1637" t="n">
        <f aca="false">SUM(DF10:DF41)</f>
        <v>0</v>
      </c>
      <c r="DG42" s="1637" t="n">
        <f aca="false">SUM(DG10:DG41)</f>
        <v>0</v>
      </c>
      <c r="DH42" s="1637"/>
      <c r="DI42" s="1637" t="n">
        <f aca="false">SUM(DI10:DI41)</f>
        <v>0</v>
      </c>
      <c r="DJ42" s="1637" t="n">
        <f aca="false">SUM(DJ10:DJ41)</f>
        <v>0</v>
      </c>
      <c r="DK42" s="1637" t="n">
        <f aca="false">SUM(DK10:DK41)</f>
        <v>0</v>
      </c>
      <c r="DL42" s="1637" t="n">
        <f aca="false">SUM(DL10:DL41)</f>
        <v>0</v>
      </c>
      <c r="DM42" s="1637" t="n">
        <f aca="false">SUM(DM10:DM41)</f>
        <v>0</v>
      </c>
      <c r="DN42" s="1637" t="n">
        <f aca="false">SUM(DN10:DN41)</f>
        <v>0</v>
      </c>
      <c r="DO42" s="1637" t="n">
        <f aca="false">SUM(DO10:DO41)</f>
        <v>0</v>
      </c>
      <c r="DP42" s="1638" t="n">
        <f aca="false">SUM(DP10:DP41)</f>
        <v>0</v>
      </c>
      <c r="DQ42" s="654"/>
      <c r="DR42" s="654"/>
      <c r="DS42" s="654"/>
      <c r="DT42" s="654"/>
      <c r="DU42" s="654"/>
      <c r="DV42" s="654"/>
      <c r="DW42" s="654"/>
      <c r="DX42" s="654"/>
      <c r="DY42" s="654"/>
    </row>
    <row r="43" customFormat="false" ht="19.5" hidden="false" customHeight="true" outlineLevel="0" collapsed="false">
      <c r="B43" s="949"/>
      <c r="C43" s="950"/>
      <c r="D43" s="951" t="s">
        <v>1261</v>
      </c>
      <c r="E43" s="1639"/>
      <c r="F43" s="1639"/>
      <c r="G43" s="950"/>
      <c r="H43" s="950"/>
      <c r="I43" s="950"/>
      <c r="J43" s="950"/>
      <c r="K43" s="950"/>
      <c r="L43" s="954"/>
      <c r="M43" s="950"/>
      <c r="N43" s="950"/>
      <c r="O43" s="950"/>
      <c r="P43" s="950"/>
      <c r="Q43" s="1640"/>
      <c r="R43" s="1640"/>
      <c r="S43" s="950"/>
      <c r="T43" s="950"/>
      <c r="U43" s="950"/>
      <c r="V43" s="950"/>
      <c r="W43" s="950"/>
      <c r="X43" s="950"/>
      <c r="Y43" s="950"/>
      <c r="Z43" s="1641"/>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03" t="n">
        <f aca="false">SUM(CN43:DE43)</f>
        <v>0</v>
      </c>
      <c r="CN43" s="1003" t="n">
        <f aca="false">O65+O66+O69</f>
        <v>0</v>
      </c>
      <c r="CO43" s="1003" t="n">
        <f aca="false">O70</f>
        <v>0</v>
      </c>
      <c r="CP43" s="1003" t="n">
        <f aca="false">O84</f>
        <v>0</v>
      </c>
      <c r="CQ43" s="1003" t="n">
        <f aca="false">SUM(O79:P85)-O83-O84+O88</f>
        <v>0</v>
      </c>
      <c r="CR43" s="1003" t="n">
        <f aca="false">O83</f>
        <v>0</v>
      </c>
      <c r="CS43" s="1003"/>
      <c r="CT43" s="1003" t="n">
        <f aca="false">O87</f>
        <v>0</v>
      </c>
      <c r="CU43" s="1003"/>
      <c r="CV43" s="1003" t="n">
        <f aca="false">M92+O94</f>
        <v>0</v>
      </c>
      <c r="CW43" s="1003" t="n">
        <f aca="false">SUM(Z66:Z97)</f>
        <v>0</v>
      </c>
      <c r="CX43" s="1003" t="n">
        <f aca="false">SUM(O96:P101)</f>
        <v>0</v>
      </c>
      <c r="CY43" s="1003" t="n">
        <f aca="false">SUM(O103:P109)</f>
        <v>0</v>
      </c>
      <c r="CZ43" s="1003" t="n">
        <f aca="false">Z98+Z99+Z100+Z105+Z109</f>
        <v>0</v>
      </c>
      <c r="DA43" s="1003" t="n">
        <f aca="false">O72</f>
        <v>0</v>
      </c>
      <c r="DB43" s="1003" t="n">
        <f aca="false">O86</f>
        <v>0</v>
      </c>
      <c r="DC43" s="1003" t="n">
        <f aca="false">O71</f>
        <v>0</v>
      </c>
      <c r="DD43" s="1003" t="n">
        <f aca="false">O73</f>
        <v>0</v>
      </c>
      <c r="DE43" s="1003"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642" t="s">
        <v>1262</v>
      </c>
      <c r="C44" s="1643"/>
      <c r="D44" s="1643"/>
      <c r="E44" s="1642" t="s">
        <v>982</v>
      </c>
      <c r="F44" s="1644"/>
      <c r="G44" s="1643" t="s">
        <v>1263</v>
      </c>
      <c r="H44" s="1643"/>
      <c r="I44" s="1644"/>
      <c r="J44" s="1167" t="s">
        <v>1264</v>
      </c>
      <c r="K44" s="1168"/>
      <c r="L44" s="1169"/>
      <c r="M44" s="1170" t="s">
        <v>1265</v>
      </c>
      <c r="N44" s="1171"/>
      <c r="O44" s="1171"/>
      <c r="P44" s="1172"/>
      <c r="Q44" s="1645"/>
      <c r="R44" s="1646" t="n">
        <f aca="false">O107*(1+M45)</f>
        <v>0</v>
      </c>
      <c r="S44" s="1647" t="s">
        <v>1589</v>
      </c>
      <c r="T44" s="599" t="s">
        <v>1266</v>
      </c>
      <c r="V44" s="16" t="s">
        <v>1267</v>
      </c>
      <c r="W44" s="962" t="str">
        <f aca="false">Summary!P62</f>
        <v>N</v>
      </c>
      <c r="X44" s="833" t="s">
        <v>1268</v>
      </c>
      <c r="Y44" s="963" t="n">
        <f aca="false">Summary!R62</f>
        <v>0.0825</v>
      </c>
      <c r="Z44" s="964"/>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648" t="n">
        <f aca="false">CM42-CM43</f>
        <v>0</v>
      </c>
      <c r="CN44" s="1648" t="n">
        <f aca="false">CN42-CN43</f>
        <v>0</v>
      </c>
      <c r="CO44" s="1648" t="n">
        <f aca="false">CO42-CO43</f>
        <v>0</v>
      </c>
      <c r="CP44" s="1648" t="n">
        <f aca="false">CP42-CP43</f>
        <v>0</v>
      </c>
      <c r="CQ44" s="1648" t="n">
        <f aca="false">CQ42-CQ43</f>
        <v>0</v>
      </c>
      <c r="CR44" s="1648" t="n">
        <f aca="false">CR42-CR43</f>
        <v>0</v>
      </c>
      <c r="CS44" s="1648" t="n">
        <f aca="false">CS42-CS43</f>
        <v>0</v>
      </c>
      <c r="CT44" s="1648" t="n">
        <f aca="false">CT42-CT43</f>
        <v>0</v>
      </c>
      <c r="CU44" s="1648"/>
      <c r="CV44" s="1648" t="n">
        <f aca="false">CV42-CV43</f>
        <v>0</v>
      </c>
      <c r="CW44" s="1648" t="n">
        <f aca="false">CW42-CW43</f>
        <v>0</v>
      </c>
      <c r="CX44" s="1648" t="n">
        <f aca="false">CX42-CX43</f>
        <v>0</v>
      </c>
      <c r="CY44" s="1648" t="n">
        <f aca="false">CY42-CY43</f>
        <v>0</v>
      </c>
      <c r="CZ44" s="1648" t="n">
        <f aca="false">CZ42-CZ43</f>
        <v>0</v>
      </c>
      <c r="DA44" s="1648" t="n">
        <f aca="false">DA42-DA43</f>
        <v>0</v>
      </c>
      <c r="DB44" s="1648" t="n">
        <f aca="false">DB42-DB43</f>
        <v>0</v>
      </c>
      <c r="DC44" s="1648" t="n">
        <f aca="false">DC42-DC43</f>
        <v>0</v>
      </c>
      <c r="DD44" s="1648" t="n">
        <f aca="false">DD42-DD43</f>
        <v>0</v>
      </c>
      <c r="DE44" s="1648" t="e">
        <f aca="false">DE42-DE43</f>
        <v>#DIV/0!</v>
      </c>
      <c r="DF44" s="654"/>
      <c r="DG44" s="654"/>
      <c r="DH44" s="654"/>
      <c r="DI44" s="654"/>
      <c r="DJ44" s="654"/>
      <c r="DK44" s="654"/>
      <c r="DL44" s="654"/>
      <c r="DM44" s="654"/>
      <c r="DN44" s="654"/>
      <c r="DO44" s="654"/>
    </row>
    <row r="45" customFormat="false" ht="18" hidden="false" customHeight="true" outlineLevel="0" collapsed="false">
      <c r="B45" s="965" t="s">
        <v>1269</v>
      </c>
      <c r="C45" s="1649" t="n">
        <f aca="false">IF(I79=0,0,E45/I79)</f>
        <v>0</v>
      </c>
      <c r="D45" s="1649"/>
      <c r="E45" s="967" t="n">
        <f aca="false">(V45-O110)*(1+M45)</f>
        <v>0</v>
      </c>
      <c r="F45" s="967"/>
      <c r="G45" s="1650" t="n">
        <f aca="false">IF(H45=0,0,H45/E45)</f>
        <v>0</v>
      </c>
      <c r="H45" s="736" t="n">
        <f aca="false">(E45-V45)</f>
        <v>0</v>
      </c>
      <c r="I45" s="736"/>
      <c r="J45" s="1651" t="n">
        <f aca="false">IF(D42=0,0,V45/D42)</f>
        <v>0</v>
      </c>
      <c r="K45" s="1652"/>
      <c r="L45" s="1653"/>
      <c r="M45" s="1654" t="n">
        <f aca="false">Summary!P59</f>
        <v>0.18</v>
      </c>
      <c r="N45" s="1655"/>
      <c r="O45" s="1655"/>
      <c r="P45" s="1656"/>
      <c r="Q45" s="1645"/>
      <c r="R45" s="1646"/>
      <c r="S45" s="1657" t="n">
        <v>10</v>
      </c>
      <c r="T45" s="970" t="s">
        <v>980</v>
      </c>
      <c r="V45" s="1658" t="n">
        <f aca="false">SUM(O65:P77)+SUM(O79:P88)+SUM(L79:M88)+SUM(O91:P93)+SUM(O96:P101)+SUM(O103:P110)+Z110+O94</f>
        <v>0</v>
      </c>
      <c r="W45" s="1658"/>
      <c r="X45" s="1659"/>
      <c r="Y45" s="16"/>
      <c r="Z45" s="964"/>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03" t="n">
        <f aca="false">CM42*(1+M45)</f>
        <v>0</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660"/>
      <c r="C46" s="955"/>
      <c r="D46" s="1661" t="str">
        <f aca="false">IF(ROUND(E46,0)=0,"BINGO!!",IF(ROUND(E46,0)&lt;0,"To Low","T0 High"))</f>
        <v>BINGO!!</v>
      </c>
      <c r="E46" s="1662" t="n">
        <f aca="false">E45-E43</f>
        <v>0</v>
      </c>
      <c r="F46" s="1662"/>
      <c r="G46" s="1663"/>
      <c r="H46" s="1663"/>
      <c r="I46" s="976" t="s">
        <v>1270</v>
      </c>
      <c r="J46" s="977"/>
      <c r="K46" s="1664"/>
      <c r="L46" s="1664"/>
      <c r="M46" s="979"/>
      <c r="N46" s="980" t="n">
        <f aca="false">IF(K46&gt;0,(K46-E45)/(1+M45),0)</f>
        <v>0</v>
      </c>
      <c r="O46" s="1665"/>
      <c r="P46" s="961"/>
      <c r="Q46" s="1645"/>
      <c r="R46" s="1645"/>
      <c r="S46" s="1265"/>
      <c r="T46" s="1666"/>
      <c r="U46" s="961"/>
      <c r="V46" s="1667" t="n">
        <f aca="false">D119</f>
        <v>0</v>
      </c>
      <c r="W46" s="1667"/>
      <c r="X46" s="1668" t="n">
        <f aca="false">V45-V46</f>
        <v>0</v>
      </c>
      <c r="Y46" s="961"/>
      <c r="Z46" s="964"/>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669"/>
      <c r="C47" s="1068" t="s">
        <v>1356</v>
      </c>
      <c r="D47" s="1068"/>
      <c r="E47" s="1670" t="s">
        <v>1357</v>
      </c>
      <c r="F47" s="1671"/>
      <c r="G47" s="1670" t="s">
        <v>1590</v>
      </c>
      <c r="H47" s="1671"/>
      <c r="I47" s="1670" t="s">
        <v>1359</v>
      </c>
      <c r="J47" s="1671"/>
      <c r="K47" s="1670" t="s">
        <v>1360</v>
      </c>
      <c r="L47" s="1671"/>
      <c r="M47" s="1670" t="s">
        <v>1361</v>
      </c>
      <c r="N47" s="1202"/>
      <c r="O47" s="865"/>
      <c r="P47" s="1452" t="s">
        <v>1591</v>
      </c>
      <c r="Q47" s="1672"/>
      <c r="R47" s="1452" t="s">
        <v>1592</v>
      </c>
      <c r="S47" s="1673"/>
      <c r="U47" s="1674" t="n">
        <f aca="false">IF(I79=0,0,I79/SUM(L65:L69))</f>
        <v>0</v>
      </c>
      <c r="V47" s="1675" t="s">
        <v>1593</v>
      </c>
      <c r="W47" s="1435" t="n">
        <f aca="false">SUM(Z49:Z58)*(1+K70)</f>
        <v>0</v>
      </c>
      <c r="X47" s="654" t="s">
        <v>612</v>
      </c>
      <c r="Y47" s="1414" t="n">
        <f aca="false">W47/25</f>
        <v>0</v>
      </c>
      <c r="Z47" s="1414"/>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430"/>
      <c r="CU47" s="1430"/>
      <c r="CV47" s="1430"/>
      <c r="CW47" s="1430"/>
      <c r="CX47" s="1430"/>
      <c r="CY47" s="1676"/>
      <c r="CZ47" s="1469"/>
      <c r="DA47" s="1469"/>
      <c r="DB47" s="1469" t="s">
        <v>1594</v>
      </c>
      <c r="DC47" s="1677" t="n">
        <f aca="false">SUM(DF42:DP42)</f>
        <v>0</v>
      </c>
      <c r="DD47" s="1469" t="s">
        <v>1418</v>
      </c>
      <c r="DE47" s="1469"/>
      <c r="DF47" s="1469"/>
      <c r="DG47" s="1469"/>
      <c r="DH47" s="1470"/>
      <c r="DI47" s="654"/>
      <c r="DJ47" s="654"/>
      <c r="DK47" s="654"/>
      <c r="DL47" s="654"/>
      <c r="DM47" s="654"/>
      <c r="DN47" s="654"/>
      <c r="DO47" s="654"/>
    </row>
    <row r="48" customFormat="false" ht="42.75" hidden="false" customHeight="true" outlineLevel="0" collapsed="false">
      <c r="B48" s="1678" t="s">
        <v>1595</v>
      </c>
      <c r="C48" s="1226" t="s">
        <v>1367</v>
      </c>
      <c r="D48" s="1225" t="s">
        <v>1596</v>
      </c>
      <c r="E48" s="1226" t="s">
        <v>1369</v>
      </c>
      <c r="F48" s="1225" t="s">
        <v>1215</v>
      </c>
      <c r="G48" s="1226" t="s">
        <v>1369</v>
      </c>
      <c r="H48" s="1225" t="s">
        <v>1215</v>
      </c>
      <c r="I48" s="1226" t="s">
        <v>1369</v>
      </c>
      <c r="J48" s="1225" t="s">
        <v>1215</v>
      </c>
      <c r="K48" s="1226" t="s">
        <v>1215</v>
      </c>
      <c r="L48" s="1679" t="s">
        <v>1216</v>
      </c>
      <c r="M48" s="1226" t="s">
        <v>1215</v>
      </c>
      <c r="N48" s="1227" t="s">
        <v>1597</v>
      </c>
      <c r="O48" s="1680" t="s">
        <v>1598</v>
      </c>
      <c r="P48" s="1480" t="s">
        <v>1599</v>
      </c>
      <c r="Q48" s="1681"/>
      <c r="R48" s="1480" t="s">
        <v>998</v>
      </c>
      <c r="S48" s="1682" t="s">
        <v>1600</v>
      </c>
      <c r="T48" s="1683" t="s">
        <v>1601</v>
      </c>
      <c r="U48" s="1684" t="s">
        <v>1602</v>
      </c>
      <c r="V48" s="1684"/>
      <c r="W48" s="1301" t="s">
        <v>1259</v>
      </c>
      <c r="X48" s="1302" t="s">
        <v>1215</v>
      </c>
      <c r="Y48" s="1303" t="s">
        <v>1369</v>
      </c>
      <c r="Z48" s="1304" t="s">
        <v>1414</v>
      </c>
      <c r="AS48" s="16" t="s">
        <v>1603</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411"/>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536"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c r="DQ48" s="654"/>
      <c r="DR48" s="654"/>
      <c r="DS48" s="654"/>
      <c r="DT48" s="654"/>
      <c r="DU48" s="654"/>
      <c r="DV48" s="654"/>
      <c r="DW48" s="654"/>
      <c r="DX48" s="654"/>
      <c r="DY48" s="654"/>
      <c r="DZ48" s="654"/>
      <c r="EA48" s="654"/>
    </row>
    <row r="49" customFormat="false" ht="19.5" hidden="false" customHeight="true" outlineLevel="0" collapsed="false">
      <c r="B49" s="1685" t="n">
        <v>1</v>
      </c>
      <c r="C49" s="1686" t="n">
        <v>12</v>
      </c>
      <c r="D49" s="895" t="n">
        <v>24</v>
      </c>
      <c r="E49" s="528" t="n">
        <v>2</v>
      </c>
      <c r="F49" s="1582" t="n">
        <v>5</v>
      </c>
      <c r="G49" s="528"/>
      <c r="H49" s="895"/>
      <c r="I49" s="528"/>
      <c r="J49" s="895"/>
      <c r="K49" s="528" t="n">
        <v>3</v>
      </c>
      <c r="L49" s="895" t="n">
        <v>24</v>
      </c>
      <c r="M49" s="1686"/>
      <c r="N49" s="528"/>
      <c r="O49" s="1575"/>
      <c r="P49" s="1687" t="n">
        <f aca="false">IF(C49=0,0,(E49*F49/16*F49/16*10.680159)+((G49*H49/16*H49/16*10.680159)+(I49*2*J49/16*J49/16*10.680159)+IF(L49=0,0,((K49/16*K49/16)*3.145*0.2836*((((C49*2))+(D49*2))*12/L49))))+(M49/16*M49/16*10.680159*(12/IF(N49=0,1,N49))*O49))*(1+K$70)</f>
        <v>3.53628806953125</v>
      </c>
      <c r="Q49" s="1688"/>
      <c r="R49" s="1689" t="n">
        <f aca="false">(C49/12*D49/324)*(1+K$65)</f>
        <v>0.0785185185185185</v>
      </c>
      <c r="S49" s="1690" t="n">
        <f aca="false">(C49/12*(D49-S$45)/324)</f>
        <v>0.0432098765432099</v>
      </c>
      <c r="T49" s="264" t="n">
        <f aca="false">C49/12</f>
        <v>1</v>
      </c>
      <c r="U49" s="1691" t="n">
        <f aca="false">IF(I79=0,0,L70/I79)</f>
        <v>0</v>
      </c>
      <c r="V49" s="1691"/>
      <c r="W49" s="149"/>
      <c r="X49" s="150"/>
      <c r="Y49" s="151"/>
      <c r="Z49" s="152" t="n">
        <f aca="false">W49*(X49*X49*0.04180884375)*Y49</f>
        <v>0</v>
      </c>
      <c r="AA49" s="360" t="n">
        <f aca="false">SUM(Z49:Z58)*1.1</f>
        <v>0</v>
      </c>
      <c r="AS49" s="16" t="n">
        <f aca="false">D49*2/12</f>
        <v>4</v>
      </c>
    </row>
    <row r="50" customFormat="false" ht="19.5" hidden="false" customHeight="true" outlineLevel="0" collapsed="false">
      <c r="B50" s="1692" t="n">
        <v>2</v>
      </c>
      <c r="C50" s="1686" t="n">
        <v>12</v>
      </c>
      <c r="D50" s="895" t="n">
        <v>24</v>
      </c>
      <c r="E50" s="528" t="n">
        <v>2</v>
      </c>
      <c r="F50" s="1582" t="n">
        <v>5</v>
      </c>
      <c r="G50" s="528"/>
      <c r="H50" s="895"/>
      <c r="I50" s="528"/>
      <c r="J50" s="895"/>
      <c r="K50" s="528" t="n">
        <v>3</v>
      </c>
      <c r="L50" s="895" t="n">
        <v>24</v>
      </c>
      <c r="M50" s="1686"/>
      <c r="N50" s="528"/>
      <c r="O50" s="1574"/>
      <c r="P50" s="1687" t="n">
        <f aca="false">IF(C50=0,0,(E50*F50/16*F50/16*10.680159)+((G50*H50/16*H50/16*10.680159)+(I50*2*J50/16*J50/16*10.680159)+IF(L50=0,0,((K50/16*K50/16)*3.145*0.2836*((((C50*2))+(D50*2))*12/L50))))+(M50/16*M50/16*10.680159*(12/IF(N50=0,1,N50))*O50))*(1+K$70)</f>
        <v>3.53628806953125</v>
      </c>
      <c r="Q50" s="1688"/>
      <c r="R50" s="1693" t="n">
        <f aca="false">(C50/12*D50/324)*(1+K$65)</f>
        <v>0.0785185185185185</v>
      </c>
      <c r="S50" s="1690" t="n">
        <f aca="false">(C50/12*(D50-S$45)/324)</f>
        <v>0.0432098765432099</v>
      </c>
      <c r="T50" s="264" t="n">
        <f aca="false">C50/12</f>
        <v>1</v>
      </c>
      <c r="U50" s="1691"/>
      <c r="V50" s="1691"/>
      <c r="W50" s="149"/>
      <c r="X50" s="150"/>
      <c r="Y50" s="151"/>
      <c r="Z50" s="152" t="n">
        <f aca="false">W50*(X50*X50*0.04180884375)*Y50</f>
        <v>0</v>
      </c>
      <c r="AS50" s="16" t="n">
        <f aca="false">D50*2/12</f>
        <v>4</v>
      </c>
    </row>
    <row r="51" customFormat="false" ht="19.5" hidden="false" customHeight="true" outlineLevel="0" collapsed="false">
      <c r="B51" s="1685" t="n">
        <v>3</v>
      </c>
      <c r="C51" s="1686" t="n">
        <v>12</v>
      </c>
      <c r="D51" s="895" t="n">
        <v>24</v>
      </c>
      <c r="E51" s="528" t="n">
        <v>2</v>
      </c>
      <c r="F51" s="895" t="n">
        <v>5</v>
      </c>
      <c r="G51" s="528" t="n">
        <v>2</v>
      </c>
      <c r="H51" s="895" t="n">
        <v>5</v>
      </c>
      <c r="I51" s="528"/>
      <c r="J51" s="895"/>
      <c r="K51" s="528" t="n">
        <v>3</v>
      </c>
      <c r="L51" s="895" t="n">
        <v>16</v>
      </c>
      <c r="M51" s="1686"/>
      <c r="N51" s="528"/>
      <c r="O51" s="1574"/>
      <c r="P51" s="1687" t="n">
        <f aca="false">IF(C51=0,0,(E51*F51/16*F51/16*10.680159)+((G51*H51/16*H51/16*10.680159)+(I51*2*J51/16*J51/16*10.680159)+IF(L51=0,0,((K51/16*K51/16)*3.145*0.2836*((((C51*2))+(D51*2))*12/L51))))+(M51/16*M51/16*10.680159*(12/IF(N51=0,1,N51))*O51))*(1+K$70)</f>
        <v>6.451714809375</v>
      </c>
      <c r="Q51" s="1688"/>
      <c r="R51" s="1693" t="n">
        <f aca="false">(C51/12*D51/324)*(1+K$65)</f>
        <v>0.0785185185185185</v>
      </c>
      <c r="S51" s="1690" t="n">
        <f aca="false">(C51/12*(D51-S$45)/324)</f>
        <v>0.0432098765432099</v>
      </c>
      <c r="T51" s="264" t="n">
        <f aca="false">C51/12</f>
        <v>1</v>
      </c>
      <c r="U51" s="1694" t="s">
        <v>1604</v>
      </c>
      <c r="V51" s="1694"/>
      <c r="W51" s="149"/>
      <c r="X51" s="150"/>
      <c r="Y51" s="151"/>
      <c r="Z51" s="152" t="n">
        <f aca="false">W51*(X51*X51*0.04180884375)*Y51</f>
        <v>0</v>
      </c>
      <c r="AS51" s="16" t="n">
        <f aca="false">D51*2/12</f>
        <v>4</v>
      </c>
    </row>
    <row r="52" customFormat="false" ht="19.5" hidden="false" customHeight="true" outlineLevel="0" collapsed="false">
      <c r="B52" s="1685" t="n">
        <v>4</v>
      </c>
      <c r="C52" s="1686"/>
      <c r="D52" s="895"/>
      <c r="E52" s="528"/>
      <c r="F52" s="895"/>
      <c r="G52" s="528"/>
      <c r="H52" s="895"/>
      <c r="I52" s="528"/>
      <c r="J52" s="895"/>
      <c r="K52" s="528"/>
      <c r="L52" s="895"/>
      <c r="M52" s="1686"/>
      <c r="N52" s="528"/>
      <c r="O52" s="1574"/>
      <c r="P52" s="1687" t="n">
        <f aca="false">IF(C52=0,0,(E52*F52/16*F52/16*10.680159)+((G52*H52/16*H52/16*10.680159)+(I52*2*J52/16*J52/16*10.680159)+IF(L52=0,0,((K52/16*K52/16)*3.145*0.2836*((((C52*2))+(D52*2))*12/L52))))+(M52/16*M52/16*10.680159*(12/IF(N52=0,1,N52))*O52))*(1+K$70)</f>
        <v>0</v>
      </c>
      <c r="Q52" s="1688"/>
      <c r="R52" s="1693" t="n">
        <f aca="false">(C52/12*D52/324)*(1+K$65)</f>
        <v>0</v>
      </c>
      <c r="S52" s="1690" t="n">
        <f aca="false">(C52/12*(D52-S$45)/324)</f>
        <v>-0</v>
      </c>
      <c r="T52" s="264" t="n">
        <f aca="false">C52/12</f>
        <v>0</v>
      </c>
      <c r="U52" s="1695" t="n">
        <f aca="false">Summary!M16</f>
        <v>5.09979889484197</v>
      </c>
      <c r="V52" s="1695"/>
      <c r="W52" s="149"/>
      <c r="X52" s="150"/>
      <c r="Y52" s="151"/>
      <c r="Z52" s="152" t="n">
        <f aca="false">W52*(X52*X52*0.04180884375)*Y52</f>
        <v>0</v>
      </c>
      <c r="AS52" s="16" t="n">
        <f aca="false">D52*2/12</f>
        <v>0</v>
      </c>
    </row>
    <row r="53" customFormat="false" ht="19.5" hidden="false" customHeight="true" outlineLevel="0" collapsed="false">
      <c r="B53" s="1685" t="n">
        <v>5</v>
      </c>
      <c r="C53" s="1686"/>
      <c r="D53" s="895"/>
      <c r="E53" s="528"/>
      <c r="F53" s="895"/>
      <c r="G53" s="528"/>
      <c r="H53" s="895"/>
      <c r="I53" s="528"/>
      <c r="J53" s="895"/>
      <c r="K53" s="528"/>
      <c r="L53" s="895"/>
      <c r="M53" s="1686"/>
      <c r="N53" s="528"/>
      <c r="O53" s="1574"/>
      <c r="P53" s="1687" t="n">
        <f aca="false">IF(C53=0,0,(E53*F53/16*F53/16*10.680159)+((G53*H53/16*H53/16*10.680159)+(I53*2*J53/16*J53/16*10.680159)+IF(L53=0,0,((K53/16*K53/16)*3.145*0.2836*((((C53*2))+(D53*2))*12/L53))))+(M53/16*M53/16*10.680159*(12/IF(N53=0,1,N53))*O53))*(1+K$70)</f>
        <v>0</v>
      </c>
      <c r="Q53" s="1688"/>
      <c r="R53" s="1693" t="n">
        <f aca="false">(C53/12*D53/324)*(1+K$65)</f>
        <v>0</v>
      </c>
      <c r="S53" s="1690" t="n">
        <f aca="false">(C53/12*(D53-S$45)/324)</f>
        <v>-0</v>
      </c>
      <c r="T53" s="264" t="n">
        <f aca="false">C53/12</f>
        <v>0</v>
      </c>
      <c r="U53" s="1695"/>
      <c r="V53" s="1695"/>
      <c r="W53" s="1322"/>
      <c r="X53" s="1323"/>
      <c r="Y53" s="1324"/>
      <c r="Z53" s="1325" t="n">
        <f aca="false">W53*(X53*X53*0.04180884375)*Y53</f>
        <v>0</v>
      </c>
      <c r="AS53" s="16" t="n">
        <f aca="false">D53*2/12</f>
        <v>0</v>
      </c>
    </row>
    <row r="54" customFormat="false" ht="19.5" hidden="false" customHeight="true" outlineLevel="0" collapsed="false">
      <c r="B54" s="1685" t="n">
        <v>6</v>
      </c>
      <c r="C54" s="1686"/>
      <c r="D54" s="895"/>
      <c r="E54" s="528"/>
      <c r="F54" s="1582"/>
      <c r="G54" s="1686"/>
      <c r="H54" s="895"/>
      <c r="I54" s="528"/>
      <c r="J54" s="895"/>
      <c r="K54" s="528"/>
      <c r="L54" s="895"/>
      <c r="M54" s="1686"/>
      <c r="N54" s="1696"/>
      <c r="O54" s="1574"/>
      <c r="P54" s="1687" t="n">
        <f aca="false">IF(C54=0,0,(E54*F54/16*F54/16*10.680159)+((G54*H54/16*H54/16*10.680159)+(I54*2*J54/16*J54/16*10.680159)+IF(L54=0,0,((K54/16*K54/16)*3.145*0.2836*((((C54*2))+(D54*2))*12/L54))))+(M54/16*M54/16*10.680159*(12/IF(N54=0,1,N54))*O54))*(1+K$70)</f>
        <v>0</v>
      </c>
      <c r="Q54" s="1688"/>
      <c r="R54" s="1693" t="n">
        <f aca="false">(C54/12*D54/324)*(1+K$65)</f>
        <v>0</v>
      </c>
      <c r="S54" s="1690" t="n">
        <f aca="false">(C54/12*(D54-S$45)/324)</f>
        <v>-0</v>
      </c>
      <c r="T54" s="264" t="n">
        <f aca="false">C54/12</f>
        <v>0</v>
      </c>
      <c r="W54" s="149"/>
      <c r="X54" s="150"/>
      <c r="Y54" s="151"/>
      <c r="Z54" s="152" t="n">
        <f aca="false">W54*(X54*X54*0.04180884375)*Y54</f>
        <v>0</v>
      </c>
      <c r="AS54" s="16" t="n">
        <f aca="false">D54*2/12</f>
        <v>0</v>
      </c>
    </row>
    <row r="55" customFormat="false" ht="19.5" hidden="false" customHeight="true" outlineLevel="0" collapsed="false">
      <c r="B55" s="1685" t="n">
        <v>7</v>
      </c>
      <c r="C55" s="1686"/>
      <c r="D55" s="895"/>
      <c r="E55" s="528"/>
      <c r="F55" s="1582"/>
      <c r="G55" s="528"/>
      <c r="H55" s="895"/>
      <c r="I55" s="528"/>
      <c r="J55" s="895"/>
      <c r="K55" s="528"/>
      <c r="L55" s="895"/>
      <c r="M55" s="1686"/>
      <c r="N55" s="1696"/>
      <c r="O55" s="1574"/>
      <c r="P55" s="1687" t="n">
        <f aca="false">IF(C55=0,0,(E55*F55/16*F55/16*10.680159)+((G55*H55/16*H55/16*10.680159)+(I55*2*J55/16*J55/16*10.680159)+IF(L55=0,0,((K55/16*K55/16)*3.145*0.2836*((((C55*2))+(D55*2))*12/L55))))+(M55/16*M55/16*10.680159*(12/IF(N55=0,1,N55))*O55))*(1+K$70)</f>
        <v>0</v>
      </c>
      <c r="Q55" s="1688"/>
      <c r="R55" s="1693" t="n">
        <f aca="false">(C55/12*D55/324)*(1+K$65)</f>
        <v>0</v>
      </c>
      <c r="S55" s="1690" t="n">
        <f aca="false">(C55/12*(D55-S$45)/324)</f>
        <v>-0</v>
      </c>
      <c r="T55" s="264" t="n">
        <f aca="false">C55/12</f>
        <v>0</v>
      </c>
      <c r="W55" s="149"/>
      <c r="X55" s="150"/>
      <c r="Y55" s="151"/>
      <c r="Z55" s="152" t="n">
        <f aca="false">W55*(X55*X55*0.04180884375)*Y55</f>
        <v>0</v>
      </c>
      <c r="AS55" s="16" t="n">
        <f aca="false">D55*2/12</f>
        <v>0</v>
      </c>
    </row>
    <row r="56" customFormat="false" ht="19.5" hidden="false" customHeight="true" outlineLevel="0" collapsed="false">
      <c r="B56" s="1685" t="n">
        <v>8</v>
      </c>
      <c r="C56" s="1686"/>
      <c r="D56" s="895"/>
      <c r="E56" s="528"/>
      <c r="F56" s="895"/>
      <c r="G56" s="528"/>
      <c r="H56" s="895"/>
      <c r="I56" s="528"/>
      <c r="J56" s="895"/>
      <c r="K56" s="528"/>
      <c r="L56" s="895"/>
      <c r="M56" s="1686"/>
      <c r="N56" s="528"/>
      <c r="O56" s="1574"/>
      <c r="P56" s="1687" t="n">
        <f aca="false">IF(C56=0,0,(E56*F56/16*F56/16*10.680159)+((G56*H56/16*H56/16*10.680159)+(I56*2*J56/16*J56/16*10.680159)+IF(L56=0,0,((K56/16*K56/16)*3.145*0.2836*((((C56*2))+(D56*2))*12/L56))))+(M56/16*M56/16*10.680159*(12/IF(N56=0,1,N56))*O56))*(1+K$70)</f>
        <v>0</v>
      </c>
      <c r="Q56" s="1688"/>
      <c r="R56" s="1693" t="n">
        <f aca="false">(C56/12*D56/324)*(1+K$65)</f>
        <v>0</v>
      </c>
      <c r="S56" s="1690" t="n">
        <f aca="false">(C56/12*(D56-S$45)/324)</f>
        <v>-0</v>
      </c>
      <c r="T56" s="264" t="n">
        <f aca="false">C56/12</f>
        <v>0</v>
      </c>
      <c r="U56" s="16" t="n">
        <f aca="false">1718/60</f>
        <v>28.6333333333333</v>
      </c>
      <c r="W56" s="149"/>
      <c r="X56" s="150"/>
      <c r="Y56" s="151"/>
      <c r="Z56" s="152" t="n">
        <f aca="false">W56*(X56*X56*0.04180884375)*Y56</f>
        <v>0</v>
      </c>
      <c r="AS56" s="16" t="n">
        <f aca="false">D56*2/12</f>
        <v>0</v>
      </c>
    </row>
    <row r="57" customFormat="false" ht="19.5" hidden="false" customHeight="true" outlineLevel="0" collapsed="false">
      <c r="B57" s="1685" t="n">
        <v>9</v>
      </c>
      <c r="C57" s="1686"/>
      <c r="D57" s="895"/>
      <c r="E57" s="528"/>
      <c r="F57" s="895"/>
      <c r="G57" s="528"/>
      <c r="H57" s="895"/>
      <c r="I57" s="528"/>
      <c r="J57" s="895"/>
      <c r="K57" s="528"/>
      <c r="L57" s="895"/>
      <c r="M57" s="1686"/>
      <c r="N57" s="528"/>
      <c r="O57" s="1574"/>
      <c r="P57" s="1687" t="n">
        <f aca="false">IF(C57=0,0,(E57*F57/16*F57/16*10.680159)+((G57*H57/16*H57/16*10.680159)+(I57*2*J57/16*J57/16*10.680159)+IF(L57=0,0,((K57/16*K57/16)*3.145*0.2836*((((C57*2))+(D57*2))*12/L57))))+(M57/16*M57/16*10.680159*(12/IF(N57=0,1,N57))*O57))*(1+K$70)</f>
        <v>0</v>
      </c>
      <c r="Q57" s="1688"/>
      <c r="R57" s="1693" t="n">
        <f aca="false">(C57/12*D57/324)*(1+K$65)</f>
        <v>0</v>
      </c>
      <c r="S57" s="1690" t="n">
        <f aca="false">(C57/12*(D57-S$45)/324)</f>
        <v>-0</v>
      </c>
      <c r="T57" s="264" t="n">
        <f aca="false">C57/12</f>
        <v>0</v>
      </c>
      <c r="W57" s="1335"/>
      <c r="X57" s="150"/>
      <c r="Y57" s="151"/>
      <c r="Z57" s="152" t="n">
        <f aca="false">W57*(X57*X57*0.04180884375)*Y57</f>
        <v>0</v>
      </c>
      <c r="AS57" s="16" t="n">
        <f aca="false">D57*2/12</f>
        <v>0</v>
      </c>
    </row>
    <row r="58" customFormat="false" ht="19.5" hidden="false" customHeight="true" outlineLevel="0" collapsed="false">
      <c r="B58" s="1685" t="n">
        <v>10</v>
      </c>
      <c r="C58" s="1686"/>
      <c r="D58" s="895"/>
      <c r="E58" s="528"/>
      <c r="F58" s="895"/>
      <c r="G58" s="528"/>
      <c r="H58" s="895"/>
      <c r="I58" s="528"/>
      <c r="J58" s="895"/>
      <c r="K58" s="528"/>
      <c r="L58" s="895"/>
      <c r="M58" s="1686"/>
      <c r="N58" s="528"/>
      <c r="O58" s="1574"/>
      <c r="P58" s="1687" t="n">
        <f aca="false">IF(C58=0,0,(E58*F58/16*F58/16*10.680159)+((G58*H58/16*H58/16*10.680159)+(I58*2*J58/16*J58/16*10.680159)+IF(L58=0,0,((K58/16*K58/16)*3.145*0.2836*((((C58*2))+(D58*2))*12/L58))))+(M58/16*M58/16*10.680159*(12/IF(N58=0,1,N58))*O58))*(1+K$70)</f>
        <v>0</v>
      </c>
      <c r="Q58" s="1688"/>
      <c r="R58" s="1693" t="n">
        <f aca="false">(C58/12*D58/324)*(1+K$65)</f>
        <v>0</v>
      </c>
      <c r="S58" s="1690" t="n">
        <f aca="false">(C58/12*(D58-S$45)/324)</f>
        <v>-0</v>
      </c>
      <c r="T58" s="264" t="n">
        <f aca="false">C58/12</f>
        <v>0</v>
      </c>
      <c r="W58" s="1322"/>
      <c r="X58" s="1323"/>
      <c r="Y58" s="1324"/>
      <c r="Z58" s="1325" t="n">
        <f aca="false">W58*(X58*X58*0.04180884375)*Y58</f>
        <v>0</v>
      </c>
      <c r="AS58" s="16" t="n">
        <f aca="false">D58*2/12</f>
        <v>0</v>
      </c>
    </row>
    <row r="59" customFormat="false" ht="19.5" hidden="false" customHeight="true" outlineLevel="0" collapsed="false">
      <c r="B59" s="1697" t="n">
        <v>11</v>
      </c>
      <c r="C59" s="1555"/>
      <c r="D59" s="1556"/>
      <c r="E59" s="1559"/>
      <c r="F59" s="1556"/>
      <c r="G59" s="1559"/>
      <c r="H59" s="1556"/>
      <c r="I59" s="1559"/>
      <c r="J59" s="1556"/>
      <c r="K59" s="1559"/>
      <c r="L59" s="1556"/>
      <c r="M59" s="1555"/>
      <c r="N59" s="1559"/>
      <c r="O59" s="1561"/>
      <c r="P59" s="1698" t="n">
        <f aca="false">IF(C59=0,0,(E59*F59/16*F59/16*10.680159)+((G59*H59/16*H59/16*10.680159)+(I59*2*J59/16*J59/16*10.680159)+IF(L59=0,0,((K59/16*K59/16)*3.145*0.2836*((((C59*2))+(D59*2))*12/L59))))+(M59/16*M59/16*10.680159*(12/IF(N59=0,1,N59))*O59))*(1+K$70)</f>
        <v>0</v>
      </c>
      <c r="Q59" s="1699"/>
      <c r="R59" s="1700" t="n">
        <f aca="false">(C59/12*D59/324)*(1+K$65)</f>
        <v>0</v>
      </c>
      <c r="S59" s="1701" t="n">
        <f aca="false">(C59/12*(D59-S$45)/324)</f>
        <v>-0</v>
      </c>
      <c r="T59" s="1702" t="n">
        <f aca="false">C59/12</f>
        <v>0</v>
      </c>
      <c r="U59" s="1703" t="n">
        <f aca="false">SUM(CN42:DD42)</f>
        <v>0</v>
      </c>
      <c r="V59" s="1703"/>
      <c r="W59" s="1703"/>
      <c r="X59" s="1704" t="n">
        <f aca="false">V45-U59</f>
        <v>0</v>
      </c>
      <c r="Y59" s="1705"/>
      <c r="Z59" s="1705"/>
      <c r="AS59" s="16" t="n">
        <f aca="false">D59*2/12</f>
        <v>0</v>
      </c>
    </row>
    <row r="60" customFormat="false" ht="21.75" hidden="false" customHeight="true" outlineLevel="0" collapsed="false">
      <c r="B60" s="829" t="s">
        <v>1271</v>
      </c>
      <c r="C60" s="1706"/>
      <c r="D60" s="1707"/>
      <c r="E60" s="1708"/>
      <c r="F60" s="1709"/>
      <c r="G60" s="1710"/>
      <c r="H60" s="1271"/>
      <c r="I60" s="1271"/>
      <c r="J60" s="1271"/>
      <c r="K60" s="1271"/>
      <c r="L60" s="1271"/>
      <c r="M60" s="1271"/>
      <c r="N60" s="1271"/>
      <c r="O60" s="990" t="s">
        <v>721</v>
      </c>
      <c r="P60" s="990"/>
      <c r="Q60" s="1274" t="s">
        <v>1272</v>
      </c>
      <c r="R60" s="373"/>
      <c r="S60" s="1690" t="n">
        <f aca="false">18+18+75+75+75+75+75+75+75+76+76+76+76+76+76+76+76+76+76+65+65+65+65+65+65+65+65+60+60+25+25</f>
        <v>2011</v>
      </c>
      <c r="AA60" s="16"/>
    </row>
    <row r="61" customFormat="false" ht="21.75" hidden="false" customHeight="true" outlineLevel="0" collapsed="false">
      <c r="B61" s="421"/>
      <c r="C61" s="1712"/>
      <c r="D61" s="1713"/>
      <c r="E61" s="1714"/>
      <c r="F61" s="1715"/>
      <c r="G61" s="1709"/>
      <c r="H61" s="1271"/>
      <c r="I61" s="1271"/>
      <c r="J61" s="1271"/>
      <c r="K61" s="1271"/>
      <c r="L61" s="1271"/>
      <c r="M61" s="1716"/>
      <c r="N61" s="1271"/>
      <c r="O61" s="1000" t="s">
        <v>1274</v>
      </c>
      <c r="P61" s="1001"/>
      <c r="Q61" s="1002"/>
      <c r="S61" s="1690" t="n">
        <f aca="false">46+46+46+46+69+67+67+69+69+69+64+64+64+64+64+64+65+65+65+59+26+26</f>
        <v>1284</v>
      </c>
      <c r="AA61" s="16"/>
    </row>
    <row r="62" customFormat="false" ht="21.75" hidden="false" customHeight="true" outlineLevel="0" collapsed="false">
      <c r="B62" s="421"/>
      <c r="C62" s="1712"/>
      <c r="D62" s="1713"/>
      <c r="E62" s="1717"/>
      <c r="F62" s="1718"/>
      <c r="G62" s="1713"/>
      <c r="H62" s="1271"/>
      <c r="I62" s="1271"/>
      <c r="J62" s="1271"/>
      <c r="K62" s="1271"/>
      <c r="L62" s="1719"/>
      <c r="M62" s="1271"/>
      <c r="N62" s="1271"/>
      <c r="O62" s="1008" t="s">
        <v>1276</v>
      </c>
      <c r="P62" s="1009" t="n">
        <f aca="false">L70+'06-Walls &amp; Footings'!V15+SUM('06-Walls &amp; Footings'!V15:V26)</f>
        <v>27322.9353461066</v>
      </c>
      <c r="Q62" s="1010" t="n">
        <f aca="false">O70</f>
        <v>0</v>
      </c>
      <c r="S62" s="16" t="n">
        <f aca="false">54*8.5</f>
        <v>459</v>
      </c>
      <c r="T62" s="1720" t="n">
        <f aca="false">SUM(S60:S61)*0.85</f>
        <v>2800.75</v>
      </c>
      <c r="AA62" s="16"/>
    </row>
    <row r="63" customFormat="false" ht="21.75" hidden="false" customHeight="true" outlineLevel="0" collapsed="false">
      <c r="B63" s="421"/>
      <c r="C63" s="1721"/>
      <c r="D63" s="1713"/>
      <c r="E63" s="1713"/>
      <c r="F63" s="1710"/>
      <c r="G63" s="1713"/>
      <c r="H63" s="1271"/>
      <c r="I63" s="1271"/>
      <c r="J63" s="1271"/>
      <c r="K63" s="1271"/>
      <c r="L63" s="1271"/>
      <c r="M63" s="1271"/>
      <c r="N63" s="1271"/>
      <c r="O63" s="1271"/>
      <c r="P63" s="1722"/>
      <c r="AA63" s="16"/>
    </row>
    <row r="64" customFormat="false" ht="38.25" hidden="false" customHeight="true" outlineLevel="0" collapsed="false">
      <c r="B64" s="1723" t="s">
        <v>1280</v>
      </c>
      <c r="C64" s="1296" t="s">
        <v>1281</v>
      </c>
      <c r="D64" s="1019"/>
      <c r="E64" s="1019"/>
      <c r="F64" s="1019"/>
      <c r="G64" s="1019"/>
      <c r="H64" s="1019"/>
      <c r="I64" s="1019"/>
      <c r="J64" s="1019"/>
      <c r="K64" s="1019" t="s">
        <v>1282</v>
      </c>
      <c r="L64" s="1724" t="str">
        <f aca="false">IF(SUM(L65:L69)=Q42,"Good","Missing Concrete!!!")</f>
        <v>Good</v>
      </c>
      <c r="M64" s="1724"/>
      <c r="N64" s="1019"/>
      <c r="O64" s="1019"/>
      <c r="P64" s="1021"/>
      <c r="R64" s="1039" t="s">
        <v>1284</v>
      </c>
      <c r="S64" s="1022" t="s">
        <v>1283</v>
      </c>
      <c r="T64" s="1223"/>
      <c r="U64" s="879" t="s">
        <v>835</v>
      </c>
      <c r="V64" s="1023"/>
      <c r="W64" s="1024" t="s">
        <v>518</v>
      </c>
      <c r="X64" s="1023"/>
      <c r="Y64" s="1025"/>
      <c r="Z64" s="1299"/>
    </row>
    <row r="65" customFormat="false" ht="21.75" hidden="false" customHeight="true" outlineLevel="0" collapsed="false">
      <c r="B65" s="1725" t="n">
        <v>1</v>
      </c>
      <c r="C65" s="16" t="str">
        <f aca="false">IF(B65=1,Pricing!F$2,IF(B65=2,Pricing!G$2,IF(B65=3,Pricing!H$2,IF(B65=4,Pricing!I$2,IF(B65=5,Pricing!J$2,IF(B65=6,Pricing!K$2,IF(B65=7,Pricing!L$2,IF(B65=8,Pricing!M$2,IF(B65=9,Pricing!N$2,IF(B65=10,Pricing!O$2,0))))))))))</f>
        <v>3,000 PSI 5sk /Ash and Air</v>
      </c>
      <c r="D65" s="1726"/>
      <c r="E65" s="1726"/>
      <c r="F65" s="1726"/>
      <c r="G65" s="1727" t="n">
        <f aca="false">IF(B65=1,Pricing!F$3,IF(B65=2,Pricing!G$3,IF(B65=3,Pricing!H$3,IF(B65=4,Pricing!I$3,IF(B65=5,Pricing!J$3,IF(B65=6,Pricing!K$3,IF(B65=7,Pricing!L$3,IF(B65=8,Pricing!M$3,IF(B65=9,Pricing!N$3,IF(B65=10,Pricing!O$3,0))))))))))</f>
        <v>134</v>
      </c>
      <c r="H65" s="1726" t="s">
        <v>1285</v>
      </c>
      <c r="I65" s="1728"/>
      <c r="J65" s="1729"/>
      <c r="K65" s="1334" t="n">
        <v>0.06</v>
      </c>
      <c r="L65" s="1051" t="n">
        <f aca="false">IF(B65=1,BS$42,IF(B65=2,BT$42,IF(B65=3,BU$42,IF(B65=4,BV$42,IF(B65=5,BW$42,IF(B65=6,BX$42,IF(B65=7,BY$42,IF(B65=8,BZ$42,IF(B65=9,CA$42,IF(B65=10,CB$42))))))))))</f>
        <v>0</v>
      </c>
      <c r="M65" s="1051"/>
      <c r="N65" s="1034" t="s">
        <v>1286</v>
      </c>
      <c r="O65" s="1052" t="n">
        <f aca="false">L65*G65*(IF(W$44="N",1+Y$44,1))</f>
        <v>0</v>
      </c>
      <c r="P65" s="1052"/>
      <c r="R65" s="1147"/>
      <c r="S65" s="920"/>
      <c r="T65" s="1311"/>
      <c r="U65" s="78" t="s">
        <v>1415</v>
      </c>
      <c r="W65" s="1730" t="n">
        <v>0.7</v>
      </c>
      <c r="X65" s="1308" t="s">
        <v>1605</v>
      </c>
      <c r="Y65" s="1731" t="n">
        <f aca="false">IF(I79=0,0,Z110/I79)</f>
        <v>0</v>
      </c>
      <c r="Z65" s="1732"/>
      <c r="AT65" s="654"/>
      <c r="AU65" s="654"/>
    </row>
    <row r="66" customFormat="false" ht="21.75" hidden="false" customHeight="true" outlineLevel="0" collapsed="false">
      <c r="B66" s="1733" t="n">
        <v>2</v>
      </c>
      <c r="C66" s="16" t="str">
        <f aca="false">IF(B66=1,Pricing!F$2,IF(B66=2,Pricing!G$2,IF(B66=3,Pricing!H$2,IF(B66=4,Pricing!I$2,IF(B66=5,Pricing!J$2,IF(B66=6,Pricing!K$2,IF(B66=7,Pricing!L$2,IF(B66=8,Pricing!M$2,IF(B66=9,Pricing!N$2,IF(B66=10,Pricing!O$2,0))))))))))</f>
        <v>3,000 PSI / Ash no Air</v>
      </c>
      <c r="G66" s="1319" t="n">
        <f aca="false">IF(B66=1,Pricing!F$3,IF(B66=2,Pricing!G$3,IF(B66=3,Pricing!H$3,IF(B66=4,Pricing!I$3,IF(B66=5,Pricing!J$3,IF(B66=6,Pricing!K$3,IF(B66=7,Pricing!L$3,IF(B66=8,Pricing!M$3,IF(B66=9,Pricing!N$3,IF(B66=10,Pricing!O$3,0))))))))))</f>
        <v>145</v>
      </c>
      <c r="H66" s="16" t="s">
        <v>1285</v>
      </c>
      <c r="I66" s="1734"/>
      <c r="J66" s="1735"/>
      <c r="K66" s="1334"/>
      <c r="L66" s="1310" t="n">
        <f aca="false">IF(B66=1,BS$42,IF(B66=2,BT$42,IF(B66=3,BU$42,IF(B66=4,BV$42,IF(B66=5,BW$42,IF(B66=6,BX$42,IF(B66=7,BY$42,IF(B66=8,BZ$42,IF(B66=9,CA$42,IF(B66=10,CB$42))))))))))</f>
        <v>0</v>
      </c>
      <c r="M66" s="1310"/>
      <c r="N66" s="15" t="s">
        <v>1286</v>
      </c>
      <c r="O66" s="1035" t="n">
        <f aca="false">L66*G66*(IF(W$44="N",1+Y$44,1))</f>
        <v>0</v>
      </c>
      <c r="P66" s="1035"/>
      <c r="R66" s="1039" t="s">
        <v>1069</v>
      </c>
      <c r="S66" s="920" t="s">
        <v>526</v>
      </c>
      <c r="T66" s="78"/>
      <c r="V66" s="1311" t="n">
        <f aca="false">(V69*3+I83)*W65</f>
        <v>0</v>
      </c>
      <c r="W66" s="78" t="s">
        <v>1259</v>
      </c>
      <c r="X66" s="1308" t="n">
        <f aca="false">Pricing!Q4</f>
        <v>0.859375</v>
      </c>
      <c r="Y66" s="78" t="s">
        <v>527</v>
      </c>
      <c r="Z66" s="1736" t="n">
        <f aca="false">IF(W$44="Y",V66*X66,V66*X66*(1+Y$44))</f>
        <v>0</v>
      </c>
      <c r="AA66" s="373"/>
      <c r="AT66" s="654"/>
      <c r="AU66" s="654"/>
    </row>
    <row r="67" customFormat="false" ht="21.75" hidden="false" customHeight="true" outlineLevel="0" collapsed="false">
      <c r="B67" s="1737" t="n">
        <v>4</v>
      </c>
      <c r="C67" s="16" t="str">
        <f aca="false">IF(B67=1,Pricing!F$2,IF(B67=2,Pricing!G$2,IF(B67=3,Pricing!H$2,IF(B67=4,Pricing!I$2,IF(B67=5,Pricing!J$2,IF(B67=6,Pricing!K$2,IF(B67=7,Pricing!L$2,IF(B67=8,Pricing!M$2,IF(B67=9,Pricing!N$2,IF(B67=10,Pricing!O$2,0))))))))))</f>
        <v>3,500 PSI /Ash No Air</v>
      </c>
      <c r="G67" s="1319" t="n">
        <f aca="false">IF(B67=1,Pricing!F$3,IF(B67=2,Pricing!G$3,IF(B67=3,Pricing!H$3,IF(B67=4,Pricing!I$3,IF(B67=5,Pricing!J$3,IF(B67=6,Pricing!K$3,IF(B67=7,Pricing!L$3,IF(B67=8,Pricing!M$3,IF(B67=9,Pricing!N$3,IF(B67=10,Pricing!O$3,0))))))))))</f>
        <v>140</v>
      </c>
      <c r="I67" s="1734"/>
      <c r="J67" s="1735"/>
      <c r="K67" s="1334"/>
      <c r="L67" s="1310" t="n">
        <f aca="false">IF(B67=1,BS$42,IF(B67=2,BT$42,IF(B67=3,BU$42,IF(B67=4,BV$42,IF(B67=5,BW$42,IF(B67=6,BX$42,IF(B67=7,BY$42,IF(B67=8,BZ$42,IF(B67=9,CA$42,IF(B67=10,CB$42))))))))))</f>
        <v>0</v>
      </c>
      <c r="M67" s="1310"/>
      <c r="N67" s="15" t="s">
        <v>1286</v>
      </c>
      <c r="O67" s="1035" t="n">
        <f aca="false">L67*G67*(IF(W$44="N",1+Y$44,1))</f>
        <v>0</v>
      </c>
      <c r="P67" s="1035"/>
      <c r="R67" s="1039"/>
      <c r="S67" s="920"/>
      <c r="T67" s="78"/>
      <c r="V67" s="1311"/>
      <c r="W67" s="78"/>
      <c r="X67" s="1308"/>
      <c r="Y67" s="78"/>
      <c r="Z67" s="1736" t="n">
        <f aca="false">IF(W$44="Y",V67*X67,V67*X67*(1+Y$44))</f>
        <v>0</v>
      </c>
      <c r="AA67" s="373"/>
      <c r="AT67" s="654"/>
      <c r="AU67" s="654"/>
    </row>
    <row r="68" customFormat="false" ht="21.75" hidden="false" customHeight="true" outlineLevel="0" collapsed="false">
      <c r="B68" s="1737" t="n">
        <v>7</v>
      </c>
      <c r="C68" s="16" t="str">
        <f aca="false">IF(B68=1,Pricing!F$2,IF(B68=2,Pricing!G$2,IF(B68=3,Pricing!H$2,IF(B68=4,Pricing!I$2,IF(B68=5,Pricing!J$2,IF(B68=6,Pricing!K$2,IF(B68=7,Pricing!L$2,IF(B68=8,Pricing!M$2,IF(B68=9,Pricing!N$2,IF(B68=10,Pricing!O$2,0))))))))))</f>
        <v>4,500 PSI / Ash and Air</v>
      </c>
      <c r="G68" s="1319" t="n">
        <f aca="false">IF(B68=1,Pricing!F$3,IF(B68=2,Pricing!G$3,IF(B68=3,Pricing!H$3,IF(B68=4,Pricing!I$3,IF(B68=5,Pricing!J$3,IF(B68=6,Pricing!K$3,IF(B68=7,Pricing!L$3,IF(B68=8,Pricing!M$3,IF(B68=9,Pricing!N$3,IF(B68=10,Pricing!O$3,0))))))))))</f>
        <v>158</v>
      </c>
      <c r="I68" s="1734"/>
      <c r="J68" s="1735"/>
      <c r="K68" s="1334"/>
      <c r="L68" s="1310" t="n">
        <f aca="false">IF(B68=1,BS$42,IF(B68=2,BT$42,IF(B68=3,BU$42,IF(B68=4,BV$42,IF(B68=5,BW$42,IF(B68=6,BX$42,IF(B68=7,BY$42,IF(B68=8,BZ$42,IF(B68=9,CA$42,IF(B68=10,CB$42))))))))))</f>
        <v>0</v>
      </c>
      <c r="M68" s="1310"/>
      <c r="N68" s="15" t="s">
        <v>1286</v>
      </c>
      <c r="O68" s="1035" t="n">
        <f aca="false">L68*G68*(IF(W$44="N",1+Y$44,1))</f>
        <v>0</v>
      </c>
      <c r="P68" s="1035"/>
      <c r="R68" s="1039"/>
      <c r="S68" s="920"/>
      <c r="T68" s="78"/>
      <c r="V68" s="1311"/>
      <c r="W68" s="78"/>
      <c r="X68" s="1308"/>
      <c r="Y68" s="78"/>
      <c r="Z68" s="1736" t="n">
        <f aca="false">IF(W$44="Y",V68*X68,V68*X68*(1+Y$44))</f>
        <v>0</v>
      </c>
      <c r="AA68" s="373"/>
      <c r="AT68" s="654"/>
      <c r="AU68" s="654"/>
    </row>
    <row r="69" customFormat="false" ht="21.75" hidden="false" customHeight="true" outlineLevel="0" collapsed="false">
      <c r="B69" s="1738" t="n">
        <v>8</v>
      </c>
      <c r="C69" s="1044" t="str">
        <f aca="false">IF(B69=1,Pricing!F$2,IF(B69=2,Pricing!G$2,IF(B69=3,Pricing!H$2,IF(B69=4,Pricing!I$2,IF(B69=5,Pricing!J$2,IF(B69=6,Pricing!K$2,IF(B69=7,Pricing!L$2,IF(B69=8,Pricing!M$2,IF(B69=9,Pricing!N$2,IF(B69=10,Pricing!O$2,0))))))))))</f>
        <v>5,000 PSI / Ash no Air</v>
      </c>
      <c r="D69" s="397"/>
      <c r="E69" s="397"/>
      <c r="F69" s="397"/>
      <c r="G69" s="1315" t="n">
        <f aca="false">IF(B69=1,Pricing!F$3,IF(B69=2,Pricing!G$3,IF(B69=3,Pricing!H$3,IF(B69=4,Pricing!I$3,IF(B69=5,Pricing!J$3,IF(B69=6,Pricing!K$3,IF(B69=7,Pricing!L$3,IF(B69=8,Pricing!M$3,IF(B69=9,Pricing!N$3,IF(B69=10,Pricing!O$3,0))))))))))</f>
        <v>170</v>
      </c>
      <c r="H69" s="397" t="s">
        <v>1285</v>
      </c>
      <c r="I69" s="1739"/>
      <c r="J69" s="1030"/>
      <c r="K69" s="1334"/>
      <c r="L69" s="1310" t="n">
        <f aca="false">IF(B69=1,BS$42,IF(B69=2,BT$42,IF(B69=3,BU$42,IF(B69=4,BV$42,IF(B69=5,BW$42,IF(B69=6,BX$42,IF(B69=7,BY$42,IF(B69=8,BZ$42,IF(B69=9,CA$42,IF(B69=10,CB$42))))))))))</f>
        <v>0</v>
      </c>
      <c r="M69" s="1310"/>
      <c r="N69" s="1046" t="s">
        <v>1286</v>
      </c>
      <c r="O69" s="1740" t="n">
        <f aca="false">L69*G69*(IF(W$44="N",1+Y$44,1))</f>
        <v>0</v>
      </c>
      <c r="P69" s="1740"/>
      <c r="R69" s="1147" t="s">
        <v>1069</v>
      </c>
      <c r="S69" s="920" t="s">
        <v>534</v>
      </c>
      <c r="T69" s="78"/>
      <c r="V69" s="1311" t="n">
        <f aca="false">K42*W65</f>
        <v>0</v>
      </c>
      <c r="W69" s="78" t="s">
        <v>1259</v>
      </c>
      <c r="X69" s="1308" t="n">
        <f aca="false">Pricing!Q5</f>
        <v>1.4453125</v>
      </c>
      <c r="Y69" s="78" t="s">
        <v>527</v>
      </c>
      <c r="Z69" s="1732" t="n">
        <f aca="false">IF(W$44="Y",V69*X69,V69*X69*(1+Y$44))</f>
        <v>0</v>
      </c>
      <c r="AT69" s="654"/>
      <c r="AU69" s="654"/>
    </row>
    <row r="70" customFormat="false" ht="21.75" hidden="false" customHeight="true" outlineLevel="0" collapsed="false">
      <c r="B70" s="1741" t="str">
        <f aca="false">Summary!V60</f>
        <v>Import</v>
      </c>
      <c r="C70" s="1312" t="s">
        <v>1287</v>
      </c>
      <c r="D70" s="1312"/>
      <c r="E70" s="1312"/>
      <c r="F70" s="1312"/>
      <c r="G70" s="1048" t="n">
        <f aca="false">Pricing!D22</f>
        <v>0.6</v>
      </c>
      <c r="H70" s="16" t="s">
        <v>555</v>
      </c>
      <c r="I70" s="833"/>
      <c r="J70" s="1742"/>
      <c r="K70" s="1743" t="n">
        <v>0.1</v>
      </c>
      <c r="L70" s="1051" t="n">
        <f aca="false">SUM(BM10:BM41)+SUM(BO10:BO41)</f>
        <v>0</v>
      </c>
      <c r="M70" s="1051"/>
      <c r="N70" s="16" t="s">
        <v>1288</v>
      </c>
      <c r="O70" s="1052" t="n">
        <f aca="false">G70*L70*(IF(W44="N",1+Y44,1))</f>
        <v>0</v>
      </c>
      <c r="P70" s="1052"/>
      <c r="R70" s="1147" t="s">
        <v>1069</v>
      </c>
      <c r="S70" s="920" t="s">
        <v>1606</v>
      </c>
      <c r="T70" s="78"/>
      <c r="V70" s="1311" t="n">
        <f aca="false">SUM(W10:X41)*3</f>
        <v>0</v>
      </c>
      <c r="W70" s="78" t="s">
        <v>1259</v>
      </c>
      <c r="X70" s="1308" t="n">
        <f aca="false">X66*0.65</f>
        <v>0.55859375</v>
      </c>
      <c r="Y70" s="78" t="s">
        <v>527</v>
      </c>
      <c r="Z70" s="1732" t="n">
        <f aca="false">IF(W$44="Y",V70*X70,V70*X70*(1+Y$44))</f>
        <v>0</v>
      </c>
      <c r="AP70" s="654"/>
      <c r="AQ70" s="654"/>
      <c r="AR70" s="654"/>
      <c r="AS70" s="654"/>
      <c r="AT70" s="654"/>
      <c r="AU70" s="654"/>
    </row>
    <row r="71" customFormat="false" ht="21.75" hidden="false" customHeight="true" outlineLevel="0" collapsed="false">
      <c r="B71" s="507" t="s">
        <v>598</v>
      </c>
      <c r="C71" s="1312"/>
      <c r="D71" s="1312"/>
      <c r="E71" s="1312"/>
      <c r="F71" s="1312"/>
      <c r="G71" s="1319" t="n">
        <f aca="false">Pricing!D26</f>
        <v>0.4</v>
      </c>
      <c r="H71" s="16" t="s">
        <v>600</v>
      </c>
      <c r="I71" s="833"/>
      <c r="J71" s="1742"/>
      <c r="K71" s="1321" t="n">
        <v>0.1</v>
      </c>
      <c r="L71" s="1744" t="n">
        <f aca="false">O42</f>
        <v>0</v>
      </c>
      <c r="M71" s="1744"/>
      <c r="N71" s="16" t="s">
        <v>1418</v>
      </c>
      <c r="O71" s="1035" t="n">
        <f aca="false">G71*L71*(IF(W$44="N",1+Y$44,1))</f>
        <v>0</v>
      </c>
      <c r="P71" s="1035"/>
      <c r="R71" s="1147" t="s">
        <v>1069</v>
      </c>
      <c r="S71" s="920" t="s">
        <v>538</v>
      </c>
      <c r="T71" s="78"/>
      <c r="V71" s="1311" t="n">
        <f aca="false">CE42*W65*2</f>
        <v>0</v>
      </c>
      <c r="W71" s="78" t="s">
        <v>1259</v>
      </c>
      <c r="X71" s="1308" t="n">
        <f aca="false">Pricing!Q7</f>
        <v>1.09375</v>
      </c>
      <c r="Y71" s="78" t="s">
        <v>527</v>
      </c>
      <c r="Z71" s="1732" t="n">
        <f aca="false">IF(W$44="Y",V71*X71,V71*X71*(1+Y$44))</f>
        <v>0</v>
      </c>
      <c r="AP71" s="654"/>
      <c r="AQ71" s="654"/>
      <c r="AR71" s="654"/>
      <c r="AS71" s="654"/>
      <c r="AT71" s="654"/>
      <c r="AU71" s="654"/>
    </row>
    <row r="72" customFormat="false" ht="21.75" hidden="false" customHeight="true" outlineLevel="0" collapsed="false">
      <c r="B72" s="507" t="s">
        <v>1419</v>
      </c>
      <c r="C72" s="1074" t="s">
        <v>1607</v>
      </c>
      <c r="D72" s="1074"/>
      <c r="E72" s="1074" t="s">
        <v>1608</v>
      </c>
      <c r="F72" s="1074"/>
      <c r="G72" s="1319" t="n">
        <v>0.85</v>
      </c>
      <c r="H72" s="1142" t="s">
        <v>600</v>
      </c>
      <c r="I72" s="782" t="s">
        <v>1291</v>
      </c>
      <c r="J72" s="1745"/>
      <c r="K72" s="1745"/>
      <c r="L72" s="1746" t="n">
        <f aca="false">CD42*0.4</f>
        <v>0</v>
      </c>
      <c r="M72" s="1746"/>
      <c r="N72" s="16" t="s">
        <v>1288</v>
      </c>
      <c r="O72" s="1038" t="n">
        <f aca="false">IF(J72=0,CD42*G72*IF(W44="n",(1+Y44),1),J72)</f>
        <v>0</v>
      </c>
      <c r="P72" s="1038"/>
      <c r="R72" s="1147" t="s">
        <v>1069</v>
      </c>
      <c r="S72" s="920" t="s">
        <v>1292</v>
      </c>
      <c r="T72" s="78"/>
      <c r="V72" s="1311" t="n">
        <f aca="false">ROUNDUP(SUM(K10:K41)*0.03/16,0)</f>
        <v>0</v>
      </c>
      <c r="W72" s="78" t="s">
        <v>1609</v>
      </c>
      <c r="X72" s="1308" t="n">
        <f aca="false">Pricing!Q9</f>
        <v>20</v>
      </c>
      <c r="Y72" s="78" t="s">
        <v>1610</v>
      </c>
      <c r="Z72" s="1732" t="n">
        <f aca="false">IF(W$44="Y",V72*X72,V72*X72*(1+Y$44))</f>
        <v>0</v>
      </c>
      <c r="AP72" s="654"/>
      <c r="AQ72" s="654"/>
      <c r="AR72" s="654"/>
      <c r="AS72" s="654"/>
      <c r="AT72" s="654"/>
      <c r="AU72" s="654"/>
    </row>
    <row r="73" customFormat="false" ht="21.75" hidden="false" customHeight="true" outlineLevel="0" collapsed="false">
      <c r="B73" s="1747" t="s">
        <v>1611</v>
      </c>
      <c r="C73" s="1748"/>
      <c r="D73" s="1748"/>
      <c r="E73" s="1748"/>
      <c r="F73" s="1748"/>
      <c r="G73" s="1315" t="n">
        <f aca="false">Pricing!D19</f>
        <v>25</v>
      </c>
      <c r="H73" s="397" t="s">
        <v>1285</v>
      </c>
      <c r="I73" s="1749"/>
      <c r="J73" s="1750"/>
      <c r="K73" s="1751"/>
      <c r="L73" s="1752" t="n">
        <f aca="false">CJ42</f>
        <v>0</v>
      </c>
      <c r="M73" s="1752"/>
      <c r="N73" s="397" t="s">
        <v>1286</v>
      </c>
      <c r="O73" s="1740" t="n">
        <f aca="false">G73*L73*(IF(W$44="N",1+Y$44,1))</f>
        <v>0</v>
      </c>
      <c r="P73" s="1740"/>
      <c r="R73" s="1147" t="s">
        <v>1069</v>
      </c>
      <c r="S73" s="920" t="s">
        <v>540</v>
      </c>
      <c r="T73" s="78"/>
      <c r="V73" s="1311" t="n">
        <f aca="false">I83/32*W65*1.1</f>
        <v>0</v>
      </c>
      <c r="W73" s="78" t="s">
        <v>1420</v>
      </c>
      <c r="X73" s="1308" t="n">
        <f aca="false">Pricing!Q8</f>
        <v>74.75</v>
      </c>
      <c r="Y73" s="78" t="s">
        <v>541</v>
      </c>
      <c r="Z73" s="1732" t="n">
        <f aca="false">IF(W$44="Y",V73*X73,V73*X73*(1+Y$44))</f>
        <v>0</v>
      </c>
      <c r="AP73" s="654"/>
      <c r="AQ73" s="654"/>
      <c r="AR73" s="654"/>
      <c r="AS73" s="654"/>
      <c r="AT73" s="654"/>
      <c r="AU73" s="654"/>
    </row>
    <row r="74" customFormat="false" ht="21.75" hidden="false" customHeight="true" outlineLevel="0" collapsed="false">
      <c r="B74" s="599" t="s">
        <v>1612</v>
      </c>
      <c r="E74" s="1753" t="s">
        <v>1613</v>
      </c>
      <c r="F74" s="1754"/>
      <c r="G74" s="1755" t="n">
        <v>1</v>
      </c>
      <c r="H74" s="16" t="s">
        <v>1259</v>
      </c>
      <c r="I74" s="833"/>
      <c r="J74" s="1742"/>
      <c r="K74" s="1756" t="n">
        <v>0.1</v>
      </c>
      <c r="L74" s="1757"/>
      <c r="M74" s="1757"/>
      <c r="N74" s="16" t="s">
        <v>1418</v>
      </c>
      <c r="O74" s="1052" t="n">
        <f aca="false">L74*G74*(IF(W$44="N",1+Y$44,1))</f>
        <v>0</v>
      </c>
      <c r="P74" s="1052"/>
      <c r="R74" s="1147" t="s">
        <v>1069</v>
      </c>
      <c r="S74" s="920" t="s">
        <v>1298</v>
      </c>
      <c r="T74" s="78"/>
      <c r="V74" s="1311" t="n">
        <f aca="false">ROUND(V71/25,0)</f>
        <v>0</v>
      </c>
      <c r="W74" s="78" t="s">
        <v>1299</v>
      </c>
      <c r="X74" s="1308" t="n">
        <f aca="false">Pricing!Q15</f>
        <v>24</v>
      </c>
      <c r="Y74" s="78" t="s">
        <v>1300</v>
      </c>
      <c r="Z74" s="1732" t="n">
        <f aca="false">IF(W$44="Y",V74*X74,V74*X74*(1+Y$44))</f>
        <v>0</v>
      </c>
      <c r="AP74" s="654"/>
      <c r="AQ74" s="654"/>
      <c r="AR74" s="654"/>
      <c r="AS74" s="654"/>
      <c r="AT74" s="654"/>
      <c r="AU74" s="654"/>
    </row>
    <row r="75" customFormat="false" ht="23.25" hidden="false" customHeight="true" outlineLevel="0" collapsed="false">
      <c r="B75" s="599" t="s">
        <v>1614</v>
      </c>
      <c r="E75" s="1753"/>
      <c r="F75" s="1173" t="s">
        <v>1047</v>
      </c>
      <c r="G75" s="1755" t="n">
        <v>1.35</v>
      </c>
      <c r="H75" s="16" t="s">
        <v>600</v>
      </c>
      <c r="K75" s="1758" t="n">
        <v>0.1</v>
      </c>
      <c r="L75" s="1759" t="n">
        <f aca="false">IF(F75="Y",SUM(D$42)*(1+K$75),0)</f>
        <v>0</v>
      </c>
      <c r="M75" s="1759"/>
      <c r="N75" s="16" t="s">
        <v>1418</v>
      </c>
      <c r="O75" s="1035" t="n">
        <f aca="false">L75*G75*(IF(W$44="N",1+Y$44,1))</f>
        <v>0</v>
      </c>
      <c r="P75" s="1035"/>
      <c r="R75" s="1147" t="s">
        <v>1069</v>
      </c>
      <c r="S75" s="920" t="s">
        <v>561</v>
      </c>
      <c r="T75" s="78"/>
      <c r="V75" s="1311" t="n">
        <f aca="false">ROUNDUP((SUM(K10:K41))*1.25/500,0)</f>
        <v>0</v>
      </c>
      <c r="W75" s="78" t="s">
        <v>1303</v>
      </c>
      <c r="X75" s="1308" t="n">
        <f aca="false">Pricing!Q16</f>
        <v>68.2</v>
      </c>
      <c r="Y75" s="78" t="s">
        <v>562</v>
      </c>
      <c r="Z75" s="1732" t="n">
        <f aca="false">IF(W$44="Y",V75*X75,V75*X75*(1+Y$44))</f>
        <v>0</v>
      </c>
      <c r="AP75" s="654"/>
      <c r="AQ75" s="654"/>
      <c r="AR75" s="654"/>
      <c r="AS75" s="654"/>
      <c r="AT75" s="654"/>
      <c r="AU75" s="654" t="s">
        <v>860</v>
      </c>
    </row>
    <row r="76" customFormat="false" ht="21.75" hidden="false" customHeight="true" outlineLevel="0" collapsed="false">
      <c r="B76" s="599" t="s">
        <v>1615</v>
      </c>
      <c r="E76" s="1753"/>
      <c r="F76" s="1173" t="s">
        <v>1047</v>
      </c>
      <c r="G76" s="1337" t="n">
        <v>0.35</v>
      </c>
      <c r="H76" s="16" t="s">
        <v>600</v>
      </c>
      <c r="I76" s="405"/>
      <c r="J76" s="1320"/>
      <c r="K76" s="1758"/>
      <c r="L76" s="1759" t="n">
        <f aca="false">IF(F76="Y",SUM(D$42)*(1+K$75),0)</f>
        <v>0</v>
      </c>
      <c r="M76" s="1759"/>
      <c r="N76" s="16" t="s">
        <v>1418</v>
      </c>
      <c r="O76" s="1035" t="n">
        <f aca="false">L76*G76*(IF(W$44="N",1+Y$44,1))</f>
        <v>0</v>
      </c>
      <c r="P76" s="1035"/>
      <c r="R76" s="1147" t="s">
        <v>1069</v>
      </c>
      <c r="S76" s="920" t="s">
        <v>563</v>
      </c>
      <c r="T76" s="78"/>
      <c r="V76" s="1311" t="n">
        <f aca="false">ROUNDUP((SUM(K11:K42))*1.25/500,0)</f>
        <v>0</v>
      </c>
      <c r="W76" s="78" t="s">
        <v>1303</v>
      </c>
      <c r="X76" s="1308" t="n">
        <f aca="false">Pricing!Q17</f>
        <v>68.2</v>
      </c>
      <c r="Y76" s="78" t="s">
        <v>562</v>
      </c>
      <c r="Z76" s="1732" t="n">
        <f aca="false">IF(W$44="Y",V76*X76,V76*X76*(1+Y$44))</f>
        <v>0</v>
      </c>
      <c r="AP76" s="654"/>
      <c r="AQ76" s="654"/>
      <c r="AR76" s="654"/>
      <c r="AS76" s="654"/>
      <c r="AT76" s="654"/>
      <c r="AU76" s="654"/>
    </row>
    <row r="77" customFormat="false" ht="21.75" hidden="false" customHeight="true" outlineLevel="0" collapsed="false">
      <c r="B77" s="1109" t="s">
        <v>1067</v>
      </c>
      <c r="C77" s="855"/>
      <c r="D77" s="855"/>
      <c r="E77" s="855"/>
      <c r="F77" s="1760"/>
      <c r="G77" s="1371" t="n">
        <v>20</v>
      </c>
      <c r="H77" s="1058" t="s">
        <v>1616</v>
      </c>
      <c r="I77" s="855"/>
      <c r="J77" s="855"/>
      <c r="K77" s="1761" t="n">
        <v>0.1</v>
      </c>
      <c r="L77" s="1762" t="n">
        <v>0</v>
      </c>
      <c r="M77" s="1762"/>
      <c r="N77" s="1058" t="s">
        <v>1463</v>
      </c>
      <c r="O77" s="1763" t="n">
        <f aca="false">L77*G77*(IF(W$44="N",1+Y$44,1))</f>
        <v>0</v>
      </c>
      <c r="P77" s="1763"/>
      <c r="R77" s="1147" t="s">
        <v>1069</v>
      </c>
      <c r="S77" s="920" t="s">
        <v>1617</v>
      </c>
      <c r="T77" s="78"/>
      <c r="V77" s="1311" t="n">
        <f aca="false">ROUNDUP((SUM(K12:K47))*1.25/500,0)</f>
        <v>0</v>
      </c>
      <c r="W77" s="78" t="s">
        <v>1303</v>
      </c>
      <c r="X77" s="1308" t="n">
        <f aca="false">Pricing!Q16</f>
        <v>68.2</v>
      </c>
      <c r="Y77" s="78" t="s">
        <v>562</v>
      </c>
      <c r="Z77" s="1732" t="n">
        <f aca="false">IF(W$44="Y",V77*X77,V77*X77*(1+Y$44))</f>
        <v>0</v>
      </c>
      <c r="AP77" s="654"/>
      <c r="AQ77" s="654"/>
      <c r="AR77" s="654"/>
      <c r="AS77" s="654"/>
      <c r="AT77" s="654"/>
      <c r="AU77" s="654"/>
    </row>
    <row r="78" customFormat="false" ht="21.75" hidden="false" customHeight="true" outlineLevel="0" collapsed="false">
      <c r="B78" s="1764" t="s">
        <v>1434</v>
      </c>
      <c r="C78" s="1765"/>
      <c r="D78" s="1765" t="s">
        <v>1296</v>
      </c>
      <c r="E78" s="1765"/>
      <c r="F78" s="1765"/>
      <c r="G78" s="1765"/>
      <c r="H78" s="1345"/>
      <c r="I78" s="1765"/>
      <c r="J78" s="1765"/>
      <c r="K78" s="1765"/>
      <c r="L78" s="1765" t="s">
        <v>973</v>
      </c>
      <c r="M78" s="1765"/>
      <c r="N78" s="1765" t="s">
        <v>1297</v>
      </c>
      <c r="O78" s="1765"/>
      <c r="P78" s="1766"/>
      <c r="R78" s="1147" t="s">
        <v>1069</v>
      </c>
      <c r="S78" s="920" t="s">
        <v>1310</v>
      </c>
      <c r="T78" s="78"/>
      <c r="V78" s="1311" t="n">
        <f aca="false">CE42/150</f>
        <v>0</v>
      </c>
      <c r="W78" s="78" t="s">
        <v>1303</v>
      </c>
      <c r="X78" s="1308" t="n">
        <f aca="false">Pricing!Q34</f>
        <v>45.24</v>
      </c>
      <c r="Y78" s="78" t="s">
        <v>562</v>
      </c>
      <c r="Z78" s="1732" t="n">
        <f aca="false">IF(W$44="Y",V78*X78,V78*X78*(1+Y$44))</f>
        <v>0</v>
      </c>
      <c r="AP78" s="654"/>
      <c r="AQ78" s="654"/>
      <c r="AR78" s="654"/>
      <c r="AS78" s="654"/>
      <c r="AT78" s="654"/>
      <c r="AU78" s="654"/>
    </row>
    <row r="79" customFormat="false" ht="21.75" hidden="false" customHeight="true" outlineLevel="0" collapsed="false">
      <c r="B79" s="1347" t="s">
        <v>1437</v>
      </c>
      <c r="C79" s="695"/>
      <c r="D79" s="1066" t="s">
        <v>1302</v>
      </c>
      <c r="E79" s="1767" t="n">
        <v>0.45</v>
      </c>
      <c r="F79" s="1767"/>
      <c r="G79" s="1068" t="s">
        <v>1618</v>
      </c>
      <c r="H79" s="1768" t="n">
        <f aca="false">SUM(E79:F82)</f>
        <v>1.9</v>
      </c>
      <c r="I79" s="1769" t="n">
        <f aca="false">D42</f>
        <v>0</v>
      </c>
      <c r="J79" s="1769"/>
      <c r="K79" s="1068" t="s">
        <v>1418</v>
      </c>
      <c r="L79" s="1770" t="n">
        <f aca="false">IF(D79="N",E79*I$79,0)</f>
        <v>0</v>
      </c>
      <c r="M79" s="1770"/>
      <c r="N79" s="175"/>
      <c r="O79" s="1102" t="n">
        <f aca="false">IF(D79="y",I$79*E79,0)</f>
        <v>0</v>
      </c>
      <c r="P79" s="1102"/>
      <c r="R79" s="1147" t="s">
        <v>1069</v>
      </c>
      <c r="S79" s="920" t="s">
        <v>571</v>
      </c>
      <c r="T79" s="78"/>
      <c r="V79" s="1311"/>
      <c r="W79" s="78" t="s">
        <v>1259</v>
      </c>
      <c r="X79" s="1308" t="n">
        <f aca="false">Pricing!Q19</f>
        <v>0.95</v>
      </c>
      <c r="Y79" s="78" t="s">
        <v>527</v>
      </c>
      <c r="Z79" s="1732" t="n">
        <f aca="false">IF(W$44="Y",V79*X79,V79*X79*(1+Y$44))</f>
        <v>0</v>
      </c>
      <c r="AP79" s="654"/>
      <c r="AQ79" s="654"/>
      <c r="AR79" s="654"/>
      <c r="AS79" s="654"/>
      <c r="AT79" s="654"/>
      <c r="AU79" s="656"/>
    </row>
    <row r="80" customFormat="false" ht="21.75" hidden="false" customHeight="true" outlineLevel="0" collapsed="false">
      <c r="B80" s="507" t="s">
        <v>1619</v>
      </c>
      <c r="C80" s="1771"/>
      <c r="D80" s="1074" t="s">
        <v>1302</v>
      </c>
      <c r="E80" s="1772" t="n">
        <v>0.7</v>
      </c>
      <c r="F80" s="1772"/>
      <c r="G80" s="16" t="s">
        <v>600</v>
      </c>
      <c r="H80" s="1768"/>
      <c r="I80" s="1769"/>
      <c r="J80" s="1769"/>
      <c r="K80" s="1771" t="s">
        <v>1418</v>
      </c>
      <c r="L80" s="1773" t="n">
        <f aca="false">IF(D80="N",E80*I$79,0)</f>
        <v>0</v>
      </c>
      <c r="M80" s="1773"/>
      <c r="O80" s="1038" t="n">
        <f aca="false">IF(D80="y",I$79*E80,0)</f>
        <v>0</v>
      </c>
      <c r="P80" s="1038"/>
      <c r="R80" s="1147" t="s">
        <v>1069</v>
      </c>
      <c r="S80" s="920" t="s">
        <v>576</v>
      </c>
      <c r="T80" s="78"/>
      <c r="V80" s="1311" t="n">
        <v>0</v>
      </c>
      <c r="W80" s="78" t="s">
        <v>1259</v>
      </c>
      <c r="X80" s="1308" t="n">
        <f aca="false">Pricing!Q20</f>
        <v>0.25</v>
      </c>
      <c r="Y80" s="78" t="s">
        <v>527</v>
      </c>
      <c r="Z80" s="1732" t="n">
        <f aca="false">IF(W$44="Y",V80*X80,V80*X80*(1+Y$44))</f>
        <v>0</v>
      </c>
      <c r="AP80" s="654"/>
      <c r="AQ80" s="654"/>
      <c r="AR80" s="654"/>
      <c r="AS80" s="654"/>
      <c r="AT80" s="654"/>
      <c r="AU80" s="656"/>
    </row>
    <row r="81" customFormat="false" ht="21.75" hidden="false" customHeight="true" outlineLevel="0" collapsed="false">
      <c r="B81" s="507" t="s">
        <v>1442</v>
      </c>
      <c r="C81" s="405"/>
      <c r="D81" s="1074" t="s">
        <v>1302</v>
      </c>
      <c r="E81" s="1774" t="n">
        <v>0.55</v>
      </c>
      <c r="F81" s="1774"/>
      <c r="G81" s="16" t="s">
        <v>1618</v>
      </c>
      <c r="H81" s="1768"/>
      <c r="I81" s="1769"/>
      <c r="J81" s="1769"/>
      <c r="K81" s="16" t="s">
        <v>1418</v>
      </c>
      <c r="L81" s="1773" t="n">
        <f aca="false">IF(D81="N",E81*I$79,0)</f>
        <v>0</v>
      </c>
      <c r="M81" s="1773"/>
      <c r="O81" s="1038" t="n">
        <f aca="false">IF(D81="y",I$79*E81,0)</f>
        <v>0</v>
      </c>
      <c r="P81" s="1038"/>
      <c r="R81" s="1147" t="s">
        <v>1069</v>
      </c>
      <c r="S81" s="920" t="s">
        <v>551</v>
      </c>
      <c r="T81" s="78"/>
      <c r="V81" s="1311" t="n">
        <v>0</v>
      </c>
      <c r="W81" s="78" t="s">
        <v>1259</v>
      </c>
      <c r="X81" s="1308" t="n">
        <f aca="false">Pricing!Q12</f>
        <v>1.063125</v>
      </c>
      <c r="Y81" s="78" t="s">
        <v>527</v>
      </c>
      <c r="Z81" s="1732" t="n">
        <f aca="false">IF(W$44="Y",V81*X81,V81*X81*(1+Y$44))</f>
        <v>0</v>
      </c>
    </row>
    <row r="82" customFormat="false" ht="21.75" hidden="false" customHeight="true" outlineLevel="0" collapsed="false">
      <c r="B82" s="507" t="s">
        <v>1443</v>
      </c>
      <c r="C82" s="405"/>
      <c r="D82" s="1074" t="s">
        <v>1302</v>
      </c>
      <c r="E82" s="1775" t="n">
        <v>0.2</v>
      </c>
      <c r="F82" s="1775"/>
      <c r="G82" s="16" t="s">
        <v>1618</v>
      </c>
      <c r="H82" s="1768"/>
      <c r="I82" s="1769"/>
      <c r="J82" s="1769"/>
      <c r="K82" s="16" t="s">
        <v>1418</v>
      </c>
      <c r="L82" s="1773" t="n">
        <f aca="false">IF(D82="N",E82*I$79,0)</f>
        <v>0</v>
      </c>
      <c r="M82" s="1773"/>
      <c r="O82" s="1038" t="n">
        <f aca="false">IF(D82="y",I$79*E82,0)</f>
        <v>0</v>
      </c>
      <c r="P82" s="1038"/>
      <c r="R82" s="1147" t="s">
        <v>1069</v>
      </c>
      <c r="S82" s="920" t="s">
        <v>552</v>
      </c>
      <c r="T82" s="78"/>
      <c r="V82" s="1311" t="n">
        <v>0</v>
      </c>
      <c r="W82" s="78" t="s">
        <v>1259</v>
      </c>
      <c r="X82" s="1308" t="n">
        <f aca="false">Pricing!Q13</f>
        <v>1.494375</v>
      </c>
      <c r="Y82" s="78" t="s">
        <v>527</v>
      </c>
      <c r="Z82" s="1732" t="n">
        <f aca="false">IF(W$44="Y",V82*X82,V82*X82*(1+Y$44))</f>
        <v>0</v>
      </c>
    </row>
    <row r="83" customFormat="false" ht="21.75" hidden="false" customHeight="true" outlineLevel="0" collapsed="false">
      <c r="B83" s="507" t="s">
        <v>1488</v>
      </c>
      <c r="C83" s="405"/>
      <c r="D83" s="1074" t="s">
        <v>1302</v>
      </c>
      <c r="E83" s="1776" t="n">
        <v>8</v>
      </c>
      <c r="F83" s="1776"/>
      <c r="G83" s="16" t="s">
        <v>1620</v>
      </c>
      <c r="I83" s="1777" t="n">
        <f aca="false">SUM(T10:T41)</f>
        <v>0</v>
      </c>
      <c r="J83" s="1777"/>
      <c r="K83" s="16" t="s">
        <v>1621</v>
      </c>
      <c r="L83" s="1773" t="n">
        <f aca="false">IF(D83="N",E83*I$83,0)</f>
        <v>0</v>
      </c>
      <c r="M83" s="1773"/>
      <c r="O83" s="1038" t="n">
        <f aca="false">IF(D83="y",I$83*E83,0)</f>
        <v>0</v>
      </c>
      <c r="P83" s="1038"/>
      <c r="R83" s="1147" t="s">
        <v>1069</v>
      </c>
      <c r="S83" s="920" t="s">
        <v>1622</v>
      </c>
      <c r="T83" s="78"/>
      <c r="V83" s="1311" t="n">
        <v>0</v>
      </c>
      <c r="W83" s="78" t="s">
        <v>1623</v>
      </c>
      <c r="X83" s="1308" t="n">
        <v>400</v>
      </c>
      <c r="Y83" s="78" t="s">
        <v>1624</v>
      </c>
      <c r="Z83" s="1732" t="n">
        <f aca="false">IF(W$44="Y",V83*X83,V83*X83*(1+Y$44))</f>
        <v>0</v>
      </c>
    </row>
    <row r="84" customFormat="false" ht="21.75" hidden="false" customHeight="true" outlineLevel="0" collapsed="false">
      <c r="B84" s="507" t="s">
        <v>1473</v>
      </c>
      <c r="C84" s="405"/>
      <c r="D84" s="1074" t="s">
        <v>1302</v>
      </c>
      <c r="E84" s="1778"/>
      <c r="F84" s="1779"/>
      <c r="G84" s="1780"/>
      <c r="H84" s="1781"/>
      <c r="I84" s="1782"/>
      <c r="J84" s="1782"/>
      <c r="K84" s="1780"/>
      <c r="L84" s="1783"/>
      <c r="M84" s="1783"/>
      <c r="N84" s="1781"/>
      <c r="O84" s="1038" t="n">
        <f aca="false">SUM(CP10:CP41)</f>
        <v>0</v>
      </c>
      <c r="P84" s="1038"/>
      <c r="R84" s="1147" t="s">
        <v>1069</v>
      </c>
      <c r="S84" s="920" t="s">
        <v>1625</v>
      </c>
      <c r="T84" s="78"/>
      <c r="V84" s="1311" t="n">
        <v>0</v>
      </c>
      <c r="W84" s="78" t="s">
        <v>1623</v>
      </c>
      <c r="X84" s="1308" t="n">
        <v>6.75</v>
      </c>
      <c r="Y84" s="78"/>
      <c r="Z84" s="1732" t="n">
        <f aca="false">IF(W$44="Y",V84*X84,V84*X84*(1+Y$44))</f>
        <v>0</v>
      </c>
    </row>
    <row r="85" customFormat="false" ht="21.75" hidden="false" customHeight="true" outlineLevel="0" collapsed="false">
      <c r="B85" s="507" t="s">
        <v>1626</v>
      </c>
      <c r="C85" s="405"/>
      <c r="D85" s="1074" t="s">
        <v>1302</v>
      </c>
      <c r="E85" s="1776" t="n">
        <v>12</v>
      </c>
      <c r="F85" s="1776"/>
      <c r="G85" s="16" t="s">
        <v>1285</v>
      </c>
      <c r="I85" s="1777" t="n">
        <f aca="false">IF((SUM(L65:M69)-I79/27)&lt;0,0,SUM(L65:M69)-I79/30)</f>
        <v>0</v>
      </c>
      <c r="J85" s="1777"/>
      <c r="K85" s="16" t="s">
        <v>998</v>
      </c>
      <c r="L85" s="1773" t="n">
        <f aca="false">IF(D85="N",E85*I$85,0)</f>
        <v>0</v>
      </c>
      <c r="M85" s="1773"/>
      <c r="O85" s="1038" t="n">
        <f aca="false">IF(D85="y",I$85*E85,0)</f>
        <v>0</v>
      </c>
      <c r="P85" s="1038"/>
      <c r="R85" s="1147" t="s">
        <v>1069</v>
      </c>
      <c r="S85" s="920" t="s">
        <v>1627</v>
      </c>
      <c r="T85" s="78"/>
      <c r="V85" s="1311" t="n">
        <v>0</v>
      </c>
      <c r="W85" s="78" t="s">
        <v>1623</v>
      </c>
      <c r="X85" s="1308" t="n">
        <v>8.5</v>
      </c>
      <c r="Y85" s="78"/>
      <c r="Z85" s="1732" t="n">
        <f aca="false">IF(W$44="Y",V85*X85,V85*X85*(1+Y$44))</f>
        <v>0</v>
      </c>
    </row>
    <row r="86" customFormat="false" ht="21.75" hidden="false" customHeight="true" outlineLevel="0" collapsed="false">
      <c r="B86" s="507" t="s">
        <v>1628</v>
      </c>
      <c r="C86" s="405"/>
      <c r="D86" s="1074" t="s">
        <v>1302</v>
      </c>
      <c r="E86" s="1776" t="n">
        <v>100</v>
      </c>
      <c r="F86" s="1776"/>
      <c r="G86" s="16" t="s">
        <v>1624</v>
      </c>
      <c r="I86" s="1784" t="n">
        <f aca="false">CK42</f>
        <v>0</v>
      </c>
      <c r="J86" s="1784"/>
      <c r="K86" s="16" t="s">
        <v>1000</v>
      </c>
      <c r="L86" s="1773" t="n">
        <f aca="false">IF(D86="N",E86*I$86,0)</f>
        <v>0</v>
      </c>
      <c r="M86" s="1773"/>
      <c r="O86" s="1038" t="n">
        <f aca="false">IF(D86="y",I$86*E86,0)</f>
        <v>0</v>
      </c>
      <c r="P86" s="1038"/>
      <c r="R86" s="1147" t="s">
        <v>1069</v>
      </c>
      <c r="S86" s="1357"/>
      <c r="T86" s="1358"/>
      <c r="U86" s="265"/>
      <c r="V86" s="1359"/>
      <c r="W86" s="1358"/>
      <c r="X86" s="1360"/>
      <c r="Y86" s="1358"/>
      <c r="Z86" s="1785" t="n">
        <f aca="false">IF(W$44="Y",V86*X86,V86*X86*(1+Y$44))</f>
        <v>0</v>
      </c>
    </row>
    <row r="87" customFormat="false" ht="21.75" hidden="false" customHeight="true" outlineLevel="0" collapsed="false">
      <c r="B87" s="507" t="s">
        <v>1307</v>
      </c>
      <c r="C87" s="405"/>
      <c r="D87" s="1074" t="s">
        <v>1302</v>
      </c>
      <c r="E87" s="1786" t="n">
        <v>450</v>
      </c>
      <c r="F87" s="1786"/>
      <c r="G87" s="16" t="s">
        <v>1308</v>
      </c>
      <c r="I87" s="1784" t="n">
        <f aca="false">U42/2000</f>
        <v>0</v>
      </c>
      <c r="J87" s="1784"/>
      <c r="K87" s="16" t="s">
        <v>1309</v>
      </c>
      <c r="L87" s="1773" t="n">
        <f aca="false">IF(D87="N",E87*I$87,0)</f>
        <v>0</v>
      </c>
      <c r="M87" s="1773"/>
      <c r="O87" s="1038" t="n">
        <f aca="false">IF(D87="y",I87*E87,0)</f>
        <v>0</v>
      </c>
      <c r="P87" s="1038"/>
      <c r="R87" s="1039" t="s">
        <v>1077</v>
      </c>
      <c r="S87" s="920" t="s">
        <v>1629</v>
      </c>
      <c r="T87" s="78" t="s">
        <v>1630</v>
      </c>
      <c r="U87" s="54" t="s">
        <v>1047</v>
      </c>
      <c r="V87" s="1311" t="n">
        <f aca="false">IF(U87="Y",DC47/1900,0)</f>
        <v>0</v>
      </c>
      <c r="W87" s="78" t="s">
        <v>1454</v>
      </c>
      <c r="X87" s="1308" t="n">
        <f aca="false">82+25</f>
        <v>107</v>
      </c>
      <c r="Y87" s="78" t="s">
        <v>1631</v>
      </c>
      <c r="Z87" s="1732" t="n">
        <f aca="false">IF(W$44="Y",V87*X87,V87*X87*(1+Y$44))</f>
        <v>0</v>
      </c>
    </row>
    <row r="88" customFormat="false" ht="21.75" hidden="false" customHeight="true" outlineLevel="0" collapsed="false">
      <c r="B88" s="1747" t="s">
        <v>1313</v>
      </c>
      <c r="C88" s="1082"/>
      <c r="D88" s="1083" t="s">
        <v>1302</v>
      </c>
      <c r="E88" s="1787"/>
      <c r="F88" s="1787"/>
      <c r="G88" s="397"/>
      <c r="H88" s="397"/>
      <c r="I88" s="1788"/>
      <c r="J88" s="1788"/>
      <c r="K88" s="397"/>
      <c r="L88" s="1789" t="n">
        <f aca="false">IF(D88="N",E88,0)</f>
        <v>0</v>
      </c>
      <c r="M88" s="1789"/>
      <c r="N88" s="265"/>
      <c r="O88" s="1056" t="n">
        <f aca="false">IF(D88="y",E88,0)</f>
        <v>0</v>
      </c>
      <c r="P88" s="1056"/>
      <c r="R88" s="1039" t="s">
        <v>1077</v>
      </c>
      <c r="S88" s="920" t="s">
        <v>1632</v>
      </c>
      <c r="T88" s="78" t="s">
        <v>1633</v>
      </c>
      <c r="U88" s="54" t="s">
        <v>1306</v>
      </c>
      <c r="V88" s="1311" t="n">
        <f aca="false">IF(U88="Y",DC$47/2940,0)</f>
        <v>0</v>
      </c>
      <c r="W88" s="78" t="s">
        <v>1454</v>
      </c>
      <c r="X88" s="1308" t="n">
        <f aca="false">Pricing!Q58+30</f>
        <v>340</v>
      </c>
      <c r="Y88" s="78" t="s">
        <v>1631</v>
      </c>
      <c r="Z88" s="1732" t="n">
        <f aca="false">IF(W$44="Y",V88*X88,V88*X88*(1+Y$44))</f>
        <v>0</v>
      </c>
    </row>
    <row r="89" customFormat="false" ht="21.75" hidden="false" customHeight="true" outlineLevel="0" collapsed="false">
      <c r="B89" s="1087" t="s">
        <v>1447</v>
      </c>
      <c r="C89" s="1088"/>
      <c r="D89" s="1089"/>
      <c r="E89" s="1090" t="n">
        <f aca="false">IF(I79=0,0,(O89-E88+L89)/I79)</f>
        <v>0</v>
      </c>
      <c r="F89" s="1790"/>
      <c r="G89" s="855"/>
      <c r="H89" s="1058"/>
      <c r="I89" s="1088" t="s">
        <v>980</v>
      </c>
      <c r="J89" s="1088"/>
      <c r="K89" s="1088"/>
      <c r="L89" s="1791" t="n">
        <f aca="false">SUM(L79:M88)</f>
        <v>0</v>
      </c>
      <c r="M89" s="1791"/>
      <c r="N89" s="246"/>
      <c r="O89" s="736" t="n">
        <f aca="false">SUM(O79:P88)</f>
        <v>0</v>
      </c>
      <c r="P89" s="736"/>
      <c r="R89" s="1039" t="s">
        <v>1077</v>
      </c>
      <c r="S89" s="920" t="s">
        <v>1634</v>
      </c>
      <c r="T89" s="78" t="s">
        <v>1635</v>
      </c>
      <c r="U89" s="54" t="s">
        <v>1047</v>
      </c>
      <c r="V89" s="1311" t="n">
        <f aca="false">IF(U89="Y",DC$47/1760,0)</f>
        <v>0</v>
      </c>
      <c r="W89" s="78" t="s">
        <v>1454</v>
      </c>
      <c r="X89" s="1308" t="n">
        <f aca="false">Pricing!U56+45</f>
        <v>415</v>
      </c>
      <c r="Y89" s="78" t="s">
        <v>1631</v>
      </c>
      <c r="Z89" s="1732" t="n">
        <f aca="false">IF(W$44="Y",V89*X89,V89*X89*(1+Y$44))</f>
        <v>0</v>
      </c>
    </row>
    <row r="90" customFormat="false" ht="21.75" hidden="false" customHeight="true" outlineLevel="0" collapsed="false">
      <c r="B90" s="1344" t="s">
        <v>1449</v>
      </c>
      <c r="C90" s="1792"/>
      <c r="D90" s="1792"/>
      <c r="E90" s="1792"/>
      <c r="F90" s="1792"/>
      <c r="G90" s="1792"/>
      <c r="H90" s="1792"/>
      <c r="I90" s="1792"/>
      <c r="J90" s="1792"/>
      <c r="K90" s="1792"/>
      <c r="L90" s="1792"/>
      <c r="M90" s="1792"/>
      <c r="N90" s="1792"/>
      <c r="O90" s="1792"/>
      <c r="P90" s="1793"/>
      <c r="R90" s="1039" t="s">
        <v>1077</v>
      </c>
      <c r="S90" s="1357" t="s">
        <v>1636</v>
      </c>
      <c r="T90" s="1358" t="s">
        <v>1637</v>
      </c>
      <c r="U90" s="495" t="s">
        <v>1047</v>
      </c>
      <c r="V90" s="1359" t="n">
        <f aca="false">IF(U90="y",DC47/2360,0)</f>
        <v>0</v>
      </c>
      <c r="W90" s="1358" t="s">
        <v>1454</v>
      </c>
      <c r="X90" s="1360"/>
      <c r="Y90" s="1358" t="s">
        <v>1631</v>
      </c>
      <c r="Z90" s="1785" t="n">
        <f aca="false">IF(W$44="Y",V90*X90,V90*X90*(1+Y$44))</f>
        <v>0</v>
      </c>
    </row>
    <row r="91" customFormat="false" ht="21.75" hidden="false" customHeight="true" outlineLevel="0" collapsed="false">
      <c r="B91" s="1794" t="s">
        <v>1316</v>
      </c>
      <c r="C91" s="1068"/>
      <c r="D91" s="1097" t="n">
        <f aca="false">I79/16000</f>
        <v>0</v>
      </c>
      <c r="E91" s="1098" t="n">
        <f aca="false">D91*7</f>
        <v>0</v>
      </c>
      <c r="F91" s="1068" t="s">
        <v>1317</v>
      </c>
      <c r="G91" s="1099" t="n">
        <v>425</v>
      </c>
      <c r="H91" s="1100" t="s">
        <v>620</v>
      </c>
      <c r="I91" s="1068"/>
      <c r="J91" s="1068"/>
      <c r="K91" s="1068"/>
      <c r="L91" s="1068"/>
      <c r="M91" s="1795" t="n">
        <f aca="false">IF(E45=0,0,(SUM(O91:P93))/E45)</f>
        <v>0</v>
      </c>
      <c r="N91" s="1795"/>
      <c r="O91" s="1102" t="n">
        <f aca="false">E91*G91</f>
        <v>0</v>
      </c>
      <c r="P91" s="1102"/>
      <c r="R91" s="1147"/>
      <c r="S91" s="920" t="s">
        <v>1638</v>
      </c>
      <c r="T91" s="78" t="s">
        <v>1627</v>
      </c>
      <c r="U91" s="1796" t="n">
        <f aca="false">19*19/144</f>
        <v>2.50694444444444</v>
      </c>
      <c r="V91" s="1311"/>
      <c r="W91" s="1361"/>
      <c r="X91" s="1239" t="n">
        <f aca="false">U91*V85/27</f>
        <v>0</v>
      </c>
      <c r="Y91" s="78" t="s">
        <v>1639</v>
      </c>
      <c r="Z91" s="1732" t="n">
        <f aca="false">IF(W$44="Y",V91*X91,V91*X91*(1+Y$44))</f>
        <v>0</v>
      </c>
    </row>
    <row r="92" customFormat="false" ht="21.75" hidden="false" customHeight="true" outlineLevel="0" collapsed="false">
      <c r="B92" s="507" t="s">
        <v>1640</v>
      </c>
      <c r="E92" s="1103"/>
      <c r="F92" s="1104" t="s">
        <v>1317</v>
      </c>
      <c r="G92" s="1105" t="n">
        <v>250</v>
      </c>
      <c r="H92" s="1142" t="s">
        <v>620</v>
      </c>
      <c r="M92" s="1797" t="n">
        <f aca="false">SUM(O91:P93)</f>
        <v>0</v>
      </c>
      <c r="N92" s="1797"/>
      <c r="O92" s="1038" t="n">
        <f aca="false">E92*G92</f>
        <v>0</v>
      </c>
      <c r="P92" s="1038"/>
      <c r="R92" s="1147"/>
      <c r="S92" s="920"/>
      <c r="T92" s="78" t="s">
        <v>1625</v>
      </c>
      <c r="U92" s="1796" t="n">
        <f aca="false">19*19/144*8.5/12</f>
        <v>1.77575231481481</v>
      </c>
      <c r="V92" s="1311"/>
      <c r="W92" s="1361"/>
      <c r="X92" s="1239" t="n">
        <f aca="false">U92*V84/27</f>
        <v>0</v>
      </c>
      <c r="Y92" s="78" t="s">
        <v>1639</v>
      </c>
      <c r="Z92" s="1732" t="n">
        <f aca="false">IF(W$44="Y",V92*X92,V92*X92*(1+Y$44))</f>
        <v>0</v>
      </c>
    </row>
    <row r="93" customFormat="false" ht="21.75" hidden="false" customHeight="true" outlineLevel="0" collapsed="false">
      <c r="B93" s="507" t="s">
        <v>1320</v>
      </c>
      <c r="E93" s="1103" t="n">
        <f aca="false">E91</f>
        <v>0</v>
      </c>
      <c r="F93" s="16" t="s">
        <v>1317</v>
      </c>
      <c r="G93" s="1105" t="n">
        <v>100</v>
      </c>
      <c r="H93" s="16" t="s">
        <v>620</v>
      </c>
      <c r="O93" s="1038" t="n">
        <f aca="false">E93*G93</f>
        <v>0</v>
      </c>
      <c r="P93" s="1038"/>
      <c r="R93" s="1306"/>
      <c r="S93" s="920"/>
      <c r="T93" s="78"/>
      <c r="V93" s="1311"/>
      <c r="W93" s="78"/>
      <c r="X93" s="1308"/>
      <c r="Y93" s="78"/>
      <c r="Z93" s="1732" t="n">
        <f aca="false">IF(W$44="Y",V93*X93,V93*X93*(1+Y$44))</f>
        <v>0</v>
      </c>
    </row>
    <row r="94" customFormat="false" ht="21.75" hidden="false" customHeight="true" outlineLevel="0" collapsed="false">
      <c r="B94" s="1798" t="s">
        <v>1321</v>
      </c>
      <c r="C94" s="1058"/>
      <c r="D94" s="1058"/>
      <c r="E94" s="1110" t="n">
        <f aca="false">E91</f>
        <v>0</v>
      </c>
      <c r="F94" s="1058"/>
      <c r="G94" s="1126" t="n">
        <v>200</v>
      </c>
      <c r="H94" s="1058"/>
      <c r="I94" s="1058"/>
      <c r="J94" s="1058"/>
      <c r="K94" s="1058"/>
      <c r="L94" s="1058"/>
      <c r="M94" s="1372" t="n">
        <f aca="false">IF(E45=0,0,O94/E45)</f>
        <v>0</v>
      </c>
      <c r="N94" s="1372"/>
      <c r="O94" s="1038" t="n">
        <f aca="false">E94*G94</f>
        <v>0</v>
      </c>
      <c r="P94" s="1038"/>
      <c r="R94" s="1306"/>
      <c r="S94" s="920"/>
      <c r="T94" s="78"/>
      <c r="V94" s="1311"/>
      <c r="W94" s="78"/>
      <c r="X94" s="1308"/>
      <c r="Y94" s="78"/>
      <c r="Z94" s="1732" t="n">
        <f aca="false">IF(W$44="Y",V94*X94,V94*X94*(1+Y$44))</f>
        <v>0</v>
      </c>
    </row>
    <row r="95" customFormat="false" ht="21.75" hidden="false" customHeight="true" outlineLevel="0" collapsed="false">
      <c r="B95" s="1344" t="s">
        <v>1325</v>
      </c>
      <c r="C95" s="1792"/>
      <c r="D95" s="1792"/>
      <c r="E95" s="1792"/>
      <c r="F95" s="1792"/>
      <c r="G95" s="1792"/>
      <c r="H95" s="1792"/>
      <c r="I95" s="1792"/>
      <c r="J95" s="1792"/>
      <c r="K95" s="1792"/>
      <c r="L95" s="1792"/>
      <c r="M95" s="1792"/>
      <c r="N95" s="1792"/>
      <c r="O95" s="1792"/>
      <c r="P95" s="1793"/>
      <c r="R95" s="1039" t="s">
        <v>1451</v>
      </c>
      <c r="S95" s="920" t="s">
        <v>1641</v>
      </c>
      <c r="T95" s="78"/>
      <c r="V95" s="1311" t="n">
        <f aca="false">V88*2.5</f>
        <v>0</v>
      </c>
      <c r="W95" s="78" t="s">
        <v>1454</v>
      </c>
      <c r="X95" s="1308" t="n">
        <v>33</v>
      </c>
      <c r="Y95" s="78" t="s">
        <v>1642</v>
      </c>
      <c r="Z95" s="1732" t="n">
        <f aca="false">IF(W$44="Y",V95*X95,V95*X95*(1+Y$44))</f>
        <v>0</v>
      </c>
    </row>
    <row r="96" customFormat="false" ht="21.75" hidden="false" customHeight="true" outlineLevel="0" collapsed="false">
      <c r="B96" s="1794" t="s">
        <v>1326</v>
      </c>
      <c r="C96" s="1799"/>
      <c r="D96" s="1800"/>
      <c r="E96" s="1115"/>
      <c r="F96" s="1068" t="s">
        <v>1327</v>
      </c>
      <c r="G96" s="1099" t="n">
        <f aca="false">Pricing!D32</f>
        <v>425</v>
      </c>
      <c r="H96" s="1068" t="s">
        <v>620</v>
      </c>
      <c r="I96" s="1068"/>
      <c r="J96" s="1068"/>
      <c r="K96" s="1068"/>
      <c r="L96" s="1068"/>
      <c r="M96" s="1068"/>
      <c r="N96" s="1068"/>
      <c r="O96" s="1102" t="n">
        <f aca="false">((IF(AND(E96&gt;0,E96&lt;4),E96*G96,0)+IF(AND(E96&gt;3,E96&lt;8),G96*3,0)+IF(AND(E96&gt;7,E96&lt;21),E96/7*G96*3,0)+IF(AND(E96&gt;20,E96&lt;30),G96*9,0)+IF(E96&gt;29,E96/30*G96*9,0)))*(1+$Y$44+J$98)</f>
        <v>0</v>
      </c>
      <c r="P96" s="1102"/>
      <c r="R96" s="1147"/>
      <c r="S96" s="920"/>
      <c r="T96" s="78"/>
      <c r="V96" s="1311"/>
      <c r="W96" s="78"/>
      <c r="X96" s="1308"/>
      <c r="Y96" s="78"/>
      <c r="Z96" s="1732" t="n">
        <f aca="false">IF(W$44="Y",V96*X96,V96*X96*(1+Y$44))</f>
        <v>0</v>
      </c>
    </row>
    <row r="97" customFormat="false" ht="21.75" hidden="false" customHeight="true" outlineLevel="0" collapsed="false">
      <c r="B97" s="507" t="s">
        <v>622</v>
      </c>
      <c r="C97" s="1312"/>
      <c r="D97" s="1801"/>
      <c r="E97"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97" s="16" t="s">
        <v>1327</v>
      </c>
      <c r="G97" s="1105" t="n">
        <f aca="false">Pricing!D33</f>
        <v>475</v>
      </c>
      <c r="H97" s="16" t="s">
        <v>620</v>
      </c>
      <c r="J97" s="1118" t="s">
        <v>1329</v>
      </c>
      <c r="K97" s="1118"/>
      <c r="M97" s="1119" t="n">
        <f aca="false">IF(E45=0,0,(SUM(O96:P101))/E45)</f>
        <v>0</v>
      </c>
      <c r="N97" s="1119"/>
      <c r="O97" s="1802" t="n">
        <f aca="false">((IF(AND(E97&gt;0,E97&lt;4),E97*G97,0)+IF(AND(E97&gt;3,E97&lt;8),G97*3,0)+IF(AND(E97&gt;7,E97&lt;21),E97/7*G97*3,0)+IF(AND(E97&gt;20,E97&lt;30),G97*9,0)+IF(E97&gt;29,E97/30*G97*9,0)))*(1+$Y$44+J$98)</f>
        <v>0</v>
      </c>
      <c r="P97" s="1802"/>
      <c r="R97" s="1147"/>
      <c r="S97" s="1357" t="s">
        <v>1643</v>
      </c>
      <c r="T97" s="1358"/>
      <c r="U97" s="397"/>
      <c r="V97" s="1359" t="n">
        <f aca="false">SUM(L65:M69)/300</f>
        <v>0</v>
      </c>
      <c r="W97" s="1358" t="s">
        <v>1323</v>
      </c>
      <c r="X97" s="1360" t="n">
        <v>250</v>
      </c>
      <c r="Y97" s="1358" t="s">
        <v>1324</v>
      </c>
      <c r="Z97" s="1785" t="n">
        <f aca="false">IF(W$44="Y",V97*X97,V97*X97*(1+Y$44))</f>
        <v>0</v>
      </c>
    </row>
    <row r="98" customFormat="false" ht="21.75" hidden="false" customHeight="true" outlineLevel="0" collapsed="false">
      <c r="B98" s="507" t="s">
        <v>624</v>
      </c>
      <c r="C98" s="1312"/>
      <c r="D98" s="1801"/>
      <c r="E98" s="1115" t="n">
        <f aca="false">E97</f>
        <v>0</v>
      </c>
      <c r="F98" s="78" t="s">
        <v>1327</v>
      </c>
      <c r="G98" s="1105" t="n">
        <f aca="false">Pricing!D34</f>
        <v>325</v>
      </c>
      <c r="H98" s="16" t="s">
        <v>620</v>
      </c>
      <c r="J98" s="1803" t="n">
        <v>0.5</v>
      </c>
      <c r="K98" s="1803"/>
      <c r="M98" s="1106" t="n">
        <f aca="false">SUM(O96:P101)</f>
        <v>0</v>
      </c>
      <c r="N98" s="1106"/>
      <c r="O98" s="1802" t="n">
        <f aca="false">((IF(AND(E98&gt;0,E98&lt;4),E98*G98,0)+IF(AND(E98&gt;3,E98&lt;8),G98*3,0)+IF(AND(E98&gt;7,E98&lt;21),E98/7*G98*3,0)+IF(AND(E98&gt;20,E98&lt;30),G98*9,0)+IF(E98&gt;29,E98/30*G98*9,0)))*(1+$Y$44+J$98)</f>
        <v>0</v>
      </c>
      <c r="P98" s="1802"/>
      <c r="R98" s="1039" t="s">
        <v>1073</v>
      </c>
      <c r="S98" s="920" t="s">
        <v>618</v>
      </c>
      <c r="T98" s="78"/>
      <c r="V98" s="1311" t="n">
        <f aca="false">ROUNDUP(D42/15000,0)</f>
        <v>0</v>
      </c>
      <c r="W98" s="16" t="s">
        <v>1452</v>
      </c>
      <c r="X98" s="1308" t="n">
        <f aca="false">Pricing!Q31</f>
        <v>27</v>
      </c>
      <c r="Y98" s="16" t="s">
        <v>607</v>
      </c>
      <c r="Z98" s="1732" t="n">
        <f aca="false">IF(W$44="Y",V98*X98,V98*X98*(1+Y$44))</f>
        <v>0</v>
      </c>
    </row>
    <row r="99" customFormat="false" ht="21.75" hidden="false" customHeight="true" outlineLevel="0" collapsed="false">
      <c r="B99" s="507" t="s">
        <v>626</v>
      </c>
      <c r="C99" s="1312"/>
      <c r="D99" s="1801"/>
      <c r="E99"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99" s="16" t="s">
        <v>1327</v>
      </c>
      <c r="G99" s="1105" t="n">
        <v>225</v>
      </c>
      <c r="H99" s="16" t="s">
        <v>620</v>
      </c>
      <c r="J99" s="1803"/>
      <c r="K99" s="1803"/>
      <c r="O99" s="1038" t="n">
        <f aca="false">((IF(AND(E99&gt;0,E99&lt;4),E99*G99,0)+IF(AND(E99&gt;3,E99&lt;8),G99*3,0)+IF(AND(E99&gt;7,E99&lt;21),E99/7*G99*3,0)+IF(AND(E99&gt;20,E99&lt;30),G99*9,0)+IF(E99&gt;29,E99/30*G99*9,0)))*(1+$Y$44+J$98)</f>
        <v>0</v>
      </c>
      <c r="P99" s="1038"/>
      <c r="R99" s="1039" t="s">
        <v>1073</v>
      </c>
      <c r="S99" s="920" t="s">
        <v>629</v>
      </c>
      <c r="T99" s="78"/>
      <c r="V99" s="1311" t="n">
        <f aca="false">I79/15000</f>
        <v>0</v>
      </c>
      <c r="W99" s="16" t="s">
        <v>1644</v>
      </c>
      <c r="X99" s="1308" t="n">
        <f aca="false">Pricing!Q36</f>
        <v>37.8</v>
      </c>
      <c r="Y99" s="16" t="s">
        <v>630</v>
      </c>
      <c r="Z99" s="1732" t="n">
        <f aca="false">IF(W$44="Y",V99*X99,V99*X99*(1+Y$44))</f>
        <v>0</v>
      </c>
    </row>
    <row r="100" customFormat="false" ht="21.75" hidden="false" customHeight="true" outlineLevel="0" collapsed="false">
      <c r="B100" s="507" t="s">
        <v>1333</v>
      </c>
      <c r="C100" s="1312"/>
      <c r="D100" s="1801"/>
      <c r="E100"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100" s="16" t="s">
        <v>1327</v>
      </c>
      <c r="G100" s="1105" t="n">
        <v>25</v>
      </c>
      <c r="H100" s="16" t="s">
        <v>620</v>
      </c>
      <c r="O100" s="1038" t="n">
        <f aca="false">((IF(AND(E100&gt;0,E100&lt;4),E100*G100,0)+IF(AND(E100&gt;3,E100&lt;8),G100*3,0)+IF(AND(E100&gt;7,E100&lt;21),E100/7*G100*3,0)+IF(AND(E100&gt;20,E100&lt;30),G100*9,0)+IF(E100&gt;29,E100/30*G100*9,0)))*(1+$Y$44+J$98)</f>
        <v>0</v>
      </c>
      <c r="P100" s="1038"/>
      <c r="R100" s="1039" t="s">
        <v>1073</v>
      </c>
      <c r="S100" s="1357" t="s">
        <v>554</v>
      </c>
      <c r="T100" s="1358"/>
      <c r="U100" s="265"/>
      <c r="V100" s="1359" t="n">
        <f aca="false">L70+(L71*0.75)</f>
        <v>0</v>
      </c>
      <c r="W100" s="397" t="s">
        <v>1288</v>
      </c>
      <c r="X100" s="1360" t="n">
        <v>0.02</v>
      </c>
      <c r="Y100" s="397" t="s">
        <v>555</v>
      </c>
      <c r="Z100" s="1785" t="n">
        <f aca="false">IF(W$44="Y",V100*X100,V100*X100*(1+Y$44))</f>
        <v>0</v>
      </c>
    </row>
    <row r="101" customFormat="false" ht="21.75" hidden="false" customHeight="true" outlineLevel="0" collapsed="false">
      <c r="B101" s="1798" t="s">
        <v>1067</v>
      </c>
      <c r="C101" s="1804"/>
      <c r="D101" s="1805"/>
      <c r="E101"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101" s="1058" t="s">
        <v>1645</v>
      </c>
      <c r="G101" s="1126" t="n">
        <v>55</v>
      </c>
      <c r="H101" s="1058" t="s">
        <v>620</v>
      </c>
      <c r="I101" s="1058"/>
      <c r="J101" s="1058"/>
      <c r="K101" s="1058"/>
      <c r="L101" s="1058"/>
      <c r="M101" s="1127"/>
      <c r="N101" s="1058"/>
      <c r="O101" s="736" t="n">
        <f aca="false">((IF(AND(E101&gt;0,E101&lt;4),E101*G101,0)+IF(AND(E101&gt;3,E101&lt;8),G101*3,0)+IF(AND(E101&gt;7,E101&lt;21),E101/7*G101*3,0)+IF(AND(E101&gt;20,E101&lt;30),G101*9,0)+IF(E101&gt;29,E101/30*G101*9,0)))</f>
        <v>0</v>
      </c>
      <c r="P101" s="736"/>
      <c r="R101" s="1039" t="s">
        <v>1078</v>
      </c>
      <c r="S101" s="920" t="s">
        <v>1105</v>
      </c>
      <c r="T101" s="78"/>
      <c r="V101" s="78"/>
      <c r="X101" s="1308"/>
      <c r="Y101" s="16"/>
      <c r="Z101" s="1732" t="n">
        <f aca="false">IF(W$44="Y",V101*X101,V101*X101*(1+Y$44))</f>
        <v>0</v>
      </c>
    </row>
    <row r="102" customFormat="false" ht="21.75" hidden="false" customHeight="true" outlineLevel="0" collapsed="false">
      <c r="B102" s="1344" t="s">
        <v>1336</v>
      </c>
      <c r="C102" s="1792"/>
      <c r="D102" s="1792"/>
      <c r="E102" s="1792"/>
      <c r="F102" s="1792"/>
      <c r="G102" s="1792"/>
      <c r="H102" s="1792"/>
      <c r="I102" s="1792"/>
      <c r="J102" s="1792"/>
      <c r="K102" s="1792"/>
      <c r="L102" s="1792"/>
      <c r="M102" s="1792"/>
      <c r="N102" s="1792"/>
      <c r="O102" s="1792"/>
      <c r="P102" s="1793"/>
      <c r="R102" s="1039" t="s">
        <v>1328</v>
      </c>
      <c r="S102" s="920" t="s">
        <v>1105</v>
      </c>
      <c r="T102" s="78"/>
      <c r="V102" s="78"/>
      <c r="X102" s="1308"/>
      <c r="Y102" s="16"/>
      <c r="Z102" s="1732" t="n">
        <f aca="false">IF(W$44="Y",V102*X102,V102*X102*(1+Y$44))</f>
        <v>0</v>
      </c>
    </row>
    <row r="103" customFormat="false" ht="21.75" hidden="false" customHeight="true" outlineLevel="0" collapsed="false">
      <c r="B103" s="1794" t="s">
        <v>1646</v>
      </c>
      <c r="C103" s="1799"/>
      <c r="D103" s="1800"/>
      <c r="E103" s="1381"/>
      <c r="F103" s="1133" t="s">
        <v>1510</v>
      </c>
      <c r="G103" s="1806" t="n">
        <v>0.2</v>
      </c>
      <c r="H103" s="1807"/>
      <c r="I103" s="1068" t="s">
        <v>600</v>
      </c>
      <c r="J103" s="1068"/>
      <c r="K103" s="1068"/>
      <c r="L103" s="1068"/>
      <c r="M103" s="1068"/>
      <c r="N103" s="1068"/>
      <c r="O103" s="1102" t="n">
        <f aca="false">E103*G103</f>
        <v>0</v>
      </c>
      <c r="P103" s="1102"/>
      <c r="R103" s="1039" t="s">
        <v>1330</v>
      </c>
      <c r="S103" s="1357" t="s">
        <v>1108</v>
      </c>
      <c r="T103" s="1358"/>
      <c r="U103" s="265"/>
      <c r="V103" s="1358"/>
      <c r="W103" s="397"/>
      <c r="X103" s="1360"/>
      <c r="Y103" s="397"/>
      <c r="Z103" s="1785" t="n">
        <f aca="false">IF(W$44="Y",V103*X103,V103*X103*(1+Y$44))</f>
        <v>0</v>
      </c>
    </row>
    <row r="104" customFormat="false" ht="21.75" hidden="false" customHeight="true" outlineLevel="0" collapsed="false">
      <c r="B104" s="507" t="s">
        <v>1647</v>
      </c>
      <c r="C104" s="1312"/>
      <c r="D104" s="1808" t="s">
        <v>1029</v>
      </c>
      <c r="E104" s="1809" t="n">
        <f aca="false">IF(D104="Y",(I79*2/L104),0)</f>
        <v>0</v>
      </c>
      <c r="F104" s="16" t="s">
        <v>1618</v>
      </c>
      <c r="G104" s="1810" t="n">
        <v>0.65</v>
      </c>
      <c r="H104" s="1811"/>
      <c r="I104" s="16" t="s">
        <v>600</v>
      </c>
      <c r="J104" s="1812" t="s">
        <v>1648</v>
      </c>
      <c r="K104" s="1813"/>
      <c r="L104" s="1814" t="n">
        <v>20</v>
      </c>
      <c r="N104" s="525"/>
      <c r="O104" s="1038" t="n">
        <f aca="false">IF(E104=0,0,E104*G104)</f>
        <v>0</v>
      </c>
      <c r="P104" s="1038"/>
      <c r="R104" s="1147"/>
      <c r="S104" s="920"/>
      <c r="T104" s="78"/>
      <c r="V104" s="78"/>
      <c r="X104" s="1308"/>
      <c r="Y104" s="16"/>
      <c r="Z104" s="1732" t="n">
        <f aca="false">IF(W$44="Y",V104*X104,V104*X104*(1+Y$44))</f>
        <v>0</v>
      </c>
    </row>
    <row r="105" customFormat="false" ht="21.75" hidden="false" customHeight="true" outlineLevel="0" collapsed="false">
      <c r="B105" s="507" t="s">
        <v>1462</v>
      </c>
      <c r="C105" s="1312"/>
      <c r="D105" s="1808" t="s">
        <v>1029</v>
      </c>
      <c r="E105" s="1815" t="n">
        <f aca="false">E104</f>
        <v>0</v>
      </c>
      <c r="F105" s="16" t="s">
        <v>1341</v>
      </c>
      <c r="G105" s="1810" t="n">
        <v>0.35</v>
      </c>
      <c r="H105" s="1816"/>
      <c r="I105" s="16" t="s">
        <v>1341</v>
      </c>
      <c r="J105" s="1817"/>
      <c r="K105" s="1813"/>
      <c r="L105" s="1814" t="n">
        <v>20</v>
      </c>
      <c r="O105" s="1038" t="n">
        <f aca="false">E105*G105</f>
        <v>0</v>
      </c>
      <c r="P105" s="1038"/>
      <c r="R105" s="1039" t="s">
        <v>1342</v>
      </c>
      <c r="S105" s="920" t="s">
        <v>646</v>
      </c>
      <c r="T105" s="78"/>
      <c r="V105" s="1311" t="n">
        <f aca="false">ROUNDUP(I79/300/55,0)</f>
        <v>0</v>
      </c>
      <c r="W105" s="16" t="s">
        <v>1649</v>
      </c>
      <c r="X105" s="1308" t="n">
        <f aca="false">Pricing!Q44</f>
        <v>567.5</v>
      </c>
      <c r="Y105" s="16" t="s">
        <v>647</v>
      </c>
      <c r="Z105" s="1732" t="n">
        <f aca="false">IF(W$44="Y",V105*X105,V105*X105*(1+Y$44))</f>
        <v>0</v>
      </c>
    </row>
    <row r="106" customFormat="false" ht="21.75" hidden="false" customHeight="true" outlineLevel="0" collapsed="false">
      <c r="B106" s="507" t="s">
        <v>1343</v>
      </c>
      <c r="C106" s="1312"/>
      <c r="D106" s="1801"/>
      <c r="E106" s="1389" t="n">
        <f aca="false">Q42</f>
        <v>0</v>
      </c>
      <c r="F106" s="1142" t="s">
        <v>998</v>
      </c>
      <c r="G106" s="1810" t="n">
        <v>10</v>
      </c>
      <c r="H106" s="1816"/>
      <c r="I106" s="16" t="s">
        <v>1285</v>
      </c>
      <c r="O106" s="1038" t="n">
        <f aca="false">E106*G106</f>
        <v>0</v>
      </c>
      <c r="P106" s="1038"/>
      <c r="R106" s="1039" t="s">
        <v>1342</v>
      </c>
      <c r="S106" s="1357" t="s">
        <v>649</v>
      </c>
      <c r="T106" s="1358"/>
      <c r="U106" s="265"/>
      <c r="V106" s="1359" t="n">
        <v>0</v>
      </c>
      <c r="W106" s="397" t="s">
        <v>1649</v>
      </c>
      <c r="X106" s="1360" t="n">
        <f aca="false">Pricing!Q45</f>
        <v>542</v>
      </c>
      <c r="Y106" s="397" t="s">
        <v>647</v>
      </c>
      <c r="Z106" s="1785" t="n">
        <f aca="false">IF(W$44="Y",V106*X106,V106*X106*(1+Y$44))</f>
        <v>0</v>
      </c>
    </row>
    <row r="107" customFormat="false" ht="21.75" hidden="false" customHeight="true" outlineLevel="0" collapsed="false">
      <c r="B107" s="507" t="s">
        <v>1234</v>
      </c>
      <c r="C107" s="1312"/>
      <c r="D107" s="1801"/>
      <c r="E107" s="1815" t="n">
        <f aca="false">IF(SUM(DX10:DX41)&lt;0,0,SUM(DX10:DX41)*1.35)</f>
        <v>0</v>
      </c>
      <c r="F107" s="1142" t="s">
        <v>998</v>
      </c>
      <c r="G107" s="1818" t="n">
        <v>12.5</v>
      </c>
      <c r="H107" s="1819"/>
      <c r="I107" s="16" t="s">
        <v>1285</v>
      </c>
      <c r="O107" s="1038" t="n">
        <f aca="false">IF(E107&lt;0,0,E107*G107)</f>
        <v>0</v>
      </c>
      <c r="P107" s="1038"/>
      <c r="R107" s="1147"/>
      <c r="S107" s="920"/>
      <c r="T107" s="78"/>
      <c r="U107" s="78"/>
      <c r="W107" s="78"/>
      <c r="Z107" s="1820"/>
    </row>
    <row r="108" customFormat="false" ht="21.75" hidden="false" customHeight="true" outlineLevel="0" collapsed="false">
      <c r="B108" s="507" t="s">
        <v>1346</v>
      </c>
      <c r="C108" s="1312"/>
      <c r="D108" s="1801"/>
      <c r="E108" s="1144"/>
      <c r="F108" s="922" t="s">
        <v>1347</v>
      </c>
      <c r="G108" s="1810" t="n">
        <v>200</v>
      </c>
      <c r="H108" s="1821"/>
      <c r="I108" s="16" t="s">
        <v>620</v>
      </c>
      <c r="O108" s="1038" t="n">
        <f aca="false">E108*G108</f>
        <v>0</v>
      </c>
      <c r="P108" s="1038"/>
      <c r="R108" s="1147"/>
      <c r="S108" s="1822" t="s">
        <v>1349</v>
      </c>
      <c r="T108" s="1823"/>
      <c r="U108" s="1271" t="n">
        <v>18</v>
      </c>
      <c r="V108" s="16" t="s">
        <v>1350</v>
      </c>
      <c r="W108" s="78"/>
      <c r="Z108" s="1820"/>
    </row>
    <row r="109" customFormat="false" ht="21.75" hidden="false" customHeight="true" outlineLevel="0" collapsed="false">
      <c r="B109" s="1798" t="s">
        <v>1067</v>
      </c>
      <c r="C109" s="1804"/>
      <c r="D109" s="1804"/>
      <c r="E109" s="1110"/>
      <c r="F109" s="1058"/>
      <c r="G109" s="1824" t="n">
        <v>1000</v>
      </c>
      <c r="H109" s="1825"/>
      <c r="I109" s="1058" t="s">
        <v>1348</v>
      </c>
      <c r="J109" s="1058"/>
      <c r="K109" s="1058"/>
      <c r="L109" s="1058"/>
      <c r="M109" s="1058"/>
      <c r="N109" s="1058"/>
      <c r="O109" s="736" t="n">
        <f aca="false">E109*G109</f>
        <v>0</v>
      </c>
      <c r="P109" s="736"/>
      <c r="R109" s="1039" t="s">
        <v>1072</v>
      </c>
      <c r="S109" s="1599" t="s">
        <v>1650</v>
      </c>
      <c r="T109" s="1826"/>
      <c r="U109" s="1826" t="n">
        <f aca="false">ROUNDUP((V79+V81+V82)*12/U108,0)</f>
        <v>0</v>
      </c>
      <c r="V109" s="1058" t="s">
        <v>1354</v>
      </c>
      <c r="W109" s="1827" t="n">
        <v>1.65</v>
      </c>
      <c r="X109" s="1827"/>
      <c r="Y109" s="246"/>
      <c r="Z109" s="1732" t="n">
        <f aca="false">IF(W$44="Y",U109*W109,U109*W109*(1+Y$44))</f>
        <v>0</v>
      </c>
    </row>
    <row r="110" customFormat="false" ht="21.75" hidden="false" customHeight="true" outlineLevel="0" collapsed="false">
      <c r="B110" s="1394" t="s">
        <v>1191</v>
      </c>
      <c r="C110" s="1394"/>
      <c r="D110" s="1394"/>
      <c r="E110" s="1395" t="n">
        <f aca="false">Summary!P60</f>
        <v>0</v>
      </c>
      <c r="F110" s="1396" t="s">
        <v>1465</v>
      </c>
      <c r="G110" s="1828" t="n">
        <f aca="false">(SUM(O65:P77)+SUM(L79:M88)+SUM(O79:P88)+SUM(O91:P93)+SUM(O96:P101)+SUM(O103:P109))*E110</f>
        <v>0</v>
      </c>
      <c r="H110" s="1828"/>
      <c r="I110" s="1398" t="s">
        <v>1039</v>
      </c>
      <c r="J110" s="1398"/>
      <c r="K110" s="1398"/>
      <c r="L110" s="1398"/>
      <c r="M110" s="1398"/>
      <c r="N110" s="1398"/>
      <c r="O110" s="1399" t="n">
        <f aca="false">G110</f>
        <v>0</v>
      </c>
      <c r="P110" s="1399"/>
      <c r="Y110" s="16"/>
      <c r="Z110" s="1393"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826"/>
      <c r="R111" s="1826"/>
      <c r="S111" s="1826"/>
      <c r="T111" s="1826"/>
      <c r="U111" s="1058"/>
      <c r="V111" s="1827"/>
      <c r="W111" s="1827"/>
      <c r="X111" s="246"/>
      <c r="Y111" s="246"/>
      <c r="Z111" s="246"/>
    </row>
    <row r="112" customFormat="false" ht="24" hidden="false" customHeight="true" outlineLevel="0" collapsed="false">
      <c r="B112" s="949"/>
      <c r="C112" s="950"/>
      <c r="D112" s="950"/>
      <c r="E112" s="950"/>
      <c r="F112" s="950"/>
      <c r="G112" s="950"/>
      <c r="H112" s="950"/>
      <c r="I112" s="950"/>
      <c r="J112" s="950"/>
      <c r="K112" s="950"/>
      <c r="L112" s="954"/>
      <c r="M112" s="950"/>
      <c r="N112" s="950"/>
      <c r="O112" s="950"/>
      <c r="P112" s="950"/>
      <c r="Q112" s="1640"/>
      <c r="R112" s="1640"/>
      <c r="S112" s="950"/>
      <c r="T112" s="950"/>
      <c r="U112" s="950"/>
      <c r="V112" s="950"/>
      <c r="W112" s="950"/>
      <c r="X112" s="950"/>
      <c r="Y112" s="950"/>
      <c r="Z112" s="957"/>
    </row>
    <row r="113" customFormat="false" ht="28.55" hidden="false" customHeight="false" outlineLevel="0" collapsed="false">
      <c r="B113" s="1642" t="s">
        <v>1262</v>
      </c>
      <c r="C113" s="1643"/>
      <c r="D113" s="1644"/>
      <c r="E113" s="1642" t="s">
        <v>982</v>
      </c>
      <c r="F113" s="1644"/>
      <c r="G113" s="1642" t="s">
        <v>1263</v>
      </c>
      <c r="H113" s="1643"/>
      <c r="I113" s="1644"/>
      <c r="J113" s="1167" t="s">
        <v>1264</v>
      </c>
      <c r="K113" s="1168"/>
      <c r="L113" s="1169"/>
      <c r="M113" s="1170" t="s">
        <v>1265</v>
      </c>
      <c r="N113" s="1171"/>
      <c r="O113" s="1171"/>
      <c r="P113" s="1172"/>
      <c r="Q113" s="1645"/>
      <c r="R113" s="1645"/>
      <c r="S113" s="961"/>
      <c r="T113" s="599" t="s">
        <v>1266</v>
      </c>
      <c r="V113" s="16" t="s">
        <v>1267</v>
      </c>
      <c r="W113" s="1173" t="str">
        <f aca="false">W44</f>
        <v>N</v>
      </c>
      <c r="X113" s="833" t="s">
        <v>1268</v>
      </c>
      <c r="Y113" s="1401" t="n">
        <f aca="false">Y44</f>
        <v>0.0825</v>
      </c>
      <c r="Z113" s="964"/>
    </row>
    <row r="114" customFormat="false" ht="15" hidden="false" customHeight="false" outlineLevel="0" collapsed="false">
      <c r="B114" s="965" t="s">
        <v>1269</v>
      </c>
      <c r="C114" s="1649" t="n">
        <f aca="false">C45</f>
        <v>0</v>
      </c>
      <c r="D114" s="966"/>
      <c r="E114" s="967" t="n">
        <f aca="false">E45</f>
        <v>0</v>
      </c>
      <c r="F114" s="967"/>
      <c r="G114" s="968" t="n">
        <f aca="false">G45</f>
        <v>0</v>
      </c>
      <c r="H114" s="736" t="n">
        <f aca="false">H45</f>
        <v>0</v>
      </c>
      <c r="I114" s="736"/>
      <c r="J114" s="1651" t="n">
        <f aca="false">J45</f>
        <v>0</v>
      </c>
      <c r="K114" s="1652"/>
      <c r="L114" s="1653"/>
      <c r="M114" s="1829" t="n">
        <f aca="false">M45</f>
        <v>0.18</v>
      </c>
      <c r="N114" s="1655"/>
      <c r="O114" s="1655"/>
      <c r="P114" s="1656"/>
      <c r="Q114" s="1645"/>
      <c r="R114" s="1645"/>
      <c r="S114" s="1265"/>
      <c r="T114" s="970" t="s">
        <v>980</v>
      </c>
      <c r="V114" s="971" t="n">
        <f aca="false">V45</f>
        <v>0</v>
      </c>
      <c r="W114" s="971"/>
      <c r="X114" s="1659"/>
      <c r="Y114" s="16"/>
      <c r="Z114" s="964"/>
    </row>
    <row r="115" customFormat="false" ht="21.75" hidden="false" customHeight="true" outlineLevel="0" collapsed="false">
      <c r="B115" s="1660"/>
      <c r="C115" s="961"/>
      <c r="D115" s="961"/>
      <c r="E115" s="961"/>
      <c r="F115" s="961"/>
      <c r="G115" s="961"/>
      <c r="H115" s="961"/>
      <c r="I115" s="961"/>
      <c r="J115" s="961"/>
      <c r="K115" s="961"/>
      <c r="L115" s="961"/>
      <c r="M115" s="961"/>
      <c r="N115" s="961"/>
      <c r="O115" s="961"/>
      <c r="P115" s="961"/>
      <c r="Q115" s="1645"/>
      <c r="R115" s="1645"/>
      <c r="S115" s="961"/>
      <c r="T115" s="961"/>
      <c r="U115" s="961"/>
      <c r="V115" s="961"/>
      <c r="W115" s="961"/>
      <c r="X115" s="961"/>
      <c r="Y115" s="961"/>
      <c r="Z115" s="964"/>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1830"/>
      <c r="H117" s="1831" t="s">
        <v>1651</v>
      </c>
      <c r="I117" s="1832" t="n">
        <f aca="false">SUM(I120:I222)</f>
        <v>0</v>
      </c>
      <c r="J117" s="1833" t="s">
        <v>1093</v>
      </c>
      <c r="K117" s="1832" t="n">
        <f aca="false">SUM(K120:K222)</f>
        <v>0</v>
      </c>
      <c r="L117" s="1834" t="s">
        <v>1652</v>
      </c>
      <c r="M117" s="1832" t="n">
        <f aca="false">SUM(M120:M222)</f>
        <v>0</v>
      </c>
      <c r="N117" s="1833" t="s">
        <v>1653</v>
      </c>
      <c r="O117" s="1832" t="n">
        <f aca="false">SUM(O120:O222)</f>
        <v>0</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7" t="s">
        <v>1654</v>
      </c>
      <c r="C118" s="1403" t="s">
        <v>1655</v>
      </c>
      <c r="D118" s="719"/>
      <c r="E118" s="722" t="n">
        <f aca="false">D119-V114</f>
        <v>0</v>
      </c>
      <c r="G118" s="1835"/>
      <c r="H118" s="1630"/>
      <c r="I118" s="732" t="n">
        <f aca="false">I117-E124</f>
        <v>0</v>
      </c>
      <c r="J118" s="1630"/>
      <c r="K118" s="732" t="n">
        <f aca="false">K117-E126</f>
        <v>0</v>
      </c>
      <c r="L118" s="1630"/>
      <c r="M118" s="732" t="n">
        <f aca="false">M117-E127</f>
        <v>0</v>
      </c>
      <c r="N118" s="1630"/>
      <c r="O118" s="732" t="n">
        <f aca="false">O117-E153</f>
        <v>0</v>
      </c>
      <c r="Z118" s="16"/>
      <c r="AA118" s="16"/>
      <c r="AE118" s="16" t="n">
        <f aca="false">90000*1.3</f>
        <v>117000</v>
      </c>
    </row>
    <row r="119" customFormat="false" ht="15" hidden="false" customHeight="true" outlineLevel="0" collapsed="false">
      <c r="B119" s="733" t="str">
        <f aca="false">Summary!T73</f>
        <v>04</v>
      </c>
      <c r="C119" s="735"/>
      <c r="D119" s="736" t="n">
        <f aca="false">SUM(E120:E177)-E153-E163</f>
        <v>0</v>
      </c>
      <c r="E119" s="736"/>
      <c r="G119" s="1836"/>
      <c r="H119" s="1837" t="s">
        <v>1055</v>
      </c>
      <c r="I119" s="1838" t="s">
        <v>721</v>
      </c>
      <c r="J119" s="1839"/>
      <c r="K119" s="1838" t="s">
        <v>1093</v>
      </c>
      <c r="L119" s="1837" t="s">
        <v>1055</v>
      </c>
      <c r="M119" s="1838" t="s">
        <v>738</v>
      </c>
      <c r="N119" s="1837" t="s">
        <v>1055</v>
      </c>
      <c r="O119" s="1838" t="s">
        <v>1146</v>
      </c>
      <c r="AA119" s="16"/>
    </row>
    <row r="120" customFormat="false" ht="15" hidden="false" customHeight="true" outlineLevel="0" collapsed="false">
      <c r="B120" s="1404" t="n">
        <f aca="false">Summary!T74</f>
        <v>40001</v>
      </c>
      <c r="C120" s="741" t="str">
        <f aca="false">Summary!U74</f>
        <v>General Requirements</v>
      </c>
      <c r="D120" s="318"/>
      <c r="E120" s="742"/>
      <c r="G120" s="1840" t="n">
        <v>1</v>
      </c>
      <c r="H120" s="1841" t="n">
        <f aca="false">40000+(100*G120)+5</f>
        <v>40105</v>
      </c>
      <c r="I120" s="1842" t="n">
        <f aca="false">CO10</f>
        <v>0</v>
      </c>
      <c r="J120" s="1843" t="n">
        <f aca="false">40000+(100*G120)+7</f>
        <v>40107</v>
      </c>
      <c r="K120" s="1842" t="n">
        <f aca="false">DA10</f>
        <v>0</v>
      </c>
      <c r="L120" s="1843" t="n">
        <f aca="false">40000+(100*G120)+8</f>
        <v>40108</v>
      </c>
      <c r="M120" s="1842" t="n">
        <f aca="false">CN10</f>
        <v>0</v>
      </c>
      <c r="N120" s="1843" t="n">
        <f aca="false">40000+(100*G120)+40</f>
        <v>40140</v>
      </c>
      <c r="O120" s="1842" t="n">
        <f aca="false">SUM(CP10:CT10)+DB10</f>
        <v>0</v>
      </c>
      <c r="S120" s="1844"/>
    </row>
    <row r="121" customFormat="false" ht="15" hidden="false" customHeight="true" outlineLevel="0" collapsed="false">
      <c r="B121" s="1404" t="n">
        <f aca="false">Summary!T75</f>
        <v>40002</v>
      </c>
      <c r="C121" s="741" t="str">
        <f aca="false">Summary!U75</f>
        <v>Lumber</v>
      </c>
      <c r="D121" s="318"/>
      <c r="E121" s="751" t="n">
        <f aca="false">SUM(Z66:Z86)+Z109</f>
        <v>0</v>
      </c>
      <c r="G121" s="1840" t="n">
        <v>2</v>
      </c>
      <c r="H121" s="1841" t="n">
        <f aca="false">40000+(100*G121)+5</f>
        <v>40205</v>
      </c>
      <c r="I121" s="1845" t="n">
        <f aca="false">CO11</f>
        <v>0</v>
      </c>
      <c r="J121" s="1843" t="n">
        <f aca="false">40000+(100*G121)+7</f>
        <v>40207</v>
      </c>
      <c r="K121" s="1845" t="n">
        <f aca="false">DA11</f>
        <v>0</v>
      </c>
      <c r="L121" s="1843" t="n">
        <f aca="false">40000+(100*G121)+8</f>
        <v>40208</v>
      </c>
      <c r="M121" s="1845" t="n">
        <f aca="false">CN11</f>
        <v>0</v>
      </c>
      <c r="N121" s="1843" t="n">
        <f aca="false">40000+(100*G121)+40</f>
        <v>40240</v>
      </c>
      <c r="O121" s="1842" t="n">
        <f aca="false">SUM(CP11:CT11)+DB11</f>
        <v>0</v>
      </c>
    </row>
    <row r="122" customFormat="false" ht="15" hidden="false" customHeight="true" outlineLevel="0" collapsed="false">
      <c r="B122" s="1404" t="n">
        <f aca="false">Summary!T76</f>
        <v>40003</v>
      </c>
      <c r="C122" s="741" t="str">
        <f aca="false">Summary!U76</f>
        <v>Sand Material</v>
      </c>
      <c r="D122" s="318"/>
      <c r="E122" s="751" t="n">
        <f aca="false">O73</f>
        <v>0</v>
      </c>
      <c r="G122" s="1840" t="n">
        <v>3</v>
      </c>
      <c r="H122" s="1841" t="n">
        <f aca="false">40000+(100*G122)+5</f>
        <v>40305</v>
      </c>
      <c r="I122" s="1845" t="n">
        <f aca="false">CO12</f>
        <v>0</v>
      </c>
      <c r="J122" s="1843" t="n">
        <f aca="false">40000+(100*G122)+7</f>
        <v>40307</v>
      </c>
      <c r="K122" s="1845" t="n">
        <f aca="false">DA12</f>
        <v>0</v>
      </c>
      <c r="L122" s="1843" t="n">
        <f aca="false">40000+(100*G122)+8</f>
        <v>40308</v>
      </c>
      <c r="M122" s="1845" t="n">
        <f aca="false">CN12</f>
        <v>0</v>
      </c>
      <c r="N122" s="1843" t="n">
        <f aca="false">40000+(100*G122)+40</f>
        <v>40340</v>
      </c>
      <c r="O122" s="1842" t="n">
        <f aca="false">SUM(CP12:CT12)+DB12</f>
        <v>0</v>
      </c>
    </row>
    <row r="123" customFormat="false" ht="15" hidden="false" customHeight="true" outlineLevel="0" collapsed="false">
      <c r="B123" s="1404" t="n">
        <f aca="false">Summary!T77</f>
        <v>40004</v>
      </c>
      <c r="C123" s="741" t="str">
        <f aca="false">Summary!U77</f>
        <v>Rock Material</v>
      </c>
      <c r="D123" s="318"/>
      <c r="E123" s="751"/>
      <c r="G123" s="1840" t="n">
        <v>4</v>
      </c>
      <c r="H123" s="1841" t="n">
        <f aca="false">40000+(100*G123)+5</f>
        <v>40405</v>
      </c>
      <c r="I123" s="1845" t="n">
        <f aca="false">CO13</f>
        <v>0</v>
      </c>
      <c r="J123" s="1843" t="n">
        <f aca="false">40000+(100*G123)+7</f>
        <v>40407</v>
      </c>
      <c r="K123" s="1845" t="n">
        <f aca="false">DA13</f>
        <v>0</v>
      </c>
      <c r="L123" s="1843" t="n">
        <f aca="false">40000+(100*G123)+8</f>
        <v>40408</v>
      </c>
      <c r="M123" s="1845" t="n">
        <f aca="false">CN13</f>
        <v>0</v>
      </c>
      <c r="N123" s="1843" t="n">
        <f aca="false">40000+(100*G123)+40</f>
        <v>40440</v>
      </c>
      <c r="O123" s="1842" t="n">
        <f aca="false">SUM(CP13:CT13)+DB13</f>
        <v>0</v>
      </c>
    </row>
    <row r="124" customFormat="false" ht="15" hidden="false" customHeight="true" outlineLevel="0" collapsed="false">
      <c r="B124" s="1404" t="n">
        <f aca="false">Summary!T78</f>
        <v>40005</v>
      </c>
      <c r="C124" s="741" t="str">
        <f aca="false">Summary!U78</f>
        <v>Reinforcement Material</v>
      </c>
      <c r="D124" s="318"/>
      <c r="E124" s="751" t="n">
        <f aca="false">I117+O71</f>
        <v>0</v>
      </c>
      <c r="G124" s="1840" t="n">
        <v>5</v>
      </c>
      <c r="H124" s="1841" t="n">
        <f aca="false">40000+(100*G124)+5</f>
        <v>40505</v>
      </c>
      <c r="I124" s="1845" t="n">
        <f aca="false">CO14</f>
        <v>0</v>
      </c>
      <c r="J124" s="1843" t="n">
        <f aca="false">40000+(100*G124)+7</f>
        <v>40507</v>
      </c>
      <c r="K124" s="1845" t="n">
        <f aca="false">DA14</f>
        <v>0</v>
      </c>
      <c r="L124" s="1843" t="n">
        <f aca="false">40000+(100*G124)+8</f>
        <v>40508</v>
      </c>
      <c r="M124" s="1845" t="n">
        <f aca="false">CN14</f>
        <v>0</v>
      </c>
      <c r="N124" s="1843" t="n">
        <f aca="false">40000+(100*G124)+40</f>
        <v>40540</v>
      </c>
      <c r="O124" s="1842" t="n">
        <f aca="false">SUM(CP14:CT14)+DB14</f>
        <v>0</v>
      </c>
    </row>
    <row r="125" customFormat="false" ht="15" hidden="false" customHeight="true" outlineLevel="0" collapsed="false">
      <c r="B125" s="1404" t="n">
        <f aca="false">Summary!T79</f>
        <v>40006</v>
      </c>
      <c r="C125" s="741" t="str">
        <f aca="false">Summary!U79</f>
        <v>Reinforcement Accessories</v>
      </c>
      <c r="D125" s="318"/>
      <c r="E125" s="751" t="n">
        <f aca="false">SUM(Z98:Z100)</f>
        <v>0</v>
      </c>
      <c r="G125" s="1840" t="n">
        <v>6</v>
      </c>
      <c r="H125" s="1841" t="n">
        <f aca="false">40000+(100*G125)+5</f>
        <v>40605</v>
      </c>
      <c r="I125" s="1845" t="n">
        <f aca="false">CO15</f>
        <v>0</v>
      </c>
      <c r="J125" s="1843" t="n">
        <f aca="false">40000+(100*G125)+7</f>
        <v>40607</v>
      </c>
      <c r="K125" s="1845" t="n">
        <f aca="false">DA15</f>
        <v>0</v>
      </c>
      <c r="L125" s="1843" t="n">
        <f aca="false">40000+(100*G125)+8</f>
        <v>40608</v>
      </c>
      <c r="M125" s="1845" t="n">
        <f aca="false">CN15</f>
        <v>0</v>
      </c>
      <c r="N125" s="1843" t="n">
        <f aca="false">40000+(100*G125)+40</f>
        <v>40640</v>
      </c>
      <c r="O125" s="1842" t="n">
        <f aca="false">SUM(CP15:CT15)+DB15</f>
        <v>0</v>
      </c>
    </row>
    <row r="126" customFormat="false" ht="15" hidden="false" customHeight="true" outlineLevel="0" collapsed="false">
      <c r="B126" s="1404" t="n">
        <f aca="false">Summary!T80</f>
        <v>40007</v>
      </c>
      <c r="C126" s="741" t="str">
        <f aca="false">Summary!U80</f>
        <v>PT Cables</v>
      </c>
      <c r="D126" s="318"/>
      <c r="E126" s="751" t="n">
        <f aca="false">K117</f>
        <v>0</v>
      </c>
      <c r="G126" s="1840" t="n">
        <v>7</v>
      </c>
      <c r="H126" s="1841" t="n">
        <f aca="false">40000+(100*G126)+5</f>
        <v>40705</v>
      </c>
      <c r="I126" s="1845" t="n">
        <f aca="false">CO16</f>
        <v>0</v>
      </c>
      <c r="J126" s="1843" t="n">
        <f aca="false">40000+(100*G126)+7</f>
        <v>40707</v>
      </c>
      <c r="K126" s="1845" t="n">
        <f aca="false">DA16</f>
        <v>0</v>
      </c>
      <c r="L126" s="1843" t="n">
        <f aca="false">40000+(100*G126)+8</f>
        <v>40708</v>
      </c>
      <c r="M126" s="1845" t="n">
        <f aca="false">CN16</f>
        <v>0</v>
      </c>
      <c r="N126" s="1843" t="n">
        <f aca="false">40000+(100*G126)+40</f>
        <v>40740</v>
      </c>
      <c r="O126" s="1842" t="n">
        <f aca="false">SUM(CP16:CT16)+DB16</f>
        <v>0</v>
      </c>
    </row>
    <row r="127" customFormat="false" ht="15" hidden="false" customHeight="true" outlineLevel="0" collapsed="false">
      <c r="B127" s="1404" t="n">
        <f aca="false">Summary!T81</f>
        <v>40008</v>
      </c>
      <c r="C127" s="741" t="str">
        <f aca="false">Summary!U81</f>
        <v>Concrete Material</v>
      </c>
      <c r="D127" s="318"/>
      <c r="E127" s="751" t="n">
        <f aca="false">SUM(O65:P69)</f>
        <v>0</v>
      </c>
      <c r="G127" s="1840" t="n">
        <v>8</v>
      </c>
      <c r="H127" s="1841" t="n">
        <f aca="false">40000+(100*G127)+5</f>
        <v>40805</v>
      </c>
      <c r="I127" s="1845" t="n">
        <f aca="false">CO17</f>
        <v>0</v>
      </c>
      <c r="J127" s="1843" t="n">
        <f aca="false">40000+(100*G127)+7</f>
        <v>40807</v>
      </c>
      <c r="K127" s="1845" t="n">
        <f aca="false">DA17</f>
        <v>0</v>
      </c>
      <c r="L127" s="1843" t="n">
        <f aca="false">40000+(100*G127)+8</f>
        <v>40808</v>
      </c>
      <c r="M127" s="1845" t="n">
        <f aca="false">CN17</f>
        <v>0</v>
      </c>
      <c r="N127" s="1843" t="n">
        <f aca="false">40000+(100*G127)+40</f>
        <v>40840</v>
      </c>
      <c r="O127" s="1842" t="n">
        <f aca="false">SUM(CP17:CT17)+DB17</f>
        <v>0</v>
      </c>
    </row>
    <row r="128" customFormat="false" ht="15" hidden="false" customHeight="true" outlineLevel="0" collapsed="false">
      <c r="B128" s="1404" t="n">
        <f aca="false">Summary!T82</f>
        <v>40009</v>
      </c>
      <c r="C128" s="741" t="str">
        <f aca="false">Summary!U82</f>
        <v>Carton Forms</v>
      </c>
      <c r="D128" s="318"/>
      <c r="E128" s="751" t="n">
        <f aca="false">SUM(O74:P76)</f>
        <v>0</v>
      </c>
      <c r="G128" s="1840" t="n">
        <v>9</v>
      </c>
      <c r="H128" s="1841" t="n">
        <f aca="false">40000+(100*G128)+5</f>
        <v>40905</v>
      </c>
      <c r="I128" s="1845" t="n">
        <f aca="false">CO18</f>
        <v>0</v>
      </c>
      <c r="J128" s="1843" t="n">
        <f aca="false">40000+(100*G128)+7</f>
        <v>40907</v>
      </c>
      <c r="K128" s="1845" t="n">
        <f aca="false">DA18</f>
        <v>0</v>
      </c>
      <c r="L128" s="1843" t="n">
        <f aca="false">40000+(100*G128)+8</f>
        <v>40908</v>
      </c>
      <c r="M128" s="1845" t="n">
        <f aca="false">CN18</f>
        <v>0</v>
      </c>
      <c r="N128" s="1843" t="n">
        <f aca="false">40000+(100*G128)+40</f>
        <v>40940</v>
      </c>
      <c r="O128" s="1842" t="n">
        <f aca="false">SUM(CP18:CT18)+DB18</f>
        <v>0</v>
      </c>
    </row>
    <row r="129" customFormat="false" ht="15" hidden="false" customHeight="true" outlineLevel="0" collapsed="false">
      <c r="B129" s="1404" t="n">
        <f aca="false">Summary!T83</f>
        <v>40010</v>
      </c>
      <c r="C129" s="741" t="str">
        <f aca="false">Summary!U83</f>
        <v>Cure/Sealers</v>
      </c>
      <c r="D129" s="318"/>
      <c r="E129" s="751" t="n">
        <f aca="false">SUM(Z104:Z106)</f>
        <v>0</v>
      </c>
      <c r="G129" s="1840" t="n">
        <v>10</v>
      </c>
      <c r="H129" s="1841" t="n">
        <f aca="false">40000+(100*G129)+5</f>
        <v>41005</v>
      </c>
      <c r="I129" s="1845" t="n">
        <f aca="false">CO19</f>
        <v>0</v>
      </c>
      <c r="J129" s="1843" t="n">
        <f aca="false">40000+(100*G129)+7</f>
        <v>41007</v>
      </c>
      <c r="K129" s="1845" t="n">
        <f aca="false">DA19</f>
        <v>0</v>
      </c>
      <c r="L129" s="1843" t="n">
        <f aca="false">40000+(100*G129)+8</f>
        <v>41008</v>
      </c>
      <c r="M129" s="1845" t="n">
        <f aca="false">CN19</f>
        <v>0</v>
      </c>
      <c r="N129" s="1843" t="n">
        <f aca="false">40000+(100*G129)+40</f>
        <v>41040</v>
      </c>
      <c r="O129" s="1842" t="n">
        <f aca="false">SUM(CP19:CT19)+DB19</f>
        <v>0</v>
      </c>
    </row>
    <row r="130" customFormat="false" ht="15" hidden="false" customHeight="true" outlineLevel="0" collapsed="false">
      <c r="B130" s="1404" t="n">
        <f aca="false">Summary!T84</f>
        <v>40011</v>
      </c>
      <c r="C130" s="741" t="str">
        <f aca="false">Summary!U84</f>
        <v>Patch/Grout</v>
      </c>
      <c r="D130" s="318"/>
      <c r="E130" s="751" t="n">
        <f aca="false">SUM(Z92:Z97)</f>
        <v>0</v>
      </c>
      <c r="G130" s="1840" t="n">
        <v>11</v>
      </c>
      <c r="H130" s="1841" t="n">
        <f aca="false">40000+(100*G130)+5</f>
        <v>41105</v>
      </c>
      <c r="I130" s="1845" t="n">
        <f aca="false">CO20</f>
        <v>0</v>
      </c>
      <c r="J130" s="1843" t="n">
        <f aca="false">40000+(100*G130)+7</f>
        <v>41107</v>
      </c>
      <c r="K130" s="1845" t="n">
        <f aca="false">DA20</f>
        <v>0</v>
      </c>
      <c r="L130" s="1843" t="n">
        <f aca="false">40000+(100*G130)+8</f>
        <v>41108</v>
      </c>
      <c r="M130" s="1845" t="n">
        <f aca="false">CN20</f>
        <v>0</v>
      </c>
      <c r="N130" s="1843" t="n">
        <f aca="false">40000+(100*G130)+40</f>
        <v>41140</v>
      </c>
      <c r="O130" s="1842" t="n">
        <f aca="false">SUM(CP20:CT20)+DB20</f>
        <v>0</v>
      </c>
    </row>
    <row r="131" customFormat="false" ht="15" hidden="false" customHeight="true" outlineLevel="0" collapsed="false">
      <c r="B131" s="1404" t="n">
        <f aca="false">Summary!T85</f>
        <v>40012</v>
      </c>
      <c r="C131" s="741" t="str">
        <f aca="false">Summary!U85</f>
        <v>Poly/Vapor Barrier</v>
      </c>
      <c r="D131" s="318"/>
      <c r="E131" s="751" t="n">
        <f aca="false">SUM(Z87:Z90)</f>
        <v>0</v>
      </c>
      <c r="G131" s="1840" t="n">
        <v>12</v>
      </c>
      <c r="H131" s="1841" t="n">
        <f aca="false">40000+(100*G131)+5</f>
        <v>41205</v>
      </c>
      <c r="I131" s="1845" t="n">
        <f aca="false">CO21</f>
        <v>0</v>
      </c>
      <c r="J131" s="1843" t="n">
        <f aca="false">40000+(100*G131)+7</f>
        <v>41207</v>
      </c>
      <c r="K131" s="1845" t="n">
        <f aca="false">DA21</f>
        <v>0</v>
      </c>
      <c r="L131" s="1843" t="n">
        <f aca="false">40000+(100*G131)+8</f>
        <v>41208</v>
      </c>
      <c r="M131" s="1845" t="n">
        <f aca="false">CN21</f>
        <v>0</v>
      </c>
      <c r="N131" s="1843" t="n">
        <f aca="false">40000+(100*G131)+40</f>
        <v>41240</v>
      </c>
      <c r="O131" s="1842" t="n">
        <f aca="false">SUM(CP21:CT21)+DB21</f>
        <v>0</v>
      </c>
    </row>
    <row r="132" customFormat="false" ht="15" hidden="false" customHeight="true" outlineLevel="0" collapsed="false">
      <c r="B132" s="1404" t="n">
        <f aca="false">Summary!T86</f>
        <v>40013</v>
      </c>
      <c r="C132" s="741" t="str">
        <f aca="false">Summary!U86</f>
        <v>Special Material</v>
      </c>
      <c r="D132" s="318"/>
      <c r="E132" s="751" t="n">
        <f aca="false">Z101</f>
        <v>0</v>
      </c>
      <c r="G132" s="1840" t="n">
        <v>13</v>
      </c>
      <c r="H132" s="1841" t="n">
        <f aca="false">40000+(100*G132)+5</f>
        <v>41305</v>
      </c>
      <c r="I132" s="1845" t="n">
        <f aca="false">CO22</f>
        <v>0</v>
      </c>
      <c r="J132" s="1843" t="n">
        <f aca="false">40000+(100*G132)+7</f>
        <v>41307</v>
      </c>
      <c r="K132" s="1845" t="n">
        <f aca="false">DA22</f>
        <v>0</v>
      </c>
      <c r="L132" s="1843" t="n">
        <f aca="false">40000+(100*G132)+8</f>
        <v>41308</v>
      </c>
      <c r="M132" s="1845" t="n">
        <f aca="false">CN22</f>
        <v>0</v>
      </c>
      <c r="N132" s="1843" t="n">
        <f aca="false">40000+(100*G132)+40</f>
        <v>41340</v>
      </c>
      <c r="O132" s="1842" t="n">
        <f aca="false">SUM(CP22:CT22)+DB22</f>
        <v>0</v>
      </c>
    </row>
    <row r="133" customFormat="false" ht="15" hidden="false" customHeight="true" outlineLevel="0" collapsed="false">
      <c r="B133" s="1404" t="n">
        <f aca="false">Summary!T87</f>
        <v>40014</v>
      </c>
      <c r="C133" s="741" t="str">
        <f aca="false">Summary!U87</f>
        <v>Special Material</v>
      </c>
      <c r="D133" s="318"/>
      <c r="E133" s="751" t="n">
        <f aca="false">Z102</f>
        <v>0</v>
      </c>
      <c r="G133" s="1840" t="n">
        <v>14</v>
      </c>
      <c r="H133" s="1841" t="n">
        <f aca="false">40000+(100*G133)+5</f>
        <v>41405</v>
      </c>
      <c r="I133" s="1845" t="n">
        <f aca="false">CO23</f>
        <v>0</v>
      </c>
      <c r="J133" s="1843" t="n">
        <f aca="false">40000+(100*G133)+7</f>
        <v>41407</v>
      </c>
      <c r="K133" s="1845" t="n">
        <f aca="false">DA23</f>
        <v>0</v>
      </c>
      <c r="L133" s="1843" t="n">
        <f aca="false">40000+(100*G133)+8</f>
        <v>41408</v>
      </c>
      <c r="M133" s="1845" t="n">
        <f aca="false">CN23</f>
        <v>0</v>
      </c>
      <c r="N133" s="1843" t="n">
        <f aca="false">40000+(100*G133)+40</f>
        <v>41440</v>
      </c>
      <c r="O133" s="1842" t="n">
        <f aca="false">SUM(CP23:CT23)+DB23</f>
        <v>0</v>
      </c>
    </row>
    <row r="134" customFormat="false" ht="15" hidden="false" customHeight="true" outlineLevel="0" collapsed="false">
      <c r="B134" s="1404" t="n">
        <f aca="false">Summary!T88</f>
        <v>40015</v>
      </c>
      <c r="C134" s="741" t="str">
        <f aca="false">Summary!U88</f>
        <v>PPE/Safety</v>
      </c>
      <c r="D134" s="318"/>
      <c r="E134" s="751" t="n">
        <f aca="false">Z103</f>
        <v>0</v>
      </c>
      <c r="G134" s="1840" t="n">
        <v>15</v>
      </c>
      <c r="H134" s="1841" t="n">
        <f aca="false">40000+(100*G134)+5</f>
        <v>41505</v>
      </c>
      <c r="I134" s="1845" t="n">
        <f aca="false">CO24</f>
        <v>0</v>
      </c>
      <c r="J134" s="1843" t="n">
        <f aca="false">40000+(100*G134)+7</f>
        <v>41507</v>
      </c>
      <c r="K134" s="1845" t="n">
        <f aca="false">DA24</f>
        <v>0</v>
      </c>
      <c r="L134" s="1843" t="n">
        <f aca="false">40000+(100*G134)+8</f>
        <v>41508</v>
      </c>
      <c r="M134" s="1845" t="n">
        <f aca="false">CN24</f>
        <v>0</v>
      </c>
      <c r="N134" s="1843" t="n">
        <f aca="false">40000+(100*G134)+40</f>
        <v>41540</v>
      </c>
      <c r="O134" s="1842" t="n">
        <f aca="false">SUM(CP24:CT24)+DB24</f>
        <v>0</v>
      </c>
    </row>
    <row r="135" customFormat="false" ht="15" hidden="false" customHeight="true" outlineLevel="0" collapsed="false">
      <c r="B135" s="1404" t="n">
        <f aca="false">Summary!T89</f>
        <v>40020</v>
      </c>
      <c r="C135" s="741" t="str">
        <f aca="false">Summary!U89</f>
        <v>Supervision</v>
      </c>
      <c r="D135" s="318"/>
      <c r="E135" s="751" t="n">
        <f aca="false">SUM(O91:P92)</f>
        <v>0</v>
      </c>
      <c r="G135" s="1840" t="n">
        <v>16</v>
      </c>
      <c r="H135" s="1841" t="n">
        <f aca="false">40000+(100*G135)+5</f>
        <v>41605</v>
      </c>
      <c r="I135" s="1845" t="n">
        <f aca="false">CO25</f>
        <v>0</v>
      </c>
      <c r="J135" s="1843" t="n">
        <f aca="false">40000+(100*G135)+7</f>
        <v>41607</v>
      </c>
      <c r="K135" s="1845" t="n">
        <f aca="false">DA25</f>
        <v>0</v>
      </c>
      <c r="L135" s="1843" t="n">
        <f aca="false">40000+(100*G135)+8</f>
        <v>41608</v>
      </c>
      <c r="M135" s="1845" t="n">
        <f aca="false">CN25</f>
        <v>0</v>
      </c>
      <c r="N135" s="1843" t="n">
        <f aca="false">40000+(100*G135)+40</f>
        <v>41640</v>
      </c>
      <c r="O135" s="1842" t="n">
        <f aca="false">SUM(CP25:CT25)+DB25</f>
        <v>0</v>
      </c>
    </row>
    <row r="136" customFormat="false" ht="15" hidden="false" customHeight="true" outlineLevel="0" collapsed="false">
      <c r="B136" s="1404" t="n">
        <f aca="false">Summary!T90</f>
        <v>40021</v>
      </c>
      <c r="C136" s="741" t="str">
        <f aca="false">Summary!U90</f>
        <v>Supervision Expense</v>
      </c>
      <c r="D136" s="318"/>
      <c r="E136" s="751" t="n">
        <f aca="false">O93</f>
        <v>0</v>
      </c>
      <c r="G136" s="1840" t="n">
        <v>17</v>
      </c>
      <c r="H136" s="1841" t="n">
        <f aca="false">40000+(100*G136)+5</f>
        <v>41705</v>
      </c>
      <c r="I136" s="1845" t="n">
        <f aca="false">CO26</f>
        <v>0</v>
      </c>
      <c r="J136" s="1843" t="n">
        <f aca="false">40000+(100*G136)+7</f>
        <v>41707</v>
      </c>
      <c r="K136" s="1845" t="n">
        <f aca="false">DA26</f>
        <v>0</v>
      </c>
      <c r="L136" s="1843" t="n">
        <f aca="false">40000+(100*G136)+8</f>
        <v>41708</v>
      </c>
      <c r="M136" s="1845" t="n">
        <f aca="false">CN26</f>
        <v>0</v>
      </c>
      <c r="N136" s="1843" t="n">
        <f aca="false">40000+(100*G136)+40</f>
        <v>41740</v>
      </c>
      <c r="O136" s="1842" t="n">
        <f aca="false">SUM(CP26:CT26)+DB26</f>
        <v>0</v>
      </c>
    </row>
    <row r="137" customFormat="false" ht="15" hidden="false" customHeight="true" outlineLevel="0" collapsed="false">
      <c r="B137" s="1404" t="n">
        <f aca="false">Summary!T91</f>
        <v>40022</v>
      </c>
      <c r="C137" s="741" t="str">
        <f aca="false">Summary!U91</f>
        <v>Project Management</v>
      </c>
      <c r="D137" s="318"/>
      <c r="E137" s="751" t="n">
        <f aca="false">O94</f>
        <v>0</v>
      </c>
      <c r="G137" s="1840" t="n">
        <v>18</v>
      </c>
      <c r="H137" s="1841" t="n">
        <f aca="false">40000+(100*G137)+5</f>
        <v>41805</v>
      </c>
      <c r="I137" s="1845" t="n">
        <f aca="false">CO27</f>
        <v>0</v>
      </c>
      <c r="J137" s="1843" t="n">
        <f aca="false">40000+(100*G137)+7</f>
        <v>41807</v>
      </c>
      <c r="K137" s="1845" t="n">
        <f aca="false">DA27</f>
        <v>0</v>
      </c>
      <c r="L137" s="1843" t="n">
        <f aca="false">40000+(100*G137)+8</f>
        <v>41808</v>
      </c>
      <c r="M137" s="1845" t="n">
        <f aca="false">CN27</f>
        <v>0</v>
      </c>
      <c r="N137" s="1843" t="n">
        <f aca="false">40000+(100*G137)+40</f>
        <v>41840</v>
      </c>
      <c r="O137" s="1842" t="n">
        <f aca="false">SUM(CP27:CT27)+DB27</f>
        <v>0</v>
      </c>
    </row>
    <row r="138" customFormat="false" ht="15" hidden="false" customHeight="true" outlineLevel="0" collapsed="false">
      <c r="B138" s="1404" t="n">
        <f aca="false">Summary!T92</f>
        <v>40023</v>
      </c>
      <c r="C138" s="741" t="str">
        <f aca="false">Summary!U92</f>
        <v>Labor Grade, Poly, Reinf.</v>
      </c>
      <c r="D138" s="318"/>
      <c r="E138" s="751" t="n">
        <f aca="false">L80</f>
        <v>0</v>
      </c>
      <c r="G138" s="1840" t="n">
        <v>19</v>
      </c>
      <c r="H138" s="1841" t="n">
        <f aca="false">40000+(100*G138)+5</f>
        <v>41905</v>
      </c>
      <c r="I138" s="1845" t="n">
        <f aca="false">CO28</f>
        <v>0</v>
      </c>
      <c r="J138" s="1843" t="n">
        <f aca="false">40000+(100*G138)+7</f>
        <v>41907</v>
      </c>
      <c r="K138" s="1845" t="n">
        <f aca="false">DA28</f>
        <v>0</v>
      </c>
      <c r="L138" s="1843" t="n">
        <f aca="false">40000+(100*G138)+8</f>
        <v>41908</v>
      </c>
      <c r="M138" s="1845" t="n">
        <f aca="false">CN28</f>
        <v>0</v>
      </c>
      <c r="N138" s="1843" t="n">
        <f aca="false">40000+(100*G138)+40</f>
        <v>41940</v>
      </c>
      <c r="O138" s="1842" t="n">
        <f aca="false">SUM(CP28:CT28)+DB28</f>
        <v>0</v>
      </c>
    </row>
    <row r="139" customFormat="false" ht="15" hidden="false" customHeight="false" outlineLevel="0" collapsed="false">
      <c r="B139" s="1404" t="n">
        <f aca="false">Summary!T93</f>
        <v>40024</v>
      </c>
      <c r="C139" s="741" t="str">
        <f aca="false">Summary!U93</f>
        <v>Labor Place &amp; Finish</v>
      </c>
      <c r="D139" s="318"/>
      <c r="E139" s="751" t="n">
        <f aca="false">L81</f>
        <v>0</v>
      </c>
      <c r="G139" s="1840" t="n">
        <v>20</v>
      </c>
      <c r="H139" s="1841" t="n">
        <f aca="false">40000+(100*G139)+5</f>
        <v>42005</v>
      </c>
      <c r="I139" s="1845" t="n">
        <f aca="false">CO29</f>
        <v>0</v>
      </c>
      <c r="J139" s="1843" t="n">
        <f aca="false">40000+(100*G139)+7</f>
        <v>42007</v>
      </c>
      <c r="K139" s="1845" t="n">
        <f aca="false">DA29</f>
        <v>0</v>
      </c>
      <c r="L139" s="1843" t="n">
        <f aca="false">40000+(100*G139)+8</f>
        <v>42008</v>
      </c>
      <c r="M139" s="1845" t="n">
        <f aca="false">CN29</f>
        <v>0</v>
      </c>
      <c r="N139" s="1843" t="n">
        <f aca="false">40000+(100*G139)+40</f>
        <v>42040</v>
      </c>
      <c r="O139" s="1842" t="n">
        <f aca="false">SUM(CP29:CT29)+DB29</f>
        <v>0</v>
      </c>
    </row>
    <row r="140" customFormat="false" ht="15" hidden="false" customHeight="false" outlineLevel="0" collapsed="false">
      <c r="B140" s="1404" t="n">
        <f aca="false">Summary!T94</f>
        <v>40025</v>
      </c>
      <c r="C140" s="741" t="str">
        <f aca="false">Summary!U94</f>
        <v>Labor Drops</v>
      </c>
      <c r="D140" s="318"/>
      <c r="E140" s="751" t="n">
        <f aca="false">L83</f>
        <v>0</v>
      </c>
      <c r="G140" s="1840" t="n">
        <v>21</v>
      </c>
      <c r="H140" s="1841" t="n">
        <f aca="false">40000+(100*G140)+5</f>
        <v>42105</v>
      </c>
      <c r="I140" s="1845" t="n">
        <f aca="false">CO30</f>
        <v>0</v>
      </c>
      <c r="J140" s="1843" t="n">
        <f aca="false">40000+(100*G140)+7</f>
        <v>42107</v>
      </c>
      <c r="K140" s="1845" t="n">
        <f aca="false">DA30</f>
        <v>0</v>
      </c>
      <c r="L140" s="1843" t="n">
        <f aca="false">40000+(100*G140)+8</f>
        <v>42108</v>
      </c>
      <c r="M140" s="1845" t="n">
        <f aca="false">CN30</f>
        <v>0</v>
      </c>
      <c r="N140" s="1843" t="n">
        <f aca="false">40000+(100*G140)+40</f>
        <v>42140</v>
      </c>
      <c r="O140" s="1842" t="n">
        <f aca="false">SUM(CP30:CT30)+DB30</f>
        <v>0</v>
      </c>
    </row>
    <row r="141" customFormat="false" ht="15" hidden="false" customHeight="false" outlineLevel="0" collapsed="false">
      <c r="B141" s="1404" t="n">
        <f aca="false">Summary!T95</f>
        <v>40026</v>
      </c>
      <c r="C141" s="741" t="str">
        <f aca="false">Summary!U95</f>
        <v>Labor Strip Forms</v>
      </c>
      <c r="D141" s="318"/>
      <c r="E141" s="751" t="n">
        <f aca="false">L82</f>
        <v>0</v>
      </c>
      <c r="G141" s="1840" t="n">
        <v>22</v>
      </c>
      <c r="H141" s="1841" t="n">
        <f aca="false">40000+(100*G141)+5</f>
        <v>42205</v>
      </c>
      <c r="I141" s="1845" t="n">
        <f aca="false">CO31</f>
        <v>0</v>
      </c>
      <c r="J141" s="1843" t="n">
        <f aca="false">40000+(100*G141)+7</f>
        <v>42207</v>
      </c>
      <c r="K141" s="1845" t="n">
        <f aca="false">DA31</f>
        <v>0</v>
      </c>
      <c r="L141" s="1843" t="n">
        <f aca="false">40000+(100*G141)+8</f>
        <v>42208</v>
      </c>
      <c r="M141" s="1845" t="n">
        <f aca="false">CN31</f>
        <v>0</v>
      </c>
      <c r="N141" s="1843" t="n">
        <f aca="false">40000+(100*G141)+40</f>
        <v>42240</v>
      </c>
      <c r="O141" s="1842" t="n">
        <f aca="false">SUM(CP31:CT31)+DB31</f>
        <v>0</v>
      </c>
    </row>
    <row r="142" customFormat="false" ht="15" hidden="false" customHeight="false" outlineLevel="0" collapsed="false">
      <c r="B142" s="1404" t="n">
        <f aca="false">Summary!T96</f>
        <v>40027</v>
      </c>
      <c r="C142" s="741" t="str">
        <f aca="false">Summary!U96</f>
        <v>Labor Burden</v>
      </c>
      <c r="D142" s="318"/>
      <c r="E142" s="751" t="n">
        <f aca="false">L86</f>
        <v>0</v>
      </c>
      <c r="G142" s="1840" t="n">
        <v>23</v>
      </c>
      <c r="H142" s="1841" t="n">
        <f aca="false">40000+(100*G142)+5</f>
        <v>42305</v>
      </c>
      <c r="I142" s="1845" t="n">
        <f aca="false">CO32</f>
        <v>0</v>
      </c>
      <c r="J142" s="1843" t="n">
        <f aca="false">40000+(100*G142)+7</f>
        <v>42307</v>
      </c>
      <c r="K142" s="1845" t="n">
        <f aca="false">DA32</f>
        <v>0</v>
      </c>
      <c r="L142" s="1843" t="n">
        <f aca="false">40000+(100*G142)+8</f>
        <v>42308</v>
      </c>
      <c r="M142" s="1845" t="n">
        <f aca="false">CN32</f>
        <v>0</v>
      </c>
      <c r="N142" s="1843" t="n">
        <f aca="false">40000+(100*G142)+40</f>
        <v>42340</v>
      </c>
      <c r="O142" s="1842" t="n">
        <f aca="false">SUM(CP32:CT32)+DB32</f>
        <v>0</v>
      </c>
    </row>
    <row r="143" customFormat="false" ht="15" hidden="false" customHeight="false" outlineLevel="0" collapsed="false">
      <c r="B143" s="1404" t="n">
        <f aca="false">Summary!T97</f>
        <v>40028</v>
      </c>
      <c r="C143" s="741" t="str">
        <f aca="false">Summary!U97</f>
        <v>Surveying</v>
      </c>
      <c r="D143" s="318"/>
      <c r="E143" s="751"/>
      <c r="G143" s="1840" t="n">
        <v>24</v>
      </c>
      <c r="H143" s="1841" t="n">
        <f aca="false">40000+(100*G143)+5</f>
        <v>42405</v>
      </c>
      <c r="I143" s="1845" t="n">
        <f aca="false">CO33</f>
        <v>0</v>
      </c>
      <c r="J143" s="1843" t="n">
        <f aca="false">40000+(100*G143)+7</f>
        <v>42407</v>
      </c>
      <c r="K143" s="1845" t="n">
        <f aca="false">DA33</f>
        <v>0</v>
      </c>
      <c r="L143" s="1843" t="n">
        <f aca="false">40000+(100*G143)+8</f>
        <v>42408</v>
      </c>
      <c r="M143" s="1845" t="n">
        <f aca="false">CN33</f>
        <v>0</v>
      </c>
      <c r="N143" s="1843" t="n">
        <f aca="false">40000+(100*G143)+40</f>
        <v>42440</v>
      </c>
      <c r="O143" s="1842" t="n">
        <f aca="false">SUM(CP33:CT33)+DB33</f>
        <v>0</v>
      </c>
    </row>
    <row r="144" customFormat="false" ht="15" hidden="false" customHeight="false" outlineLevel="0" collapsed="false">
      <c r="B144" s="1404" t="n">
        <f aca="false">Summary!T98</f>
        <v>40030</v>
      </c>
      <c r="C144" s="741" t="str">
        <f aca="false">Summary!U98</f>
        <v>Pumping</v>
      </c>
      <c r="D144" s="318"/>
      <c r="E144" s="1846" t="n">
        <f aca="false">O106</f>
        <v>0</v>
      </c>
      <c r="G144" s="1840" t="n">
        <v>25</v>
      </c>
      <c r="H144" s="1841" t="n">
        <f aca="false">40000+(100*G144)+5</f>
        <v>42505</v>
      </c>
      <c r="I144" s="1845" t="n">
        <f aca="false">CO34</f>
        <v>0</v>
      </c>
      <c r="J144" s="1843" t="n">
        <f aca="false">40000+(100*G144)+7</f>
        <v>42507</v>
      </c>
      <c r="K144" s="1845" t="n">
        <f aca="false">DA34</f>
        <v>0</v>
      </c>
      <c r="L144" s="1843" t="n">
        <f aca="false">40000+(100*G144)+8</f>
        <v>42508</v>
      </c>
      <c r="M144" s="1845" t="n">
        <f aca="false">CN34</f>
        <v>0</v>
      </c>
      <c r="N144" s="1843" t="n">
        <f aca="false">40000+(100*G144)+40</f>
        <v>42540</v>
      </c>
      <c r="O144" s="1842" t="n">
        <f aca="false">SUM(CP34:CT34)+DB34</f>
        <v>0</v>
      </c>
    </row>
    <row r="145" customFormat="false" ht="15" hidden="false" customHeight="false" outlineLevel="0" collapsed="false">
      <c r="B145" s="1404" t="n">
        <f aca="false">Summary!T99</f>
        <v>40031</v>
      </c>
      <c r="C145" s="741" t="str">
        <f aca="false">Summary!U99</f>
        <v>Earth Work/Excavation</v>
      </c>
      <c r="D145" s="318"/>
      <c r="E145" s="751"/>
      <c r="G145" s="1840" t="n">
        <v>26</v>
      </c>
      <c r="H145" s="1841" t="n">
        <f aca="false">40000+(100*G145)+5</f>
        <v>42605</v>
      </c>
      <c r="I145" s="1845" t="n">
        <f aca="false">CO35</f>
        <v>0</v>
      </c>
      <c r="J145" s="1843" t="n">
        <f aca="false">40000+(100*G145)+7</f>
        <v>42607</v>
      </c>
      <c r="K145" s="1845" t="n">
        <f aca="false">DA35</f>
        <v>0</v>
      </c>
      <c r="L145" s="1843" t="n">
        <f aca="false">40000+(100*G145)+8</f>
        <v>42608</v>
      </c>
      <c r="M145" s="1845" t="n">
        <f aca="false">CN35</f>
        <v>0</v>
      </c>
      <c r="N145" s="1843" t="n">
        <f aca="false">40000+(100*G145)+40</f>
        <v>42640</v>
      </c>
      <c r="O145" s="1842" t="n">
        <f aca="false">SUM(CP35:CT35)+DB35</f>
        <v>0</v>
      </c>
    </row>
    <row r="146" customFormat="false" ht="15" hidden="false" customHeight="false" outlineLevel="0" collapsed="false">
      <c r="B146" s="1404" t="n">
        <f aca="false">Summary!T100</f>
        <v>40032</v>
      </c>
      <c r="C146" s="741" t="str">
        <f aca="false">Summary!U100</f>
        <v>Drilling</v>
      </c>
      <c r="D146" s="318"/>
      <c r="E146" s="751"/>
      <c r="G146" s="1840" t="n">
        <v>27</v>
      </c>
      <c r="H146" s="1841" t="n">
        <f aca="false">40000+(100*G146)+5</f>
        <v>42705</v>
      </c>
      <c r="I146" s="1845" t="n">
        <f aca="false">CO36</f>
        <v>0</v>
      </c>
      <c r="J146" s="1843" t="n">
        <f aca="false">40000+(100*G146)+7</f>
        <v>42707</v>
      </c>
      <c r="K146" s="1845" t="n">
        <f aca="false">DA36</f>
        <v>0</v>
      </c>
      <c r="L146" s="1843" t="n">
        <f aca="false">40000+(100*G146)+8</f>
        <v>42708</v>
      </c>
      <c r="M146" s="1845" t="n">
        <f aca="false">CN36</f>
        <v>0</v>
      </c>
      <c r="N146" s="1843" t="n">
        <f aca="false">40000+(100*G146)+40</f>
        <v>42740</v>
      </c>
      <c r="O146" s="1842" t="n">
        <f aca="false">SUM(CP36:CT36)+DB36</f>
        <v>0</v>
      </c>
    </row>
    <row r="147" customFormat="false" ht="15" hidden="false" customHeight="false" outlineLevel="0" collapsed="false">
      <c r="B147" s="1404" t="n">
        <f aca="false">Summary!T101</f>
        <v>40033</v>
      </c>
      <c r="C147" s="741" t="str">
        <f aca="false">Summary!U101</f>
        <v>Haul off</v>
      </c>
      <c r="D147" s="318"/>
      <c r="E147" s="751" t="n">
        <f aca="false">O107</f>
        <v>0</v>
      </c>
      <c r="G147" s="1840" t="n">
        <v>28</v>
      </c>
      <c r="H147" s="1841" t="n">
        <f aca="false">40000+(100*G147)+5</f>
        <v>42805</v>
      </c>
      <c r="I147" s="1845" t="n">
        <f aca="false">CO37</f>
        <v>0</v>
      </c>
      <c r="J147" s="1843" t="n">
        <f aca="false">40000+(100*G147)+7</f>
        <v>42807</v>
      </c>
      <c r="K147" s="1845" t="n">
        <f aca="false">DA37</f>
        <v>0</v>
      </c>
      <c r="L147" s="1843" t="n">
        <f aca="false">40000+(100*G147)+8</f>
        <v>42808</v>
      </c>
      <c r="M147" s="1845" t="n">
        <f aca="false">CN37</f>
        <v>0</v>
      </c>
      <c r="N147" s="1843" t="n">
        <f aca="false">40000+(100*G147)+40</f>
        <v>42840</v>
      </c>
      <c r="O147" s="1842" t="n">
        <f aca="false">SUM(CP37:CT37)+DB37</f>
        <v>0</v>
      </c>
    </row>
    <row r="148" customFormat="false" ht="15" hidden="false" customHeight="false" outlineLevel="0" collapsed="false">
      <c r="B148" s="1404" t="n">
        <f aca="false">Summary!T102</f>
        <v>40034</v>
      </c>
      <c r="C148" s="741" t="str">
        <f aca="false">Summary!U102</f>
        <v>Saw Cutting/Sealing</v>
      </c>
      <c r="D148" s="318"/>
      <c r="E148" s="751" t="n">
        <f aca="false">O104+O105</f>
        <v>0</v>
      </c>
      <c r="G148" s="1840" t="n">
        <v>29</v>
      </c>
      <c r="H148" s="1841" t="n">
        <f aca="false">40000+(100*G148)+5</f>
        <v>42905</v>
      </c>
      <c r="I148" s="1845" t="n">
        <f aca="false">CO38</f>
        <v>0</v>
      </c>
      <c r="J148" s="1843" t="n">
        <f aca="false">40000+(100*G148)+7</f>
        <v>42907</v>
      </c>
      <c r="K148" s="1845" t="n">
        <f aca="false">DA38</f>
        <v>0</v>
      </c>
      <c r="L148" s="1843" t="n">
        <f aca="false">40000+(100*G148)+8</f>
        <v>42908</v>
      </c>
      <c r="M148" s="1845" t="n">
        <f aca="false">CN38</f>
        <v>0</v>
      </c>
      <c r="N148" s="1843" t="n">
        <f aca="false">40000+(100*G148)+40</f>
        <v>42940</v>
      </c>
      <c r="O148" s="1842" t="n">
        <f aca="false">SUM(CP38:CT38)+DB38</f>
        <v>0</v>
      </c>
    </row>
    <row r="149" customFormat="false" ht="15" hidden="false" customHeight="false" outlineLevel="0" collapsed="false">
      <c r="B149" s="1404" t="n">
        <f aca="false">Summary!T103</f>
        <v>40035</v>
      </c>
      <c r="C149" s="741" t="str">
        <f aca="false">Summary!U103</f>
        <v>Demolition</v>
      </c>
      <c r="D149" s="318"/>
      <c r="E149" s="751"/>
      <c r="G149" s="1840" t="n">
        <v>30</v>
      </c>
      <c r="H149" s="1841" t="n">
        <f aca="false">40000+(100*G149)+5</f>
        <v>43005</v>
      </c>
      <c r="I149" s="1845" t="n">
        <f aca="false">CO39</f>
        <v>0</v>
      </c>
      <c r="J149" s="1843" t="n">
        <f aca="false">40000+(100*G149)+7</f>
        <v>43007</v>
      </c>
      <c r="K149" s="1845" t="n">
        <f aca="false">DA39</f>
        <v>0</v>
      </c>
      <c r="L149" s="1843" t="n">
        <f aca="false">40000+(100*G149)+8</f>
        <v>43008</v>
      </c>
      <c r="M149" s="1845" t="n">
        <f aca="false">CN39</f>
        <v>0</v>
      </c>
      <c r="N149" s="1843" t="n">
        <f aca="false">40000+(100*G149)+40</f>
        <v>43040</v>
      </c>
      <c r="O149" s="1842" t="n">
        <f aca="false">SUM(CP39:CT39)+DB39</f>
        <v>0</v>
      </c>
    </row>
    <row r="150" customFormat="false" ht="15" hidden="false" customHeight="false" outlineLevel="0" collapsed="false">
      <c r="B150" s="1404" t="n">
        <f aca="false">Summary!T104</f>
        <v>40037</v>
      </c>
      <c r="C150" s="741" t="str">
        <f aca="false">Summary!U104</f>
        <v>Waterproofing</v>
      </c>
      <c r="D150" s="318"/>
      <c r="E150" s="751"/>
      <c r="G150" s="1840" t="n">
        <v>31</v>
      </c>
      <c r="H150" s="1841" t="n">
        <f aca="false">40000+(100*G150)+5</f>
        <v>43105</v>
      </c>
      <c r="I150" s="1845" t="n">
        <f aca="false">CO40</f>
        <v>0</v>
      </c>
      <c r="J150" s="1843" t="n">
        <f aca="false">40000+(100*G150)+7</f>
        <v>43107</v>
      </c>
      <c r="K150" s="1845" t="n">
        <f aca="false">DA40</f>
        <v>0</v>
      </c>
      <c r="L150" s="1843" t="n">
        <f aca="false">40000+(100*G150)+8</f>
        <v>43108</v>
      </c>
      <c r="M150" s="1845" t="n">
        <f aca="false">CN40</f>
        <v>0</v>
      </c>
      <c r="N150" s="1843" t="n">
        <f aca="false">40000+(100*G150)+40</f>
        <v>43140</v>
      </c>
      <c r="O150" s="1842" t="n">
        <f aca="false">SUM(CP40:CT40)+DB40</f>
        <v>0</v>
      </c>
    </row>
    <row r="151" customFormat="false" ht="15" hidden="false" customHeight="false" outlineLevel="0" collapsed="false">
      <c r="B151" s="1404" t="n">
        <f aca="false">Summary!T105</f>
        <v>40038</v>
      </c>
      <c r="C151" s="741" t="str">
        <f aca="false">Summary!U105</f>
        <v>Crain/Hoisting</v>
      </c>
      <c r="D151" s="318"/>
      <c r="E151" s="751"/>
      <c r="G151" s="1840" t="n">
        <v>32</v>
      </c>
      <c r="H151" s="1841" t="n">
        <f aca="false">40000+(100*G151)+5</f>
        <v>43205</v>
      </c>
      <c r="I151" s="1845" t="n">
        <f aca="false">CO41</f>
        <v>0</v>
      </c>
      <c r="J151" s="1843" t="n">
        <f aca="false">40000+(100*G151)+7</f>
        <v>43207</v>
      </c>
      <c r="K151" s="1845" t="n">
        <f aca="false">DA41</f>
        <v>0</v>
      </c>
      <c r="L151" s="1843" t="n">
        <f aca="false">40000+(100*G151)+8</f>
        <v>43208</v>
      </c>
      <c r="M151" s="1845" t="n">
        <f aca="false">CN41</f>
        <v>0</v>
      </c>
      <c r="N151" s="1843" t="n">
        <f aca="false">40000+(100*G151)+40</f>
        <v>43240</v>
      </c>
      <c r="O151" s="1842" t="n">
        <f aca="false">SUM(CP41:CT41)+DB41</f>
        <v>0</v>
      </c>
    </row>
    <row r="152" customFormat="false" ht="15" hidden="false" customHeight="false" outlineLevel="0" collapsed="false">
      <c r="B152" s="1404" t="n">
        <f aca="false">Summary!T106</f>
        <v>40039</v>
      </c>
      <c r="C152" s="741" t="str">
        <f aca="false">Summary!U106</f>
        <v>Forming Systems</v>
      </c>
      <c r="E152" s="792"/>
      <c r="G152" s="1847"/>
      <c r="H152" s="1848"/>
      <c r="I152" s="373"/>
      <c r="J152" s="1849"/>
      <c r="K152" s="373"/>
      <c r="L152" s="1849"/>
      <c r="M152" s="373"/>
      <c r="N152" s="1849"/>
      <c r="O152" s="373"/>
    </row>
    <row r="153" customFormat="false" ht="15" hidden="false" customHeight="false" outlineLevel="0" collapsed="false">
      <c r="B153" s="1850" t="n">
        <f aca="false">Summary!T107</f>
        <v>40040</v>
      </c>
      <c r="C153" s="1851" t="str">
        <f aca="false">Summary!U106</f>
        <v>Forming Systems</v>
      </c>
      <c r="D153" s="1852"/>
      <c r="E153" s="1853" t="n">
        <f aca="false">O117</f>
        <v>0</v>
      </c>
    </row>
    <row r="154" customFormat="false" ht="15" hidden="false" customHeight="false" outlineLevel="0" collapsed="false">
      <c r="B154" s="1404" t="n">
        <f aca="false">Summary!T108</f>
        <v>40041</v>
      </c>
      <c r="C154" s="741" t="str">
        <f aca="false">Summary!U108</f>
        <v>Labor Forming</v>
      </c>
      <c r="D154" s="318"/>
      <c r="E154" s="742" t="n">
        <f aca="false">O79</f>
        <v>0</v>
      </c>
    </row>
    <row r="155" customFormat="false" ht="15" hidden="false" customHeight="false" outlineLevel="0" collapsed="false">
      <c r="B155" s="1404" t="n">
        <f aca="false">Summary!T109</f>
        <v>40042</v>
      </c>
      <c r="C155" s="741" t="str">
        <f aca="false">Summary!U109</f>
        <v>Labor Grade, Poly, Reinf.</v>
      </c>
      <c r="D155" s="318"/>
      <c r="E155" s="751" t="n">
        <f aca="false">O80+O85</f>
        <v>0</v>
      </c>
      <c r="Q155" s="170" t="s">
        <v>1656</v>
      </c>
    </row>
    <row r="156" customFormat="false" ht="15" hidden="false" customHeight="false" outlineLevel="0" collapsed="false">
      <c r="B156" s="1404" t="n">
        <f aca="false">Summary!T110</f>
        <v>40043</v>
      </c>
      <c r="C156" s="741" t="str">
        <f aca="false">Summary!U110</f>
        <v>Labor Place &amp; Finish</v>
      </c>
      <c r="D156" s="318"/>
      <c r="E156" s="751" t="n">
        <f aca="false">O81</f>
        <v>0</v>
      </c>
      <c r="G156" s="1847"/>
      <c r="H156" s="1848"/>
      <c r="I156" s="373"/>
      <c r="J156" s="373"/>
      <c r="K156" s="373"/>
      <c r="L156" s="373"/>
    </row>
    <row r="157" customFormat="false" ht="15" hidden="false" customHeight="false" outlineLevel="0" collapsed="false">
      <c r="B157" s="1404" t="n">
        <f aca="false">Summary!T111</f>
        <v>40044</v>
      </c>
      <c r="C157" s="741" t="str">
        <f aca="false">Summary!U111</f>
        <v>Labor Drops</v>
      </c>
      <c r="D157" s="749"/>
      <c r="E157" s="742" t="n">
        <f aca="false">O83</f>
        <v>0</v>
      </c>
      <c r="G157" s="1847"/>
      <c r="H157" s="1848"/>
      <c r="I157" s="373"/>
      <c r="J157" s="373"/>
      <c r="K157" s="373"/>
      <c r="L157" s="373"/>
    </row>
    <row r="158" customFormat="false" ht="15" hidden="false" customHeight="false" outlineLevel="0" collapsed="false">
      <c r="B158" s="1404" t="n">
        <f aca="false">Summary!T112</f>
        <v>40045</v>
      </c>
      <c r="C158" s="741" t="str">
        <f aca="false">Summary!U112</f>
        <v>Labor Strip Forms</v>
      </c>
      <c r="D158" s="318"/>
      <c r="E158" s="751" t="n">
        <f aca="false">O82</f>
        <v>0</v>
      </c>
      <c r="G158" s="1847"/>
      <c r="H158" s="1848"/>
      <c r="I158" s="373"/>
      <c r="J158" s="373"/>
      <c r="K158" s="373"/>
      <c r="L158" s="373"/>
    </row>
    <row r="159" customFormat="false" ht="15" hidden="false" customHeight="false" outlineLevel="0" collapsed="false">
      <c r="B159" s="1404" t="n">
        <f aca="false">Summary!T113</f>
        <v>40046</v>
      </c>
      <c r="C159" s="741" t="str">
        <f aca="false">Summary!U113</f>
        <v>Labor Burden</v>
      </c>
      <c r="D159" s="318"/>
      <c r="E159" s="751" t="n">
        <f aca="false">O84</f>
        <v>0</v>
      </c>
      <c r="G159" s="1847"/>
      <c r="H159" s="1848"/>
      <c r="I159" s="373"/>
      <c r="J159" s="373"/>
      <c r="K159" s="373"/>
      <c r="L159" s="373"/>
    </row>
    <row r="160" customFormat="false" ht="15" hidden="false" customHeight="false" outlineLevel="0" collapsed="false">
      <c r="B160" s="1404" t="n">
        <f aca="false">Summary!T114</f>
        <v>40047</v>
      </c>
      <c r="C160" s="741" t="str">
        <f aca="false">Summary!U114</f>
        <v>Rebar</v>
      </c>
      <c r="D160" s="749"/>
      <c r="E160" s="742" t="n">
        <f aca="false">O87</f>
        <v>0</v>
      </c>
      <c r="G160" s="1847"/>
      <c r="H160" s="1848"/>
      <c r="I160" s="373"/>
      <c r="J160" s="373"/>
      <c r="K160" s="373"/>
      <c r="L160" s="373"/>
    </row>
    <row r="161" customFormat="false" ht="15" hidden="false" customHeight="false" outlineLevel="0" collapsed="false">
      <c r="B161" s="1854" t="n">
        <f aca="false">Summary!T115</f>
        <v>40048</v>
      </c>
      <c r="C161" s="543" t="str">
        <f aca="false">Summary!U115</f>
        <v>PT Installation</v>
      </c>
      <c r="D161" s="749"/>
      <c r="E161" s="751" t="n">
        <f aca="false">O86</f>
        <v>0</v>
      </c>
    </row>
    <row r="162" customFormat="false" ht="15" hidden="false" customHeight="false" outlineLevel="0" collapsed="false">
      <c r="B162" s="1855" t="n">
        <f aca="false">Summary!T116</f>
        <v>40049</v>
      </c>
      <c r="C162" s="770" t="str">
        <f aca="false">Summary!U116</f>
        <v>Extra Hours</v>
      </c>
      <c r="D162" s="265"/>
      <c r="E162" s="772" t="n">
        <f aca="false">O88</f>
        <v>0</v>
      </c>
    </row>
    <row r="163" customFormat="false" ht="15" hidden="false" customHeight="false" outlineLevel="0" collapsed="false">
      <c r="B163" s="1407" t="n">
        <f aca="false">Summary!T117</f>
        <v>40060</v>
      </c>
      <c r="C163" s="1408" t="str">
        <f aca="false">Summary!U117</f>
        <v>Total Equipment Rental</v>
      </c>
      <c r="D163" s="1409"/>
      <c r="E163" s="1410" t="n">
        <f aca="false">SUM(E164:E171)</f>
        <v>0</v>
      </c>
    </row>
    <row r="164" customFormat="false" ht="15" hidden="false" customHeight="false" outlineLevel="0" collapsed="false">
      <c r="B164" s="1404" t="n">
        <f aca="false">Summary!T118</f>
        <v>40061</v>
      </c>
      <c r="C164" s="741" t="str">
        <f aca="false">Summary!U118</f>
        <v>SkyTrack</v>
      </c>
      <c r="D164" s="318"/>
      <c r="E164" s="742" t="n">
        <f aca="false">O96/(1+$Y$44+J$98)</f>
        <v>0</v>
      </c>
    </row>
    <row r="165" customFormat="false" ht="15" hidden="false" customHeight="false" outlineLevel="0" collapsed="false">
      <c r="B165" s="1404" t="n">
        <f aca="false">Summary!T119</f>
        <v>40062</v>
      </c>
      <c r="C165" s="741" t="str">
        <f aca="false">Summary!U119</f>
        <v>Mini Ex</v>
      </c>
      <c r="D165" s="318"/>
      <c r="E165" s="742" t="n">
        <f aca="false">O97/(1+$Y$44+J$98)</f>
        <v>0</v>
      </c>
    </row>
    <row r="166" customFormat="false" ht="15" hidden="false" customHeight="false" outlineLevel="0" collapsed="false">
      <c r="B166" s="1404" t="n">
        <f aca="false">Summary!T120</f>
        <v>40063</v>
      </c>
      <c r="C166" s="741" t="str">
        <f aca="false">Summary!U120</f>
        <v>Trencher</v>
      </c>
      <c r="D166" s="318"/>
      <c r="E166" s="742" t="n">
        <f aca="false">O98/(1+$Y$44+J$98)</f>
        <v>0</v>
      </c>
    </row>
    <row r="167" customFormat="false" ht="15" hidden="false" customHeight="false" outlineLevel="0" collapsed="false">
      <c r="B167" s="1404" t="n">
        <f aca="false">Summary!T121</f>
        <v>40064</v>
      </c>
      <c r="C167" s="741" t="str">
        <f aca="false">Summary!U121</f>
        <v>Skid Steer</v>
      </c>
      <c r="D167" s="318"/>
      <c r="E167" s="742" t="n">
        <f aca="false">O99/(1+$Y$44+J$98)</f>
        <v>0</v>
      </c>
    </row>
    <row r="168" customFormat="false" ht="15" hidden="false" customHeight="false" outlineLevel="0" collapsed="false">
      <c r="B168" s="1404" t="n">
        <f aca="false">Summary!T122</f>
        <v>40065</v>
      </c>
      <c r="C168" s="741" t="str">
        <f aca="false">Summary!U122</f>
        <v>General Equipment Rental</v>
      </c>
      <c r="D168" s="318"/>
      <c r="E168" s="742" t="n">
        <f aca="false">(O100+O101)/(1+$Y$44+J$98)</f>
        <v>0</v>
      </c>
    </row>
    <row r="169" customFormat="false" ht="15" hidden="false" customHeight="false" outlineLevel="0" collapsed="false">
      <c r="B169" s="1404" t="n">
        <f aca="false">Summary!T123</f>
        <v>40066</v>
      </c>
      <c r="C169" s="741" t="str">
        <f aca="false">Summary!U123</f>
        <v>Fuel</v>
      </c>
      <c r="D169" s="318"/>
      <c r="E169" s="742" t="n">
        <f aca="false">M98-SUM(E164:E168)</f>
        <v>0</v>
      </c>
    </row>
    <row r="170" customFormat="false" ht="15" hidden="false" customHeight="false" outlineLevel="0" collapsed="false">
      <c r="B170" s="1404" t="n">
        <f aca="false">Summary!T124</f>
        <v>40067</v>
      </c>
      <c r="C170" s="741" t="str">
        <f aca="false">Summary!U124</f>
        <v>Purchased Tools</v>
      </c>
      <c r="D170" s="318"/>
      <c r="E170" s="751"/>
    </row>
    <row r="171" customFormat="false" ht="15" hidden="false" customHeight="false" outlineLevel="0" collapsed="false">
      <c r="B171" s="1404" t="n">
        <f aca="false">Summary!T125</f>
        <v>40068</v>
      </c>
      <c r="C171" s="741" t="str">
        <f aca="false">Summary!U125</f>
        <v>Stolen/Damaged</v>
      </c>
      <c r="D171" s="749"/>
      <c r="E171" s="751"/>
    </row>
    <row r="172" customFormat="false" ht="15" hidden="false" customHeight="false" outlineLevel="0" collapsed="false">
      <c r="B172" s="1404" t="n">
        <f aca="false">Summary!T126</f>
        <v>40070</v>
      </c>
      <c r="C172" s="741" t="str">
        <f aca="false">Summary!U126</f>
        <v>Out of Town Expense</v>
      </c>
      <c r="D172" s="318"/>
      <c r="E172" s="742" t="n">
        <f aca="false">O108</f>
        <v>0</v>
      </c>
    </row>
    <row r="173" customFormat="false" ht="15" hidden="false" customHeight="false" outlineLevel="0" collapsed="false">
      <c r="B173" s="1404" t="n">
        <f aca="false">Summary!T127</f>
        <v>40071</v>
      </c>
      <c r="C173" s="741" t="str">
        <f aca="false">Summary!U127</f>
        <v>Miscellaneous</v>
      </c>
      <c r="D173" s="318"/>
      <c r="E173" s="751" t="n">
        <f aca="false">O109</f>
        <v>0</v>
      </c>
    </row>
    <row r="174" customFormat="false" ht="15" hidden="false" customHeight="false" outlineLevel="0" collapsed="false">
      <c r="B174" s="1404" t="n">
        <f aca="false">Summary!T128</f>
        <v>40072</v>
      </c>
      <c r="C174" s="741" t="str">
        <f aca="false">Summary!U128</f>
        <v>Repairs</v>
      </c>
      <c r="D174" s="318"/>
      <c r="E174" s="751"/>
    </row>
    <row r="175" customFormat="false" ht="15" hidden="false" customHeight="false" outlineLevel="0" collapsed="false">
      <c r="B175" s="1404" t="n">
        <f aca="false">Summary!T129</f>
        <v>40073</v>
      </c>
      <c r="C175" s="741" t="str">
        <f aca="false">Summary!U129</f>
        <v>Engineering</v>
      </c>
      <c r="D175" s="318"/>
      <c r="E175" s="751" t="n">
        <f aca="false">O103</f>
        <v>0</v>
      </c>
    </row>
    <row r="176" customFormat="false" ht="15" hidden="false" customHeight="false" outlineLevel="0" collapsed="false">
      <c r="B176" s="1404" t="n">
        <f aca="false">Summary!T130</f>
        <v>40090</v>
      </c>
      <c r="C176" s="741" t="str">
        <f aca="false">Summary!U130</f>
        <v>Not Used</v>
      </c>
      <c r="D176" s="318"/>
      <c r="E176" s="751"/>
    </row>
    <row r="177" customFormat="false" ht="15" hidden="false" customHeight="false" outlineLevel="0" collapsed="false">
      <c r="B177" s="1404" t="n">
        <f aca="false">Summary!T131</f>
        <v>40091</v>
      </c>
      <c r="C177" s="741" t="str">
        <f aca="false">Summary!U131</f>
        <v>Margin Contingency</v>
      </c>
      <c r="D177" s="318"/>
      <c r="E177" s="751"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L64:M64">
    <cfRule type="containsText" priority="2" operator="containsText" aboveAverage="0" equalAverage="0" bottom="0" percent="0" rank="0" text="Missing Concrete" dxfId="3">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63" man="true" max="16383" min="0"/>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7"/>
  <sheetViews>
    <sheetView showFormulas="false" showGridLines="true" showRowColHeaders="true" showZeros="true" rightToLeft="false" tabSelected="false" showOutlineSymbols="true" defaultGridColor="true" view="normal" topLeftCell="A1" colorId="64" zoomScale="70" zoomScaleNormal="70" zoomScalePageLayoutView="70" workbookViewId="0">
      <selection pane="topLeft" activeCell="Q155" activeCellId="0" sqref="Q155"/>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44.54"/>
    <col collapsed="false" customWidth="true" hidden="false" outlineLevel="0" max="3" min="3" style="16" width="15.45"/>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3" min="8" style="16" width="10.82"/>
    <col collapsed="false" customWidth="true" hidden="false" outlineLevel="0" max="14" min="14" style="16" width="12.18"/>
    <col collapsed="false" customWidth="true" hidden="false" outlineLevel="0" max="15" min="15" style="16" width="12.82"/>
    <col collapsed="false" customWidth="true" hidden="false" outlineLevel="0" max="16" min="16" style="16" width="17.82"/>
    <col collapsed="false" customWidth="true" hidden="false" outlineLevel="0" max="17" min="17" style="16" width="17.45"/>
    <col collapsed="false" customWidth="true" hidden="false" outlineLevel="0" max="18" min="18" style="16" width="14.82"/>
    <col collapsed="false" customWidth="true" hidden="false" outlineLevel="0" max="19" min="19" style="16" width="20.82"/>
    <col collapsed="false" customWidth="true" hidden="false" outlineLevel="0" max="20" min="20" style="16" width="13.45"/>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true" outlineLevel="0" max="58" min="43" style="16" width="25.82"/>
    <col collapsed="false" customWidth="true" hidden="true" outlineLevel="0" max="59" min="59" style="1411" width="25.82"/>
    <col collapsed="false" customWidth="true" hidden="true" outlineLevel="0" max="120" min="60" style="16" width="25.82"/>
    <col collapsed="false" customWidth="true" hidden="false" outlineLevel="0" max="195" min="121" style="16" width="20.82"/>
    <col collapsed="false" customWidth="true" hidden="false" outlineLevel="0" max="215" min="196" style="0" width="20.82"/>
    <col collapsed="false" customWidth="false" hidden="false" outlineLevel="0" max="16384" min="252" style="16" width="9.18"/>
  </cols>
  <sheetData>
    <row r="1" customFormat="false" ht="15" hidden="false" customHeight="false" outlineLevel="0" collapsed="false">
      <c r="B1" s="829" t="s">
        <v>1355</v>
      </c>
      <c r="D1" s="654"/>
      <c r="E1" s="654"/>
      <c r="F1" s="654"/>
      <c r="G1" s="654"/>
      <c r="H1" s="654"/>
      <c r="I1" s="654"/>
      <c r="J1" s="654"/>
      <c r="K1" s="654"/>
      <c r="L1" s="654"/>
      <c r="M1" s="654"/>
      <c r="N1" s="654"/>
      <c r="O1" s="654"/>
      <c r="P1" s="654"/>
      <c r="Q1" s="654"/>
      <c r="R1" s="654"/>
      <c r="S1" s="654"/>
      <c r="T1" s="654"/>
      <c r="U1" s="1412" t="s">
        <v>1193</v>
      </c>
      <c r="V1" s="1412"/>
      <c r="W1" s="1413" t="n">
        <v>37456</v>
      </c>
      <c r="X1" s="1413"/>
      <c r="Y1" s="1414"/>
      <c r="Z1" s="1414"/>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411"/>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c r="DP1" s="654"/>
    </row>
    <row r="2" customFormat="false" ht="15" hidden="false" customHeight="false" outlineLevel="0" collapsed="false">
      <c r="B2" s="1415" t="str">
        <f aca="false">Summary!C1</f>
        <v>Trammell Crow – LBJ</v>
      </c>
      <c r="C2" s="1416"/>
      <c r="D2" s="1416"/>
      <c r="E2" s="1417"/>
      <c r="F2" s="1418" t="s">
        <v>1466</v>
      </c>
      <c r="G2" s="654"/>
      <c r="H2" s="836"/>
      <c r="I2" s="1419" t="s">
        <v>56</v>
      </c>
      <c r="J2" s="1068"/>
      <c r="K2" s="1202" t="s">
        <v>57</v>
      </c>
      <c r="L2" s="1068"/>
      <c r="M2" s="1068"/>
      <c r="N2" s="1068"/>
      <c r="O2" s="1202" t="s">
        <v>1</v>
      </c>
      <c r="P2" s="1202"/>
      <c r="Q2" s="1202" t="s">
        <v>1194</v>
      </c>
      <c r="R2" s="865"/>
      <c r="S2" s="654"/>
      <c r="T2" s="654"/>
      <c r="U2" s="836" t="s">
        <v>957</v>
      </c>
      <c r="V2" s="695"/>
      <c r="W2" s="837" t="n">
        <f aca="false">Information!C7</f>
        <v>0</v>
      </c>
      <c r="X2" s="838"/>
      <c r="Y2" s="1414"/>
      <c r="Z2" s="1414"/>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411"/>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c r="DP2" s="654"/>
    </row>
    <row r="3" customFormat="false" ht="19.5" hidden="false" customHeight="true" outlineLevel="0" collapsed="false">
      <c r="B3" s="1420" t="n">
        <f aca="false">Summary!C2</f>
        <v>0</v>
      </c>
      <c r="C3" s="1421"/>
      <c r="D3" s="1421"/>
      <c r="E3" s="1422"/>
      <c r="F3" s="1418" t="s">
        <v>1467</v>
      </c>
      <c r="G3" s="654"/>
      <c r="H3" s="599"/>
      <c r="I3" s="833" t="s">
        <v>955</v>
      </c>
      <c r="J3" s="1415" t="n">
        <f aca="false">Summary!K2</f>
        <v>0</v>
      </c>
      <c r="K3" s="1416"/>
      <c r="L3" s="1416"/>
      <c r="M3" s="1416"/>
      <c r="N3" s="1416"/>
      <c r="O3" s="1423" t="n">
        <f aca="false">Summary!O2</f>
        <v>0</v>
      </c>
      <c r="P3" s="1423"/>
      <c r="Q3" s="1423" t="n">
        <f aca="false">Summary!P2</f>
        <v>0</v>
      </c>
      <c r="R3" s="1424"/>
      <c r="S3" s="654"/>
      <c r="T3" s="654"/>
      <c r="U3" s="599"/>
      <c r="X3" s="843"/>
      <c r="Y3" s="1414"/>
      <c r="Z3" s="1414"/>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411"/>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c r="DP3" s="654"/>
    </row>
    <row r="4" customFormat="false" ht="19.5" hidden="false" customHeight="true" outlineLevel="0" collapsed="false">
      <c r="B4" s="1425" t="str">
        <f aca="false">Summary!C3</f>
        <v>Dallas, TX</v>
      </c>
      <c r="C4" s="1426"/>
      <c r="D4" s="1426"/>
      <c r="E4" s="1427"/>
      <c r="F4" s="1418" t="s">
        <v>1468</v>
      </c>
      <c r="G4" s="654"/>
      <c r="H4" s="421"/>
      <c r="I4" s="1004" t="s">
        <v>71</v>
      </c>
      <c r="J4" s="1420" t="n">
        <f aca="false">Summary!K3</f>
        <v>0</v>
      </c>
      <c r="K4" s="1421"/>
      <c r="L4" s="1421"/>
      <c r="M4" s="1421"/>
      <c r="N4" s="1421"/>
      <c r="O4" s="1428" t="n">
        <f aca="false">Summary!O3</f>
        <v>0</v>
      </c>
      <c r="P4" s="1428"/>
      <c r="Q4" s="1428" t="n">
        <f aca="false">Summary!P3</f>
        <v>0</v>
      </c>
      <c r="R4" s="1429"/>
      <c r="S4" s="654"/>
      <c r="T4" s="654"/>
      <c r="U4" s="599" t="s">
        <v>958</v>
      </c>
      <c r="W4" s="848"/>
      <c r="X4" s="849"/>
      <c r="Y4" s="1414"/>
      <c r="Z4" s="1414"/>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411"/>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c r="DP4" s="654"/>
    </row>
    <row r="5" customFormat="false" ht="19.5" hidden="false" customHeight="true" outlineLevel="0" collapsed="false">
      <c r="B5" s="405" t="s">
        <v>0</v>
      </c>
      <c r="D5" s="837" t="s">
        <v>1</v>
      </c>
      <c r="E5" s="837"/>
      <c r="F5" s="654"/>
      <c r="G5" s="654"/>
      <c r="H5" s="421"/>
      <c r="I5" s="1004" t="s">
        <v>79</v>
      </c>
      <c r="J5" s="1420" t="n">
        <f aca="false">Summary!K4</f>
        <v>0</v>
      </c>
      <c r="K5" s="1421"/>
      <c r="L5" s="1421"/>
      <c r="M5" s="1421"/>
      <c r="N5" s="1421"/>
      <c r="O5" s="1428" t="n">
        <f aca="false">Summary!O4</f>
        <v>0</v>
      </c>
      <c r="P5" s="1428"/>
      <c r="Q5" s="1428" t="n">
        <f aca="false">Summary!P4</f>
        <v>0</v>
      </c>
      <c r="R5" s="1429"/>
      <c r="S5" s="1430"/>
      <c r="T5" s="654"/>
      <c r="U5" s="599"/>
      <c r="X5" s="843"/>
      <c r="Y5" s="1414"/>
      <c r="Z5" s="1414"/>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411"/>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c r="DP5" s="654"/>
    </row>
    <row r="6" customFormat="false" ht="19.5" hidden="false" customHeight="true" outlineLevel="0" collapsed="false">
      <c r="B6" s="857" t="n">
        <v>0</v>
      </c>
      <c r="D6" s="1432" t="n">
        <v>0</v>
      </c>
      <c r="E6" s="1432"/>
      <c r="F6" s="654"/>
      <c r="G6" s="654"/>
      <c r="H6" s="685"/>
      <c r="I6" s="1212" t="s">
        <v>87</v>
      </c>
      <c r="J6" s="1425" t="n">
        <f aca="false">Summary!K5</f>
        <v>0</v>
      </c>
      <c r="K6" s="1426"/>
      <c r="L6" s="1426"/>
      <c r="M6" s="1426"/>
      <c r="N6" s="1426"/>
      <c r="O6" s="1433" t="n">
        <f aca="false">Summary!O5</f>
        <v>0</v>
      </c>
      <c r="P6" s="1433"/>
      <c r="Q6" s="1433" t="n">
        <f aca="false">Summary!P5</f>
        <v>0</v>
      </c>
      <c r="R6" s="1434"/>
      <c r="S6" s="654"/>
      <c r="T6" s="654"/>
      <c r="U6" s="602" t="s">
        <v>958</v>
      </c>
      <c r="V6" s="855"/>
      <c r="W6" s="855"/>
      <c r="X6" s="856"/>
      <c r="Y6" s="1414"/>
      <c r="Z6" s="1414"/>
      <c r="AI6" s="654"/>
      <c r="AJ6" s="1435"/>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411"/>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c r="DP6" s="654"/>
    </row>
    <row r="7" customFormat="false" ht="19.5" hidden="false" customHeight="true" outlineLevel="0" collapsed="false">
      <c r="B7" s="1436" t="n">
        <v>0</v>
      </c>
      <c r="C7" s="1125"/>
      <c r="D7" s="1437" t="n">
        <v>0</v>
      </c>
      <c r="E7" s="1438"/>
      <c r="F7" s="726"/>
      <c r="G7" s="1212" t="s">
        <v>1196</v>
      </c>
      <c r="H7" s="1004"/>
      <c r="I7" s="1004"/>
      <c r="J7" s="15" t="str">
        <f aca="false">Pricing!A3</f>
        <v>SRM</v>
      </c>
      <c r="K7" s="15"/>
      <c r="L7" s="15"/>
      <c r="M7" s="15"/>
      <c r="N7" s="15"/>
      <c r="O7" s="654"/>
      <c r="P7" s="654"/>
      <c r="Q7" s="654"/>
      <c r="R7" s="654"/>
      <c r="S7" s="656" t="e">
        <f aca="false">S12+S13</f>
        <v>#DIV/0!</v>
      </c>
      <c r="T7" s="654"/>
      <c r="U7" s="654"/>
      <c r="V7" s="654"/>
      <c r="W7" s="654"/>
      <c r="X7" s="654"/>
      <c r="Y7" s="1414"/>
      <c r="Z7" s="1414"/>
      <c r="AI7" s="654"/>
      <c r="AJ7" s="654"/>
      <c r="AK7" s="654"/>
      <c r="AL7" s="406"/>
      <c r="AM7" s="614"/>
      <c r="AN7" s="614"/>
      <c r="AO7" s="614"/>
      <c r="AP7" s="614"/>
      <c r="AQ7" s="614"/>
      <c r="AR7" s="1439" t="s">
        <v>1469</v>
      </c>
      <c r="AS7" s="1439"/>
      <c r="AT7" s="1439"/>
      <c r="AU7" s="1439"/>
      <c r="AV7" s="1439"/>
      <c r="AW7" s="1439"/>
      <c r="AX7" s="1439"/>
      <c r="AY7" s="1439"/>
      <c r="AZ7" s="1439"/>
      <c r="BA7" s="1439"/>
      <c r="BB7" s="1439"/>
      <c r="BC7" s="1439" t="s">
        <v>721</v>
      </c>
      <c r="BD7" s="1439"/>
      <c r="BE7" s="1439"/>
      <c r="BF7" s="1439"/>
      <c r="BG7" s="1439"/>
      <c r="BH7" s="1439"/>
      <c r="BI7" s="1439"/>
      <c r="BJ7" s="1439"/>
      <c r="BK7" s="1439"/>
      <c r="BL7" s="1439"/>
      <c r="BM7" s="1439"/>
      <c r="BN7" s="654"/>
      <c r="BO7" s="654"/>
      <c r="BP7" s="654"/>
      <c r="BQ7" s="654"/>
      <c r="BR7" s="654"/>
      <c r="BS7" s="654"/>
      <c r="BT7" s="654"/>
      <c r="BU7" s="654"/>
      <c r="BV7" s="654"/>
      <c r="BW7" s="654"/>
      <c r="BX7" s="654"/>
      <c r="BY7" s="654"/>
      <c r="BZ7" s="654"/>
      <c r="CA7" s="654"/>
      <c r="CB7" s="654"/>
      <c r="CC7" s="654"/>
      <c r="CD7" s="654"/>
      <c r="CE7" s="656"/>
      <c r="CF7" s="654"/>
      <c r="CG7" s="654"/>
      <c r="CH7" s="654"/>
      <c r="CI7" s="654"/>
      <c r="CJ7" s="654"/>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c r="DP7" s="654"/>
    </row>
    <row r="8" customFormat="false" ht="39" hidden="false" customHeight="true" outlineLevel="0" collapsed="false">
      <c r="B8" s="1440" t="s">
        <v>1472</v>
      </c>
      <c r="C8" s="1441" t="s">
        <v>1473</v>
      </c>
      <c r="D8" s="1442" t="s">
        <v>1474</v>
      </c>
      <c r="E8" s="1443"/>
      <c r="F8" s="1444" t="s">
        <v>1475</v>
      </c>
      <c r="G8" s="1445" t="s">
        <v>1476</v>
      </c>
      <c r="H8" s="1446" t="s">
        <v>1477</v>
      </c>
      <c r="I8" s="1447" t="s">
        <v>1209</v>
      </c>
      <c r="J8" s="1444" t="s">
        <v>1478</v>
      </c>
      <c r="K8" s="1444" t="s">
        <v>1479</v>
      </c>
      <c r="L8" s="1448" t="s">
        <v>1480</v>
      </c>
      <c r="M8" s="1449" t="s">
        <v>1481</v>
      </c>
      <c r="N8" s="1450" t="s">
        <v>1482</v>
      </c>
      <c r="O8" s="1450" t="s">
        <v>598</v>
      </c>
      <c r="P8" s="1451" t="s">
        <v>1483</v>
      </c>
      <c r="Q8" s="1452" t="s">
        <v>1219</v>
      </c>
      <c r="R8" s="1453" t="s">
        <v>1484</v>
      </c>
      <c r="S8" s="1454" t="s">
        <v>1485</v>
      </c>
      <c r="T8" s="1455" t="s">
        <v>1486</v>
      </c>
      <c r="U8" s="1456" t="s">
        <v>1487</v>
      </c>
      <c r="V8" s="1454" t="s">
        <v>1250</v>
      </c>
      <c r="W8" s="1457" t="s">
        <v>1488</v>
      </c>
      <c r="X8" s="863"/>
      <c r="Y8" s="1458" t="s">
        <v>1489</v>
      </c>
      <c r="Z8" s="1459"/>
      <c r="AA8" s="1458" t="s">
        <v>1490</v>
      </c>
      <c r="AB8" s="1459"/>
      <c r="AC8" s="1458" t="s">
        <v>1491</v>
      </c>
      <c r="AD8" s="1460"/>
      <c r="AE8" s="1458" t="s">
        <v>1492</v>
      </c>
      <c r="AF8" s="1460"/>
      <c r="AG8" s="1458" t="s">
        <v>1493</v>
      </c>
      <c r="AH8" s="1460"/>
      <c r="AI8" s="1458" t="s">
        <v>1494</v>
      </c>
      <c r="AJ8" s="1460"/>
      <c r="AK8" s="1458" t="s">
        <v>1495</v>
      </c>
      <c r="AL8" s="1460"/>
      <c r="AM8" s="1458" t="s">
        <v>1496</v>
      </c>
      <c r="AN8" s="1460"/>
      <c r="AO8" s="1458" t="s">
        <v>1497</v>
      </c>
      <c r="AP8" s="1460"/>
      <c r="AQ8" s="654"/>
      <c r="AR8" s="1461" t="s">
        <v>1498</v>
      </c>
      <c r="AS8" s="1462" t="s">
        <v>1499</v>
      </c>
      <c r="AT8" s="1462" t="s">
        <v>1499</v>
      </c>
      <c r="AU8" s="1462" t="s">
        <v>1491</v>
      </c>
      <c r="AV8" s="1462" t="s">
        <v>1492</v>
      </c>
      <c r="AW8" s="1462" t="s">
        <v>1500</v>
      </c>
      <c r="AX8" s="1462" t="s">
        <v>1501</v>
      </c>
      <c r="AY8" s="1462" t="s">
        <v>1502</v>
      </c>
      <c r="AZ8" s="1462" t="s">
        <v>1503</v>
      </c>
      <c r="BA8" s="1462" t="s">
        <v>1504</v>
      </c>
      <c r="BB8" s="1463" t="s">
        <v>1505</v>
      </c>
      <c r="BC8" s="1464" t="s">
        <v>1498</v>
      </c>
      <c r="BD8" s="1465" t="str">
        <f aca="false">Y8</f>
        <v>Vertical Stems</v>
      </c>
      <c r="BE8" s="1465" t="str">
        <f aca="false">AA8</f>
        <v>Extended Beams</v>
      </c>
      <c r="BF8" s="1465" t="s">
        <v>1491</v>
      </c>
      <c r="BG8" s="1465" t="s">
        <v>1492</v>
      </c>
      <c r="BH8" s="1465" t="s">
        <v>1500</v>
      </c>
      <c r="BI8" s="1465" t="s">
        <v>1501</v>
      </c>
      <c r="BJ8" s="1465" t="s">
        <v>1502</v>
      </c>
      <c r="BK8" s="1465" t="s">
        <v>1503</v>
      </c>
      <c r="BL8" s="1465" t="s">
        <v>1504</v>
      </c>
      <c r="BM8" s="1466" t="s">
        <v>1506</v>
      </c>
      <c r="BN8" s="1465"/>
      <c r="BO8" s="1465"/>
      <c r="BP8" s="1465"/>
      <c r="BQ8" s="1465"/>
      <c r="BR8" s="1467"/>
      <c r="BS8" s="654"/>
      <c r="BT8" s="654"/>
      <c r="BU8" s="654"/>
      <c r="BV8" s="654"/>
      <c r="BW8" s="654"/>
      <c r="BX8" s="654"/>
      <c r="BY8" s="654"/>
      <c r="BZ8" s="654"/>
      <c r="CA8" s="654"/>
      <c r="CB8" s="654"/>
      <c r="CC8" s="654"/>
      <c r="CD8" s="654"/>
      <c r="CE8" s="654"/>
      <c r="CF8" s="654"/>
      <c r="CG8" s="654"/>
      <c r="CH8" s="654"/>
      <c r="CI8" s="654"/>
      <c r="CJ8" s="654"/>
      <c r="CK8" s="654"/>
      <c r="CL8" s="654"/>
      <c r="CM8" s="1468" t="s">
        <v>1507</v>
      </c>
      <c r="CN8" s="1468"/>
      <c r="CO8" s="1468"/>
      <c r="CP8" s="1468"/>
      <c r="CQ8" s="1468"/>
      <c r="CR8" s="1468"/>
      <c r="CS8" s="1468"/>
      <c r="CT8" s="1468"/>
      <c r="CU8" s="1468"/>
      <c r="CV8" s="1468"/>
      <c r="CW8" s="1468"/>
      <c r="CX8" s="1468"/>
      <c r="CY8" s="1468"/>
      <c r="CZ8" s="1468"/>
      <c r="DA8" s="1468"/>
      <c r="DB8" s="1468"/>
      <c r="DC8" s="1468"/>
      <c r="DD8" s="1468"/>
      <c r="DE8" s="1468"/>
      <c r="DF8" s="1469"/>
      <c r="DG8" s="1469"/>
      <c r="DH8" s="1469"/>
      <c r="DI8" s="1469" t="s">
        <v>1508</v>
      </c>
      <c r="DJ8" s="1469"/>
      <c r="DK8" s="1469"/>
      <c r="DL8" s="1469"/>
      <c r="DM8" s="1469"/>
      <c r="DN8" s="1469"/>
      <c r="DO8" s="1469"/>
      <c r="DP8" s="1470"/>
    </row>
    <row r="9" customFormat="false" ht="19.5" hidden="false" customHeight="true" outlineLevel="0" collapsed="false">
      <c r="B9" s="1471"/>
      <c r="C9" s="1472" t="s">
        <v>1510</v>
      </c>
      <c r="D9" s="1473" t="s">
        <v>1511</v>
      </c>
      <c r="E9" s="1474"/>
      <c r="F9" s="1225"/>
      <c r="G9" s="1475" t="s">
        <v>1512</v>
      </c>
      <c r="H9" s="1476"/>
      <c r="I9" s="1477"/>
      <c r="J9" s="1225" t="s">
        <v>1513</v>
      </c>
      <c r="K9" s="1225"/>
      <c r="L9" s="1229" t="s">
        <v>1215</v>
      </c>
      <c r="M9" s="1478" t="s">
        <v>1514</v>
      </c>
      <c r="N9" s="1475" t="s">
        <v>1515</v>
      </c>
      <c r="O9" s="1475" t="s">
        <v>868</v>
      </c>
      <c r="P9" s="1479"/>
      <c r="Q9" s="1480"/>
      <c r="R9" s="1481"/>
      <c r="S9" s="1482"/>
      <c r="T9" s="1483" t="s">
        <v>1516</v>
      </c>
      <c r="U9" s="1483"/>
      <c r="V9" s="1483"/>
      <c r="W9" s="1230" t="s">
        <v>1517</v>
      </c>
      <c r="X9" s="1478" t="s">
        <v>1259</v>
      </c>
      <c r="Y9" s="1484" t="s">
        <v>1208</v>
      </c>
      <c r="Z9" s="1485" t="s">
        <v>1259</v>
      </c>
      <c r="AA9" s="1484" t="s">
        <v>1208</v>
      </c>
      <c r="AB9" s="1485" t="s">
        <v>1259</v>
      </c>
      <c r="AC9" s="1484" t="s">
        <v>1517</v>
      </c>
      <c r="AD9" s="1486" t="s">
        <v>1259</v>
      </c>
      <c r="AE9" s="1487" t="s">
        <v>1517</v>
      </c>
      <c r="AF9" s="1486" t="s">
        <v>1259</v>
      </c>
      <c r="AG9" s="1484" t="s">
        <v>1208</v>
      </c>
      <c r="AH9" s="1486" t="s">
        <v>1259</v>
      </c>
      <c r="AI9" s="1484" t="s">
        <v>1517</v>
      </c>
      <c r="AJ9" s="1486" t="s">
        <v>1259</v>
      </c>
      <c r="AK9" s="1487" t="s">
        <v>1517</v>
      </c>
      <c r="AL9" s="1486" t="s">
        <v>1259</v>
      </c>
      <c r="AM9" s="1484" t="s">
        <v>1208</v>
      </c>
      <c r="AN9" s="1486" t="s">
        <v>1259</v>
      </c>
      <c r="AO9" s="1484" t="s">
        <v>1208</v>
      </c>
      <c r="AP9" s="1486" t="s">
        <v>1259</v>
      </c>
      <c r="AQ9" s="654"/>
      <c r="AR9" s="1488"/>
      <c r="AS9" s="1489"/>
      <c r="AT9" s="1489"/>
      <c r="AU9" s="1489"/>
      <c r="AV9" s="1489"/>
      <c r="AW9" s="1489"/>
      <c r="AX9" s="1489"/>
      <c r="AY9" s="397"/>
      <c r="AZ9" s="1489"/>
      <c r="BA9" s="1489"/>
      <c r="BB9" s="1490"/>
      <c r="BC9" s="1491"/>
      <c r="BD9" s="1492"/>
      <c r="BE9" s="1492"/>
      <c r="BF9" s="1492"/>
      <c r="BG9" s="1492"/>
      <c r="BH9" s="1492"/>
      <c r="BI9" s="1492"/>
      <c r="BJ9" s="1082"/>
      <c r="BK9" s="1492"/>
      <c r="BL9" s="1492"/>
      <c r="BM9" s="1493"/>
      <c r="BN9" s="1465" t="s">
        <v>1385</v>
      </c>
      <c r="BO9" s="1465" t="s">
        <v>1518</v>
      </c>
      <c r="BP9" s="1465" t="s">
        <v>1519</v>
      </c>
      <c r="BQ9" s="1465" t="s">
        <v>1520</v>
      </c>
      <c r="BR9" s="1467" t="s">
        <v>1521</v>
      </c>
      <c r="BS9" s="1494" t="s">
        <v>1374</v>
      </c>
      <c r="BT9" s="1495" t="s">
        <v>1375</v>
      </c>
      <c r="BU9" s="1495" t="s">
        <v>1376</v>
      </c>
      <c r="BV9" s="1495" t="s">
        <v>1377</v>
      </c>
      <c r="BW9" s="1495" t="s">
        <v>1378</v>
      </c>
      <c r="BX9" s="1495" t="s">
        <v>1522</v>
      </c>
      <c r="BY9" s="1495" t="s">
        <v>1523</v>
      </c>
      <c r="BZ9" s="1495" t="s">
        <v>1524</v>
      </c>
      <c r="CA9" s="1495" t="s">
        <v>1525</v>
      </c>
      <c r="CB9" s="1496" t="s">
        <v>1526</v>
      </c>
      <c r="CC9" s="1497" t="s">
        <v>1527</v>
      </c>
      <c r="CD9" s="1497" t="s">
        <v>1528</v>
      </c>
      <c r="CE9" s="1497" t="s">
        <v>1529</v>
      </c>
      <c r="CF9" s="1497" t="s">
        <v>1530</v>
      </c>
      <c r="CG9" s="1497" t="s">
        <v>1531</v>
      </c>
      <c r="CH9" s="1497" t="s">
        <v>1532</v>
      </c>
      <c r="CI9" s="1497" t="s">
        <v>1533</v>
      </c>
      <c r="CJ9" s="1497" t="s">
        <v>1513</v>
      </c>
      <c r="CK9" s="1497" t="s">
        <v>1534</v>
      </c>
      <c r="CL9" s="1497"/>
      <c r="CM9" s="1498" t="s">
        <v>1535</v>
      </c>
      <c r="CN9" s="1492" t="s">
        <v>1384</v>
      </c>
      <c r="CO9" s="1492" t="s">
        <v>1385</v>
      </c>
      <c r="CP9" s="1499" t="s">
        <v>1536</v>
      </c>
      <c r="CQ9" s="1500" t="s">
        <v>1537</v>
      </c>
      <c r="CR9" s="1500" t="s">
        <v>1538</v>
      </c>
      <c r="CS9" s="1500" t="s">
        <v>1539</v>
      </c>
      <c r="CT9" s="1501" t="s">
        <v>1307</v>
      </c>
      <c r="CU9" s="1502" t="s">
        <v>1159</v>
      </c>
      <c r="CV9" s="1502" t="s">
        <v>1540</v>
      </c>
      <c r="CW9" s="1492" t="s">
        <v>1541</v>
      </c>
      <c r="CX9" s="1492" t="s">
        <v>976</v>
      </c>
      <c r="CY9" s="1492" t="s">
        <v>1542</v>
      </c>
      <c r="CZ9" s="1492" t="s">
        <v>1543</v>
      </c>
      <c r="DA9" s="1492" t="s">
        <v>1544</v>
      </c>
      <c r="DB9" s="1492" t="s">
        <v>1545</v>
      </c>
      <c r="DC9" s="1492" t="s">
        <v>598</v>
      </c>
      <c r="DD9" s="1492" t="s">
        <v>1513</v>
      </c>
      <c r="DE9" s="1493" t="s">
        <v>1255</v>
      </c>
      <c r="DF9" s="784" t="s">
        <v>1486</v>
      </c>
      <c r="DG9" s="1503" t="str">
        <f aca="false">Y8</f>
        <v>Vertical Stems</v>
      </c>
      <c r="DH9" s="1503" t="str">
        <f aca="false">AA8</f>
        <v>Extended Beams</v>
      </c>
      <c r="DI9" s="1503" t="s">
        <v>1546</v>
      </c>
      <c r="DJ9" s="1503" t="s">
        <v>1547</v>
      </c>
      <c r="DK9" s="1503" t="s">
        <v>1548</v>
      </c>
      <c r="DL9" s="1503" t="s">
        <v>1549</v>
      </c>
      <c r="DM9" s="1503" t="s">
        <v>1550</v>
      </c>
      <c r="DN9" s="1503" t="s">
        <v>1551</v>
      </c>
      <c r="DO9" s="1503" t="s">
        <v>1552</v>
      </c>
      <c r="DP9" s="1504" t="s">
        <v>1418</v>
      </c>
    </row>
    <row r="10" customFormat="false" ht="19.5" hidden="false" customHeight="true" outlineLevel="0" collapsed="false">
      <c r="A10" s="16" t="s">
        <v>1068</v>
      </c>
      <c r="B10" s="1505"/>
      <c r="C10" s="1506"/>
      <c r="D10" s="1856"/>
      <c r="E10" s="1857"/>
      <c r="F10" s="1352"/>
      <c r="G10" s="1509"/>
      <c r="H10" s="1352"/>
      <c r="I10" s="1509"/>
      <c r="J10" s="1352"/>
      <c r="K10" s="1510"/>
      <c r="L10" s="1511"/>
      <c r="M10" s="1512"/>
      <c r="N10" s="1513"/>
      <c r="O10" s="1514"/>
      <c r="P10" s="1515" t="n">
        <f aca="false">IF(BQ10=0,0,BN10/BQ10)</f>
        <v>0</v>
      </c>
      <c r="Q10" s="1516" t="n">
        <f aca="false">(D10*F10/324)*(1+K$65)+BB10</f>
        <v>0</v>
      </c>
      <c r="R10" s="1517" t="n">
        <f aca="false">IF(D10=0,0,S10/D10)</f>
        <v>0</v>
      </c>
      <c r="S10" s="1518" t="e">
        <f aca="false">SUM(CM10-DE10)*(1+M$45)</f>
        <v>#DIV/0!</v>
      </c>
      <c r="T10" s="1519" t="n">
        <f aca="false">CF10+CG10+CH10</f>
        <v>0</v>
      </c>
      <c r="U10" s="1520" t="n">
        <f aca="false">IF(P10-(D10*0.35)&lt;0,0,P10-(D10*0.35))</f>
        <v>0</v>
      </c>
      <c r="V10" s="1521" t="n">
        <f aca="false">IF(D10="",0,IF(D10/-30+Q10&lt;1,0,D10/-30+Q10))</f>
        <v>0</v>
      </c>
      <c r="W10" s="1511"/>
      <c r="X10" s="1522"/>
      <c r="Y10" s="1523"/>
      <c r="Z10" s="1524"/>
      <c r="AA10" s="1523"/>
      <c r="AB10" s="1524"/>
      <c r="AC10" s="1585"/>
      <c r="AD10" s="1858"/>
      <c r="AE10" s="528"/>
      <c r="AF10" s="1527"/>
      <c r="AG10" s="1531"/>
      <c r="AH10" s="1527"/>
      <c r="AI10" s="1859"/>
      <c r="AJ10" s="1530"/>
      <c r="AK10" s="1531"/>
      <c r="AL10" s="1527"/>
      <c r="AM10" s="1523"/>
      <c r="AN10" s="1532"/>
      <c r="AO10" s="1523"/>
      <c r="AP10" s="1524"/>
      <c r="AQ10" s="654"/>
      <c r="AR10" s="1533" t="str">
        <f aca="false">IF(W10="","",LOOKUP(W10,$B$49:$B$59,$R$49:$R$59)*X10)</f>
        <v/>
      </c>
      <c r="AS10" s="1430" t="str">
        <f aca="false">IF(Y10="","",LOOKUP(Y10,$B$49:$B$59,$R$49:$R$59)*Z10)</f>
        <v/>
      </c>
      <c r="AT10" s="1534" t="str">
        <f aca="false">IF(AB10="","",LOOKUP(AA10,$B$49:$B$59,$R$49:$R$59)*AB10)</f>
        <v/>
      </c>
      <c r="AU10" s="1430" t="str">
        <f aca="false">IF(AC10="","",LOOKUP(AC10,$B$49:$B$59,$R$49:$R$59)*AD10)</f>
        <v/>
      </c>
      <c r="AV10" s="1430" t="str">
        <f aca="false">IF(AE10="","",LOOKUP(AE10,$B$49:$B$59,$R$49:$R$59)*AF10)</f>
        <v/>
      </c>
      <c r="AW10" s="1430" t="str">
        <f aca="false">IF(AG10="","",LOOKUP(AG10,$B$49:$B$59,$R$49:$R$59)*AH10)</f>
        <v/>
      </c>
      <c r="AX10" s="1430" t="str">
        <f aca="false">IF(AI10="","",LOOKUP(AI10,$B$49:$B$59,$R$49:$R$59)*AJ10)</f>
        <v/>
      </c>
      <c r="AY10" s="1430" t="str">
        <f aca="false">IF(AK10="","",LOOKUP(AK10,$B$49:$B$59,$R$49:$R$59)*AL10)</f>
        <v/>
      </c>
      <c r="AZ10" s="1430" t="str">
        <f aca="false">IF(AM10="","",LOOKUP(AM10,$B$49:$B$59,$R$49:$R$59)*AN10)</f>
        <v/>
      </c>
      <c r="BA10" s="1430" t="str">
        <f aca="false">IF(AO10="","",LOOKUP(AO10,$B$49:$B$59,$R$49:$R$59)*AP10)</f>
        <v/>
      </c>
      <c r="BB10" s="1535" t="n">
        <f aca="false">SUM(AR10:BA10)</f>
        <v>0</v>
      </c>
      <c r="BC10" s="1533" t="str">
        <f aca="false">IF(W10="","",LOOKUP(W10,$B$49:$B$59,$P$49:$P$59)*X10)</f>
        <v/>
      </c>
      <c r="BD10" s="1430" t="str">
        <f aca="false">IF(Y10="","",LOOKUP(Y10,$B$49:$B$59,$P$49:$P$59)*Z10)</f>
        <v/>
      </c>
      <c r="BE10" s="1430" t="str">
        <f aca="false">IF(AA10="","",LOOKUP(AA10,$B$49:$B$59,$P$49:$P$59)*AB10)</f>
        <v/>
      </c>
      <c r="BF10" s="1430" t="str">
        <f aca="false">IF(AC10="","",LOOKUP(AC10,$B$49:$B$59,$P$49:$P$59)*AD10)</f>
        <v/>
      </c>
      <c r="BG10" s="1430" t="str">
        <f aca="false">IF(AE10="","",LOOKUP(AE10,$B$49:$B$59,$P$49:$P$59)*AF10)</f>
        <v/>
      </c>
      <c r="BH10" s="1430" t="str">
        <f aca="false">IF(AG10="","",LOOKUP(AG10,$B$49:$B$59,$P$49:$P$59)*AH10)</f>
        <v/>
      </c>
      <c r="BI10" s="1430" t="str">
        <f aca="false">IF(AI10="","",LOOKUP(AI10,$B$49:$B$59,$P$49:$P$59)*AJ10)</f>
        <v/>
      </c>
      <c r="BJ10" s="1430" t="str">
        <f aca="false">IF(AK10="","",LOOKUP(AK10,$B$49:$B$59,$P$49:$P$59)*AL10)</f>
        <v/>
      </c>
      <c r="BK10" s="1430" t="str">
        <f aca="false">IF(AM10="","",LOOKUP(AM10,$B$49:$B$59,$P$49:$P$59)*AN10)</f>
        <v/>
      </c>
      <c r="BL10" s="1430" t="str">
        <f aca="false">IF(AO10="","",LOOKUP(AO10,$B$49:$B$59,$P$49:$P$59)*AP10)</f>
        <v/>
      </c>
      <c r="BM10" s="1535" t="n">
        <f aca="false">SUM(BC10:BL10)*BQ10</f>
        <v>0</v>
      </c>
      <c r="BN10" s="1536" t="n">
        <f aca="false">BM10+BO10</f>
        <v>0</v>
      </c>
      <c r="BO10" s="1537" t="n">
        <f aca="false">IF(M10=0,0,(M10/12+M10/12)/(M10/12*M10/12)*D10*((L10/16*L10/16)*10.6870159))*(1+K$70)*BQ10</f>
        <v>0</v>
      </c>
      <c r="BP10" s="1536" t="n">
        <f aca="false">IF(O10="Y",D10*(1+K$71)*BQ10,0)</f>
        <v>0</v>
      </c>
      <c r="BQ10" s="1538" t="n">
        <f aca="false">G10</f>
        <v>0</v>
      </c>
      <c r="BR10" s="1411" t="n">
        <f aca="false">IF(O10="y",D10,0)</f>
        <v>0</v>
      </c>
      <c r="BS10" s="1539" t="n">
        <f aca="false">IF($I10=1,$Q10,0)*BQ10</f>
        <v>0</v>
      </c>
      <c r="BT10" s="1540" t="n">
        <f aca="false">IF($I10=2,$Q10,0)*BQ10</f>
        <v>0</v>
      </c>
      <c r="BU10" s="1540" t="n">
        <f aca="false">IF($I10=3,$Q10,0)*BQ10</f>
        <v>0</v>
      </c>
      <c r="BV10" s="1540" t="n">
        <f aca="false">IF($I10=4,$Q10,0)*BQ10</f>
        <v>0</v>
      </c>
      <c r="BW10" s="1540" t="n">
        <f aca="false">IF($I10=5,$Q10,0)*BQ10</f>
        <v>0</v>
      </c>
      <c r="BX10" s="1540" t="n">
        <f aca="false">IF($I10=6,$Q10,0)*$BQ10</f>
        <v>0</v>
      </c>
      <c r="BY10" s="1540" t="n">
        <f aca="false">IF($I10=7,$Q10,0)*$BQ10</f>
        <v>0</v>
      </c>
      <c r="BZ10" s="1540" t="n">
        <f aca="false">IF($I10=8,$Q10,0)*$BQ10</f>
        <v>0</v>
      </c>
      <c r="CA10" s="1540" t="n">
        <f aca="false">IF($I10=9,$Q10,0)*$BQ10</f>
        <v>0</v>
      </c>
      <c r="CB10" s="1541" t="n">
        <f aca="false">IF($I10=10,$Q10,0)*$BQ10</f>
        <v>0</v>
      </c>
      <c r="CC10" s="1538" t="n">
        <f aca="false">SUM(BS10:BW10)</f>
        <v>0</v>
      </c>
      <c r="CD10" s="1538" t="n">
        <f aca="false">IF(H10="N",0,D10)*BQ10</f>
        <v>0</v>
      </c>
      <c r="CE10" s="1538" t="n">
        <f aca="false">K10*BQ10</f>
        <v>0</v>
      </c>
      <c r="CF10" s="1542" t="n">
        <f aca="false">ROUND(IF(W10="",0,LOOKUP(W10,B$49:B$59,D$49:D$59)*X10/12),0)</f>
        <v>0</v>
      </c>
      <c r="CG10" s="1542" t="n">
        <f aca="false">ROUND(IF(Y10="",0,LOOKUP(Y10,B$49:B$59,D$49:D$59)*Z10/12),0)</f>
        <v>0</v>
      </c>
      <c r="CH10" s="1542" t="n">
        <f aca="false">ROUND(IF(AA10="",0,LOOKUP(AA10,B$49:B$59,D$49:D$59)*AB10/12),0)</f>
        <v>0</v>
      </c>
      <c r="CI10" s="1538" t="n">
        <f aca="false">D10*BQ10</f>
        <v>0</v>
      </c>
      <c r="CJ10" s="1538" t="n">
        <f aca="false">D10*J10/324*(1+K$73)*G10</f>
        <v>0</v>
      </c>
      <c r="CK10" s="1538" t="str">
        <f aca="false">IF(N10="","",N10)</f>
        <v/>
      </c>
      <c r="CL10" s="1538" t="n">
        <f aca="false">P10*BQ10</f>
        <v>0</v>
      </c>
      <c r="CM10" s="1543" t="n">
        <f aca="false">IF(BQ10=0,0,SUM(CN10:DE10)/BQ10)</f>
        <v>0</v>
      </c>
      <c r="CN10" s="656" t="n">
        <f aca="false">(BS10*Pricing!F$3+BT10*Pricing!G$3+BU10*Pricing!H$3+BV10*Pricing!I$3+BW10*Pricing!J$3+BX10*Pricing!K$3+BY10*Pricing!L$3+BZ10*Pricing!M$3+CA10*Pricing!N$3+CB10*Pricing!O$3)*IF(W$44="N",(1+Y$44),1)</f>
        <v>0</v>
      </c>
      <c r="CO10" s="656" t="n">
        <f aca="false">BN10*G$70*IF(W$44="n",1+Y$44,1)</f>
        <v>0</v>
      </c>
      <c r="CP10" s="1544" t="n">
        <f aca="false">C10*D10</f>
        <v>0</v>
      </c>
      <c r="CQ10" s="656" t="n">
        <f aca="false">IF(I$79=0,0,D10*(SUM(O$79:P$82)+O$85)/I$79*BQ10)</f>
        <v>0</v>
      </c>
      <c r="CR10" s="656" t="n">
        <f aca="false">IF(CF10="",0,CF10*E$83)+IF(CG10="",0,CG10*E$83)+IF(CH10="",0,CH10*E$83)</f>
        <v>0</v>
      </c>
      <c r="CS10" s="656"/>
      <c r="CT10" s="1545" t="n">
        <f aca="false">(U10/2000)*E$87</f>
        <v>0</v>
      </c>
      <c r="CU10" s="656" t="n">
        <f aca="false">IF(I$79=0,0,D10*(O$88)/I$79*BQ10)</f>
        <v>0</v>
      </c>
      <c r="CV10" s="656" t="n">
        <f aca="false">IF(D$42=0,0,SUM(O$91:P$94)/D$42*D10)*BQ10</f>
        <v>0</v>
      </c>
      <c r="CW10" s="656" t="n">
        <f aca="false">IF(D$42=0,0,SUM(Z$66:Z$97)/D$42*D10*BQ10)</f>
        <v>0</v>
      </c>
      <c r="CX10" s="656" t="n">
        <f aca="false">IF(D$42=0,0,SUM(O$96:P$101)/D$42*D10)*BQ10</f>
        <v>0</v>
      </c>
      <c r="CY10" s="656" t="n">
        <f aca="false">IF(D$42=0,0,SUM(O$103:O$109)/D$42)*D10*BQ10</f>
        <v>0</v>
      </c>
      <c r="CZ10" s="656" t="n">
        <f aca="false">IF(I$79=0,0,IF(I$79=0,0,SUM(Z$98:Z$109)/I$79*D10))</f>
        <v>0</v>
      </c>
      <c r="DA10" s="656" t="n">
        <f aca="false">IF(J$72&gt;0,J$72/D$42*D10*G10,CD10*(G$72*IF(W$44="n",(1+Y$44),1)))</f>
        <v>0</v>
      </c>
      <c r="DB10" s="656" t="n">
        <f aca="false">IF(CK10="",0,CK10*E$86)</f>
        <v>0</v>
      </c>
      <c r="DC10" s="656" t="n">
        <f aca="false">BP10*G$71*IF(W$44="Y",1,1+Y$44)</f>
        <v>0</v>
      </c>
      <c r="DD10" s="656" t="n">
        <f aca="false">CJ10*G$73*IF(W$44="Y",1,1+Y$44)</f>
        <v>0</v>
      </c>
      <c r="DE10" s="1546" t="e">
        <f aca="false">O$110/I$79*D10</f>
        <v>#DIV/0!</v>
      </c>
      <c r="DF10" s="1547" t="n">
        <f aca="false">IF(W10=1,X10*$AS$49,0)+IF(W10=2,X10*$AS$50,0)+IF(W10=3,X10*$AS$51,0)+IF(W10=4,X10*$AS$52,0)+IF(W10=5,X10*$AS$53,0)+IF(W10=6,X10*$AS$54)+IF(W10=7,X10*$AS$55)+IF(W10=8,X10*$AS$56)+IF(W10=9,X10*$AS$57)+IF(W10=10,X10*$AS$58)+IF(W10=11,X10*$AS$59,0)</f>
        <v>0</v>
      </c>
      <c r="DG10" s="1547" t="n">
        <f aca="false">IF(Y10=1,Z10*$AS$49,0)+IF(Y10=2,Z10*$AS$50,0)+IF(Y10=3,Z10*$AS$51,0)+IF(Y10=4,Z10*$AS$52,0)+IF(Y10=5,Z10*$AS$53,0)+IF(Y10=6,Z10*$AS$54)+IF(Y10=7,Z10*$AS$55)+IF(Y10=8,Z10*$AS$56)+IF(Y10=9,Z10*$AS$57)+IF(Y10=10,Z10*$AS$58)+IF(Y10=11,Z10*$AS$59,0)</f>
        <v>0</v>
      </c>
      <c r="DH10" s="1547" t="n">
        <f aca="false">IF(AA10=1,AB10*$AS$49,0)+IF(AA10=2,AB10*$AS$50,0)+IF(AA10=3,AB10*$AS$51,0)+IF(AA10=4,AB10*$AS$52,0)+IF(AA10=5,AB10*$AS$53,0)+IF(AA10=6,AB10*$AS$54)+IF(AA10=7,AB10*$AS$55)+IF(AA10=8,AB10*$AS$56)+IF(AA10=9,AB10*$AS$57)+IF(AA10=10,AB10*$AS$58)+IF(AA10=11,AB10*$AS$59,0)</f>
        <v>0</v>
      </c>
      <c r="DI10" s="1547" t="n">
        <f aca="false">IF(AC10=1,AD10*$AS$49,0)+IF(AC10=2,AD10*$AS$50,0)+IF(AC10=3,AD10*$AS$51,0)+IF(AC10=4,AD10*$AS$52,0)+IF(AC10=5,AD10*$AS$53,0)+IF(AC10=6,AD10*$AS$54)+IF(AC10=7,AD10*$AS$55)+IF(AC10=8,AD10*$AS$56)+IF(AC10=9,AD10*$AS$57)+IF(AC10=10,AD10*$AS$58)+IF(AC10=11,AD10*$AS$59,0)</f>
        <v>0</v>
      </c>
      <c r="DJ10" s="1547" t="n">
        <f aca="false">IF(AE10=1,AF10*$AS$49,0)+IF(AE10=2,AF10*$AS$50,0)+IF(AE10=3,AF10*$AS$51,0)+IF(AE10=4,AF10*$AS$52,0)+IF(AE10=5,AF10*$AS$53,0)+IF(AE10=6,AF10*$AS$54)+IF(AE10=7,AF10*$AS$55)+IF(AE10=8,AF10*$AS$56)+IF(AE10=9,AF10*$AS$57)+IF(AE10=10,AF10*$AS$58)+IF(AE10=11,AF10*$AS$59,0)</f>
        <v>0</v>
      </c>
      <c r="DK10" s="1547" t="n">
        <f aca="false">IF(AG10=1,AH10*$AS$49,0)+IF(AG10=2,AH10*$AS$50,0)+IF(AG10=3,AH10*$AS$51,0)+IF(AG10=4,AH10*$AS$52,0)+IF(AG10=5,AH10*$AS$53,0)+IF(AG10=6,AH10*$AS$54)+IF(AG10=7,AH10*$AS$55)+IF(AG10=8,AH10*$AS$56)+IF(AG10=9,AH10*$AS$57)+IF(AG10=10,AH10*$AS$58)+IF(AG10=11,AH10*$AS$59,0)</f>
        <v>0</v>
      </c>
      <c r="DL10" s="1547" t="n">
        <f aca="false">IF(AI10=1,AJ10*$AS$49,0)+IF(AI10=2,AJ10*$AS$50,0)+IF(AI10=3,AJ10*$AS$51,0)+IF(AI10=4,AJ10*$AS$52,0)+IF(AI10=5,AJ10*$AS$53,0)+IF(AI10=6,AJ10*$AS$54)+IF(AI10=7,AJ10*$AS$55)+IF(AI10=8,AJ10*$AS$56)+IF(AI10=9,AJ10*$AS$57)+IF(AI10=10,AJ10*$AS$58)+IF(AI10=11,AJ10*$AS$59,0)</f>
        <v>0</v>
      </c>
      <c r="DM10" s="1547" t="n">
        <f aca="false">IF(AK10=1,AL10*$AS$49,0)+IF(AK10=2,AL10*$AS$50,0)+IF(AK10=3,AL10*$AS$51,0)+IF(AK10=4,AL10*$AS$52,0)+IF(AK10=5,AL10*$AS$53,0)+IF(AK10=6,AL10*$AS$54)+IF(AK10=7,AL10*$AS$55)+IF(AK10=8,AL10*$AS$56)+IF(AK10=9,AL10*$AS$57)+IF(AK10=10,AL10*$AS$58)+IF(AK10=11,AL10*$AS$59,0)</f>
        <v>0</v>
      </c>
      <c r="DN10" s="1547" t="n">
        <f aca="false">IF(AM10=1,AN10*$AS$49,0)+IF(AM10=2,AN10*$AS$50,0)+IF(AM10=3,AN10*$AS$51,0)+IF(AM10=4,AN10*$AS$52,0)+IF(AM10=5,AN10*$AS$53,0)+IF(AM10=6,AN10*$AS$54)+IF(AM10=7,AN10*$AS$55)+IF(AM10=8,AN10*$AS$56)+IF(AM10=9,AN10*$AS$57)+IF(AM10=10,AN10*$AS$58)+IF(AM10=11,AN10*$AS$59,0)</f>
        <v>0</v>
      </c>
      <c r="DO10" s="1547" t="n">
        <f aca="false">IF(AO10=1,AP10*$AS$49,0)+IF(AO10=2,AP10*$AS$50,0)+IF(AO10=3,AP10*$AS$51,0)+IF(AO10=4,AP10*$AS$52,0)+IF(AO10=5,AP10*$AS$53,0)+IF(AO10=6,AP10*$AS$54)+IF(AO10=7,AP10*$AS$55)+IF(AO10=8,AP10*$AS$56)+IF(AO10=9,AP10*$AS$57)+IF(AO10=10,AP10*$AS$58)+IF(AO10=11,AP10*$AS$59,0)</f>
        <v>0</v>
      </c>
      <c r="DP10" s="1548" t="n">
        <f aca="false">D10</f>
        <v>0</v>
      </c>
    </row>
    <row r="11" customFormat="false" ht="19.5" hidden="false" customHeight="true" outlineLevel="0" collapsed="false">
      <c r="A11" s="16" t="s">
        <v>1069</v>
      </c>
      <c r="B11" s="1549"/>
      <c r="C11" s="1550"/>
      <c r="D11" s="1860"/>
      <c r="E11" s="1861"/>
      <c r="F11" s="1074"/>
      <c r="G11" s="1553"/>
      <c r="H11" s="1074"/>
      <c r="I11" s="1553"/>
      <c r="J11" s="1074"/>
      <c r="K11" s="1554"/>
      <c r="L11" s="1555"/>
      <c r="M11" s="1556"/>
      <c r="N11" s="1557"/>
      <c r="O11" s="1558"/>
      <c r="P11" s="1515" t="n">
        <f aca="false">IF(BQ11=0,0,BN11/BQ11)</f>
        <v>0</v>
      </c>
      <c r="Q11" s="1516" t="n">
        <f aca="false">(D11*F11/324)*(1+K$65)+BB11</f>
        <v>0</v>
      </c>
      <c r="R11" s="1517" t="n">
        <f aca="false">IF(D11=0,0,S11/D11)</f>
        <v>0</v>
      </c>
      <c r="S11" s="1518" t="e">
        <f aca="false">SUM(CM11-DE11)*(1+M$45)</f>
        <v>#DIV/0!</v>
      </c>
      <c r="T11" s="1519" t="n">
        <f aca="false">CF11+CG11+CH11</f>
        <v>0</v>
      </c>
      <c r="U11" s="1520" t="n">
        <f aca="false">IF(P11-(D11*0.35)&lt;0,0,P11-(D11*0.35))</f>
        <v>0</v>
      </c>
      <c r="V11" s="1521" t="n">
        <f aca="false">IF(D11="",0,IF(D11/-30+Q11&lt;1,0,D11/-30+Q11))</f>
        <v>0</v>
      </c>
      <c r="W11" s="1559"/>
      <c r="X11" s="1560"/>
      <c r="Y11" s="1559"/>
      <c r="Z11" s="1561"/>
      <c r="AA11" s="1559"/>
      <c r="AB11" s="1561"/>
      <c r="AC11" s="1562"/>
      <c r="AD11" s="1862"/>
      <c r="AE11" s="1559"/>
      <c r="AF11" s="1563"/>
      <c r="AG11" s="1564"/>
      <c r="AH11" s="1563"/>
      <c r="AI11" s="1565"/>
      <c r="AJ11" s="1560"/>
      <c r="AK11" s="1565"/>
      <c r="AL11" s="1563"/>
      <c r="AM11" s="1559"/>
      <c r="AN11" s="1566"/>
      <c r="AO11" s="1559"/>
      <c r="AP11" s="1561"/>
      <c r="AQ11" s="654"/>
      <c r="AR11" s="1533" t="str">
        <f aca="false">IF(W11="","",LOOKUP(W11,$B$49:$B$59,$R$49:$R$59)*X11)</f>
        <v/>
      </c>
      <c r="AS11" s="1430" t="str">
        <f aca="false">IF(Y11="","",LOOKUP(Y11,$B$49:$B$59,$R$49:$R$59)*Z11)</f>
        <v/>
      </c>
      <c r="AT11" s="1430" t="str">
        <f aca="false">IF(AB11="","",LOOKUP(AA11,$B$49:$B$59,$R$49:$R$59)*AB11)</f>
        <v/>
      </c>
      <c r="AU11" s="1430" t="str">
        <f aca="false">IF(AC11="","",LOOKUP(AC11,$B$49:$B$59,$R$49:$R$59)*AD11)</f>
        <v/>
      </c>
      <c r="AV11" s="1430" t="str">
        <f aca="false">IF(AE11="","",LOOKUP(AE11,$B$49:$B$59,$R$49:$R$59)*AF11)</f>
        <v/>
      </c>
      <c r="AW11" s="1430" t="str">
        <f aca="false">IF(AG11="","",LOOKUP(AG11,$B$49:$B$59,$R$49:$R$59)*AH11)</f>
        <v/>
      </c>
      <c r="AX11" s="1430" t="str">
        <f aca="false">IF(AI11="","",LOOKUP(AI11,$B$49:$B$59,$R$49:$R$59)*AJ11)</f>
        <v/>
      </c>
      <c r="AY11" s="1430" t="str">
        <f aca="false">IF(AK11="","",LOOKUP(AK11,$B$49:$B$59,$R$49:$R$59)*AL11)</f>
        <v/>
      </c>
      <c r="AZ11" s="1430" t="str">
        <f aca="false">IF(AM11="","",LOOKUP(AM11,$B$49:$B$59,$R$49:$R$59)*AN11)</f>
        <v/>
      </c>
      <c r="BA11" s="1430" t="str">
        <f aca="false">IF(AO11="","",LOOKUP(AO11,$B$49:$B$59,$R$49:$R$59)*AP11)</f>
        <v/>
      </c>
      <c r="BB11" s="1535" t="n">
        <f aca="false">SUM(AR11:BA11)</f>
        <v>0</v>
      </c>
      <c r="BC11" s="1533" t="str">
        <f aca="false">IF(W11="","",LOOKUP(W11,$B$49:$B$59,$P$49:$P$59)*X11)</f>
        <v/>
      </c>
      <c r="BD11" s="1430" t="str">
        <f aca="false">IF(Y11="","",LOOKUP(Y11,$B$49:$B$59,$P$49:$P$59)*Z11)</f>
        <v/>
      </c>
      <c r="BE11" s="1430" t="str">
        <f aca="false">IF(AA11="","",LOOKUP(AA11,$B$49:$B$59,$P$49:$P$59)*AB11)</f>
        <v/>
      </c>
      <c r="BF11" s="1430" t="str">
        <f aca="false">IF(AC11="","",LOOKUP(AC11,$B$49:$B$59,$P$49:$P$59)*AD11)</f>
        <v/>
      </c>
      <c r="BG11" s="1430" t="str">
        <f aca="false">IF(AE11="","",LOOKUP(AE11,$B$49:$B$59,$P$49:$P$59)*AF11)</f>
        <v/>
      </c>
      <c r="BH11" s="1430" t="str">
        <f aca="false">IF(AG11="","",LOOKUP(AG11,$B$49:$B$59,$P$49:$P$59)*AH11)</f>
        <v/>
      </c>
      <c r="BI11" s="1430" t="str">
        <f aca="false">IF(AI11="","",LOOKUP(AI11,$B$49:$B$59,$P$49:$P$59)*AJ11)</f>
        <v/>
      </c>
      <c r="BJ11" s="1430" t="str">
        <f aca="false">IF(AK11="","",LOOKUP(AK11,$B$49:$B$59,$P$49:$P$59)*AL11)</f>
        <v/>
      </c>
      <c r="BK11" s="1430" t="str">
        <f aca="false">IF(AM11="","",LOOKUP(AM11,$B$49:$B$59,$P$49:$P$59)*AN11)</f>
        <v/>
      </c>
      <c r="BL11" s="1430" t="str">
        <f aca="false">IF(AO11="","",LOOKUP(AO11,$B$49:$B$59,$P$49:$P$59)*AP11)</f>
        <v/>
      </c>
      <c r="BM11" s="1535" t="n">
        <f aca="false">SUM(BC11:BL11)*BQ11</f>
        <v>0</v>
      </c>
      <c r="BN11" s="1536" t="n">
        <f aca="false">BM11+BO11</f>
        <v>0</v>
      </c>
      <c r="BO11" s="1536" t="n">
        <f aca="false">IF(M11=0,0,(M11/12+M11/12)/(M11/12*M11/12)*D11*((L11/16*L11/16)*10.6870159))*(1+K$70)*BQ11</f>
        <v>0</v>
      </c>
      <c r="BP11" s="1536" t="n">
        <f aca="false">IF(O11="Y",D11*(1+K$71)*BQ11,0)</f>
        <v>0</v>
      </c>
      <c r="BQ11" s="1538" t="n">
        <f aca="false">G11</f>
        <v>0</v>
      </c>
      <c r="BR11" s="1411" t="n">
        <f aca="false">IF(O11="y",D11,0)</f>
        <v>0</v>
      </c>
      <c r="BS11" s="1567" t="n">
        <f aca="false">IF($I11=1,$Q11,0)*BQ11</f>
        <v>0</v>
      </c>
      <c r="BT11" s="1536" t="n">
        <f aca="false">IF($I11=2,$Q11,0)*BQ11</f>
        <v>0</v>
      </c>
      <c r="BU11" s="1536" t="n">
        <f aca="false">IF($I11=3,$Q11,0)*BQ11</f>
        <v>0</v>
      </c>
      <c r="BV11" s="1536" t="n">
        <f aca="false">IF($I11=4,$Q11,0)*BQ11</f>
        <v>0</v>
      </c>
      <c r="BW11" s="1536" t="n">
        <f aca="false">IF($I11=5,$Q11,0)*BQ11</f>
        <v>0</v>
      </c>
      <c r="BX11" s="1536" t="n">
        <f aca="false">IF($I11=6,$Q11,0)*$BQ11</f>
        <v>0</v>
      </c>
      <c r="BY11" s="1536" t="n">
        <f aca="false">IF($I11=7,$Q11,0)*$BQ11</f>
        <v>0</v>
      </c>
      <c r="BZ11" s="1536" t="n">
        <f aca="false">IF($I11=8,$Q11,0)*$BQ11</f>
        <v>0</v>
      </c>
      <c r="CA11" s="1536" t="n">
        <f aca="false">IF($I11=9,$Q11,0)*$BQ11</f>
        <v>0</v>
      </c>
      <c r="CB11" s="1568" t="n">
        <f aca="false">IF($I11=10,$Q11,0)*$BQ11</f>
        <v>0</v>
      </c>
      <c r="CC11" s="1538" t="n">
        <f aca="false">SUM(BS11:BX11)</f>
        <v>0</v>
      </c>
      <c r="CD11" s="1538" t="n">
        <f aca="false">IF(H11="N",0,D11)*BQ11</f>
        <v>0</v>
      </c>
      <c r="CE11" s="1538" t="n">
        <f aca="false">K11*BQ11</f>
        <v>0</v>
      </c>
      <c r="CF11" s="1542" t="n">
        <f aca="false">ROUND(IF(W11="",0,LOOKUP(W11,B$49:B$59,D$49:D$59)*X11/12),0)</f>
        <v>0</v>
      </c>
      <c r="CG11" s="1542" t="n">
        <f aca="false">ROUND(IF(Y11="",0,LOOKUP(Y11,B$49:B$59,D$49:D$59)*Z11/12),0)</f>
        <v>0</v>
      </c>
      <c r="CH11" s="1542" t="n">
        <f aca="false">ROUND(IF(AA11="",0,LOOKUP(AA11,B$49:B$59,D$49:D$59)*AB11/12),0)</f>
        <v>0</v>
      </c>
      <c r="CI11" s="1538" t="n">
        <f aca="false">D11*BQ11</f>
        <v>0</v>
      </c>
      <c r="CJ11" s="1538" t="n">
        <f aca="false">D11*J11/324*(1+K$73)*G11</f>
        <v>0</v>
      </c>
      <c r="CK11" s="1538" t="str">
        <f aca="false">IF(N11="","",N11)</f>
        <v/>
      </c>
      <c r="CL11" s="1538" t="n">
        <f aca="false">P11*BQ11</f>
        <v>0</v>
      </c>
      <c r="CM11" s="1543" t="n">
        <f aca="false">IF(BQ11=0,0,SUM(CN11:DE11)/BQ11)</f>
        <v>0</v>
      </c>
      <c r="CN11" s="656" t="n">
        <f aca="false">(BS11*Pricing!F$3+BT11*Pricing!G$3+BU11*Pricing!H$3+BV11*Pricing!I$3+BW11*Pricing!J$3+BX11*Pricing!K$3+BY11*Pricing!L$3+BZ11*Pricing!M$3+CA11*Pricing!N$3+CB11*Pricing!O$3)*IF(W$44="N",(1+Y$44),1)</f>
        <v>0</v>
      </c>
      <c r="CO11" s="656" t="n">
        <f aca="false">BN11*G$70*IF(W$44="n",1+Y$44,1)</f>
        <v>0</v>
      </c>
      <c r="CP11" s="1544" t="n">
        <f aca="false">C11*D11</f>
        <v>0</v>
      </c>
      <c r="CQ11" s="656" t="n">
        <f aca="false">IF(I$79=0,0,D11*(SUM(O$79:P$82)+O$85)/I$79*BQ11)</f>
        <v>0</v>
      </c>
      <c r="CR11" s="656" t="n">
        <f aca="false">IF(CF11="",0,CF11*E$83)+IF(CG11="",0,CG11*E$83)+IF(CH11="",0,CH11*E$83)</f>
        <v>0</v>
      </c>
      <c r="CS11" s="656"/>
      <c r="CT11" s="1545" t="n">
        <f aca="false">(U11/2000)*E$87</f>
        <v>0</v>
      </c>
      <c r="CU11" s="656" t="n">
        <f aca="false">IF(I$79=0,0,D11*(O$88)/I$79*BQ11)</f>
        <v>0</v>
      </c>
      <c r="CV11" s="656" t="n">
        <f aca="false">IF(D$42=0,0,SUM(O$91:P$94)/D$42*D11)*BQ11</f>
        <v>0</v>
      </c>
      <c r="CW11" s="656" t="n">
        <f aca="false">IF(D$42=0,0,SUM(Z$66:Z$97)/D$42*D11*BQ11)</f>
        <v>0</v>
      </c>
      <c r="CX11" s="656" t="n">
        <f aca="false">IF(D$42=0,0,SUM(O$96:P$101)/D$42*D11)*BQ11</f>
        <v>0</v>
      </c>
      <c r="CY11" s="656" t="n">
        <f aca="false">IF(D$42=0,0,SUM(O$103:O$109)/D$42)*D11*BQ11</f>
        <v>0</v>
      </c>
      <c r="CZ11" s="656" t="n">
        <f aca="false">IF(I$79=0,0,IF(I$79=0,0,SUM(Z$98:Z$109)/I$79*D11))</f>
        <v>0</v>
      </c>
      <c r="DA11" s="656" t="n">
        <f aca="false">IF(J$72&gt;0,J$72/D$42*D11*G11,CD11*(G$72*IF(W$44="n",(1+Y$44),1)))</f>
        <v>0</v>
      </c>
      <c r="DB11" s="656" t="n">
        <f aca="false">IF(CK11="",0,CK11*E$86)</f>
        <v>0</v>
      </c>
      <c r="DC11" s="656" t="n">
        <f aca="false">BP11*G$71*IF(W$44="Y",1,1+Y$44)</f>
        <v>0</v>
      </c>
      <c r="DD11" s="656" t="n">
        <f aca="false">CJ11*G$73*IF(W$44="Y",1,1+Y$44)</f>
        <v>0</v>
      </c>
      <c r="DE11" s="1546" t="e">
        <f aca="false">O$110/I$79*D11</f>
        <v>#DIV/0!</v>
      </c>
      <c r="DF11" s="654" t="n">
        <f aca="false">IF(W11=1,X11*$AS$49,0)+IF(W11=2,X11*$AS$50,0)+IF(W11=3,X11*$AS$51,0)+IF(W11=4,X11*$AS$52,0)+IF(W11=5,X11*$AS$53,0)+IF(W11=6,X11*$AS$54)+IF(W11=7,X11*$AS$55)+IF(W11=8,X11*$AS$56)+IF(W11=9,X11*$AS$57)+IF(W11=10,X11*$AS$58)+IF(W11=11,X11*$AS$59,0)</f>
        <v>0</v>
      </c>
      <c r="DG11" s="654" t="n">
        <f aca="false">IF(Y11=1,Z11*$AS$49,0)+IF(Y11=2,Z11*$AS$50,0)+IF(Y11=3,Z11*$AS$51,0)+IF(Y11=4,Z11*$AS$52,0)+IF(Y11=5,Z11*$AS$53,0)+IF(Y11=6,Z11*$AS$54)+IF(Y11=7,Z11*$AS$55)+IF(Y11=8,Z11*$AS$56)+IF(Y11=9,Z11*$AS$57)+IF(Y11=10,Z11*$AS$58)+IF(Y11=11,Z11*$AS$59,0)</f>
        <v>0</v>
      </c>
      <c r="DH11" s="654" t="n">
        <f aca="false">IF(AA11=1,AB11*$AS$49,0)+IF(AA11=2,AB11*$AS$50,0)+IF(AA11=3,AB11*$AS$51,0)+IF(AA11=4,AB11*$AS$52,0)+IF(AA11=5,AB11*$AS$53,0)+IF(AA11=6,AB11*$AS$54)+IF(AA11=7,AB11*$AS$55)+IF(AA11=8,AB11*$AS$56)+IF(AA11=9,AB11*$AS$57)+IF(AA11=10,AB11*$AS$58)+IF(AA11=11,AB11*$AS$59,0)</f>
        <v>0</v>
      </c>
      <c r="DI11" s="654" t="n">
        <f aca="false">IF(AC11=1,AD11*$AS$49,0)+IF(AC11=2,AD11*$AS$50,0)+IF(AC11=3,AD11*$AS$51,0)+IF(AC11=4,AD11*$AS$52,0)+IF(AC11=5,AD11*$AS$53,0)+IF(AC11=6,AD11*$AS$54)+IF(AC11=7,AD11*$AS$55)+IF(AC11=8,AD11*$AS$56)+IF(AC11=9,AD11*$AS$57)+IF(AC11=10,AD11*$AS$58)+IF(AC11=11,AD11*$AS$59,0)</f>
        <v>0</v>
      </c>
      <c r="DJ11" s="654" t="n">
        <f aca="false">IF(AE11=1,AF11*$AS$49,0)+IF(AE11=2,AF11*$AS$50,0)+IF(AE11=3,AF11*$AS$51,0)+IF(AE11=4,AF11*$AS$52,0)+IF(AE11=5,AF11*$AS$53,0)+IF(AE11=6,AF11*$AS$54)+IF(AE11=7,AF11*$AS$55)+IF(AE11=8,AF11*$AS$56)+IF(AE11=9,AF11*$AS$57)+IF(AE11=10,AF11*$AS$58)+IF(AE11=11,AF11*$AS$59,0)</f>
        <v>0</v>
      </c>
      <c r="DK11" s="654" t="n">
        <f aca="false">IF(AG11=1,AH11*$AS$49,0)+IF(AG11=2,AH11*$AS$50,0)+IF(AG11=3,AH11*$AS$51,0)+IF(AG11=4,AH11*$AS$52,0)+IF(AG11=5,AH11*$AS$53,0)+IF(AG11=6,AH11*$AS$54)+IF(AG11=7,AH11*$AS$55)+IF(AG11=8,AH11*$AS$56)+IF(AG11=9,AH11*$AS$57)+IF(AG11=10,AH11*$AS$58)+IF(AG11=11,AH11*$AS$59,0)</f>
        <v>0</v>
      </c>
      <c r="DL11" s="654" t="n">
        <f aca="false">IF(AI11=1,AJ11*$AS$49,0)+IF(AI11=2,AJ11*$AS$50,0)+IF(AI11=3,AJ11*$AS$51,0)+IF(AI11=4,AJ11*$AS$52,0)+IF(AI11=5,AJ11*$AS$53,0)+IF(AI11=6,AJ11*$AS$54)+IF(AI11=7,AJ11*$AS$55)+IF(AI11=8,AJ11*$AS$56)+IF(AI11=9,AJ11*$AS$57)+IF(AI11=10,AJ11*$AS$58)+IF(AI11=11,AJ11*$AS$59,0)</f>
        <v>0</v>
      </c>
      <c r="DM11" s="654" t="n">
        <f aca="false">IF(AK11=1,AL11*$AS$49,0)+IF(AK11=2,AL11*$AS$50,0)+IF(AK11=3,AL11*$AS$51,0)+IF(AK11=4,AL11*$AS$52,0)+IF(AK11=5,AL11*$AS$53,0)+IF(AK11=6,AL11*$AS$54)+IF(AK11=7,AL11*$AS$55)+IF(AK11=8,AL11*$AS$56)+IF(AK11=9,AL11*$AS$57)+IF(AK11=10,AL11*$AS$58)+IF(AK11=11,AL11*$AS$59,0)</f>
        <v>0</v>
      </c>
      <c r="DN11" s="654" t="n">
        <f aca="false">IF(AM11=1,AN11*$AS$49,0)+IF(AM11=2,AN11*$AS$50,0)+IF(AM11=3,AN11*$AS$51,0)+IF(AM11=4,AN11*$AS$52,0)+IF(AM11=5,AN11*$AS$53,0)+IF(AM11=6,AN11*$AS$54)+IF(AM11=7,AN11*$AS$55)+IF(AM11=8,AN11*$AS$56)+IF(AM11=9,AN11*$AS$57)+IF(AM11=10,AN11*$AS$58)+IF(AM11=11,AN11*$AS$59,0)</f>
        <v>0</v>
      </c>
      <c r="DO11" s="654" t="n">
        <f aca="false">IF(AO11=1,AP11*$AS$49,0)+IF(AO11=2,AP11*$AS$50,0)+IF(AO11=3,AP11*$AS$51,0)+IF(AO11=4,AP11*$AS$52,0)+IF(AO11=5,AP11*$AS$53,0)+IF(AO11=6,AP11*$AS$54)+IF(AO11=7,AP11*$AS$55)+IF(AO11=8,AP11*$AS$56)+IF(AO11=9,AP11*$AS$57)+IF(AO11=10,AP11*$AS$58)+IF(AO11=11,AP11*$AS$59,0)</f>
        <v>0</v>
      </c>
      <c r="DP11" s="1569" t="n">
        <f aca="false">D11</f>
        <v>0</v>
      </c>
    </row>
    <row r="12" customFormat="false" ht="19.5" hidden="false" customHeight="true" outlineLevel="0" collapsed="false">
      <c r="A12" s="16" t="s">
        <v>1070</v>
      </c>
      <c r="B12" s="1505"/>
      <c r="C12" s="1550"/>
      <c r="D12" s="1863"/>
      <c r="E12" s="1864"/>
      <c r="F12" s="1074"/>
      <c r="G12" s="1553"/>
      <c r="H12" s="1074"/>
      <c r="I12" s="1553"/>
      <c r="J12" s="1074"/>
      <c r="K12" s="1554"/>
      <c r="L12" s="1523"/>
      <c r="M12" s="1512"/>
      <c r="N12" s="1570"/>
      <c r="O12" s="1571"/>
      <c r="P12" s="1515" t="n">
        <f aca="false">IF(BQ12=0,0,BN12/BQ12)</f>
        <v>0</v>
      </c>
      <c r="Q12" s="1516" t="n">
        <f aca="false">(D12*F12/324)*(1+K$65)+BB12</f>
        <v>0</v>
      </c>
      <c r="R12" s="1517" t="n">
        <f aca="false">IF(D12=0,0,S12/D12)</f>
        <v>0</v>
      </c>
      <c r="S12" s="1518" t="e">
        <f aca="false">SUM(CM12-DE12)*(1+M$45)</f>
        <v>#DIV/0!</v>
      </c>
      <c r="T12" s="1519" t="n">
        <f aca="false">CF12+CG12+CH12</f>
        <v>0</v>
      </c>
      <c r="U12" s="1520" t="n">
        <f aca="false">IF(P12-(D12*0.35)&lt;0,0,P12-(D12*0.35))</f>
        <v>0</v>
      </c>
      <c r="V12" s="1521" t="n">
        <f aca="false">IF(D12="",0,IF(D12/-30+Q12&lt;1,0,D12/-30+Q12))</f>
        <v>0</v>
      </c>
      <c r="W12" s="1511"/>
      <c r="X12" s="1530"/>
      <c r="Y12" s="1511"/>
      <c r="Z12" s="1524"/>
      <c r="AA12" s="1511"/>
      <c r="AB12" s="1524"/>
      <c r="AC12" s="1525"/>
      <c r="AD12" s="1530"/>
      <c r="AE12" s="1511"/>
      <c r="AF12" s="1573"/>
      <c r="AG12" s="1528"/>
      <c r="AH12" s="1527"/>
      <c r="AI12" s="1859"/>
      <c r="AJ12" s="1530"/>
      <c r="AK12" s="1572"/>
      <c r="AL12" s="1573"/>
      <c r="AM12" s="1511"/>
      <c r="AN12" s="1532"/>
      <c r="AO12" s="1511"/>
      <c r="AP12" s="1524"/>
      <c r="AQ12" s="654"/>
      <c r="AR12" s="1533" t="str">
        <f aca="false">IF(W12="","",LOOKUP(W12,$B$49:$B$59,$R$49:$R$59)*X12)</f>
        <v/>
      </c>
      <c r="AS12" s="1430" t="str">
        <f aca="false">IF(Y12="","",LOOKUP(Y12,$B$49:$B$59,$R$49:$R$59)*Z12)</f>
        <v/>
      </c>
      <c r="AT12" s="1430" t="str">
        <f aca="false">IF(AB12="","",LOOKUP(AA12,$B$49:$B$59,$R$49:$R$59)*AB12)</f>
        <v/>
      </c>
      <c r="AU12" s="1430" t="str">
        <f aca="false">IF(AC12="","",LOOKUP(AC12,$B$49:$B$59,$R$49:$R$59)*AD12)</f>
        <v/>
      </c>
      <c r="AV12" s="1430" t="str">
        <f aca="false">IF(AE12="","",LOOKUP(AE12,$B$49:$B$59,$R$49:$R$59)*AF12)</f>
        <v/>
      </c>
      <c r="AW12" s="1430" t="str">
        <f aca="false">IF(AG12="","",LOOKUP(AG12,$B$49:$B$59,$R$49:$R$59)*AH12)</f>
        <v/>
      </c>
      <c r="AX12" s="1430" t="str">
        <f aca="false">IF(AI12="","",LOOKUP(AI12,$B$49:$B$59,$R$49:$R$59)*AJ12)</f>
        <v/>
      </c>
      <c r="AY12" s="1430" t="str">
        <f aca="false">IF(AK12="","",LOOKUP(AK12,$B$49:$B$59,$R$49:$R$59)*AL12)</f>
        <v/>
      </c>
      <c r="AZ12" s="1430" t="str">
        <f aca="false">IF(AM12="","",LOOKUP(AM12,$B$49:$B$59,$R$49:$R$59)*AN12)</f>
        <v/>
      </c>
      <c r="BA12" s="1430" t="str">
        <f aca="false">IF(AO12="","",LOOKUP(AO12,$B$49:$B$59,$R$49:$R$59)*AP12)</f>
        <v/>
      </c>
      <c r="BB12" s="1535" t="n">
        <f aca="false">SUM(AR12:BA12)</f>
        <v>0</v>
      </c>
      <c r="BC12" s="1533" t="str">
        <f aca="false">IF(W12="","",LOOKUP(W12,$B$49:$B$59,$P$49:$P$59)*X12)</f>
        <v/>
      </c>
      <c r="BD12" s="1430" t="str">
        <f aca="false">IF(Y12="","",LOOKUP(Y12,$B$49:$B$59,$P$49:$P$59)*Z12)</f>
        <v/>
      </c>
      <c r="BE12" s="1430" t="str">
        <f aca="false">IF(AA12="","",LOOKUP(AA12,$B$49:$B$59,$P$49:$P$59)*AB12)</f>
        <v/>
      </c>
      <c r="BF12" s="1430" t="str">
        <f aca="false">IF(AC12="","",LOOKUP(AC12,$B$49:$B$59,$P$49:$P$59)*AD12)</f>
        <v/>
      </c>
      <c r="BG12" s="1430" t="str">
        <f aca="false">IF(AE12="","",LOOKUP(AE12,$B$49:$B$59,$P$49:$P$59)*AF12)</f>
        <v/>
      </c>
      <c r="BH12" s="1430" t="str">
        <f aca="false">IF(AG12="","",LOOKUP(AG12,$B$49:$B$59,$P$49:$P$59)*AH12)</f>
        <v/>
      </c>
      <c r="BI12" s="1430" t="str">
        <f aca="false">IF(AI12="","",LOOKUP(AI12,$B$49:$B$59,$P$49:$P$59)*AJ12)</f>
        <v/>
      </c>
      <c r="BJ12" s="1430" t="str">
        <f aca="false">IF(AK12="","",LOOKUP(AK12,$B$49:$B$59,$P$49:$P$59)*AL12)</f>
        <v/>
      </c>
      <c r="BK12" s="1430" t="str">
        <f aca="false">IF(AM12="","",LOOKUP(AM12,$B$49:$B$59,$P$49:$P$59)*AN12)</f>
        <v/>
      </c>
      <c r="BL12" s="1430" t="str">
        <f aca="false">IF(AO12="","",LOOKUP(AO12,$B$49:$B$59,$P$49:$P$59)*AP12)</f>
        <v/>
      </c>
      <c r="BM12" s="1535" t="n">
        <f aca="false">SUM(BC12:BL12)*BQ12</f>
        <v>0</v>
      </c>
      <c r="BN12" s="1536" t="n">
        <f aca="false">BM12+BO12</f>
        <v>0</v>
      </c>
      <c r="BO12" s="1536" t="n">
        <f aca="false">IF(M12=0,0,(M12/12+M12/12)/(M12/12*M12/12)*D12*((L12/16*L12/16)*10.6870159))*(1+K$70)*BQ12</f>
        <v>0</v>
      </c>
      <c r="BP12" s="1536" t="n">
        <f aca="false">IF(O12="Y",D12*(1+K$71)*BQ12,0)</f>
        <v>0</v>
      </c>
      <c r="BQ12" s="1538" t="n">
        <f aca="false">G12</f>
        <v>0</v>
      </c>
      <c r="BR12" s="1411" t="n">
        <f aca="false">IF(O12="y",D12,0)</f>
        <v>0</v>
      </c>
      <c r="BS12" s="1567" t="n">
        <f aca="false">IF($I12=1,$Q12,0)*BQ12</f>
        <v>0</v>
      </c>
      <c r="BT12" s="1536" t="n">
        <f aca="false">IF($I12=2,$Q12,0)*BQ12</f>
        <v>0</v>
      </c>
      <c r="BU12" s="1536" t="n">
        <f aca="false">IF($I12=3,$Q12,0)*BQ12</f>
        <v>0</v>
      </c>
      <c r="BV12" s="1536" t="n">
        <f aca="false">IF($I12=4,$Q12,0)*BQ12</f>
        <v>0</v>
      </c>
      <c r="BW12" s="1536" t="n">
        <f aca="false">IF($I12=5,$Q12,0)*BQ12</f>
        <v>0</v>
      </c>
      <c r="BX12" s="1536" t="n">
        <f aca="false">IF($I12=6,$Q12,0)*$BQ12</f>
        <v>0</v>
      </c>
      <c r="BY12" s="1536" t="n">
        <f aca="false">IF($I12=7,$Q12,0)*$BQ12</f>
        <v>0</v>
      </c>
      <c r="BZ12" s="1536" t="n">
        <f aca="false">IF($I12=8,$Q12,0)*$BQ12</f>
        <v>0</v>
      </c>
      <c r="CA12" s="1536" t="n">
        <f aca="false">IF($I12=9,$Q12,0)*$BQ12</f>
        <v>0</v>
      </c>
      <c r="CB12" s="1568" t="n">
        <f aca="false">IF($I12=10,$Q12,0)*$BQ12</f>
        <v>0</v>
      </c>
      <c r="CC12" s="1538" t="n">
        <f aca="false">SUM(BS12:BX12)</f>
        <v>0</v>
      </c>
      <c r="CD12" s="1538" t="n">
        <f aca="false">IF(H12="N",0,D12)*BQ12</f>
        <v>0</v>
      </c>
      <c r="CE12" s="1538" t="n">
        <f aca="false">K12*BQ12</f>
        <v>0</v>
      </c>
      <c r="CF12" s="1542" t="n">
        <f aca="false">ROUND(IF(W12="",0,LOOKUP(W12,B$49:B$59,D$49:D$59)*X12/12),0)</f>
        <v>0</v>
      </c>
      <c r="CG12" s="1542" t="n">
        <f aca="false">ROUND(IF(Y12="",0,LOOKUP(Y12,B$49:B$59,D$49:D$59)*Z12/12),0)</f>
        <v>0</v>
      </c>
      <c r="CH12" s="1542" t="n">
        <f aca="false">ROUND(IF(AA12="",0,LOOKUP(AA12,B$49:B$59,D$49:D$59)*AB12/12),0)</f>
        <v>0</v>
      </c>
      <c r="CI12" s="1538" t="n">
        <f aca="false">D12*BQ12</f>
        <v>0</v>
      </c>
      <c r="CJ12" s="1538" t="n">
        <f aca="false">D12*J12/324*(1+K$73)*G12</f>
        <v>0</v>
      </c>
      <c r="CK12" s="1538" t="str">
        <f aca="false">IF(N12="","",N12)</f>
        <v/>
      </c>
      <c r="CL12" s="1538" t="n">
        <f aca="false">P12*BQ12</f>
        <v>0</v>
      </c>
      <c r="CM12" s="1543" t="n">
        <f aca="false">IF(BQ12=0,0,SUM(CN12:DE12)/BQ12)</f>
        <v>0</v>
      </c>
      <c r="CN12" s="656" t="n">
        <f aca="false">(BS12*Pricing!F$3+BT12*Pricing!G$3+BU12*Pricing!H$3+BV12*Pricing!I$3+BW12*Pricing!J$3+BX12*Pricing!K$3+BY12*Pricing!L$3+BZ12*Pricing!M$3+CA12*Pricing!N$3+CB12*Pricing!O$3)*IF(W$44="N",(1+Y$44),1)</f>
        <v>0</v>
      </c>
      <c r="CO12" s="656" t="n">
        <f aca="false">BN12*G$70*IF(W$44="n",1+Y$44,1)</f>
        <v>0</v>
      </c>
      <c r="CP12" s="1544" t="n">
        <f aca="false">C12*D12</f>
        <v>0</v>
      </c>
      <c r="CQ12" s="656" t="n">
        <f aca="false">IF(I$79=0,0,D12*(SUM(O$79:P$82)+O$85)/I$79*BQ12)</f>
        <v>0</v>
      </c>
      <c r="CR12" s="656" t="n">
        <f aca="false">IF(CF12="",0,CF12*E$83)+IF(CG12="",0,CG12*E$83)+IF(CH12="",0,CH12*E$83)</f>
        <v>0</v>
      </c>
      <c r="CS12" s="656"/>
      <c r="CT12" s="1545" t="n">
        <f aca="false">(U12/2000)*E$87</f>
        <v>0</v>
      </c>
      <c r="CU12" s="656" t="n">
        <f aca="false">IF(I$79=0,0,D12*(O$88)/I$79*BQ12)</f>
        <v>0</v>
      </c>
      <c r="CV12" s="656" t="n">
        <f aca="false">IF(D$42=0,0,SUM(O$91:P$94)/D$42*D12)*BQ12</f>
        <v>0</v>
      </c>
      <c r="CW12" s="656" t="n">
        <f aca="false">IF(D$42=0,0,SUM(Z$66:Z$97)/D$42*D12*BQ12)</f>
        <v>0</v>
      </c>
      <c r="CX12" s="656" t="n">
        <f aca="false">IF(D$42=0,0,SUM(O$96:P$101)/D$42*D12)*BQ12</f>
        <v>0</v>
      </c>
      <c r="CY12" s="656" t="n">
        <f aca="false">IF(D$42=0,0,SUM(O$103:O$109)/D$42)*D12*BQ12</f>
        <v>0</v>
      </c>
      <c r="CZ12" s="656" t="n">
        <f aca="false">IF(I$79=0,0,IF(I$79=0,0,SUM(Z$98:Z$109)/I$79*D12))</f>
        <v>0</v>
      </c>
      <c r="DA12" s="656" t="n">
        <f aca="false">IF(J$72&gt;0,J$72/D$42*D12*G12,CD12*(G$72*IF(W$44="n",(1+Y$44),1)))</f>
        <v>0</v>
      </c>
      <c r="DB12" s="656" t="n">
        <f aca="false">IF(CK12="",0,CK12*E$86)</f>
        <v>0</v>
      </c>
      <c r="DC12" s="656" t="n">
        <f aca="false">BP12*G$71*IF(W$44="Y",1,1+Y$44)</f>
        <v>0</v>
      </c>
      <c r="DD12" s="656" t="n">
        <f aca="false">CJ12*G$73*IF(W$44="Y",1,1+Y$44)</f>
        <v>0</v>
      </c>
      <c r="DE12" s="1546" t="e">
        <f aca="false">O$110/I$79*D12</f>
        <v>#DIV/0!</v>
      </c>
      <c r="DF12" s="654" t="n">
        <f aca="false">IF(W12=1,X12*$AS$49,0)+IF(W12=2,X12*$AS$50,0)+IF(W12=3,X12*$AS$51,0)+IF(W12=4,X12*$AS$52,0)+IF(W12=5,X12*$AS$53,0)+IF(W12=6,X12*$AS$54)+IF(W12=7,X12*$AS$55)+IF(W12=8,X12*$AS$56)+IF(W12=9,X12*$AS$57)+IF(W12=10,X12*$AS$58)+IF(W12=11,X12*$AS$59,0)</f>
        <v>0</v>
      </c>
      <c r="DG12" s="654" t="n">
        <f aca="false">IF(Y12=1,Z12*$AS$49,0)+IF(Y12=2,Z12*$AS$50,0)+IF(Y12=3,Z12*$AS$51,0)+IF(Y12=4,Z12*$AS$52,0)+IF(Y12=5,Z12*$AS$53,0)+IF(Y12=6,Z12*$AS$54)+IF(Y12=7,Z12*$AS$55)+IF(Y12=8,Z12*$AS$56)+IF(Y12=9,Z12*$AS$57)+IF(Y12=10,Z12*$AS$58)+IF(Y12=11,Z12*$AS$59,0)</f>
        <v>0</v>
      </c>
      <c r="DH12" s="654" t="n">
        <f aca="false">IF(AA12=1,AB12*$AS$49,0)+IF(AA12=2,AB12*$AS$50,0)+IF(AA12=3,AB12*$AS$51,0)+IF(AA12=4,AB12*$AS$52,0)+IF(AA12=5,AB12*$AS$53,0)+IF(AA12=6,AB12*$AS$54)+IF(AA12=7,AB12*$AS$55)+IF(AA12=8,AB12*$AS$56)+IF(AA12=9,AB12*$AS$57)+IF(AA12=10,AB12*$AS$58)+IF(AA12=11,AB12*$AS$59,0)</f>
        <v>0</v>
      </c>
      <c r="DI12" s="654" t="n">
        <f aca="false">IF(AC12=1,AD12*$AS$49,0)+IF(AC12=2,AD12*$AS$50,0)+IF(AC12=3,AD12*$AS$51,0)+IF(AC12=4,AD12*$AS$52,0)+IF(AC12=5,AD12*$AS$53,0)+IF(AC12=6,AD12*$AS$54)+IF(AC12=7,AD12*$AS$55)+IF(AC12=8,AD12*$AS$56)+IF(AC12=9,AD12*$AS$57)+IF(AC12=10,AD12*$AS$58)+IF(AC12=11,AD12*$AS$59,0)</f>
        <v>0</v>
      </c>
      <c r="DJ12" s="654" t="n">
        <f aca="false">IF(AE12=1,AF12*$AS$49,0)+IF(AE12=2,AF12*$AS$50,0)+IF(AE12=3,AF12*$AS$51,0)+IF(AE12=4,AF12*$AS$52,0)+IF(AE12=5,AF12*$AS$53,0)+IF(AE12=6,AF12*$AS$54)+IF(AE12=7,AF12*$AS$55)+IF(AE12=8,AF12*$AS$56)+IF(AE12=9,AF12*$AS$57)+IF(AE12=10,AF12*$AS$58)+IF(AE12=11,AF12*$AS$59,0)</f>
        <v>0</v>
      </c>
      <c r="DK12" s="654" t="n">
        <f aca="false">IF(AG12=1,AH12*$AS$49,0)+IF(AG12=2,AH12*$AS$50,0)+IF(AG12=3,AH12*$AS$51,0)+IF(AG12=4,AH12*$AS$52,0)+IF(AG12=5,AH12*$AS$53,0)+IF(AG12=6,AH12*$AS$54)+IF(AG12=7,AH12*$AS$55)+IF(AG12=8,AH12*$AS$56)+IF(AG12=9,AH12*$AS$57)+IF(AG12=10,AH12*$AS$58)+IF(AG12=11,AH12*$AS$59,0)</f>
        <v>0</v>
      </c>
      <c r="DL12" s="654" t="n">
        <f aca="false">IF(AI12=1,AJ12*$AS$49,0)+IF(AI12=2,AJ12*$AS$50,0)+IF(AI12=3,AJ12*$AS$51,0)+IF(AI12=4,AJ12*$AS$52,0)+IF(AI12=5,AJ12*$AS$53,0)+IF(AI12=6,AJ12*$AS$54)+IF(AI12=7,AJ12*$AS$55)+IF(AI12=8,AJ12*$AS$56)+IF(AI12=9,AJ12*$AS$57)+IF(AI12=10,AJ12*$AS$58)+IF(AI12=11,AJ12*$AS$59,0)</f>
        <v>0</v>
      </c>
      <c r="DM12" s="654" t="n">
        <f aca="false">IF(AK12=1,AL12*$AS$49,0)+IF(AK12=2,AL12*$AS$50,0)+IF(AK12=3,AL12*$AS$51,0)+IF(AK12=4,AL12*$AS$52,0)+IF(AK12=5,AL12*$AS$53,0)+IF(AK12=6,AL12*$AS$54)+IF(AK12=7,AL12*$AS$55)+IF(AK12=8,AL12*$AS$56)+IF(AK12=9,AL12*$AS$57)+IF(AK12=10,AL12*$AS$58)+IF(AK12=11,AL12*$AS$59,0)</f>
        <v>0</v>
      </c>
      <c r="DN12" s="654" t="n">
        <f aca="false">IF(AM12=1,AN12*$AS$49,0)+IF(AM12=2,AN12*$AS$50,0)+IF(AM12=3,AN12*$AS$51,0)+IF(AM12=4,AN12*$AS$52,0)+IF(AM12=5,AN12*$AS$53,0)+IF(AM12=6,AN12*$AS$54)+IF(AM12=7,AN12*$AS$55)+IF(AM12=8,AN12*$AS$56)+IF(AM12=9,AN12*$AS$57)+IF(AM12=10,AN12*$AS$58)+IF(AM12=11,AN12*$AS$59,0)</f>
        <v>0</v>
      </c>
      <c r="DO12" s="654" t="n">
        <f aca="false">IF(AO12=1,AP12*$AS$49,0)+IF(AO12=2,AP12*$AS$50,0)+IF(AO12=3,AP12*$AS$51,0)+IF(AO12=4,AP12*$AS$52,0)+IF(AO12=5,AP12*$AS$53,0)+IF(AO12=6,AP12*$AS$54)+IF(AO12=7,AP12*$AS$55)+IF(AO12=8,AP12*$AS$56)+IF(AO12=9,AP12*$AS$57)+IF(AO12=10,AP12*$AS$58)+IF(AO12=11,AP12*$AS$59,0)</f>
        <v>0</v>
      </c>
      <c r="DP12" s="1569" t="n">
        <f aca="false">D12</f>
        <v>0</v>
      </c>
    </row>
    <row r="13" customFormat="false" ht="19.5" hidden="false" customHeight="true" outlineLevel="0" collapsed="false">
      <c r="A13" s="16" t="s">
        <v>1071</v>
      </c>
      <c r="B13" s="1549"/>
      <c r="C13" s="1550"/>
      <c r="D13" s="1860"/>
      <c r="E13" s="1861"/>
      <c r="F13" s="1074"/>
      <c r="G13" s="1553"/>
      <c r="H13" s="1074"/>
      <c r="I13" s="1553"/>
      <c r="J13" s="1074"/>
      <c r="K13" s="1554"/>
      <c r="L13" s="1555"/>
      <c r="M13" s="1556"/>
      <c r="N13" s="1557"/>
      <c r="O13" s="1558"/>
      <c r="P13" s="1515" t="n">
        <f aca="false">IF(BQ13=0,0,BN13/BQ13)</f>
        <v>0</v>
      </c>
      <c r="Q13" s="1516" t="n">
        <f aca="false">(D13*F13/324)*(1+K$65)+BB13</f>
        <v>0</v>
      </c>
      <c r="R13" s="1517" t="n">
        <f aca="false">IF(D13=0,0,S13/D13)</f>
        <v>0</v>
      </c>
      <c r="S13" s="1518" t="e">
        <f aca="false">SUM(CM13-DE13)*(1+M$45)</f>
        <v>#DIV/0!</v>
      </c>
      <c r="T13" s="1519" t="n">
        <f aca="false">CF13+CG13+CH13</f>
        <v>0</v>
      </c>
      <c r="U13" s="1520" t="n">
        <f aca="false">IF(P13-(D13*0.35)&lt;0,0,P13-(D13*0.35))</f>
        <v>0</v>
      </c>
      <c r="V13" s="1521" t="n">
        <f aca="false">IF(D13="",0,IF(D13/-30+Q13&lt;1,0,D13/-30+Q13))</f>
        <v>0</v>
      </c>
      <c r="W13" s="1559"/>
      <c r="X13" s="1560"/>
      <c r="Y13" s="1559"/>
      <c r="Z13" s="1561"/>
      <c r="AA13" s="1559"/>
      <c r="AB13" s="1561"/>
      <c r="AC13" s="1562"/>
      <c r="AD13" s="1560"/>
      <c r="AE13" s="1559"/>
      <c r="AF13" s="1563"/>
      <c r="AG13" s="1564"/>
      <c r="AH13" s="1563"/>
      <c r="AI13" s="1565"/>
      <c r="AJ13" s="1560"/>
      <c r="AK13" s="1565"/>
      <c r="AL13" s="1563"/>
      <c r="AM13" s="1559"/>
      <c r="AN13" s="1566"/>
      <c r="AO13" s="1559"/>
      <c r="AP13" s="1561"/>
      <c r="AQ13" s="654"/>
      <c r="AR13" s="1533" t="str">
        <f aca="false">IF(W13="","",LOOKUP(W13,$B$49:$B$59,$R$49:$R$59)*X13)</f>
        <v/>
      </c>
      <c r="AS13" s="1430" t="str">
        <f aca="false">IF(Y13="","",LOOKUP(Y13,$B$49:$B$59,$R$49:$R$59)*Z13)</f>
        <v/>
      </c>
      <c r="AT13" s="1430" t="str">
        <f aca="false">IF(AB13="","",LOOKUP(AA13,$B$49:$B$59,$R$49:$R$59)*AB13)</f>
        <v/>
      </c>
      <c r="AU13" s="1430" t="str">
        <f aca="false">IF(AC13="","",LOOKUP(AC13,$B$49:$B$59,$R$49:$R$59)*AD13)</f>
        <v/>
      </c>
      <c r="AV13" s="1430" t="str">
        <f aca="false">IF(AE13="","",LOOKUP(AE13,$B$49:$B$59,$R$49:$R$59)*AF13)</f>
        <v/>
      </c>
      <c r="AW13" s="1430" t="str">
        <f aca="false">IF(AG13="","",LOOKUP(AG13,$B$49:$B$59,$R$49:$R$59)*AH13)</f>
        <v/>
      </c>
      <c r="AX13" s="1430" t="str">
        <f aca="false">IF(AI13="","",LOOKUP(AI13,$B$49:$B$59,$R$49:$R$59)*AJ13)</f>
        <v/>
      </c>
      <c r="AY13" s="1430" t="str">
        <f aca="false">IF(AK13="","",LOOKUP(AK13,$B$49:$B$59,$R$49:$R$59)*AL13)</f>
        <v/>
      </c>
      <c r="AZ13" s="1430" t="str">
        <f aca="false">IF(AM13="","",LOOKUP(AM13,$B$49:$B$59,$R$49:$R$59)*AN13)</f>
        <v/>
      </c>
      <c r="BA13" s="1430" t="str">
        <f aca="false">IF(AO13="","",LOOKUP(AO13,$B$49:$B$59,$R$49:$R$59)*AP13)</f>
        <v/>
      </c>
      <c r="BB13" s="1535" t="n">
        <f aca="false">SUM(AR13:BA13)</f>
        <v>0</v>
      </c>
      <c r="BC13" s="1533" t="str">
        <f aca="false">IF(W13="","",LOOKUP(W13,$B$49:$B$59,$P$49:$P$59)*X13)</f>
        <v/>
      </c>
      <c r="BD13" s="1430" t="str">
        <f aca="false">IF(Y13="","",LOOKUP(Y13,$B$49:$B$59,$P$49:$P$59)*Z13)</f>
        <v/>
      </c>
      <c r="BE13" s="1430" t="str">
        <f aca="false">IF(AA13="","",LOOKUP(AA13,$B$49:$B$59,$P$49:$P$59)*AB13)</f>
        <v/>
      </c>
      <c r="BF13" s="1430" t="str">
        <f aca="false">IF(AC13="","",LOOKUP(AC13,$B$49:$B$59,$P$49:$P$59)*AD13)</f>
        <v/>
      </c>
      <c r="BG13" s="1430" t="str">
        <f aca="false">IF(AE13="","",LOOKUP(AE13,$B$49:$B$59,$P$49:$P$59)*AF13)</f>
        <v/>
      </c>
      <c r="BH13" s="1430" t="str">
        <f aca="false">IF(AG13="","",LOOKUP(AG13,$B$49:$B$59,$P$49:$P$59)*AH13)</f>
        <v/>
      </c>
      <c r="BI13" s="1430" t="str">
        <f aca="false">IF(AI13="","",LOOKUP(AI13,$B$49:$B$59,$P$49:$P$59)*AJ13)</f>
        <v/>
      </c>
      <c r="BJ13" s="1430" t="str">
        <f aca="false">IF(AK13="","",LOOKUP(AK13,$B$49:$B$59,$P$49:$P$59)*AL13)</f>
        <v/>
      </c>
      <c r="BK13" s="1430" t="str">
        <f aca="false">IF(AM13="","",LOOKUP(AM13,$B$49:$B$59,$P$49:$P$59)*AN13)</f>
        <v/>
      </c>
      <c r="BL13" s="1430" t="str">
        <f aca="false">IF(AO13="","",LOOKUP(AO13,$B$49:$B$59,$P$49:$P$59)*AP13)</f>
        <v/>
      </c>
      <c r="BM13" s="1535" t="n">
        <f aca="false">SUM(BC13:BL13)*BQ13</f>
        <v>0</v>
      </c>
      <c r="BN13" s="1536" t="n">
        <f aca="false">BM13+BO13</f>
        <v>0</v>
      </c>
      <c r="BO13" s="1536" t="n">
        <f aca="false">IF(M13=0,0,(M13/12+M13/12)/(M13/12*M13/12)*D13*((L13/16*L13/16)*10.6870159))*(1+K$70)*BQ13</f>
        <v>0</v>
      </c>
      <c r="BP13" s="1536" t="n">
        <f aca="false">IF(O13="Y",D13*(1+K$71)*BQ13,0)</f>
        <v>0</v>
      </c>
      <c r="BQ13" s="1538" t="n">
        <f aca="false">G13</f>
        <v>0</v>
      </c>
      <c r="BR13" s="1411" t="n">
        <f aca="false">IF(O13="y",D13,0)</f>
        <v>0</v>
      </c>
      <c r="BS13" s="1567" t="n">
        <f aca="false">IF($I13=1,$Q13,0)*BQ13</f>
        <v>0</v>
      </c>
      <c r="BT13" s="1536" t="n">
        <f aca="false">IF($I13=2,$Q13,0)*BQ13</f>
        <v>0</v>
      </c>
      <c r="BU13" s="1536" t="n">
        <f aca="false">IF($I13=3,$Q13,0)*BQ13</f>
        <v>0</v>
      </c>
      <c r="BV13" s="1536" t="n">
        <f aca="false">IF($I13=4,$Q13,0)*BQ13</f>
        <v>0</v>
      </c>
      <c r="BW13" s="1536" t="n">
        <f aca="false">IF($I13=5,$Q13,0)*BQ13</f>
        <v>0</v>
      </c>
      <c r="BX13" s="1536" t="n">
        <f aca="false">IF($I13=6,$Q13,0)*$BQ13</f>
        <v>0</v>
      </c>
      <c r="BY13" s="1536" t="n">
        <f aca="false">IF($I13=7,$Q13,0)*$BQ13</f>
        <v>0</v>
      </c>
      <c r="BZ13" s="1536" t="n">
        <f aca="false">IF($I13=8,$Q13,0)*$BQ13</f>
        <v>0</v>
      </c>
      <c r="CA13" s="1536" t="n">
        <f aca="false">IF($I13=9,$Q13,0)*$BQ13</f>
        <v>0</v>
      </c>
      <c r="CB13" s="1568" t="n">
        <f aca="false">IF($I13=10,$Q13,0)*$BQ13</f>
        <v>0</v>
      </c>
      <c r="CC13" s="1538" t="n">
        <f aca="false">SUM(BS13:BX13)</f>
        <v>0</v>
      </c>
      <c r="CD13" s="1538" t="n">
        <f aca="false">IF(H13="N",0,D13)*BQ13</f>
        <v>0</v>
      </c>
      <c r="CE13" s="1538" t="n">
        <f aca="false">K13*BQ13</f>
        <v>0</v>
      </c>
      <c r="CF13" s="1542" t="n">
        <f aca="false">ROUND(IF(W13="",0,LOOKUP(W13,B$49:B$59,D$49:D$59)*X13/12),0)</f>
        <v>0</v>
      </c>
      <c r="CG13" s="1542" t="n">
        <f aca="false">ROUND(IF(Y13="",0,LOOKUP(Y13,B$49:B$59,D$49:D$59)*Z13/12),0)</f>
        <v>0</v>
      </c>
      <c r="CH13" s="1542" t="n">
        <f aca="false">ROUND(IF(AA13="",0,LOOKUP(AA13,B$49:B$59,D$49:D$59)*AB13/12),0)</f>
        <v>0</v>
      </c>
      <c r="CI13" s="1538" t="n">
        <f aca="false">D13*BQ13</f>
        <v>0</v>
      </c>
      <c r="CJ13" s="1538" t="n">
        <f aca="false">D13*J13/324*(1+K$73)*G13</f>
        <v>0</v>
      </c>
      <c r="CK13" s="1538" t="str">
        <f aca="false">IF(N13="","",N13)</f>
        <v/>
      </c>
      <c r="CL13" s="1538" t="n">
        <f aca="false">P13*BQ13</f>
        <v>0</v>
      </c>
      <c r="CM13" s="1543" t="n">
        <f aca="false">IF(BQ13=0,0,SUM(CN13:DE13)/BQ13)</f>
        <v>0</v>
      </c>
      <c r="CN13" s="656" t="n">
        <f aca="false">(BS13*Pricing!F$3+BT13*Pricing!G$3+BU13*Pricing!H$3+BV13*Pricing!I$3+BW13*Pricing!J$3+BX13*Pricing!K$3+BY13*Pricing!L$3+BZ13*Pricing!M$3+CA13*Pricing!N$3+CB13*Pricing!O$3)*IF(W$44="N",(1+Y$44),1)</f>
        <v>0</v>
      </c>
      <c r="CO13" s="656" t="n">
        <f aca="false">BN13*G$70*IF(W$44="n",1+Y$44,1)</f>
        <v>0</v>
      </c>
      <c r="CP13" s="1544" t="n">
        <f aca="false">C13*D13</f>
        <v>0</v>
      </c>
      <c r="CQ13" s="656" t="n">
        <f aca="false">IF(I$79=0,0,D13*(SUM(O$79:P$82)+O$85)/I$79*BQ13)</f>
        <v>0</v>
      </c>
      <c r="CR13" s="656" t="n">
        <f aca="false">IF(CF13="",0,CF13*E$83)+IF(CG13="",0,CG13*E$83)+IF(CH13="",0,CH13*E$83)</f>
        <v>0</v>
      </c>
      <c r="CS13" s="656"/>
      <c r="CT13" s="1545" t="n">
        <f aca="false">(U13/2000)*E$87</f>
        <v>0</v>
      </c>
      <c r="CU13" s="656" t="n">
        <f aca="false">IF(I$79=0,0,D13*(O$88)/I$79*BQ13)</f>
        <v>0</v>
      </c>
      <c r="CV13" s="656" t="n">
        <f aca="false">IF(D$42=0,0,SUM(O$91:P$94)/D$42*D13)*BQ13</f>
        <v>0</v>
      </c>
      <c r="CW13" s="656" t="n">
        <f aca="false">IF(D$42=0,0,SUM(Z$66:Z$97)/D$42*D13*BQ13)</f>
        <v>0</v>
      </c>
      <c r="CX13" s="656" t="n">
        <f aca="false">IF(D$42=0,0,SUM(O$96:P$101)/D$42*D13)*BQ13</f>
        <v>0</v>
      </c>
      <c r="CY13" s="656" t="n">
        <f aca="false">IF(D$42=0,0,SUM(O$103:O$109)/D$42)*D13*BQ13</f>
        <v>0</v>
      </c>
      <c r="CZ13" s="656" t="n">
        <f aca="false">IF(I$79=0,0,IF(I$79=0,0,SUM(Z$98:Z$109)/I$79*D13))</f>
        <v>0</v>
      </c>
      <c r="DA13" s="656" t="n">
        <f aca="false">IF(J$72&gt;0,J$72/D$42*D13*G13,CD13*(G$72*IF(W$44="n",(1+Y$44),1)))</f>
        <v>0</v>
      </c>
      <c r="DB13" s="656" t="n">
        <f aca="false">IF(CK13="",0,CK13*E$86)</f>
        <v>0</v>
      </c>
      <c r="DC13" s="656" t="n">
        <f aca="false">BP13*G$71*IF(W$44="Y",1,1+Y$44)</f>
        <v>0</v>
      </c>
      <c r="DD13" s="656" t="n">
        <f aca="false">CJ13*G$73*IF(W$44="Y",1,1+Y$44)</f>
        <v>0</v>
      </c>
      <c r="DE13" s="1546" t="e">
        <f aca="false">O$110/I$79*D13</f>
        <v>#DIV/0!</v>
      </c>
      <c r="DF13" s="654" t="n">
        <f aca="false">IF(W13=1,X13*$AS$49,0)+IF(W13=2,X13*$AS$50,0)+IF(W13=3,X13*$AS$51,0)+IF(W13=4,X13*$AS$52,0)+IF(W13=5,X13*$AS$53,0)+IF(W13=6,X13*$AS$54)+IF(W13=7,X13*$AS$55)+IF(W13=8,X13*$AS$56)+IF(W13=9,X13*$AS$57)+IF(W13=10,X13*$AS$58)+IF(W13=11,X13*$AS$59,0)</f>
        <v>0</v>
      </c>
      <c r="DG13" s="654" t="n">
        <f aca="false">IF(Y13=1,Z13*$AS$49,0)+IF(Y13=2,Z13*$AS$50,0)+IF(Y13=3,Z13*$AS$51,0)+IF(Y13=4,Z13*$AS$52,0)+IF(Y13=5,Z13*$AS$53,0)+IF(Y13=6,Z13*$AS$54)+IF(Y13=7,Z13*$AS$55)+IF(Y13=8,Z13*$AS$56)+IF(Y13=9,Z13*$AS$57)+IF(Y13=10,Z13*$AS$58)+IF(Y13=11,Z13*$AS$59,0)</f>
        <v>0</v>
      </c>
      <c r="DH13" s="654" t="n">
        <f aca="false">IF(AA13=1,AB13*$AS$49,0)+IF(AA13=2,AB13*$AS$50,0)+IF(AA13=3,AB13*$AS$51,0)+IF(AA13=4,AB13*$AS$52,0)+IF(AA13=5,AB13*$AS$53,0)+IF(AA13=6,AB13*$AS$54)+IF(AA13=7,AB13*$AS$55)+IF(AA13=8,AB13*$AS$56)+IF(AA13=9,AB13*$AS$57)+IF(AA13=10,AB13*$AS$58)+IF(AA13=11,AB13*$AS$59,0)</f>
        <v>0</v>
      </c>
      <c r="DI13" s="654" t="n">
        <f aca="false">IF(AC13=1,AD13*$AS$49,0)+IF(AC13=2,AD13*$AS$50,0)+IF(AC13=3,AD13*$AS$51,0)+IF(AC13=4,AD13*$AS$52,0)+IF(AC13=5,AD13*$AS$53,0)+IF(AC13=6,AD13*$AS$54)+IF(AC13=7,AD13*$AS$55)+IF(AC13=8,AD13*$AS$56)+IF(AC13=9,AD13*$AS$57)+IF(AC13=10,AD13*$AS$58)+IF(AC13=11,AD13*$AS$59,0)</f>
        <v>0</v>
      </c>
      <c r="DJ13" s="654" t="n">
        <f aca="false">IF(AE13=1,AF13*$AS$49,0)+IF(AE13=2,AF13*$AS$50,0)+IF(AE13=3,AF13*$AS$51,0)+IF(AE13=4,AF13*$AS$52,0)+IF(AE13=5,AF13*$AS$53,0)+IF(AE13=6,AF13*$AS$54)+IF(AE13=7,AF13*$AS$55)+IF(AE13=8,AF13*$AS$56)+IF(AE13=9,AF13*$AS$57)+IF(AE13=10,AF13*$AS$58)+IF(AE13=11,AF13*$AS$59,0)</f>
        <v>0</v>
      </c>
      <c r="DK13" s="654" t="n">
        <f aca="false">IF(AG13=1,AH13*$AS$49,0)+IF(AG13=2,AH13*$AS$50,0)+IF(AG13=3,AH13*$AS$51,0)+IF(AG13=4,AH13*$AS$52,0)+IF(AG13=5,AH13*$AS$53,0)+IF(AG13=6,AH13*$AS$54)+IF(AG13=7,AH13*$AS$55)+IF(AG13=8,AH13*$AS$56)+IF(AG13=9,AH13*$AS$57)+IF(AG13=10,AH13*$AS$58)+IF(AG13=11,AH13*$AS$59,0)</f>
        <v>0</v>
      </c>
      <c r="DL13" s="654" t="n">
        <f aca="false">IF(AI13=1,AJ13*$AS$49,0)+IF(AI13=2,AJ13*$AS$50,0)+IF(AI13=3,AJ13*$AS$51,0)+IF(AI13=4,AJ13*$AS$52,0)+IF(AI13=5,AJ13*$AS$53,0)+IF(AI13=6,AJ13*$AS$54)+IF(AI13=7,AJ13*$AS$55)+IF(AI13=8,AJ13*$AS$56)+IF(AI13=9,AJ13*$AS$57)+IF(AI13=10,AJ13*$AS$58)+IF(AI13=11,AJ13*$AS$59,0)</f>
        <v>0</v>
      </c>
      <c r="DM13" s="654" t="n">
        <f aca="false">IF(AK13=1,AL13*$AS$49,0)+IF(AK13=2,AL13*$AS$50,0)+IF(AK13=3,AL13*$AS$51,0)+IF(AK13=4,AL13*$AS$52,0)+IF(AK13=5,AL13*$AS$53,0)+IF(AK13=6,AL13*$AS$54)+IF(AK13=7,AL13*$AS$55)+IF(AK13=8,AL13*$AS$56)+IF(AK13=9,AL13*$AS$57)+IF(AK13=10,AL13*$AS$58)+IF(AK13=11,AL13*$AS$59,0)</f>
        <v>0</v>
      </c>
      <c r="DN13" s="654" t="n">
        <f aca="false">IF(AM13=1,AN13*$AS$49,0)+IF(AM13=2,AN13*$AS$50,0)+IF(AM13=3,AN13*$AS$51,0)+IF(AM13=4,AN13*$AS$52,0)+IF(AM13=5,AN13*$AS$53,0)+IF(AM13=6,AN13*$AS$54)+IF(AM13=7,AN13*$AS$55)+IF(AM13=8,AN13*$AS$56)+IF(AM13=9,AN13*$AS$57)+IF(AM13=10,AN13*$AS$58)+IF(AM13=11,AN13*$AS$59,0)</f>
        <v>0</v>
      </c>
      <c r="DO13" s="654" t="n">
        <f aca="false">IF(AO13=1,AP13*$AS$49,0)+IF(AO13=2,AP13*$AS$50,0)+IF(AO13=3,AP13*$AS$51,0)+IF(AO13=4,AP13*$AS$52,0)+IF(AO13=5,AP13*$AS$53,0)+IF(AO13=6,AP13*$AS$54)+IF(AO13=7,AP13*$AS$55)+IF(AO13=8,AP13*$AS$56)+IF(AO13=9,AP13*$AS$57)+IF(AO13=10,AP13*$AS$58)+IF(AO13=11,AP13*$AS$59,0)</f>
        <v>0</v>
      </c>
      <c r="DP13" s="1569" t="n">
        <f aca="false">D13</f>
        <v>0</v>
      </c>
    </row>
    <row r="14" customFormat="false" ht="19.5" hidden="false" customHeight="true" outlineLevel="0" collapsed="false">
      <c r="A14" s="16" t="s">
        <v>1072</v>
      </c>
      <c r="B14" s="1505"/>
      <c r="C14" s="1550"/>
      <c r="D14" s="1863"/>
      <c r="E14" s="1864"/>
      <c r="F14" s="1074"/>
      <c r="G14" s="1553"/>
      <c r="H14" s="1074"/>
      <c r="I14" s="1553"/>
      <c r="J14" s="1074"/>
      <c r="K14" s="1554"/>
      <c r="L14" s="1523"/>
      <c r="M14" s="1512"/>
      <c r="N14" s="1570"/>
      <c r="O14" s="1571"/>
      <c r="P14" s="1515" t="n">
        <f aca="false">IF(BQ14=0,0,BN14/BQ14)</f>
        <v>0</v>
      </c>
      <c r="Q14" s="1516" t="n">
        <f aca="false">(D14*F14/324)*(1+K$65)+BB14</f>
        <v>0</v>
      </c>
      <c r="R14" s="1517" t="n">
        <f aca="false">IF(D14=0,0,S14/D14)</f>
        <v>0</v>
      </c>
      <c r="S14" s="1518" t="e">
        <f aca="false">SUM(CM14-DE14)*(1+M$45)</f>
        <v>#DIV/0!</v>
      </c>
      <c r="T14" s="1519" t="n">
        <f aca="false">CF14+CG14+CH14</f>
        <v>0</v>
      </c>
      <c r="U14" s="1520" t="n">
        <f aca="false">IF(P14-(D14*0.35)&lt;0,0,P14-(D14*0.35))</f>
        <v>0</v>
      </c>
      <c r="V14" s="1521" t="n">
        <f aca="false">IF(D14="",0,IF(D14/-30+Q14&lt;1,0,D14/-30+Q14))</f>
        <v>0</v>
      </c>
      <c r="W14" s="528"/>
      <c r="X14" s="1526"/>
      <c r="Y14" s="528"/>
      <c r="Z14" s="1574"/>
      <c r="AA14" s="528"/>
      <c r="AB14" s="1574"/>
      <c r="AC14" s="1585"/>
      <c r="AD14" s="1526"/>
      <c r="AE14" s="528"/>
      <c r="AF14" s="1527"/>
      <c r="AG14" s="1531"/>
      <c r="AH14" s="1527"/>
      <c r="AI14" s="1859"/>
      <c r="AJ14" s="1530"/>
      <c r="AK14" s="1531"/>
      <c r="AL14" s="1527"/>
      <c r="AM14" s="528"/>
      <c r="AN14" s="1575"/>
      <c r="AO14" s="528"/>
      <c r="AP14" s="1574"/>
      <c r="AQ14" s="654"/>
      <c r="AR14" s="1533" t="str">
        <f aca="false">IF(W14="","",LOOKUP(W14,$B$49:$B$59,$R$49:$R$59)*X14)</f>
        <v/>
      </c>
      <c r="AS14" s="1430" t="str">
        <f aca="false">IF(Y14="","",LOOKUP(Y14,$B$49:$B$59,$R$49:$R$59)*Z14)</f>
        <v/>
      </c>
      <c r="AT14" s="1430" t="str">
        <f aca="false">IF(AB14="","",LOOKUP(AA14,$B$49:$B$59,$R$49:$R$59)*AB14)</f>
        <v/>
      </c>
      <c r="AU14" s="1430" t="str">
        <f aca="false">IF(AC14="","",LOOKUP(AC14,$B$49:$B$59,$R$49:$R$59)*AD14)</f>
        <v/>
      </c>
      <c r="AV14" s="1430" t="str">
        <f aca="false">IF(AE14="","",LOOKUP(AE14,$B$49:$B$59,$R$49:$R$59)*AF14)</f>
        <v/>
      </c>
      <c r="AW14" s="1430" t="str">
        <f aca="false">IF(AG14="","",LOOKUP(AG14,$B$49:$B$59,$R$49:$R$59)*AH14)</f>
        <v/>
      </c>
      <c r="AX14" s="1430" t="str">
        <f aca="false">IF(AI14="","",LOOKUP(AI14,$B$49:$B$59,$R$49:$R$59)*AJ14)</f>
        <v/>
      </c>
      <c r="AY14" s="1430" t="str">
        <f aca="false">IF(AK14="","",LOOKUP(AK14,$B$49:$B$59,$R$49:$R$59)*AL14)</f>
        <v/>
      </c>
      <c r="AZ14" s="1430" t="str">
        <f aca="false">IF(AM14="","",LOOKUP(AM14,$B$49:$B$59,$R$49:$R$59)*AN14)</f>
        <v/>
      </c>
      <c r="BA14" s="1430" t="str">
        <f aca="false">IF(AO14="","",LOOKUP(AO14,$B$49:$B$59,$R$49:$R$59)*AP14)</f>
        <v/>
      </c>
      <c r="BB14" s="1535" t="n">
        <f aca="false">SUM(AR14:BA14)</f>
        <v>0</v>
      </c>
      <c r="BC14" s="1533" t="str">
        <f aca="false">IF(W14="","",LOOKUP(W14,$B$49:$B$59,$P$49:$P$59)*X14)</f>
        <v/>
      </c>
      <c r="BD14" s="1430" t="str">
        <f aca="false">IF(Y14="","",LOOKUP(Y14,$B$49:$B$59,$P$49:$P$59)*Z14)</f>
        <v/>
      </c>
      <c r="BE14" s="1430" t="str">
        <f aca="false">IF(AA14="","",LOOKUP(AA14,$B$49:$B$59,$P$49:$P$59)*AB14)</f>
        <v/>
      </c>
      <c r="BF14" s="1430" t="str">
        <f aca="false">IF(AC14="","",LOOKUP(AC14,$B$49:$B$59,$P$49:$P$59)*AD14)</f>
        <v/>
      </c>
      <c r="BG14" s="1430" t="str">
        <f aca="false">IF(AE14="","",LOOKUP(AE14,$B$49:$B$59,$P$49:$P$59)*AF14)</f>
        <v/>
      </c>
      <c r="BH14" s="1430" t="str">
        <f aca="false">IF(AG14="","",LOOKUP(AG14,$B$49:$B$59,$P$49:$P$59)*AH14)</f>
        <v/>
      </c>
      <c r="BI14" s="1430" t="str">
        <f aca="false">IF(AI14="","",LOOKUP(AI14,$B$49:$B$59,$P$49:$P$59)*AJ14)</f>
        <v/>
      </c>
      <c r="BJ14" s="1430" t="str">
        <f aca="false">IF(AK14="","",LOOKUP(AK14,$B$49:$B$59,$P$49:$P$59)*AL14)</f>
        <v/>
      </c>
      <c r="BK14" s="1430" t="str">
        <f aca="false">IF(AM14="","",LOOKUP(AM14,$B$49:$B$59,$P$49:$P$59)*AN14)</f>
        <v/>
      </c>
      <c r="BL14" s="1430" t="str">
        <f aca="false">IF(AO14="","",LOOKUP(AO14,$B$49:$B$59,$P$49:$P$59)*AP14)</f>
        <v/>
      </c>
      <c r="BM14" s="1535" t="n">
        <f aca="false">SUM(BC14:BL14)*BQ14</f>
        <v>0</v>
      </c>
      <c r="BN14" s="1536" t="n">
        <f aca="false">BM14+BO14</f>
        <v>0</v>
      </c>
      <c r="BO14" s="1536" t="n">
        <f aca="false">IF(M14=0,0,(M14/12+M14/12)/(M14/12*M14/12)*D14*((L14/16*L14/16)*10.6870159))*(1+K$70)*BQ14</f>
        <v>0</v>
      </c>
      <c r="BP14" s="1536" t="n">
        <f aca="false">IF(O14="Y",D14*(1+K$71)*BQ14,0)</f>
        <v>0</v>
      </c>
      <c r="BQ14" s="1538" t="n">
        <f aca="false">G14</f>
        <v>0</v>
      </c>
      <c r="BR14" s="1411" t="n">
        <f aca="false">IF(O14="y",D14,0)</f>
        <v>0</v>
      </c>
      <c r="BS14" s="1567" t="n">
        <f aca="false">IF($I14=1,$Q14,0)*BQ14</f>
        <v>0</v>
      </c>
      <c r="BT14" s="1536" t="n">
        <f aca="false">IF($I14=2,$Q14,0)*BQ14</f>
        <v>0</v>
      </c>
      <c r="BU14" s="1536" t="n">
        <f aca="false">IF($I14=3,$Q14,0)*BQ14</f>
        <v>0</v>
      </c>
      <c r="BV14" s="1536" t="n">
        <f aca="false">IF($I14=4,$Q14,0)*BQ14</f>
        <v>0</v>
      </c>
      <c r="BW14" s="1536" t="n">
        <f aca="false">IF($I14=5,$Q14,0)*BQ14</f>
        <v>0</v>
      </c>
      <c r="BX14" s="1536" t="n">
        <f aca="false">IF($I14=6,$Q14,0)*$BQ14</f>
        <v>0</v>
      </c>
      <c r="BY14" s="1536" t="n">
        <f aca="false">IF($I14=7,$Q14,0)*$BQ14</f>
        <v>0</v>
      </c>
      <c r="BZ14" s="1536" t="n">
        <f aca="false">IF($I14=8,$Q14,0)*$BQ14</f>
        <v>0</v>
      </c>
      <c r="CA14" s="1536" t="n">
        <f aca="false">IF($I14=9,$Q14,0)*$BQ14</f>
        <v>0</v>
      </c>
      <c r="CB14" s="1568" t="n">
        <f aca="false">IF($I14=10,$Q14,0)*$BQ14</f>
        <v>0</v>
      </c>
      <c r="CC14" s="1538" t="n">
        <f aca="false">SUM(BS14:BX14)</f>
        <v>0</v>
      </c>
      <c r="CD14" s="1538" t="n">
        <f aca="false">IF(H14="N",0,D14)*BQ14</f>
        <v>0</v>
      </c>
      <c r="CE14" s="1538" t="n">
        <f aca="false">K14*BQ14</f>
        <v>0</v>
      </c>
      <c r="CF14" s="1542" t="n">
        <f aca="false">ROUND(IF(W14="",0,LOOKUP(W14,B$49:B$59,D$49:D$59)*X14/12),0)</f>
        <v>0</v>
      </c>
      <c r="CG14" s="1542" t="n">
        <f aca="false">ROUND(IF(Y14="",0,LOOKUP(Y14,B$49:B$59,D$49:D$59)*Z14/12),0)</f>
        <v>0</v>
      </c>
      <c r="CH14" s="1542" t="n">
        <f aca="false">ROUND(IF(AA14="",0,LOOKUP(AA14,B$49:B$59,D$49:D$59)*AB14/12),0)</f>
        <v>0</v>
      </c>
      <c r="CI14" s="1538" t="n">
        <f aca="false">D14*BQ14</f>
        <v>0</v>
      </c>
      <c r="CJ14" s="1538" t="n">
        <f aca="false">D14*J14/324*(1+K$73)*G14</f>
        <v>0</v>
      </c>
      <c r="CK14" s="1538" t="str">
        <f aca="false">IF(N14="","",N14)</f>
        <v/>
      </c>
      <c r="CL14" s="1538" t="n">
        <f aca="false">P14*BQ14</f>
        <v>0</v>
      </c>
      <c r="CM14" s="1543" t="n">
        <f aca="false">IF(BQ14=0,0,SUM(CN14:DE14)/BQ14)</f>
        <v>0</v>
      </c>
      <c r="CN14" s="656" t="n">
        <f aca="false">(BS14*Pricing!F$3+BT14*Pricing!G$3+BU14*Pricing!H$3+BV14*Pricing!I$3+BW14*Pricing!J$3+BX14*Pricing!K$3+BY14*Pricing!L$3+BZ14*Pricing!M$3+CA14*Pricing!N$3+CB14*Pricing!O$3)*IF(W$44="N",(1+Y$44),1)</f>
        <v>0</v>
      </c>
      <c r="CO14" s="656" t="n">
        <f aca="false">BN14*G$70*IF(W$44="n",1+Y$44,1)</f>
        <v>0</v>
      </c>
      <c r="CP14" s="1544" t="n">
        <f aca="false">C14*D14</f>
        <v>0</v>
      </c>
      <c r="CQ14" s="656" t="n">
        <f aca="false">IF(I$79=0,0,D14*(SUM(O$79:P$82)+O$85)/I$79*BQ14)</f>
        <v>0</v>
      </c>
      <c r="CR14" s="656" t="n">
        <f aca="false">IF(CF14="",0,CF14*E$83)+IF(CG14="",0,CG14*E$83)+IF(CH14="",0,CH14*E$83)</f>
        <v>0</v>
      </c>
      <c r="CS14" s="656"/>
      <c r="CT14" s="1545" t="n">
        <f aca="false">(U14/2000)*E$87</f>
        <v>0</v>
      </c>
      <c r="CU14" s="656" t="n">
        <f aca="false">IF(I$79=0,0,D14*(O$88)/I$79*BQ14)</f>
        <v>0</v>
      </c>
      <c r="CV14" s="656" t="n">
        <f aca="false">IF(D$42=0,0,SUM(O$91:P$94)/D$42*D14)*BQ14</f>
        <v>0</v>
      </c>
      <c r="CW14" s="656" t="n">
        <f aca="false">IF(D$42=0,0,SUM(Z$66:Z$97)/D$42*D14*BQ14)</f>
        <v>0</v>
      </c>
      <c r="CX14" s="656" t="n">
        <f aca="false">IF(D$42=0,0,SUM(O$96:P$101)/D$42*D14)*BQ14</f>
        <v>0</v>
      </c>
      <c r="CY14" s="656" t="n">
        <f aca="false">IF(D$42=0,0,SUM(O$103:O$109)/D$42)*D14*BQ14</f>
        <v>0</v>
      </c>
      <c r="CZ14" s="656" t="n">
        <f aca="false">IF(I$79=0,0,IF(I$79=0,0,SUM(Z$98:Z$109)/I$79*D14))</f>
        <v>0</v>
      </c>
      <c r="DA14" s="656" t="n">
        <f aca="false">IF(J$72&gt;0,J$72/D$42*D14*G14,CD14*(G$72*IF(W$44="n",(1+Y$44),1)))</f>
        <v>0</v>
      </c>
      <c r="DB14" s="656" t="n">
        <f aca="false">IF(CK14="",0,CK14*E$86)</f>
        <v>0</v>
      </c>
      <c r="DC14" s="656" t="n">
        <f aca="false">BP14*G$71*IF(W$44="Y",1,1+Y$44)</f>
        <v>0</v>
      </c>
      <c r="DD14" s="656" t="n">
        <f aca="false">CJ14*G$73*IF(W$44="Y",1,1+Y$44)</f>
        <v>0</v>
      </c>
      <c r="DE14" s="1546" t="e">
        <f aca="false">O$110/I$79*D14</f>
        <v>#DIV/0!</v>
      </c>
      <c r="DF14" s="654" t="n">
        <f aca="false">IF(W14=1,X14*$AS$49,0)+IF(W14=2,X14*$AS$50,0)+IF(W14=3,X14*$AS$51,0)+IF(W14=4,X14*$AS$52,0)+IF(W14=5,X14*$AS$53,0)+IF(W14=6,X14*$AS$54)+IF(W14=7,X14*$AS$55)+IF(W14=8,X14*$AS$56)+IF(W14=9,X14*$AS$57)+IF(W14=10,X14*$AS$58)+IF(W14=11,X14*$AS$59,0)</f>
        <v>0</v>
      </c>
      <c r="DG14" s="654" t="n">
        <f aca="false">IF(Y14=1,Z14*$AS$49,0)+IF(Y14=2,Z14*$AS$50,0)+IF(Y14=3,Z14*$AS$51,0)+IF(Y14=4,Z14*$AS$52,0)+IF(Y14=5,Z14*$AS$53,0)+IF(Y14=6,Z14*$AS$54)+IF(Y14=7,Z14*$AS$55)+IF(Y14=8,Z14*$AS$56)+IF(Y14=9,Z14*$AS$57)+IF(Y14=10,Z14*$AS$58)+IF(Y14=11,Z14*$AS$59,0)</f>
        <v>0</v>
      </c>
      <c r="DH14" s="654" t="n">
        <f aca="false">IF(AA14=1,AB14*$AS$49,0)+IF(AA14=2,AB14*$AS$50,0)+IF(AA14=3,AB14*$AS$51,0)+IF(AA14=4,AB14*$AS$52,0)+IF(AA14=5,AB14*$AS$53,0)+IF(AA14=6,AB14*$AS$54)+IF(AA14=7,AB14*$AS$55)+IF(AA14=8,AB14*$AS$56)+IF(AA14=9,AB14*$AS$57)+IF(AA14=10,AB14*$AS$58)+IF(AA14=11,AB14*$AS$59,0)</f>
        <v>0</v>
      </c>
      <c r="DI14" s="654" t="n">
        <f aca="false">IF(AC14=1,AD14*$AS$49,0)+IF(AC14=2,AD14*$AS$50,0)+IF(AC14=3,AD14*$AS$51,0)+IF(AC14=4,AD14*$AS$52,0)+IF(AC14=5,AD14*$AS$53,0)+IF(AC14=6,AD14*$AS$54)+IF(AC14=7,AD14*$AS$55)+IF(AC14=8,AD14*$AS$56)+IF(AC14=9,AD14*$AS$57)+IF(AC14=10,AD14*$AS$58)+IF(AC14=11,AD14*$AS$59,0)</f>
        <v>0</v>
      </c>
      <c r="DJ14" s="654" t="n">
        <f aca="false">IF(AE14=1,AF14*$AS$49,0)+IF(AE14=2,AF14*$AS$50,0)+IF(AE14=3,AF14*$AS$51,0)+IF(AE14=4,AF14*$AS$52,0)+IF(AE14=5,AF14*$AS$53,0)+IF(AE14=6,AF14*$AS$54)+IF(AE14=7,AF14*$AS$55)+IF(AE14=8,AF14*$AS$56)+IF(AE14=9,AF14*$AS$57)+IF(AE14=10,AF14*$AS$58)+IF(AE14=11,AF14*$AS$59,0)</f>
        <v>0</v>
      </c>
      <c r="DK14" s="654" t="n">
        <f aca="false">IF(AG14=1,AH14*$AS$49,0)+IF(AG14=2,AH14*$AS$50,0)+IF(AG14=3,AH14*$AS$51,0)+IF(AG14=4,AH14*$AS$52,0)+IF(AG14=5,AH14*$AS$53,0)+IF(AG14=6,AH14*$AS$54)+IF(AG14=7,AH14*$AS$55)+IF(AG14=8,AH14*$AS$56)+IF(AG14=9,AH14*$AS$57)+IF(AG14=10,AH14*$AS$58)+IF(AG14=11,AH14*$AS$59,0)</f>
        <v>0</v>
      </c>
      <c r="DL14" s="654" t="n">
        <f aca="false">IF(AI14=1,AJ14*$AS$49,0)+IF(AI14=2,AJ14*$AS$50,0)+IF(AI14=3,AJ14*$AS$51,0)+IF(AI14=4,AJ14*$AS$52,0)+IF(AI14=5,AJ14*$AS$53,0)+IF(AI14=6,AJ14*$AS$54)+IF(AI14=7,AJ14*$AS$55)+IF(AI14=8,AJ14*$AS$56)+IF(AI14=9,AJ14*$AS$57)+IF(AI14=10,AJ14*$AS$58)+IF(AI14=11,AJ14*$AS$59,0)</f>
        <v>0</v>
      </c>
      <c r="DM14" s="654" t="n">
        <f aca="false">IF(AK14=1,AL14*$AS$49,0)+IF(AK14=2,AL14*$AS$50,0)+IF(AK14=3,AL14*$AS$51,0)+IF(AK14=4,AL14*$AS$52,0)+IF(AK14=5,AL14*$AS$53,0)+IF(AK14=6,AL14*$AS$54)+IF(AK14=7,AL14*$AS$55)+IF(AK14=8,AL14*$AS$56)+IF(AK14=9,AL14*$AS$57)+IF(AK14=10,AL14*$AS$58)+IF(AK14=11,AL14*$AS$59,0)</f>
        <v>0</v>
      </c>
      <c r="DN14" s="654" t="n">
        <f aca="false">IF(AM14=1,AN14*$AS$49,0)+IF(AM14=2,AN14*$AS$50,0)+IF(AM14=3,AN14*$AS$51,0)+IF(AM14=4,AN14*$AS$52,0)+IF(AM14=5,AN14*$AS$53,0)+IF(AM14=6,AN14*$AS$54)+IF(AM14=7,AN14*$AS$55)+IF(AM14=8,AN14*$AS$56)+IF(AM14=9,AN14*$AS$57)+IF(AM14=10,AN14*$AS$58)+IF(AM14=11,AN14*$AS$59,0)</f>
        <v>0</v>
      </c>
      <c r="DO14" s="654" t="n">
        <f aca="false">IF(AO14=1,AP14*$AS$49,0)+IF(AO14=2,AP14*$AS$50,0)+IF(AO14=3,AP14*$AS$51,0)+IF(AO14=4,AP14*$AS$52,0)+IF(AO14=5,AP14*$AS$53,0)+IF(AO14=6,AP14*$AS$54)+IF(AO14=7,AP14*$AS$55)+IF(AO14=8,AP14*$AS$56)+IF(AO14=9,AP14*$AS$57)+IF(AO14=10,AP14*$AS$58)+IF(AO14=11,AP14*$AS$59,0)</f>
        <v>0</v>
      </c>
      <c r="DP14" s="1569" t="n">
        <f aca="false">D14</f>
        <v>0</v>
      </c>
    </row>
    <row r="15" customFormat="false" ht="19.5" hidden="false" customHeight="true" outlineLevel="0" collapsed="false">
      <c r="A15" s="16" t="s">
        <v>1073</v>
      </c>
      <c r="B15" s="1549"/>
      <c r="C15" s="1550"/>
      <c r="D15" s="1860"/>
      <c r="E15" s="1861"/>
      <c r="F15" s="1074"/>
      <c r="G15" s="1553"/>
      <c r="H15" s="1074"/>
      <c r="I15" s="1553"/>
      <c r="J15" s="1074"/>
      <c r="K15" s="1554"/>
      <c r="L15" s="1555"/>
      <c r="M15" s="1556"/>
      <c r="N15" s="1557"/>
      <c r="O15" s="1558"/>
      <c r="P15" s="1515" t="n">
        <f aca="false">IF(BQ15=0,0,BN15/BQ15)</f>
        <v>0</v>
      </c>
      <c r="Q15" s="1516" t="n">
        <f aca="false">(D15*F15/324)*(1+K$65)+BB15</f>
        <v>0</v>
      </c>
      <c r="R15" s="1517" t="n">
        <f aca="false">IF(D15=0,0,S15/D15)</f>
        <v>0</v>
      </c>
      <c r="S15" s="1518" t="e">
        <f aca="false">SUM(CM15-DE15)*(1+M$45)</f>
        <v>#DIV/0!</v>
      </c>
      <c r="T15" s="1519" t="n">
        <f aca="false">CF15+CG15+CH15</f>
        <v>0</v>
      </c>
      <c r="U15" s="1520" t="n">
        <f aca="false">IF(P15-(D15*0.35)&lt;0,0,P15-(D15*0.35))</f>
        <v>0</v>
      </c>
      <c r="V15" s="1521" t="n">
        <f aca="false">IF(D15="",0,IF(D15/-30+Q15&lt;1,0,D15/-30+Q15))</f>
        <v>0</v>
      </c>
      <c r="W15" s="1559"/>
      <c r="X15" s="1560"/>
      <c r="Y15" s="528"/>
      <c r="Z15" s="1574"/>
      <c r="AA15" s="528"/>
      <c r="AB15" s="1574"/>
      <c r="AC15" s="1562"/>
      <c r="AD15" s="1560"/>
      <c r="AE15" s="1559"/>
      <c r="AF15" s="1563"/>
      <c r="AG15" s="1564"/>
      <c r="AH15" s="1563"/>
      <c r="AI15" s="1565"/>
      <c r="AJ15" s="1560"/>
      <c r="AK15" s="1576"/>
      <c r="AL15" s="1563"/>
      <c r="AM15" s="528"/>
      <c r="AN15" s="1575"/>
      <c r="AO15" s="528"/>
      <c r="AP15" s="1574"/>
      <c r="AQ15" s="654"/>
      <c r="AR15" s="1533" t="str">
        <f aca="false">IF(W15="","",LOOKUP(W15,$B$49:$B$59,$R$49:$R$59)*X15)</f>
        <v/>
      </c>
      <c r="AS15" s="1430" t="str">
        <f aca="false">IF(Y15="","",LOOKUP(Y15,$B$49:$B$59,$R$49:$R$59)*Z15)</f>
        <v/>
      </c>
      <c r="AT15" s="1430" t="str">
        <f aca="false">IF(AB15="","",LOOKUP(AA15,$B$49:$B$59,$R$49:$R$59)*AB15)</f>
        <v/>
      </c>
      <c r="AU15" s="1430" t="str">
        <f aca="false">IF(AC15="","",LOOKUP(AC15,$B$49:$B$59,$R$49:$R$59)*AD15)</f>
        <v/>
      </c>
      <c r="AV15" s="1430" t="str">
        <f aca="false">IF(AE15="","",LOOKUP(AE15,$B$49:$B$59,$R$49:$R$59)*AF15)</f>
        <v/>
      </c>
      <c r="AW15" s="1430" t="str">
        <f aca="false">IF(AG15="","",LOOKUP(AG15,$B$49:$B$59,$R$49:$R$59)*AH15)</f>
        <v/>
      </c>
      <c r="AX15" s="1430" t="str">
        <f aca="false">IF(AI15="","",LOOKUP(AI15,$B$49:$B$59,$R$49:$R$59)*AJ15)</f>
        <v/>
      </c>
      <c r="AY15" s="1430" t="str">
        <f aca="false">IF(AK15="","",LOOKUP(AK15,$B$49:$B$59,$R$49:$R$59)*AL15)</f>
        <v/>
      </c>
      <c r="AZ15" s="1430" t="str">
        <f aca="false">IF(AM15="","",LOOKUP(AM15,$B$49:$B$59,$R$49:$R$59)*AN15)</f>
        <v/>
      </c>
      <c r="BA15" s="1430" t="str">
        <f aca="false">IF(AO15="","",LOOKUP(AO15,$B$49:$B$59,$R$49:$R$59)*AP15)</f>
        <v/>
      </c>
      <c r="BB15" s="1535" t="n">
        <f aca="false">SUM(AR15:BA15)</f>
        <v>0</v>
      </c>
      <c r="BC15" s="1533" t="str">
        <f aca="false">IF(W15="","",LOOKUP(W15,$B$49:$B$59,$P$49:$P$59)*X15)</f>
        <v/>
      </c>
      <c r="BD15" s="1430" t="str">
        <f aca="false">IF(Y15="","",LOOKUP(Y15,$B$49:$B$59,$P$49:$P$59)*Z15)</f>
        <v/>
      </c>
      <c r="BE15" s="1430" t="str">
        <f aca="false">IF(AA15="","",LOOKUP(AA15,$B$49:$B$59,$P$49:$P$59)*AB15)</f>
        <v/>
      </c>
      <c r="BF15" s="1430" t="str">
        <f aca="false">IF(AC15="","",LOOKUP(AC15,$B$49:$B$59,$P$49:$P$59)*AD15)</f>
        <v/>
      </c>
      <c r="BG15" s="1430" t="str">
        <f aca="false">IF(AE15="","",LOOKUP(AE15,$B$49:$B$59,$P$49:$P$59)*AF15)</f>
        <v/>
      </c>
      <c r="BH15" s="1430" t="str">
        <f aca="false">IF(AG15="","",LOOKUP(AG15,$B$49:$B$59,$P$49:$P$59)*AH15)</f>
        <v/>
      </c>
      <c r="BI15" s="1430" t="str">
        <f aca="false">IF(AI15="","",LOOKUP(AI15,$B$49:$B$59,$P$49:$P$59)*AJ15)</f>
        <v/>
      </c>
      <c r="BJ15" s="1430" t="str">
        <f aca="false">IF(AK15="","",LOOKUP(AK15,$B$49:$B$59,$P$49:$P$59)*AL15)</f>
        <v/>
      </c>
      <c r="BK15" s="1430" t="str">
        <f aca="false">IF(AM15="","",LOOKUP(AM15,$B$49:$B$59,$P$49:$P$59)*AN15)</f>
        <v/>
      </c>
      <c r="BL15" s="1430" t="str">
        <f aca="false">IF(AO15="","",LOOKUP(AO15,$B$49:$B$59,$P$49:$P$59)*AP15)</f>
        <v/>
      </c>
      <c r="BM15" s="1535" t="n">
        <f aca="false">SUM(BC15:BL15)*BQ15</f>
        <v>0</v>
      </c>
      <c r="BN15" s="1536" t="n">
        <f aca="false">BM15+BO15</f>
        <v>0</v>
      </c>
      <c r="BO15" s="1536" t="n">
        <f aca="false">IF(M15=0,0,(M15/12+M15/12)/(M15/12*M15/12)*D15*((L15/16*L15/16)*10.6870159))*(1+K$70)*BQ15</f>
        <v>0</v>
      </c>
      <c r="BP15" s="1536" t="n">
        <f aca="false">IF(O15="Y",D15*(1+K$71)*BQ15,0)</f>
        <v>0</v>
      </c>
      <c r="BQ15" s="1538" t="n">
        <f aca="false">G15</f>
        <v>0</v>
      </c>
      <c r="BR15" s="1411" t="n">
        <f aca="false">IF(O15="y",D15,0)</f>
        <v>0</v>
      </c>
      <c r="BS15" s="1567" t="n">
        <f aca="false">IF($I15=1,$Q15,0)*BQ15</f>
        <v>0</v>
      </c>
      <c r="BT15" s="1536" t="n">
        <f aca="false">IF($I15=2,$Q15,0)*BQ15</f>
        <v>0</v>
      </c>
      <c r="BU15" s="1536" t="n">
        <f aca="false">IF($I15=3,$Q15,0)*BQ15</f>
        <v>0</v>
      </c>
      <c r="BV15" s="1536" t="n">
        <f aca="false">IF($I15=4,$Q15,0)*BQ15</f>
        <v>0</v>
      </c>
      <c r="BW15" s="1536" t="n">
        <f aca="false">IF($I15=5,$Q15,0)*BQ15</f>
        <v>0</v>
      </c>
      <c r="BX15" s="1536" t="n">
        <f aca="false">IF($I15=6,$Q15,0)*$BQ15</f>
        <v>0</v>
      </c>
      <c r="BY15" s="1536" t="n">
        <f aca="false">IF($I15=7,$Q15,0)*$BQ15</f>
        <v>0</v>
      </c>
      <c r="BZ15" s="1536" t="n">
        <f aca="false">IF($I15=8,$Q15,0)*$BQ15</f>
        <v>0</v>
      </c>
      <c r="CA15" s="1536" t="n">
        <f aca="false">IF($I15=9,$Q15,0)*$BQ15</f>
        <v>0</v>
      </c>
      <c r="CB15" s="1568" t="n">
        <f aca="false">IF($I15=10,$Q15,0)*$BQ15</f>
        <v>0</v>
      </c>
      <c r="CC15" s="1538" t="n">
        <f aca="false">SUM(BS15:BX15)</f>
        <v>0</v>
      </c>
      <c r="CD15" s="1538" t="n">
        <f aca="false">IF(H15="N",0,D15)*BQ15</f>
        <v>0</v>
      </c>
      <c r="CE15" s="1538" t="n">
        <f aca="false">K15*BQ15</f>
        <v>0</v>
      </c>
      <c r="CF15" s="1542" t="n">
        <f aca="false">ROUND(IF(W15="",0,LOOKUP(W15,B$49:B$59,D$49:D$59)*X15/12),0)</f>
        <v>0</v>
      </c>
      <c r="CG15" s="1542" t="n">
        <f aca="false">ROUND(IF(Y15="",0,LOOKUP(Y15,B$49:B$59,D$49:D$59)*Z15/12),0)</f>
        <v>0</v>
      </c>
      <c r="CH15" s="1542" t="n">
        <f aca="false">ROUND(IF(AA15="",0,LOOKUP(AA15,B$49:B$59,D$49:D$59)*AB15/12),0)</f>
        <v>0</v>
      </c>
      <c r="CI15" s="1538" t="n">
        <f aca="false">D15*BQ15</f>
        <v>0</v>
      </c>
      <c r="CJ15" s="1538" t="n">
        <f aca="false">D15*J15/324*(1+K$73)*G15</f>
        <v>0</v>
      </c>
      <c r="CK15" s="1538" t="str">
        <f aca="false">IF(N15="","",N15)</f>
        <v/>
      </c>
      <c r="CL15" s="1538" t="n">
        <f aca="false">P15*BQ15</f>
        <v>0</v>
      </c>
      <c r="CM15" s="1543" t="n">
        <f aca="false">IF(BQ15=0,0,SUM(CN15:DE15)/BQ15)</f>
        <v>0</v>
      </c>
      <c r="CN15" s="656" t="n">
        <f aca="false">(BS15*Pricing!F$3+BT15*Pricing!G$3+BU15*Pricing!H$3+BV15*Pricing!I$3+BW15*Pricing!J$3+BX15*Pricing!K$3+BY15*Pricing!L$3+BZ15*Pricing!M$3+CA15*Pricing!N$3+CB15*Pricing!O$3)*IF(W$44="N",(1+Y$44),1)</f>
        <v>0</v>
      </c>
      <c r="CO15" s="656" t="n">
        <f aca="false">BN15*G$70*IF(W$44="n",1+Y$44,1)</f>
        <v>0</v>
      </c>
      <c r="CP15" s="1544" t="n">
        <f aca="false">C15*D15</f>
        <v>0</v>
      </c>
      <c r="CQ15" s="656" t="n">
        <f aca="false">IF(I$79=0,0,D15*(SUM(O$79:P$82)+O$85)/I$79*BQ15)</f>
        <v>0</v>
      </c>
      <c r="CR15" s="656" t="n">
        <f aca="false">IF(CF15="",0,CF15*E$83)+IF(CG15="",0,CG15*E$83)+IF(CH15="",0,CH15*E$83)</f>
        <v>0</v>
      </c>
      <c r="CS15" s="656"/>
      <c r="CT15" s="1545" t="n">
        <f aca="false">(U15/2000)*E$87</f>
        <v>0</v>
      </c>
      <c r="CU15" s="656" t="n">
        <f aca="false">IF(I$79=0,0,D15*(O$88)/I$79*BQ15)</f>
        <v>0</v>
      </c>
      <c r="CV15" s="656" t="n">
        <f aca="false">IF(D$42=0,0,SUM(O$91:P$94)/D$42*D15)*BQ15</f>
        <v>0</v>
      </c>
      <c r="CW15" s="656" t="n">
        <f aca="false">IF(D$42=0,0,SUM(Z$66:Z$97)/D$42*D15*BQ15)</f>
        <v>0</v>
      </c>
      <c r="CX15" s="656" t="n">
        <f aca="false">IF(D$42=0,0,SUM(O$96:P$101)/D$42*D15)*BQ15</f>
        <v>0</v>
      </c>
      <c r="CY15" s="656" t="n">
        <f aca="false">IF(D$42=0,0,SUM(O$103:O$109)/D$42)*D15*BQ15</f>
        <v>0</v>
      </c>
      <c r="CZ15" s="656" t="n">
        <f aca="false">IF(I$79=0,0,IF(I$79=0,0,SUM(Z$98:Z$109)/I$79*D15))</f>
        <v>0</v>
      </c>
      <c r="DA15" s="656" t="n">
        <f aca="false">IF(J$72&gt;0,J$72/D$42*D15*G15,CD15*(G$72*IF(W$44="n",(1+Y$44),1)))</f>
        <v>0</v>
      </c>
      <c r="DB15" s="656" t="n">
        <f aca="false">IF(CK15="",0,CK15*E$86)</f>
        <v>0</v>
      </c>
      <c r="DC15" s="656" t="n">
        <f aca="false">BP15*G$71*IF(W$44="Y",1,1+Y$44)</f>
        <v>0</v>
      </c>
      <c r="DD15" s="656" t="n">
        <f aca="false">CJ15*G$73*IF(W$44="Y",1,1+Y$44)</f>
        <v>0</v>
      </c>
      <c r="DE15" s="1546" t="e">
        <f aca="false">O$110/I$79*D15</f>
        <v>#DIV/0!</v>
      </c>
      <c r="DF15" s="654" t="n">
        <f aca="false">IF(W15=1,X15*$AS$49,0)+IF(W15=2,X15*$AS$50,0)+IF(W15=3,X15*$AS$51,0)+IF(W15=4,X15*$AS$52,0)+IF(W15=5,X15*$AS$53,0)+IF(W15=6,X15*$AS$54)+IF(W15=7,X15*$AS$55)+IF(W15=8,X15*$AS$56)+IF(W15=9,X15*$AS$57)+IF(W15=10,X15*$AS$58)+IF(W15=11,X15*$AS$59,0)</f>
        <v>0</v>
      </c>
      <c r="DG15" s="654" t="n">
        <f aca="false">IF(Y15=1,Z15*$AS$49,0)+IF(Y15=2,Z15*$AS$50,0)+IF(Y15=3,Z15*$AS$51,0)+IF(Y15=4,Z15*$AS$52,0)+IF(Y15=5,Z15*$AS$53,0)+IF(Y15=6,Z15*$AS$54)+IF(Y15=7,Z15*$AS$55)+IF(Y15=8,Z15*$AS$56)+IF(Y15=9,Z15*$AS$57)+IF(Y15=10,Z15*$AS$58)+IF(Y15=11,Z15*$AS$59,0)</f>
        <v>0</v>
      </c>
      <c r="DH15" s="654" t="n">
        <f aca="false">IF(AA15=1,AB15*$AS$49,0)+IF(AA15=2,AB15*$AS$50,0)+IF(AA15=3,AB15*$AS$51,0)+IF(AA15=4,AB15*$AS$52,0)+IF(AA15=5,AB15*$AS$53,0)+IF(AA15=6,AB15*$AS$54)+IF(AA15=7,AB15*$AS$55)+IF(AA15=8,AB15*$AS$56)+IF(AA15=9,AB15*$AS$57)+IF(AA15=10,AB15*$AS$58)+IF(AA15=11,AB15*$AS$59,0)</f>
        <v>0</v>
      </c>
      <c r="DI15" s="654" t="n">
        <f aca="false">IF(AC15=1,AD15*$AS$49,0)+IF(AC15=2,AD15*$AS$50,0)+IF(AC15=3,AD15*$AS$51,0)+IF(AC15=4,AD15*$AS$52,0)+IF(AC15=5,AD15*$AS$53,0)+IF(AC15=6,AD15*$AS$54)+IF(AC15=7,AD15*$AS$55)+IF(AC15=8,AD15*$AS$56)+IF(AC15=9,AD15*$AS$57)+IF(AC15=10,AD15*$AS$58)+IF(AC15=11,AD15*$AS$59,0)</f>
        <v>0</v>
      </c>
      <c r="DJ15" s="654" t="n">
        <f aca="false">IF(AE15=1,AF15*$AS$49,0)+IF(AE15=2,AF15*$AS$50,0)+IF(AE15=3,AF15*$AS$51,0)+IF(AE15=4,AF15*$AS$52,0)+IF(AE15=5,AF15*$AS$53,0)+IF(AE15=6,AF15*$AS$54)+IF(AE15=7,AF15*$AS$55)+IF(AE15=8,AF15*$AS$56)+IF(AE15=9,AF15*$AS$57)+IF(AE15=10,AF15*$AS$58)+IF(AE15=11,AF15*$AS$59,0)</f>
        <v>0</v>
      </c>
      <c r="DK15" s="654" t="n">
        <f aca="false">IF(AG15=1,AH15*$AS$49,0)+IF(AG15=2,AH15*$AS$50,0)+IF(AG15=3,AH15*$AS$51,0)+IF(AG15=4,AH15*$AS$52,0)+IF(AG15=5,AH15*$AS$53,0)+IF(AG15=6,AH15*$AS$54)+IF(AG15=7,AH15*$AS$55)+IF(AG15=8,AH15*$AS$56)+IF(AG15=9,AH15*$AS$57)+IF(AG15=10,AH15*$AS$58)+IF(AG15=11,AH15*$AS$59,0)</f>
        <v>0</v>
      </c>
      <c r="DL15" s="654" t="n">
        <f aca="false">IF(AI15=1,AJ15*$AS$49,0)+IF(AI15=2,AJ15*$AS$50,0)+IF(AI15=3,AJ15*$AS$51,0)+IF(AI15=4,AJ15*$AS$52,0)+IF(AI15=5,AJ15*$AS$53,0)+IF(AI15=6,AJ15*$AS$54)+IF(AI15=7,AJ15*$AS$55)+IF(AI15=8,AJ15*$AS$56)+IF(AI15=9,AJ15*$AS$57)+IF(AI15=10,AJ15*$AS$58)+IF(AI15=11,AJ15*$AS$59,0)</f>
        <v>0</v>
      </c>
      <c r="DM15" s="654" t="n">
        <f aca="false">IF(AK15=1,AL15*$AS$49,0)+IF(AK15=2,AL15*$AS$50,0)+IF(AK15=3,AL15*$AS$51,0)+IF(AK15=4,AL15*$AS$52,0)+IF(AK15=5,AL15*$AS$53,0)+IF(AK15=6,AL15*$AS$54)+IF(AK15=7,AL15*$AS$55)+IF(AK15=8,AL15*$AS$56)+IF(AK15=9,AL15*$AS$57)+IF(AK15=10,AL15*$AS$58)+IF(AK15=11,AL15*$AS$59,0)</f>
        <v>0</v>
      </c>
      <c r="DN15" s="654" t="n">
        <f aca="false">IF(AM15=1,AN15*$AS$49,0)+IF(AM15=2,AN15*$AS$50,0)+IF(AM15=3,AN15*$AS$51,0)+IF(AM15=4,AN15*$AS$52,0)+IF(AM15=5,AN15*$AS$53,0)+IF(AM15=6,AN15*$AS$54)+IF(AM15=7,AN15*$AS$55)+IF(AM15=8,AN15*$AS$56)+IF(AM15=9,AN15*$AS$57)+IF(AM15=10,AN15*$AS$58)+IF(AM15=11,AN15*$AS$59,0)</f>
        <v>0</v>
      </c>
      <c r="DO15" s="654" t="n">
        <f aca="false">IF(AO15=1,AP15*$AS$49,0)+IF(AO15=2,AP15*$AS$50,0)+IF(AO15=3,AP15*$AS$51,0)+IF(AO15=4,AP15*$AS$52,0)+IF(AO15=5,AP15*$AS$53,0)+IF(AO15=6,AP15*$AS$54)+IF(AO15=7,AP15*$AS$55)+IF(AO15=8,AP15*$AS$56)+IF(AO15=9,AP15*$AS$57)+IF(AO15=10,AP15*$AS$58)+IF(AO15=11,AP15*$AS$59,0)</f>
        <v>0</v>
      </c>
      <c r="DP15" s="1569" t="n">
        <f aca="false">D15</f>
        <v>0</v>
      </c>
    </row>
    <row r="16" customFormat="false" ht="18" hidden="false" customHeight="true" outlineLevel="0" collapsed="false">
      <c r="A16" s="16" t="s">
        <v>1074</v>
      </c>
      <c r="B16" s="920"/>
      <c r="C16" s="1506"/>
      <c r="D16" s="1863"/>
      <c r="E16" s="1864"/>
      <c r="F16" s="1074"/>
      <c r="G16" s="1553"/>
      <c r="H16" s="1074"/>
      <c r="I16" s="1553"/>
      <c r="J16" s="1074"/>
      <c r="K16" s="1554"/>
      <c r="L16" s="528"/>
      <c r="M16" s="895"/>
      <c r="N16" s="1513"/>
      <c r="O16" s="1514"/>
      <c r="P16" s="1515" t="n">
        <f aca="false">IF(BQ16=0,0,BN16/BQ16)</f>
        <v>0</v>
      </c>
      <c r="Q16" s="1516" t="n">
        <f aca="false">(D16*F16/324)*(1+K$65)+BB16</f>
        <v>0</v>
      </c>
      <c r="R16" s="1517" t="n">
        <f aca="false">IF(D16=0,0,S16/D16)</f>
        <v>0</v>
      </c>
      <c r="S16" s="1518" t="e">
        <f aca="false">SUM(CM16-DE16)*(1+M$45)</f>
        <v>#DIV/0!</v>
      </c>
      <c r="T16" s="1519" t="n">
        <f aca="false">CF16+CG16+CH16</f>
        <v>0</v>
      </c>
      <c r="U16" s="1520" t="n">
        <f aca="false">IF(P16-(D16*0.35)&lt;0,0,P16-(D16*0.35))</f>
        <v>0</v>
      </c>
      <c r="V16" s="1521" t="n">
        <f aca="false">IF(D16="",0,IF(D16/-30+Q16&lt;1,0,D16/-30+Q16))</f>
        <v>0</v>
      </c>
      <c r="W16" s="528"/>
      <c r="X16" s="1526"/>
      <c r="Y16" s="1511"/>
      <c r="Z16" s="1524"/>
      <c r="AA16" s="1511"/>
      <c r="AB16" s="1524"/>
      <c r="AC16" s="1585"/>
      <c r="AD16" s="1526"/>
      <c r="AE16" s="528"/>
      <c r="AF16" s="1527"/>
      <c r="AG16" s="1531"/>
      <c r="AH16" s="1527"/>
      <c r="AI16" s="1859"/>
      <c r="AJ16" s="1530"/>
      <c r="AK16" s="1531"/>
      <c r="AL16" s="1527"/>
      <c r="AM16" s="1511"/>
      <c r="AN16" s="1532"/>
      <c r="AO16" s="1511"/>
      <c r="AP16" s="1524"/>
      <c r="AQ16" s="654"/>
      <c r="AR16" s="1533" t="str">
        <f aca="false">IF(W16="","",LOOKUP(W16,$B$49:$B$59,$R$49:$R$59)*X16)</f>
        <v/>
      </c>
      <c r="AS16" s="1430" t="str">
        <f aca="false">IF(Y16="","",LOOKUP(Y16,$B$49:$B$59,$R$49:$R$59)*Z16)</f>
        <v/>
      </c>
      <c r="AT16" s="1430" t="str">
        <f aca="false">IF(AB16="","",LOOKUP(AA16,$B$49:$B$59,$R$49:$R$59)*AB16)</f>
        <v/>
      </c>
      <c r="AU16" s="1430" t="str">
        <f aca="false">IF(AC16="","",LOOKUP(AC16,$B$49:$B$59,$R$49:$R$59)*AD16)</f>
        <v/>
      </c>
      <c r="AV16" s="1430" t="str">
        <f aca="false">IF(AE16="","",LOOKUP(AE16,$B$49:$B$59,$R$49:$R$59)*AF16)</f>
        <v/>
      </c>
      <c r="AW16" s="1430" t="str">
        <f aca="false">IF(AG16="","",LOOKUP(AG16,$B$49:$B$59,$R$49:$R$59)*AH16)</f>
        <v/>
      </c>
      <c r="AX16" s="1430" t="str">
        <f aca="false">IF(AI16="","",LOOKUP(AI16,$B$49:$B$59,$R$49:$R$59)*AJ16)</f>
        <v/>
      </c>
      <c r="AY16" s="1430" t="str">
        <f aca="false">IF(AK16="","",LOOKUP(AK16,$B$49:$B$59,$R$49:$R$59)*AL16)</f>
        <v/>
      </c>
      <c r="AZ16" s="1430" t="str">
        <f aca="false">IF(AM16="","",LOOKUP(AM16,$B$49:$B$59,$R$49:$R$59)*AN16)</f>
        <v/>
      </c>
      <c r="BA16" s="1430" t="str">
        <f aca="false">IF(AO16="","",LOOKUP(AO16,$B$49:$B$59,$R$49:$R$59)*AP16)</f>
        <v/>
      </c>
      <c r="BB16" s="1535" t="n">
        <f aca="false">SUM(AR16:BA16)</f>
        <v>0</v>
      </c>
      <c r="BC16" s="1533" t="str">
        <f aca="false">IF(W16="","",LOOKUP(W16,$B$49:$B$59,$P$49:$P$59)*X16)</f>
        <v/>
      </c>
      <c r="BD16" s="1430" t="str">
        <f aca="false">IF(Y16="","",LOOKUP(Y16,$B$49:$B$59,$P$49:$P$59)*Z16)</f>
        <v/>
      </c>
      <c r="BE16" s="1430" t="str">
        <f aca="false">IF(AA16="","",LOOKUP(AA16,$B$49:$B$59,$P$49:$P$59)*AB16)</f>
        <v/>
      </c>
      <c r="BF16" s="1430" t="str">
        <f aca="false">IF(AC16="","",LOOKUP(AC16,$B$49:$B$59,$P$49:$P$59)*AD16)</f>
        <v/>
      </c>
      <c r="BG16" s="1430" t="str">
        <f aca="false">IF(AE16="","",LOOKUP(AE16,$B$49:$B$59,$P$49:$P$59)*AF16)</f>
        <v/>
      </c>
      <c r="BH16" s="1430" t="str">
        <f aca="false">IF(AG16="","",LOOKUP(AG16,$B$49:$B$59,$P$49:$P$59)*AH16)</f>
        <v/>
      </c>
      <c r="BI16" s="1430" t="str">
        <f aca="false">IF(AI16="","",LOOKUP(AI16,$B$49:$B$59,$P$49:$P$59)*AJ16)</f>
        <v/>
      </c>
      <c r="BJ16" s="1430" t="str">
        <f aca="false">IF(AK16="","",LOOKUP(AK16,$B$49:$B$59,$P$49:$P$59)*AL16)</f>
        <v/>
      </c>
      <c r="BK16" s="1430" t="str">
        <f aca="false">IF(AM16="","",LOOKUP(AM16,$B$49:$B$59,$P$49:$P$59)*AN16)</f>
        <v/>
      </c>
      <c r="BL16" s="1430" t="str">
        <f aca="false">IF(AO16="","",LOOKUP(AO16,$B$49:$B$59,$P$49:$P$59)*AP16)</f>
        <v/>
      </c>
      <c r="BM16" s="1535" t="n">
        <f aca="false">SUM(BC16:BL16)*BQ16</f>
        <v>0</v>
      </c>
      <c r="BN16" s="1536" t="n">
        <f aca="false">BM16+BO16</f>
        <v>0</v>
      </c>
      <c r="BO16" s="1536" t="n">
        <f aca="false">IF(M16=0,0,(M16/12+M16/12)/(M16/12*M16/12)*D16*((L16/16*L16/16)*10.6870159))*(1+K$70)*BQ16</f>
        <v>0</v>
      </c>
      <c r="BP16" s="1536" t="n">
        <f aca="false">IF(O16="Y",D16*(1+K$71)*BQ16,0)</f>
        <v>0</v>
      </c>
      <c r="BQ16" s="1538" t="n">
        <f aca="false">G16</f>
        <v>0</v>
      </c>
      <c r="BR16" s="1411" t="n">
        <f aca="false">IF(O16="y",D16,0)</f>
        <v>0</v>
      </c>
      <c r="BS16" s="1567" t="n">
        <f aca="false">IF($I16=1,$Q16,0)*BQ16</f>
        <v>0</v>
      </c>
      <c r="BT16" s="1536" t="n">
        <f aca="false">IF($I16=2,$Q16,0)*BQ16</f>
        <v>0</v>
      </c>
      <c r="BU16" s="1536" t="n">
        <f aca="false">IF($I16=3,$Q16,0)*BQ16</f>
        <v>0</v>
      </c>
      <c r="BV16" s="1536" t="n">
        <f aca="false">IF($I16=4,$Q16,0)*BQ16</f>
        <v>0</v>
      </c>
      <c r="BW16" s="1536" t="n">
        <f aca="false">IF($I16=5,$Q16,0)*BQ16</f>
        <v>0</v>
      </c>
      <c r="BX16" s="1536" t="n">
        <f aca="false">IF($I16=6,$Q16,0)*$BQ16</f>
        <v>0</v>
      </c>
      <c r="BY16" s="1536" t="n">
        <f aca="false">IF($I16=7,$Q16,0)*$BQ16</f>
        <v>0</v>
      </c>
      <c r="BZ16" s="1536" t="n">
        <f aca="false">IF($I16=8,$Q16,0)*$BQ16</f>
        <v>0</v>
      </c>
      <c r="CA16" s="1536" t="n">
        <f aca="false">IF($I16=9,$Q16,0)*$BQ16</f>
        <v>0</v>
      </c>
      <c r="CB16" s="1568" t="n">
        <f aca="false">IF($I16=10,$Q16,0)*$BQ16</f>
        <v>0</v>
      </c>
      <c r="CC16" s="1538" t="n">
        <f aca="false">SUM(BS16:BX16)</f>
        <v>0</v>
      </c>
      <c r="CD16" s="1538" t="n">
        <f aca="false">IF(H16="N",0,D16)*BQ16</f>
        <v>0</v>
      </c>
      <c r="CE16" s="1538" t="n">
        <f aca="false">K16*BQ16</f>
        <v>0</v>
      </c>
      <c r="CF16" s="1542" t="n">
        <f aca="false">ROUND(IF(W16="",0,LOOKUP(W16,B$49:B$59,D$49:D$59)*X16/12),0)</f>
        <v>0</v>
      </c>
      <c r="CG16" s="1542" t="n">
        <f aca="false">ROUND(IF(Y16="",0,LOOKUP(Y16,B$49:B$59,D$49:D$59)*Z16/12),0)</f>
        <v>0</v>
      </c>
      <c r="CH16" s="1542" t="n">
        <f aca="false">ROUND(IF(AA16="",0,LOOKUP(AA16,B$49:B$59,D$49:D$59)*AB16/12),0)</f>
        <v>0</v>
      </c>
      <c r="CI16" s="1538" t="n">
        <f aca="false">D16*BQ16</f>
        <v>0</v>
      </c>
      <c r="CJ16" s="1538" t="n">
        <f aca="false">D16*J16/324*(1+K$73)*G16</f>
        <v>0</v>
      </c>
      <c r="CK16" s="1538" t="str">
        <f aca="false">IF(N16="","",N16)</f>
        <v/>
      </c>
      <c r="CL16" s="1538" t="n">
        <f aca="false">P16*BQ16</f>
        <v>0</v>
      </c>
      <c r="CM16" s="1543" t="n">
        <f aca="false">IF(BQ16=0,0,SUM(CN16:DE16)/BQ16)</f>
        <v>0</v>
      </c>
      <c r="CN16" s="656" t="n">
        <f aca="false">(BS16*Pricing!F$3+BT16*Pricing!G$3+BU16*Pricing!H$3+BV16*Pricing!I$3+BW16*Pricing!J$3+BX16*Pricing!K$3+BY16*Pricing!L$3+BZ16*Pricing!M$3+CA16*Pricing!N$3+CB16*Pricing!O$3)*IF(W$44="N",(1+Y$44),1)</f>
        <v>0</v>
      </c>
      <c r="CO16" s="656" t="n">
        <f aca="false">BN16*G$70*IF(W$44="n",1+Y$44,1)</f>
        <v>0</v>
      </c>
      <c r="CP16" s="1544" t="n">
        <f aca="false">C16*D16</f>
        <v>0</v>
      </c>
      <c r="CQ16" s="656" t="n">
        <f aca="false">IF(I$79=0,0,D16*(SUM(O$79:P$82)+O$85)/I$79*BQ16)</f>
        <v>0</v>
      </c>
      <c r="CR16" s="656" t="n">
        <f aca="false">IF(CF16="",0,CF16*E$83)+IF(CG16="",0,CG16*E$83)+IF(CH16="",0,CH16*E$83)</f>
        <v>0</v>
      </c>
      <c r="CS16" s="656"/>
      <c r="CT16" s="1545" t="n">
        <f aca="false">(U16/2000)*E$87</f>
        <v>0</v>
      </c>
      <c r="CU16" s="656" t="n">
        <f aca="false">IF(I$79=0,0,D16*(O$88)/I$79*BQ16)</f>
        <v>0</v>
      </c>
      <c r="CV16" s="656" t="n">
        <f aca="false">IF(D$42=0,0,SUM(O$91:P$94)/D$42*D16)*BQ16</f>
        <v>0</v>
      </c>
      <c r="CW16" s="656" t="n">
        <f aca="false">IF(D$42=0,0,SUM(Z$66:Z$97)/D$42*D16*BQ16)</f>
        <v>0</v>
      </c>
      <c r="CX16" s="656" t="n">
        <f aca="false">IF(D$42=0,0,SUM(O$96:P$101)/D$42*D16)*BQ16</f>
        <v>0</v>
      </c>
      <c r="CY16" s="656" t="n">
        <f aca="false">IF(D$42=0,0,SUM(O$103:O$109)/D$42)*D16*BQ16</f>
        <v>0</v>
      </c>
      <c r="CZ16" s="656" t="n">
        <f aca="false">IF(I$79=0,0,IF(I$79=0,0,SUM(Z$98:Z$109)/I$79*D16))</f>
        <v>0</v>
      </c>
      <c r="DA16" s="656" t="n">
        <f aca="false">IF(J$72&gt;0,J$72/D$42*D16*G16,CD16*(G$72*IF(W$44="n",(1+Y$44),1)))</f>
        <v>0</v>
      </c>
      <c r="DB16" s="656" t="n">
        <f aca="false">IF(CK16="",0,CK16*E$86)</f>
        <v>0</v>
      </c>
      <c r="DC16" s="656" t="n">
        <f aca="false">BP16*G$71*IF(W$44="Y",1,1+Y$44)</f>
        <v>0</v>
      </c>
      <c r="DD16" s="656" t="n">
        <f aca="false">CJ16*G$73*IF(W$44="Y",1,1+Y$44)</f>
        <v>0</v>
      </c>
      <c r="DE16" s="1546" t="e">
        <f aca="false">O$110/I$79*D16</f>
        <v>#DIV/0!</v>
      </c>
      <c r="DF16" s="654" t="n">
        <f aca="false">IF(W16=1,X16*$AS$49,0)+IF(W16=2,X16*$AS$50,0)+IF(W16=3,X16*$AS$51,0)+IF(W16=4,X16*$AS$52,0)+IF(W16=5,X16*$AS$53,0)+IF(W16=6,X16*$AS$54)+IF(W16=7,X16*$AS$55)+IF(W16=8,X16*$AS$56)+IF(W16=9,X16*$AS$57)+IF(W16=10,X16*$AS$58)+IF(W16=11,X16*$AS$59,0)</f>
        <v>0</v>
      </c>
      <c r="DG16" s="654" t="n">
        <f aca="false">IF(Y16=1,Z16*$AS$49,0)+IF(Y16=2,Z16*$AS$50,0)+IF(Y16=3,Z16*$AS$51,0)+IF(Y16=4,Z16*$AS$52,0)+IF(Y16=5,Z16*$AS$53,0)+IF(Y16=6,Z16*$AS$54)+IF(Y16=7,Z16*$AS$55)+IF(Y16=8,Z16*$AS$56)+IF(Y16=9,Z16*$AS$57)+IF(Y16=10,Z16*$AS$58)+IF(Y16=11,Z16*$AS$59,0)</f>
        <v>0</v>
      </c>
      <c r="DH16" s="654" t="n">
        <f aca="false">IF(AA16=1,AB16*$AS$49,0)+IF(AA16=2,AB16*$AS$50,0)+IF(AA16=3,AB16*$AS$51,0)+IF(AA16=4,AB16*$AS$52,0)+IF(AA16=5,AB16*$AS$53,0)+IF(AA16=6,AB16*$AS$54)+IF(AA16=7,AB16*$AS$55)+IF(AA16=8,AB16*$AS$56)+IF(AA16=9,AB16*$AS$57)+IF(AA16=10,AB16*$AS$58)+IF(AA16=11,AB16*$AS$59,0)</f>
        <v>0</v>
      </c>
      <c r="DI16" s="654" t="n">
        <f aca="false">IF(AC16=1,AD16*$AS$49,0)+IF(AC16=2,AD16*$AS$50,0)+IF(AC16=3,AD16*$AS$51,0)+IF(AC16=4,AD16*$AS$52,0)+IF(AC16=5,AD16*$AS$53,0)+IF(AC16=6,AD16*$AS$54)+IF(AC16=7,AD16*$AS$55)+IF(AC16=8,AD16*$AS$56)+IF(AC16=9,AD16*$AS$57)+IF(AC16=10,AD16*$AS$58)+IF(AC16=11,AD16*$AS$59,0)</f>
        <v>0</v>
      </c>
      <c r="DJ16" s="654" t="n">
        <f aca="false">IF(AE16=1,AF16*$AS$49,0)+IF(AE16=2,AF16*$AS$50,0)+IF(AE16=3,AF16*$AS$51,0)+IF(AE16=4,AF16*$AS$52,0)+IF(AE16=5,AF16*$AS$53,0)+IF(AE16=6,AF16*$AS$54)+IF(AE16=7,AF16*$AS$55)+IF(AE16=8,AF16*$AS$56)+IF(AE16=9,AF16*$AS$57)+IF(AE16=10,AF16*$AS$58)+IF(AE16=11,AF16*$AS$59,0)</f>
        <v>0</v>
      </c>
      <c r="DK16" s="654" t="n">
        <f aca="false">IF(AG16=1,AH16*$AS$49,0)+IF(AG16=2,AH16*$AS$50,0)+IF(AG16=3,AH16*$AS$51,0)+IF(AG16=4,AH16*$AS$52,0)+IF(AG16=5,AH16*$AS$53,0)+IF(AG16=6,AH16*$AS$54)+IF(AG16=7,AH16*$AS$55)+IF(AG16=8,AH16*$AS$56)+IF(AG16=9,AH16*$AS$57)+IF(AG16=10,AH16*$AS$58)+IF(AG16=11,AH16*$AS$59,0)</f>
        <v>0</v>
      </c>
      <c r="DL16" s="654" t="n">
        <f aca="false">IF(AI16=1,AJ16*$AS$49,0)+IF(AI16=2,AJ16*$AS$50,0)+IF(AI16=3,AJ16*$AS$51,0)+IF(AI16=4,AJ16*$AS$52,0)+IF(AI16=5,AJ16*$AS$53,0)+IF(AI16=6,AJ16*$AS$54)+IF(AI16=7,AJ16*$AS$55)+IF(AI16=8,AJ16*$AS$56)+IF(AI16=9,AJ16*$AS$57)+IF(AI16=10,AJ16*$AS$58)+IF(AI16=11,AJ16*$AS$59,0)</f>
        <v>0</v>
      </c>
      <c r="DM16" s="654" t="n">
        <f aca="false">IF(AK16=1,AL16*$AS$49,0)+IF(AK16=2,AL16*$AS$50,0)+IF(AK16=3,AL16*$AS$51,0)+IF(AK16=4,AL16*$AS$52,0)+IF(AK16=5,AL16*$AS$53,0)+IF(AK16=6,AL16*$AS$54)+IF(AK16=7,AL16*$AS$55)+IF(AK16=8,AL16*$AS$56)+IF(AK16=9,AL16*$AS$57)+IF(AK16=10,AL16*$AS$58)+IF(AK16=11,AL16*$AS$59,0)</f>
        <v>0</v>
      </c>
      <c r="DN16" s="654" t="n">
        <f aca="false">IF(AM16=1,AN16*$AS$49,0)+IF(AM16=2,AN16*$AS$50,0)+IF(AM16=3,AN16*$AS$51,0)+IF(AM16=4,AN16*$AS$52,0)+IF(AM16=5,AN16*$AS$53,0)+IF(AM16=6,AN16*$AS$54)+IF(AM16=7,AN16*$AS$55)+IF(AM16=8,AN16*$AS$56)+IF(AM16=9,AN16*$AS$57)+IF(AM16=10,AN16*$AS$58)+IF(AM16=11,AN16*$AS$59,0)</f>
        <v>0</v>
      </c>
      <c r="DO16" s="654" t="n">
        <f aca="false">IF(AO16=1,AP16*$AS$49,0)+IF(AO16=2,AP16*$AS$50,0)+IF(AO16=3,AP16*$AS$51,0)+IF(AO16=4,AP16*$AS$52,0)+IF(AO16=5,AP16*$AS$53,0)+IF(AO16=6,AP16*$AS$54)+IF(AO16=7,AP16*$AS$55)+IF(AO16=8,AP16*$AS$56)+IF(AO16=9,AP16*$AS$57)+IF(AO16=10,AP16*$AS$58)+IF(AO16=11,AP16*$AS$59,0)</f>
        <v>0</v>
      </c>
      <c r="DP16" s="1569" t="n">
        <f aca="false">D16</f>
        <v>0</v>
      </c>
    </row>
    <row r="17" customFormat="false" ht="19.5" hidden="false" customHeight="true" outlineLevel="0" collapsed="false">
      <c r="A17" s="16" t="s">
        <v>1075</v>
      </c>
      <c r="B17" s="1549"/>
      <c r="C17" s="1550"/>
      <c r="D17" s="1551"/>
      <c r="E17" s="1552"/>
      <c r="F17" s="1074"/>
      <c r="G17" s="1553"/>
      <c r="H17" s="1074"/>
      <c r="I17" s="1553"/>
      <c r="J17" s="1074"/>
      <c r="K17" s="1554"/>
      <c r="L17" s="1559"/>
      <c r="M17" s="1556"/>
      <c r="N17" s="1557"/>
      <c r="O17" s="1558"/>
      <c r="P17" s="1515" t="n">
        <f aca="false">IF(BQ17=0,0,BN17/BQ17)</f>
        <v>0</v>
      </c>
      <c r="Q17" s="1516" t="n">
        <f aca="false">(D17*F17/324)*(1+K$65)+BB17</f>
        <v>0</v>
      </c>
      <c r="R17" s="1517" t="n">
        <f aca="false">IF(D17=0,0,S17/D17)</f>
        <v>0</v>
      </c>
      <c r="S17" s="1518" t="e">
        <f aca="false">SUM(CM17-DE17)*(1+M$45)</f>
        <v>#DIV/0!</v>
      </c>
      <c r="T17" s="1519" t="n">
        <f aca="false">CF17+CG17+CH17</f>
        <v>0</v>
      </c>
      <c r="U17" s="1520" t="n">
        <f aca="false">IF(P17-(D17*0.35)&lt;0,0,P17-(D17*0.35))</f>
        <v>0</v>
      </c>
      <c r="V17" s="1521" t="n">
        <f aca="false">IF(D17="",0,IF(D17/-30+Q17&lt;1,0,D17/-30+Q17))</f>
        <v>0</v>
      </c>
      <c r="W17" s="1559"/>
      <c r="X17" s="1560"/>
      <c r="Y17" s="1559"/>
      <c r="Z17" s="1561"/>
      <c r="AA17" s="1559"/>
      <c r="AB17" s="1561"/>
      <c r="AC17" s="1865"/>
      <c r="AD17" s="1560"/>
      <c r="AE17" s="1559"/>
      <c r="AF17" s="1563"/>
      <c r="AG17" s="1564"/>
      <c r="AH17" s="1563"/>
      <c r="AI17" s="1565"/>
      <c r="AJ17" s="1560"/>
      <c r="AK17" s="1565"/>
      <c r="AL17" s="1563"/>
      <c r="AM17" s="1559"/>
      <c r="AN17" s="1566"/>
      <c r="AO17" s="1559"/>
      <c r="AP17" s="1561"/>
      <c r="AQ17" s="654"/>
      <c r="AR17" s="1533" t="str">
        <f aca="false">IF(W17="","",LOOKUP(W17,$B$49:$B$59,$R$49:$R$59)*X17)</f>
        <v/>
      </c>
      <c r="AS17" s="1430" t="str">
        <f aca="false">IF(Y17="","",LOOKUP(Y17,$B$49:$B$59,$R$49:$R$59)*Z17)</f>
        <v/>
      </c>
      <c r="AT17" s="1430" t="str">
        <f aca="false">IF(AB17="","",LOOKUP(AA17,$B$49:$B$59,$R$49:$R$59)*AB17)</f>
        <v/>
      </c>
      <c r="AU17" s="1430" t="str">
        <f aca="false">IF(AC17="","",LOOKUP(AC17,$B$49:$B$59,$R$49:$R$59)*AD17)</f>
        <v/>
      </c>
      <c r="AV17" s="1430" t="str">
        <f aca="false">IF(AE17="","",LOOKUP(AE17,$B$49:$B$59,$R$49:$R$59)*AF17)</f>
        <v/>
      </c>
      <c r="AW17" s="1430" t="str">
        <f aca="false">IF(AG17="","",LOOKUP(AG17,$B$49:$B$59,$R$49:$R$59)*AH17)</f>
        <v/>
      </c>
      <c r="AX17" s="1430" t="str">
        <f aca="false">IF(AI17="","",LOOKUP(AI17,$B$49:$B$59,$R$49:$R$59)*AJ17)</f>
        <v/>
      </c>
      <c r="AY17" s="1430" t="str">
        <f aca="false">IF(AK17="","",LOOKUP(AK17,$B$49:$B$59,$R$49:$R$59)*AL17)</f>
        <v/>
      </c>
      <c r="AZ17" s="1430" t="str">
        <f aca="false">IF(AM17="","",LOOKUP(AM17,$B$49:$B$59,$R$49:$R$59)*AN17)</f>
        <v/>
      </c>
      <c r="BA17" s="1430" t="str">
        <f aca="false">IF(AO17="","",LOOKUP(AO17,$B$49:$B$59,$R$49:$R$59)*AP17)</f>
        <v/>
      </c>
      <c r="BB17" s="1535" t="n">
        <f aca="false">SUM(AR17:BA17)</f>
        <v>0</v>
      </c>
      <c r="BC17" s="1533" t="str">
        <f aca="false">IF(W17="","",LOOKUP(W17,$B$49:$B$59,$P$49:$P$59)*X17)</f>
        <v/>
      </c>
      <c r="BD17" s="1430" t="str">
        <f aca="false">IF(Y17="","",LOOKUP(Y17,$B$49:$B$59,$P$49:$P$59)*Z17)</f>
        <v/>
      </c>
      <c r="BE17" s="1430" t="str">
        <f aca="false">IF(AA17="","",LOOKUP(AA17,$B$49:$B$59,$P$49:$P$59)*AB17)</f>
        <v/>
      </c>
      <c r="BF17" s="1430" t="str">
        <f aca="false">IF(AC17="","",LOOKUP(AC17,$B$49:$B$59,$P$49:$P$59)*AD17)</f>
        <v/>
      </c>
      <c r="BG17" s="1430" t="str">
        <f aca="false">IF(AE17="","",LOOKUP(AE17,$B$49:$B$59,$P$49:$P$59)*AF17)</f>
        <v/>
      </c>
      <c r="BH17" s="1430" t="str">
        <f aca="false">IF(AG17="","",LOOKUP(AG17,$B$49:$B$59,$P$49:$P$59)*AH17)</f>
        <v/>
      </c>
      <c r="BI17" s="1430" t="str">
        <f aca="false">IF(AI17="","",LOOKUP(AI17,$B$49:$B$59,$P$49:$P$59)*AJ17)</f>
        <v/>
      </c>
      <c r="BJ17" s="1430" t="str">
        <f aca="false">IF(AK17="","",LOOKUP(AK17,$B$49:$B$59,$P$49:$P$59)*AL17)</f>
        <v/>
      </c>
      <c r="BK17" s="1430" t="str">
        <f aca="false">IF(AM17="","",LOOKUP(AM17,$B$49:$B$59,$P$49:$P$59)*AN17)</f>
        <v/>
      </c>
      <c r="BL17" s="1430" t="str">
        <f aca="false">IF(AO17="","",LOOKUP(AO17,$B$49:$B$59,$P$49:$P$59)*AP17)</f>
        <v/>
      </c>
      <c r="BM17" s="1535" t="n">
        <f aca="false">SUM(BC17:BL17)*BQ17</f>
        <v>0</v>
      </c>
      <c r="BN17" s="1536" t="n">
        <f aca="false">BM17+BO17</f>
        <v>0</v>
      </c>
      <c r="BO17" s="1536" t="n">
        <f aca="false">IF(M17=0,0,(M17/12+M17/12)/(M17/12*M17/12)*D17*((L17/16*L17/16)*10.6870159))*(1+K$70)*BQ17</f>
        <v>0</v>
      </c>
      <c r="BP17" s="1536" t="n">
        <f aca="false">IF(O17="Y",D17*(1+K$71)*BQ17,0)</f>
        <v>0</v>
      </c>
      <c r="BQ17" s="1538" t="n">
        <f aca="false">G17</f>
        <v>0</v>
      </c>
      <c r="BR17" s="1411" t="n">
        <f aca="false">IF(O17="y",D17,0)</f>
        <v>0</v>
      </c>
      <c r="BS17" s="1567" t="n">
        <f aca="false">IF($I17=1,$Q17,0)*BQ17</f>
        <v>0</v>
      </c>
      <c r="BT17" s="1536" t="n">
        <f aca="false">IF($I17=2,$Q17,0)*BQ17</f>
        <v>0</v>
      </c>
      <c r="BU17" s="1536" t="n">
        <f aca="false">IF($I17=3,$Q17,0)*BQ17</f>
        <v>0</v>
      </c>
      <c r="BV17" s="1536" t="n">
        <f aca="false">IF($I17=4,$Q17,0)*BQ17</f>
        <v>0</v>
      </c>
      <c r="BW17" s="1536" t="n">
        <f aca="false">IF($I17=5,$Q17,0)*BQ17</f>
        <v>0</v>
      </c>
      <c r="BX17" s="1536" t="n">
        <f aca="false">IF($I17=6,$Q17,0)*$BQ17</f>
        <v>0</v>
      </c>
      <c r="BY17" s="1536" t="n">
        <f aca="false">IF($I17=7,$Q17,0)*$BQ17</f>
        <v>0</v>
      </c>
      <c r="BZ17" s="1536" t="n">
        <f aca="false">IF($I17=8,$Q17,0)*$BQ17</f>
        <v>0</v>
      </c>
      <c r="CA17" s="1536" t="n">
        <f aca="false">IF($I17=9,$Q17,0)*$BQ17</f>
        <v>0</v>
      </c>
      <c r="CB17" s="1568" t="n">
        <f aca="false">IF($I17=10,$Q17,0)*$BQ17</f>
        <v>0</v>
      </c>
      <c r="CC17" s="1538" t="n">
        <f aca="false">SUM(BS17:BX17)</f>
        <v>0</v>
      </c>
      <c r="CD17" s="1538" t="n">
        <f aca="false">IF(H17="N",0,D17)*BQ17</f>
        <v>0</v>
      </c>
      <c r="CE17" s="1538" t="n">
        <f aca="false">K17*BQ17</f>
        <v>0</v>
      </c>
      <c r="CF17" s="1542" t="n">
        <f aca="false">ROUND(IF(W17="",0,LOOKUP(W17,B$49:B$59,D$49:D$59)*X17/12),0)</f>
        <v>0</v>
      </c>
      <c r="CG17" s="1542" t="n">
        <f aca="false">ROUND(IF(Y17="",0,LOOKUP(Y17,B$49:B$59,D$49:D$59)*Z17/12),0)</f>
        <v>0</v>
      </c>
      <c r="CH17" s="1542" t="n">
        <f aca="false">ROUND(IF(AA17="",0,LOOKUP(AA17,B$49:B$59,D$49:D$59)*AB17/12),0)</f>
        <v>0</v>
      </c>
      <c r="CI17" s="1538" t="n">
        <f aca="false">D17*BQ17</f>
        <v>0</v>
      </c>
      <c r="CJ17" s="1538" t="n">
        <f aca="false">D17*J17/324*(1+K$73)*G17</f>
        <v>0</v>
      </c>
      <c r="CK17" s="1538" t="str">
        <f aca="false">IF(N17="","",N17)</f>
        <v/>
      </c>
      <c r="CL17" s="1538" t="n">
        <f aca="false">P17*BQ17</f>
        <v>0</v>
      </c>
      <c r="CM17" s="1543" t="n">
        <f aca="false">IF(BQ17=0,0,SUM(CN17:DE17)/BQ17)</f>
        <v>0</v>
      </c>
      <c r="CN17" s="656" t="n">
        <f aca="false">(BS17*Pricing!F$3+BT17*Pricing!G$3+BU17*Pricing!H$3+BV17*Pricing!I$3+BW17*Pricing!J$3+BX17*Pricing!K$3+BY17*Pricing!L$3+BZ17*Pricing!M$3+CA17*Pricing!N$3+CB17*Pricing!O$3)*IF(W$44="N",(1+Y$44),1)</f>
        <v>0</v>
      </c>
      <c r="CO17" s="656" t="n">
        <f aca="false">BN17*G$70*IF(W$44="n",1+Y$44,1)</f>
        <v>0</v>
      </c>
      <c r="CP17" s="1544" t="n">
        <f aca="false">C17*D17</f>
        <v>0</v>
      </c>
      <c r="CQ17" s="656" t="n">
        <f aca="false">IF(I$79=0,0,D17*(SUM(O$79:P$82)+O$85)/I$79*BQ17)</f>
        <v>0</v>
      </c>
      <c r="CR17" s="656" t="n">
        <f aca="false">IF(CF17="",0,CF17*E$83)+IF(CG17="",0,CG17*E$83)+IF(CH17="",0,CH17*E$83)</f>
        <v>0</v>
      </c>
      <c r="CS17" s="656"/>
      <c r="CT17" s="1545" t="n">
        <f aca="false">(U17/2000)*E$87</f>
        <v>0</v>
      </c>
      <c r="CU17" s="656" t="n">
        <f aca="false">IF(I$79=0,0,D17*(O$88)/I$79*BQ17)</f>
        <v>0</v>
      </c>
      <c r="CV17" s="656" t="n">
        <f aca="false">IF(D$42=0,0,SUM(O$91:P$94)/D$42*D17)*BQ17</f>
        <v>0</v>
      </c>
      <c r="CW17" s="656" t="n">
        <f aca="false">IF(D$42=0,0,SUM(Z$66:Z$97)/D$42*D17*BQ17)</f>
        <v>0</v>
      </c>
      <c r="CX17" s="656" t="n">
        <f aca="false">IF(D$42=0,0,SUM(O$96:P$101)/D$42*D17)*BQ17</f>
        <v>0</v>
      </c>
      <c r="CY17" s="656" t="n">
        <f aca="false">IF(D$42=0,0,SUM(O$103:O$109)/D$42)*D17*BQ17</f>
        <v>0</v>
      </c>
      <c r="CZ17" s="656" t="n">
        <f aca="false">IF(I$79=0,0,IF(I$79=0,0,SUM(Z$98:Z$109)/I$79*D17))</f>
        <v>0</v>
      </c>
      <c r="DA17" s="656" t="n">
        <f aca="false">IF(J$72&gt;0,J$72/D$42*D17*G17,CD17*(G$72*IF(W$44="n",(1+Y$44),1)))</f>
        <v>0</v>
      </c>
      <c r="DB17" s="656" t="n">
        <f aca="false">IF(CK17="",0,CK17*E$86)</f>
        <v>0</v>
      </c>
      <c r="DC17" s="656" t="n">
        <f aca="false">BP17*G$71*IF(W$44="Y",1,1+Y$44)</f>
        <v>0</v>
      </c>
      <c r="DD17" s="656" t="n">
        <f aca="false">CJ17*G$73*IF(W$44="Y",1,1+Y$44)</f>
        <v>0</v>
      </c>
      <c r="DE17" s="1546" t="e">
        <f aca="false">O$110/I$79*D17</f>
        <v>#DIV/0!</v>
      </c>
      <c r="DF17" s="654" t="n">
        <f aca="false">IF(W17=1,X17*$AS$49,0)+IF(W17=2,X17*$AS$50,0)+IF(W17=3,X17*$AS$51,0)+IF(W17=4,X17*$AS$52,0)+IF(W17=5,X17*$AS$53,0)+IF(W17=6,X17*$AS$54)+IF(W17=7,X17*$AS$55)+IF(W17=8,X17*$AS$56)+IF(W17=9,X17*$AS$57)+IF(W17=10,X17*$AS$58)+IF(W17=11,X17*$AS$59,0)</f>
        <v>0</v>
      </c>
      <c r="DG17" s="654" t="n">
        <f aca="false">IF(Y17=1,Z17*$AS$49,0)+IF(Y17=2,Z17*$AS$50,0)+IF(Y17=3,Z17*$AS$51,0)+IF(Y17=4,Z17*$AS$52,0)+IF(Y17=5,Z17*$AS$53,0)+IF(Y17=6,Z17*$AS$54)+IF(Y17=7,Z17*$AS$55)+IF(Y17=8,Z17*$AS$56)+IF(Y17=9,Z17*$AS$57)+IF(Y17=10,Z17*$AS$58)+IF(Y17=11,Z17*$AS$59,0)</f>
        <v>0</v>
      </c>
      <c r="DH17" s="654" t="n">
        <f aca="false">IF(AA17=1,AB17*$AS$49,0)+IF(AA17=2,AB17*$AS$50,0)+IF(AA17=3,AB17*$AS$51,0)+IF(AA17=4,AB17*$AS$52,0)+IF(AA17=5,AB17*$AS$53,0)+IF(AA17=6,AB17*$AS$54)+IF(AA17=7,AB17*$AS$55)+IF(AA17=8,AB17*$AS$56)+IF(AA17=9,AB17*$AS$57)+IF(AA17=10,AB17*$AS$58)+IF(AA17=11,AB17*$AS$59,0)</f>
        <v>0</v>
      </c>
      <c r="DI17" s="654" t="n">
        <f aca="false">IF(AC17=1,AD17*$AS$49,0)+IF(AC17=2,AD17*$AS$50,0)+IF(AC17=3,AD17*$AS$51,0)+IF(AC17=4,AD17*$AS$52,0)+IF(AC17=5,AD17*$AS$53,0)+IF(AC17=6,AD17*$AS$54)+IF(AC17=7,AD17*$AS$55)+IF(AC17=8,AD17*$AS$56)+IF(AC17=9,AD17*$AS$57)+IF(AC17=10,AD17*$AS$58)+IF(AC17=11,AD17*$AS$59,0)</f>
        <v>0</v>
      </c>
      <c r="DJ17" s="654" t="n">
        <f aca="false">IF(AE17=1,AF17*$AS$49,0)+IF(AE17=2,AF17*$AS$50,0)+IF(AE17=3,AF17*$AS$51,0)+IF(AE17=4,AF17*$AS$52,0)+IF(AE17=5,AF17*$AS$53,0)+IF(AE17=6,AF17*$AS$54)+IF(AE17=7,AF17*$AS$55)+IF(AE17=8,AF17*$AS$56)+IF(AE17=9,AF17*$AS$57)+IF(AE17=10,AF17*$AS$58)+IF(AE17=11,AF17*$AS$59,0)</f>
        <v>0</v>
      </c>
      <c r="DK17" s="654" t="n">
        <f aca="false">IF(AG17=1,AH17*$AS$49,0)+IF(AG17=2,AH17*$AS$50,0)+IF(AG17=3,AH17*$AS$51,0)+IF(AG17=4,AH17*$AS$52,0)+IF(AG17=5,AH17*$AS$53,0)+IF(AG17=6,AH17*$AS$54)+IF(AG17=7,AH17*$AS$55)+IF(AG17=8,AH17*$AS$56)+IF(AG17=9,AH17*$AS$57)+IF(AG17=10,AH17*$AS$58)+IF(AG17=11,AH17*$AS$59,0)</f>
        <v>0</v>
      </c>
      <c r="DL17" s="654" t="n">
        <f aca="false">IF(AI17=1,AJ17*$AS$49,0)+IF(AI17=2,AJ17*$AS$50,0)+IF(AI17=3,AJ17*$AS$51,0)+IF(AI17=4,AJ17*$AS$52,0)+IF(AI17=5,AJ17*$AS$53,0)+IF(AI17=6,AJ17*$AS$54)+IF(AI17=7,AJ17*$AS$55)+IF(AI17=8,AJ17*$AS$56)+IF(AI17=9,AJ17*$AS$57)+IF(AI17=10,AJ17*$AS$58)+IF(AI17=11,AJ17*$AS$59,0)</f>
        <v>0</v>
      </c>
      <c r="DM17" s="654" t="n">
        <f aca="false">IF(AK17=1,AL17*$AS$49,0)+IF(AK17=2,AL17*$AS$50,0)+IF(AK17=3,AL17*$AS$51,0)+IF(AK17=4,AL17*$AS$52,0)+IF(AK17=5,AL17*$AS$53,0)+IF(AK17=6,AL17*$AS$54)+IF(AK17=7,AL17*$AS$55)+IF(AK17=8,AL17*$AS$56)+IF(AK17=9,AL17*$AS$57)+IF(AK17=10,AL17*$AS$58)+IF(AK17=11,AL17*$AS$59,0)</f>
        <v>0</v>
      </c>
      <c r="DN17" s="654" t="n">
        <f aca="false">IF(AM17=1,AN17*$AS$49,0)+IF(AM17=2,AN17*$AS$50,0)+IF(AM17=3,AN17*$AS$51,0)+IF(AM17=4,AN17*$AS$52,0)+IF(AM17=5,AN17*$AS$53,0)+IF(AM17=6,AN17*$AS$54)+IF(AM17=7,AN17*$AS$55)+IF(AM17=8,AN17*$AS$56)+IF(AM17=9,AN17*$AS$57)+IF(AM17=10,AN17*$AS$58)+IF(AM17=11,AN17*$AS$59,0)</f>
        <v>0</v>
      </c>
      <c r="DO17" s="654" t="n">
        <f aca="false">IF(AO17=1,AP17*$AS$49,0)+IF(AO17=2,AP17*$AS$50,0)+IF(AO17=3,AP17*$AS$51,0)+IF(AO17=4,AP17*$AS$52,0)+IF(AO17=5,AP17*$AS$53,0)+IF(AO17=6,AP17*$AS$54)+IF(AO17=7,AP17*$AS$55)+IF(AO17=8,AP17*$AS$56)+IF(AO17=9,AP17*$AS$57)+IF(AO17=10,AP17*$AS$58)+IF(AO17=11,AP17*$AS$59,0)</f>
        <v>0</v>
      </c>
      <c r="DP17" s="1569" t="n">
        <f aca="false">D17</f>
        <v>0</v>
      </c>
    </row>
    <row r="18" customFormat="false" ht="19.5" hidden="false" customHeight="true" outlineLevel="0" collapsed="false">
      <c r="A18" s="16" t="s">
        <v>1076</v>
      </c>
      <c r="B18" s="920"/>
      <c r="C18" s="1506"/>
      <c r="D18" s="1586"/>
      <c r="E18" s="1587"/>
      <c r="F18" s="1074"/>
      <c r="G18" s="1509"/>
      <c r="H18" s="1074"/>
      <c r="I18" s="1509"/>
      <c r="J18" s="1074"/>
      <c r="K18" s="1510"/>
      <c r="L18" s="528"/>
      <c r="M18" s="895"/>
      <c r="N18" s="1513"/>
      <c r="O18" s="1514"/>
      <c r="P18" s="1515" t="n">
        <f aca="false">IF(BQ18=0,0,BN18/BQ18)</f>
        <v>0</v>
      </c>
      <c r="Q18" s="1516" t="n">
        <f aca="false">(D18*F18/324)*(1+K$65)+BB18</f>
        <v>0</v>
      </c>
      <c r="R18" s="1517" t="n">
        <f aca="false">IF(D18=0,0,S18/D18)</f>
        <v>0</v>
      </c>
      <c r="S18" s="1518" t="e">
        <f aca="false">SUM(CM18-DE18)*(1+M$45)</f>
        <v>#DIV/0!</v>
      </c>
      <c r="T18" s="1519" t="n">
        <f aca="false">CF18+CG18+CH18</f>
        <v>0</v>
      </c>
      <c r="U18" s="1520" t="n">
        <f aca="false">IF(P18-(D18*0.35)&lt;0,0,P18-(D18*0.35))</f>
        <v>0</v>
      </c>
      <c r="V18" s="1521" t="n">
        <f aca="false">IF(D18="",0,IF(D18/-30+Q18&lt;1,0,D18/-30+Q18))</f>
        <v>0</v>
      </c>
      <c r="W18" s="528"/>
      <c r="X18" s="1526"/>
      <c r="Y18" s="528"/>
      <c r="Z18" s="1574"/>
      <c r="AA18" s="528"/>
      <c r="AB18" s="1574"/>
      <c r="AC18" s="1585"/>
      <c r="AD18" s="1526"/>
      <c r="AE18" s="528"/>
      <c r="AF18" s="1527"/>
      <c r="AG18" s="1531"/>
      <c r="AH18" s="1527"/>
      <c r="AI18" s="1859"/>
      <c r="AJ18" s="1530"/>
      <c r="AK18" s="1531"/>
      <c r="AL18" s="1527"/>
      <c r="AM18" s="528"/>
      <c r="AN18" s="1575"/>
      <c r="AO18" s="528"/>
      <c r="AP18" s="1574"/>
      <c r="AQ18" s="654"/>
      <c r="AR18" s="1533" t="str">
        <f aca="false">IF(W18="","",LOOKUP(W18,$B$49:$B$59,$R$49:$R$59)*X18)</f>
        <v/>
      </c>
      <c r="AS18" s="1430" t="str">
        <f aca="false">IF(Y18="","",LOOKUP(Y18,$B$49:$B$59,$R$49:$R$59)*Z18)</f>
        <v/>
      </c>
      <c r="AT18" s="1430" t="str">
        <f aca="false">IF(AB18="","",LOOKUP(AA18,$B$49:$B$59,$R$49:$R$59)*AB18)</f>
        <v/>
      </c>
      <c r="AU18" s="1430" t="str">
        <f aca="false">IF(AC18="","",LOOKUP(AC18,$B$49:$B$59,$R$49:$R$59)*AD18)</f>
        <v/>
      </c>
      <c r="AV18" s="1430" t="str">
        <f aca="false">IF(AE18="","",LOOKUP(AE18,$B$49:$B$59,$R$49:$R$59)*AF18)</f>
        <v/>
      </c>
      <c r="AW18" s="1430" t="str">
        <f aca="false">IF(AG18="","",LOOKUP(AG18,$B$49:$B$59,$R$49:$R$59)*AH18)</f>
        <v/>
      </c>
      <c r="AX18" s="1430" t="str">
        <f aca="false">IF(AI18="","",LOOKUP(AI18,$B$49:$B$59,$R$49:$R$59)*AJ18)</f>
        <v/>
      </c>
      <c r="AY18" s="1430" t="str">
        <f aca="false">IF(AK18="","",LOOKUP(AK18,$B$49:$B$59,$R$49:$R$59)*AL18)</f>
        <v/>
      </c>
      <c r="AZ18" s="1430" t="str">
        <f aca="false">IF(AM18="","",LOOKUP(AM18,$B$49:$B$59,$R$49:$R$59)*AN18)</f>
        <v/>
      </c>
      <c r="BA18" s="1430" t="str">
        <f aca="false">IF(AO18="","",LOOKUP(AO18,$B$49:$B$59,$R$49:$R$59)*AP18)</f>
        <v/>
      </c>
      <c r="BB18" s="1535" t="n">
        <f aca="false">SUM(AR18:BA18)</f>
        <v>0</v>
      </c>
      <c r="BC18" s="1533" t="str">
        <f aca="false">IF(W18="","",LOOKUP(W18,$B$49:$B$59,$P$49:$P$59)*X18)</f>
        <v/>
      </c>
      <c r="BD18" s="1430" t="str">
        <f aca="false">IF(Y18="","",LOOKUP(Y18,$B$49:$B$59,$P$49:$P$59)*Z18)</f>
        <v/>
      </c>
      <c r="BE18" s="1430" t="str">
        <f aca="false">IF(AA18="","",LOOKUP(AA18,$B$49:$B$59,$P$49:$P$59)*AB18)</f>
        <v/>
      </c>
      <c r="BF18" s="1430" t="str">
        <f aca="false">IF(AC18="","",LOOKUP(AC18,$B$49:$B$59,$P$49:$P$59)*AD18)</f>
        <v/>
      </c>
      <c r="BG18" s="1430" t="str">
        <f aca="false">IF(AE18="","",LOOKUP(AE18,$B$49:$B$59,$P$49:$P$59)*AF18)</f>
        <v/>
      </c>
      <c r="BH18" s="1430" t="str">
        <f aca="false">IF(AG18="","",LOOKUP(AG18,$B$49:$B$59,$P$49:$P$59)*AH18)</f>
        <v/>
      </c>
      <c r="BI18" s="1430" t="str">
        <f aca="false">IF(AI18="","",LOOKUP(AI18,$B$49:$B$59,$P$49:$P$59)*AJ18)</f>
        <v/>
      </c>
      <c r="BJ18" s="1430" t="str">
        <f aca="false">IF(AK18="","",LOOKUP(AK18,$B$49:$B$59,$P$49:$P$59)*AL18)</f>
        <v/>
      </c>
      <c r="BK18" s="1430" t="str">
        <f aca="false">IF(AM18="","",LOOKUP(AM18,$B$49:$B$59,$P$49:$P$59)*AN18)</f>
        <v/>
      </c>
      <c r="BL18" s="1430" t="str">
        <f aca="false">IF(AO18="","",LOOKUP(AO18,$B$49:$B$59,$P$49:$P$59)*AP18)</f>
        <v/>
      </c>
      <c r="BM18" s="1535" t="n">
        <f aca="false">SUM(BC18:BL18)*BQ18</f>
        <v>0</v>
      </c>
      <c r="BN18" s="1536" t="n">
        <f aca="false">BM18+BO18</f>
        <v>0</v>
      </c>
      <c r="BO18" s="1536" t="n">
        <f aca="false">IF(M18=0,0,(M18/12+M18/12)/(M18/12*M18/12)*D18*((L18/16*L18/16)*10.6870159))*(1+K$70)*BQ18</f>
        <v>0</v>
      </c>
      <c r="BP18" s="1536" t="n">
        <f aca="false">IF(O18="Y",D18*(1+K$71)*BQ18,0)</f>
        <v>0</v>
      </c>
      <c r="BQ18" s="1538" t="n">
        <f aca="false">G18</f>
        <v>0</v>
      </c>
      <c r="BR18" s="1411" t="n">
        <f aca="false">IF(O18="y",D18,0)</f>
        <v>0</v>
      </c>
      <c r="BS18" s="1567" t="n">
        <f aca="false">IF($I18=1,$Q18,0)*BQ18</f>
        <v>0</v>
      </c>
      <c r="BT18" s="1536" t="n">
        <f aca="false">IF($I18=2,$Q18,0)*BQ18</f>
        <v>0</v>
      </c>
      <c r="BU18" s="1536" t="n">
        <f aca="false">IF($I18=3,$Q18,0)*BQ18</f>
        <v>0</v>
      </c>
      <c r="BV18" s="1536" t="n">
        <f aca="false">IF($I18=4,$Q18,0)*BQ18</f>
        <v>0</v>
      </c>
      <c r="BW18" s="1536" t="n">
        <f aca="false">IF($I18=5,$Q18,0)*BQ18</f>
        <v>0</v>
      </c>
      <c r="BX18" s="1536" t="n">
        <f aca="false">IF($I18=6,$Q18,0)*$BQ18</f>
        <v>0</v>
      </c>
      <c r="BY18" s="1536" t="n">
        <f aca="false">IF($I18=7,$Q18,0)*$BQ18</f>
        <v>0</v>
      </c>
      <c r="BZ18" s="1536" t="n">
        <f aca="false">IF($I18=8,$Q18,0)*$BQ18</f>
        <v>0</v>
      </c>
      <c r="CA18" s="1536" t="n">
        <f aca="false">IF($I18=9,$Q18,0)*$BQ18</f>
        <v>0</v>
      </c>
      <c r="CB18" s="1568" t="n">
        <f aca="false">IF($I18=10,$Q18,0)*$BQ18</f>
        <v>0</v>
      </c>
      <c r="CC18" s="1538" t="n">
        <f aca="false">SUM(BS18:BX18)</f>
        <v>0</v>
      </c>
      <c r="CD18" s="1538" t="n">
        <f aca="false">IF(H18="N",0,D18)*BQ18</f>
        <v>0</v>
      </c>
      <c r="CE18" s="1538" t="n">
        <f aca="false">K18*BQ18</f>
        <v>0</v>
      </c>
      <c r="CF18" s="1542" t="n">
        <f aca="false">ROUND(IF(W18="",0,LOOKUP(W18,B$49:B$59,D$49:D$59)*X18/12),0)</f>
        <v>0</v>
      </c>
      <c r="CG18" s="1542" t="n">
        <f aca="false">ROUND(IF(Y18="",0,LOOKUP(Y18,B$49:B$59,D$49:D$59)*Z18/12),0)</f>
        <v>0</v>
      </c>
      <c r="CH18" s="1542" t="n">
        <f aca="false">ROUND(IF(AA18="",0,LOOKUP(AA18,B$49:B$59,D$49:D$59)*AB18/12),0)</f>
        <v>0</v>
      </c>
      <c r="CI18" s="1538" t="n">
        <f aca="false">D18*BQ18</f>
        <v>0</v>
      </c>
      <c r="CJ18" s="1538" t="n">
        <f aca="false">D18*J18/324*(1+K$73)*G18</f>
        <v>0</v>
      </c>
      <c r="CK18" s="1538" t="str">
        <f aca="false">IF(N18="","",N18)</f>
        <v/>
      </c>
      <c r="CL18" s="1538" t="n">
        <f aca="false">P18*BQ18</f>
        <v>0</v>
      </c>
      <c r="CM18" s="1543" t="n">
        <f aca="false">IF(BQ18=0,0,SUM(CN18:DE18)/BQ18)</f>
        <v>0</v>
      </c>
      <c r="CN18" s="656" t="n">
        <f aca="false">(BS18*Pricing!F$3+BT18*Pricing!G$3+BU18*Pricing!H$3+BV18*Pricing!I$3+BW18*Pricing!J$3+BX18*Pricing!K$3+BY18*Pricing!L$3+BZ18*Pricing!M$3+CA18*Pricing!N$3+CB18*Pricing!O$3)*IF(W$44="N",(1+Y$44),1)</f>
        <v>0</v>
      </c>
      <c r="CO18" s="656" t="n">
        <f aca="false">BN18*G$70*IF(W$44="n",1+Y$44,1)</f>
        <v>0</v>
      </c>
      <c r="CP18" s="1544" t="n">
        <f aca="false">C18*D18</f>
        <v>0</v>
      </c>
      <c r="CQ18" s="656" t="n">
        <f aca="false">IF(I$79=0,0,D18*(SUM(O$79:P$82)+O$85)/I$79*BQ18)</f>
        <v>0</v>
      </c>
      <c r="CR18" s="656" t="n">
        <f aca="false">IF(CF18="",0,CF18*E$83)+IF(CG18="",0,CG18*E$83)+IF(CH18="",0,CH18*E$83)</f>
        <v>0</v>
      </c>
      <c r="CS18" s="656"/>
      <c r="CT18" s="1545" t="n">
        <f aca="false">(U18/2000)*E$87</f>
        <v>0</v>
      </c>
      <c r="CU18" s="656" t="n">
        <f aca="false">IF(I$79=0,0,D18*(O$88)/I$79*BQ18)</f>
        <v>0</v>
      </c>
      <c r="CV18" s="656" t="n">
        <f aca="false">IF(D$42=0,0,SUM(O$91:P$94)/D$42*D18)*BQ18</f>
        <v>0</v>
      </c>
      <c r="CW18" s="656" t="n">
        <f aca="false">IF(D$42=0,0,SUM(Z$66:Z$97)/D$42*D18*BQ18)</f>
        <v>0</v>
      </c>
      <c r="CX18" s="656" t="n">
        <f aca="false">IF(D$42=0,0,SUM(O$96:P$101)/D$42*D18)*BQ18</f>
        <v>0</v>
      </c>
      <c r="CY18" s="656" t="n">
        <f aca="false">IF(D$42=0,0,SUM(O$103:O$109)/D$42)*D18*BQ18</f>
        <v>0</v>
      </c>
      <c r="CZ18" s="656" t="n">
        <f aca="false">IF(I$79=0,0,IF(I$79=0,0,SUM(Z$98:Z$109)/I$79*D18))</f>
        <v>0</v>
      </c>
      <c r="DA18" s="656" t="n">
        <f aca="false">IF(J$72&gt;0,J$72/D$42*D18*G18,CD18*(G$72*IF(W$44="n",(1+Y$44),1)))</f>
        <v>0</v>
      </c>
      <c r="DB18" s="656" t="n">
        <f aca="false">IF(CK18="",0,CK18*E$86)</f>
        <v>0</v>
      </c>
      <c r="DC18" s="656" t="n">
        <f aca="false">BP18*G$71*IF(W$44="Y",1,1+Y$44)</f>
        <v>0</v>
      </c>
      <c r="DD18" s="656" t="n">
        <f aca="false">CJ18*G$73*IF(W$44="Y",1,1+Y$44)</f>
        <v>0</v>
      </c>
      <c r="DE18" s="1546" t="e">
        <f aca="false">O$110/I$79*D18</f>
        <v>#DIV/0!</v>
      </c>
      <c r="DF18" s="654" t="n">
        <f aca="false">IF(W18=1,X18*$AS$49,0)+IF(W18=2,X18*$AS$50,0)+IF(W18=3,X18*$AS$51,0)+IF(W18=4,X18*$AS$52,0)+IF(W18=5,X18*$AS$53,0)+IF(W18=6,X18*$AS$54)+IF(W18=7,X18*$AS$55)+IF(W18=8,X18*$AS$56)+IF(W18=9,X18*$AS$57)+IF(W18=10,X18*$AS$58)+IF(W18=11,X18*$AS$59,0)</f>
        <v>0</v>
      </c>
      <c r="DG18" s="654" t="n">
        <f aca="false">IF(Y18=1,Z18*$AS$49,0)+IF(Y18=2,Z18*$AS$50,0)+IF(Y18=3,Z18*$AS$51,0)+IF(Y18=4,Z18*$AS$52,0)+IF(Y18=5,Z18*$AS$53,0)+IF(Y18=6,Z18*$AS$54)+IF(Y18=7,Z18*$AS$55)+IF(Y18=8,Z18*$AS$56)+IF(Y18=9,Z18*$AS$57)+IF(Y18=10,Z18*$AS$58)+IF(Y18=11,Z18*$AS$59,0)</f>
        <v>0</v>
      </c>
      <c r="DH18" s="654" t="n">
        <f aca="false">IF(AA18=1,AB18*$AS$49,0)+IF(AA18=2,AB18*$AS$50,0)+IF(AA18=3,AB18*$AS$51,0)+IF(AA18=4,AB18*$AS$52,0)+IF(AA18=5,AB18*$AS$53,0)+IF(AA18=6,AB18*$AS$54)+IF(AA18=7,AB18*$AS$55)+IF(AA18=8,AB18*$AS$56)+IF(AA18=9,AB18*$AS$57)+IF(AA18=10,AB18*$AS$58)+IF(AA18=11,AB18*$AS$59,0)</f>
        <v>0</v>
      </c>
      <c r="DI18" s="654" t="n">
        <f aca="false">IF(AC18=1,AD18*$AS$49,0)+IF(AC18=2,AD18*$AS$50,0)+IF(AC18=3,AD18*$AS$51,0)+IF(AC18=4,AD18*$AS$52,0)+IF(AC18=5,AD18*$AS$53,0)+IF(AC18=6,AD18*$AS$54)+IF(AC18=7,AD18*$AS$55)+IF(AC18=8,AD18*$AS$56)+IF(AC18=9,AD18*$AS$57)+IF(AC18=10,AD18*$AS$58)+IF(AC18=11,AD18*$AS$59,0)</f>
        <v>0</v>
      </c>
      <c r="DJ18" s="654" t="n">
        <f aca="false">IF(AE18=1,AF18*$AS$49,0)+IF(AE18=2,AF18*$AS$50,0)+IF(AE18=3,AF18*$AS$51,0)+IF(AE18=4,AF18*$AS$52,0)+IF(AE18=5,AF18*$AS$53,0)+IF(AE18=6,AF18*$AS$54)+IF(AE18=7,AF18*$AS$55)+IF(AE18=8,AF18*$AS$56)+IF(AE18=9,AF18*$AS$57)+IF(AE18=10,AF18*$AS$58)+IF(AE18=11,AF18*$AS$59,0)</f>
        <v>0</v>
      </c>
      <c r="DK18" s="654" t="n">
        <f aca="false">IF(AG18=1,AH18*$AS$49,0)+IF(AG18=2,AH18*$AS$50,0)+IF(AG18=3,AH18*$AS$51,0)+IF(AG18=4,AH18*$AS$52,0)+IF(AG18=5,AH18*$AS$53,0)+IF(AG18=6,AH18*$AS$54)+IF(AG18=7,AH18*$AS$55)+IF(AG18=8,AH18*$AS$56)+IF(AG18=9,AH18*$AS$57)+IF(AG18=10,AH18*$AS$58)+IF(AG18=11,AH18*$AS$59,0)</f>
        <v>0</v>
      </c>
      <c r="DL18" s="654" t="n">
        <f aca="false">IF(AI18=1,AJ18*$AS$49,0)+IF(AI18=2,AJ18*$AS$50,0)+IF(AI18=3,AJ18*$AS$51,0)+IF(AI18=4,AJ18*$AS$52,0)+IF(AI18=5,AJ18*$AS$53,0)+IF(AI18=6,AJ18*$AS$54)+IF(AI18=7,AJ18*$AS$55)+IF(AI18=8,AJ18*$AS$56)+IF(AI18=9,AJ18*$AS$57)+IF(AI18=10,AJ18*$AS$58)+IF(AI18=11,AJ18*$AS$59,0)</f>
        <v>0</v>
      </c>
      <c r="DM18" s="654" t="n">
        <f aca="false">IF(AK18=1,AL18*$AS$49,0)+IF(AK18=2,AL18*$AS$50,0)+IF(AK18=3,AL18*$AS$51,0)+IF(AK18=4,AL18*$AS$52,0)+IF(AK18=5,AL18*$AS$53,0)+IF(AK18=6,AL18*$AS$54)+IF(AK18=7,AL18*$AS$55)+IF(AK18=8,AL18*$AS$56)+IF(AK18=9,AL18*$AS$57)+IF(AK18=10,AL18*$AS$58)+IF(AK18=11,AL18*$AS$59,0)</f>
        <v>0</v>
      </c>
      <c r="DN18" s="654" t="n">
        <f aca="false">IF(AM18=1,AN18*$AS$49,0)+IF(AM18=2,AN18*$AS$50,0)+IF(AM18=3,AN18*$AS$51,0)+IF(AM18=4,AN18*$AS$52,0)+IF(AM18=5,AN18*$AS$53,0)+IF(AM18=6,AN18*$AS$54)+IF(AM18=7,AN18*$AS$55)+IF(AM18=8,AN18*$AS$56)+IF(AM18=9,AN18*$AS$57)+IF(AM18=10,AN18*$AS$58)+IF(AM18=11,AN18*$AS$59,0)</f>
        <v>0</v>
      </c>
      <c r="DO18" s="654" t="n">
        <f aca="false">IF(AO18=1,AP18*$AS$49,0)+IF(AO18=2,AP18*$AS$50,0)+IF(AO18=3,AP18*$AS$51,0)+IF(AO18=4,AP18*$AS$52,0)+IF(AO18=5,AP18*$AS$53,0)+IF(AO18=6,AP18*$AS$54)+IF(AO18=7,AP18*$AS$55)+IF(AO18=8,AP18*$AS$56)+IF(AO18=9,AP18*$AS$57)+IF(AO18=10,AP18*$AS$58)+IF(AO18=11,AP18*$AS$59,0)</f>
        <v>0</v>
      </c>
      <c r="DP18" s="1569" t="n">
        <f aca="false">D18</f>
        <v>0</v>
      </c>
    </row>
    <row r="19" customFormat="false" ht="19.5" hidden="false" customHeight="true" outlineLevel="0" collapsed="false">
      <c r="A19" s="16" t="s">
        <v>1342</v>
      </c>
      <c r="B19" s="1549"/>
      <c r="C19" s="1550"/>
      <c r="D19" s="1551"/>
      <c r="E19" s="1552"/>
      <c r="F19" s="1074"/>
      <c r="G19" s="1553"/>
      <c r="H19" s="1074"/>
      <c r="I19" s="1553"/>
      <c r="J19" s="1074"/>
      <c r="K19" s="1554"/>
      <c r="L19" s="1559"/>
      <c r="M19" s="1556"/>
      <c r="N19" s="1557"/>
      <c r="O19" s="1558"/>
      <c r="P19" s="1515" t="n">
        <f aca="false">IF(BQ19=0,0,BN19/BQ19)</f>
        <v>0</v>
      </c>
      <c r="Q19" s="1516" t="n">
        <f aca="false">(D19*F19/324)*(1+K$65)+BB19</f>
        <v>0</v>
      </c>
      <c r="R19" s="1517" t="n">
        <f aca="false">IF(D19=0,0,S19/D19)</f>
        <v>0</v>
      </c>
      <c r="S19" s="1518" t="e">
        <f aca="false">SUM(CM19-DE19)*(1+M$45)</f>
        <v>#DIV/0!</v>
      </c>
      <c r="T19" s="1519" t="n">
        <f aca="false">CF19+CG19+CH19</f>
        <v>0</v>
      </c>
      <c r="U19" s="1520" t="n">
        <f aca="false">IF(P19-(D19*0.35)&lt;0,0,P19-(D19*0.35))</f>
        <v>0</v>
      </c>
      <c r="V19" s="1521" t="n">
        <f aca="false">IF(D19="",0,IF(D19/-30+Q19&lt;1,0,D19/-30+Q19))</f>
        <v>0</v>
      </c>
      <c r="W19" s="1559"/>
      <c r="X19" s="1560"/>
      <c r="Y19" s="1559"/>
      <c r="Z19" s="1577"/>
      <c r="AA19" s="1559"/>
      <c r="AB19" s="1577"/>
      <c r="AC19" s="1562"/>
      <c r="AD19" s="1560"/>
      <c r="AE19" s="1559"/>
      <c r="AF19" s="1563"/>
      <c r="AG19" s="1564"/>
      <c r="AH19" s="1563"/>
      <c r="AI19" s="1565"/>
      <c r="AJ19" s="1560"/>
      <c r="AK19" s="1565"/>
      <c r="AL19" s="1563"/>
      <c r="AM19" s="1559"/>
      <c r="AN19" s="1578"/>
      <c r="AO19" s="1559"/>
      <c r="AP19" s="1577"/>
      <c r="AQ19" s="654"/>
      <c r="AR19" s="1533" t="str">
        <f aca="false">IF(W19="","",LOOKUP(W19,$B$49:$B$59,$R$49:$R$59)*X19)</f>
        <v/>
      </c>
      <c r="AS19" s="1430" t="str">
        <f aca="false">IF(Y19="","",LOOKUP(Y19,$B$49:$B$59,$R$49:$R$59)*Z19)</f>
        <v/>
      </c>
      <c r="AT19" s="1430" t="str">
        <f aca="false">IF(AB19="","",LOOKUP(AA19,$B$49:$B$59,$R$49:$R$59)*AB19)</f>
        <v/>
      </c>
      <c r="AU19" s="1430" t="str">
        <f aca="false">IF(AC19="","",LOOKUP(AC19,$B$49:$B$59,$R$49:$R$59)*AD19)</f>
        <v/>
      </c>
      <c r="AV19" s="1430" t="str">
        <f aca="false">IF(AE19="","",LOOKUP(AE19,$B$49:$B$59,$R$49:$R$59)*AF19)</f>
        <v/>
      </c>
      <c r="AW19" s="1430" t="str">
        <f aca="false">IF(AG19="","",LOOKUP(AG19,$B$49:$B$59,$R$49:$R$59)*AH19)</f>
        <v/>
      </c>
      <c r="AX19" s="1430" t="str">
        <f aca="false">IF(AI19="","",LOOKUP(AI19,$B$49:$B$59,$R$49:$R$59)*AJ19)</f>
        <v/>
      </c>
      <c r="AY19" s="1430" t="str">
        <f aca="false">IF(AK19="","",LOOKUP(AK19,$B$49:$B$59,$R$49:$R$59)*AL19)</f>
        <v/>
      </c>
      <c r="AZ19" s="1430" t="str">
        <f aca="false">IF(AM19="","",LOOKUP(AM19,$B$49:$B$59,$R$49:$R$59)*AN19)</f>
        <v/>
      </c>
      <c r="BA19" s="1430" t="str">
        <f aca="false">IF(AO19="","",LOOKUP(AO19,$B$49:$B$59,$R$49:$R$59)*AP19)</f>
        <v/>
      </c>
      <c r="BB19" s="1535" t="n">
        <f aca="false">SUM(AR19:BA19)</f>
        <v>0</v>
      </c>
      <c r="BC19" s="1533" t="str">
        <f aca="false">IF(W19="","",LOOKUP(W19,$B$49:$B$59,$P$49:$P$59)*X19)</f>
        <v/>
      </c>
      <c r="BD19" s="1430" t="str">
        <f aca="false">IF(Y19="","",LOOKUP(Y19,$B$49:$B$59,$P$49:$P$59)*Z19)</f>
        <v/>
      </c>
      <c r="BE19" s="1430" t="str">
        <f aca="false">IF(AA19="","",LOOKUP(AA19,$B$49:$B$59,$P$49:$P$59)*AB19)</f>
        <v/>
      </c>
      <c r="BF19" s="1430" t="str">
        <f aca="false">IF(AC19="","",LOOKUP(AC19,$B$49:$B$59,$P$49:$P$59)*AD19)</f>
        <v/>
      </c>
      <c r="BG19" s="1430" t="str">
        <f aca="false">IF(AE19="","",LOOKUP(AE19,$B$49:$B$59,$P$49:$P$59)*AF19)</f>
        <v/>
      </c>
      <c r="BH19" s="1430" t="str">
        <f aca="false">IF(AG19="","",LOOKUP(AG19,$B$49:$B$59,$P$49:$P$59)*AH19)</f>
        <v/>
      </c>
      <c r="BI19" s="1430" t="str">
        <f aca="false">IF(AI19="","",LOOKUP(AI19,$B$49:$B$59,$P$49:$P$59)*AJ19)</f>
        <v/>
      </c>
      <c r="BJ19" s="1430" t="str">
        <f aca="false">IF(AK19="","",LOOKUP(AK19,$B$49:$B$59,$P$49:$P$59)*AL19)</f>
        <v/>
      </c>
      <c r="BK19" s="1430" t="str">
        <f aca="false">IF(AM19="","",LOOKUP(AM19,$B$49:$B$59,$P$49:$P$59)*AN19)</f>
        <v/>
      </c>
      <c r="BL19" s="1430" t="str">
        <f aca="false">IF(AO19="","",LOOKUP(AO19,$B$49:$B$59,$P$49:$P$59)*AP19)</f>
        <v/>
      </c>
      <c r="BM19" s="1535" t="n">
        <f aca="false">SUM(BC19:BL19)*BQ19</f>
        <v>0</v>
      </c>
      <c r="BN19" s="1536" t="n">
        <f aca="false">BM19+BO19</f>
        <v>0</v>
      </c>
      <c r="BO19" s="1536" t="n">
        <f aca="false">IF(M19=0,0,(M19/12+M19/12)/(M19/12*M19/12)*D19*((L19/16*L19/16)*10.6870159))*(1+K$70)*BQ19</f>
        <v>0</v>
      </c>
      <c r="BP19" s="1536" t="n">
        <f aca="false">IF(O19="Y",D19*(1+K$71)*BQ19,0)</f>
        <v>0</v>
      </c>
      <c r="BQ19" s="1538" t="n">
        <f aca="false">G19</f>
        <v>0</v>
      </c>
      <c r="BR19" s="1411" t="n">
        <f aca="false">IF(O19="y",D19,0)</f>
        <v>0</v>
      </c>
      <c r="BS19" s="1567" t="n">
        <f aca="false">IF($I19=1,$Q19,0)*BQ19</f>
        <v>0</v>
      </c>
      <c r="BT19" s="1536" t="n">
        <f aca="false">IF($I19=2,$Q19,0)*BQ19</f>
        <v>0</v>
      </c>
      <c r="BU19" s="1536" t="n">
        <f aca="false">IF($I19=3,$Q19,0)*BQ19</f>
        <v>0</v>
      </c>
      <c r="BV19" s="1536" t="n">
        <f aca="false">IF($I19=4,$Q19,0)*BQ19</f>
        <v>0</v>
      </c>
      <c r="BW19" s="1536" t="n">
        <f aca="false">IF($I19=5,$Q19,0)*BQ19</f>
        <v>0</v>
      </c>
      <c r="BX19" s="1536" t="n">
        <f aca="false">IF($I19=6,$Q19,0)*$BQ19</f>
        <v>0</v>
      </c>
      <c r="BY19" s="1536" t="n">
        <f aca="false">IF($I19=7,$Q19,0)*$BQ19</f>
        <v>0</v>
      </c>
      <c r="BZ19" s="1536" t="n">
        <f aca="false">IF($I19=8,$Q19,0)*$BQ19</f>
        <v>0</v>
      </c>
      <c r="CA19" s="1536" t="n">
        <f aca="false">IF($I19=9,$Q19,0)*$BQ19</f>
        <v>0</v>
      </c>
      <c r="CB19" s="1568" t="n">
        <f aca="false">IF($I19=10,$Q19,0)*$BQ19</f>
        <v>0</v>
      </c>
      <c r="CC19" s="1538" t="n">
        <f aca="false">SUM(BS19:BX19)</f>
        <v>0</v>
      </c>
      <c r="CD19" s="1538" t="n">
        <f aca="false">IF(H19="N",0,D19)*BQ19</f>
        <v>0</v>
      </c>
      <c r="CE19" s="1538" t="n">
        <f aca="false">K19*BQ19</f>
        <v>0</v>
      </c>
      <c r="CF19" s="1542" t="n">
        <f aca="false">ROUND(IF(W19="",0,LOOKUP(W19,B$49:B$59,D$49:D$59)*X19/12),0)</f>
        <v>0</v>
      </c>
      <c r="CG19" s="1542" t="n">
        <f aca="false">ROUND(IF(Y19="",0,LOOKUP(Y19,B$49:B$59,D$49:D$59)*Z19/12),0)</f>
        <v>0</v>
      </c>
      <c r="CH19" s="1542" t="n">
        <f aca="false">ROUND(IF(AA19="",0,LOOKUP(AA19,B$49:B$59,D$49:D$59)*AB19/12),0)</f>
        <v>0</v>
      </c>
      <c r="CI19" s="1538" t="n">
        <f aca="false">D19*BQ19</f>
        <v>0</v>
      </c>
      <c r="CJ19" s="1538" t="n">
        <f aca="false">D19*J19/324*(1+K$73)*G19</f>
        <v>0</v>
      </c>
      <c r="CK19" s="1538" t="str">
        <f aca="false">IF(N19="","",N19)</f>
        <v/>
      </c>
      <c r="CL19" s="1538" t="n">
        <f aca="false">P19*BQ19</f>
        <v>0</v>
      </c>
      <c r="CM19" s="1543" t="n">
        <f aca="false">IF(BQ19=0,0,SUM(CN19:DE19)/BQ19)</f>
        <v>0</v>
      </c>
      <c r="CN19" s="656" t="n">
        <f aca="false">(BS19*Pricing!F$3+BT19*Pricing!G$3+BU19*Pricing!H$3+BV19*Pricing!I$3+BW19*Pricing!J$3+BX19*Pricing!K$3+BY19*Pricing!L$3+BZ19*Pricing!M$3+CA19*Pricing!N$3+CB19*Pricing!O$3)*IF(W$44="N",(1+Y$44),1)</f>
        <v>0</v>
      </c>
      <c r="CO19" s="656" t="n">
        <f aca="false">BN19*G$70*IF(W$44="n",1+Y$44,1)</f>
        <v>0</v>
      </c>
      <c r="CP19" s="1544" t="n">
        <f aca="false">C19*D19</f>
        <v>0</v>
      </c>
      <c r="CQ19" s="656" t="n">
        <f aca="false">IF(I$79=0,0,D19*(SUM(O$79:P$82)+O$85)/I$79*BQ19)</f>
        <v>0</v>
      </c>
      <c r="CR19" s="656" t="n">
        <f aca="false">IF(CF19="",0,CF19*E$83)+IF(CG19="",0,CG19*E$83)+IF(CH19="",0,CH19*E$83)</f>
        <v>0</v>
      </c>
      <c r="CS19" s="656"/>
      <c r="CT19" s="1545" t="n">
        <f aca="false">(U19/2000)*E$87</f>
        <v>0</v>
      </c>
      <c r="CU19" s="656" t="n">
        <f aca="false">IF(I$79=0,0,D19*(O$88)/I$79*BQ19)</f>
        <v>0</v>
      </c>
      <c r="CV19" s="656" t="n">
        <f aca="false">IF(D$42=0,0,SUM(O$91:P$94)/D$42*D19)*BQ19</f>
        <v>0</v>
      </c>
      <c r="CW19" s="656" t="n">
        <f aca="false">IF(D$42=0,0,SUM(Z$66:Z$97)/D$42*D19*BQ19)</f>
        <v>0</v>
      </c>
      <c r="CX19" s="656" t="n">
        <f aca="false">IF(D$42=0,0,SUM(O$96:P$101)/D$42*D19)*BQ19</f>
        <v>0</v>
      </c>
      <c r="CY19" s="656" t="n">
        <f aca="false">IF(D$42=0,0,SUM(O$103:O$109)/D$42)*D19*BQ19</f>
        <v>0</v>
      </c>
      <c r="CZ19" s="656" t="n">
        <f aca="false">IF(I$79=0,0,IF(I$79=0,0,SUM(Z$98:Z$109)/I$79*D19))</f>
        <v>0</v>
      </c>
      <c r="DA19" s="656" t="n">
        <f aca="false">IF(J$72&gt;0,J$72/D$42*D19*G19,CD19*(G$72*IF(W$44="n",(1+Y$44),1)))</f>
        <v>0</v>
      </c>
      <c r="DB19" s="656" t="n">
        <f aca="false">IF(CK19="",0,CK19*E$86)</f>
        <v>0</v>
      </c>
      <c r="DC19" s="656" t="n">
        <f aca="false">BP19*G$71*IF(W$44="Y",1,1+Y$44)</f>
        <v>0</v>
      </c>
      <c r="DD19" s="656" t="n">
        <f aca="false">CJ19*G$73*IF(W$44="Y",1,1+Y$44)</f>
        <v>0</v>
      </c>
      <c r="DE19" s="1546" t="e">
        <f aca="false">O$110/I$79*D19</f>
        <v>#DIV/0!</v>
      </c>
      <c r="DF19" s="654" t="n">
        <f aca="false">IF(W19=1,X19*$AS$49,0)+IF(W19=2,X19*$AS$50,0)+IF(W19=3,X19*$AS$51,0)+IF(W19=4,X19*$AS$52,0)+IF(W19=5,X19*$AS$53,0)+IF(W19=6,X19*$AS$54)+IF(W19=7,X19*$AS$55)+IF(W19=8,X19*$AS$56)+IF(W19=9,X19*$AS$57)+IF(W19=10,X19*$AS$58)+IF(W19=11,X19*$AS$59,0)</f>
        <v>0</v>
      </c>
      <c r="DG19" s="654" t="n">
        <f aca="false">IF(Y19=1,Z19*$AS$49,0)+IF(Y19=2,Z19*$AS$50,0)+IF(Y19=3,Z19*$AS$51,0)+IF(Y19=4,Z19*$AS$52,0)+IF(Y19=5,Z19*$AS$53,0)+IF(Y19=6,Z19*$AS$54)+IF(Y19=7,Z19*$AS$55)+IF(Y19=8,Z19*$AS$56)+IF(Y19=9,Z19*$AS$57)+IF(Y19=10,Z19*$AS$58)+IF(Y19=11,Z19*$AS$59,0)</f>
        <v>0</v>
      </c>
      <c r="DH19" s="654" t="n">
        <f aca="false">IF(AA19=1,AB19*$AS$49,0)+IF(AA19=2,AB19*$AS$50,0)+IF(AA19=3,AB19*$AS$51,0)+IF(AA19=4,AB19*$AS$52,0)+IF(AA19=5,AB19*$AS$53,0)+IF(AA19=6,AB19*$AS$54)+IF(AA19=7,AB19*$AS$55)+IF(AA19=8,AB19*$AS$56)+IF(AA19=9,AB19*$AS$57)+IF(AA19=10,AB19*$AS$58)+IF(AA19=11,AB19*$AS$59,0)</f>
        <v>0</v>
      </c>
      <c r="DI19" s="654" t="n">
        <f aca="false">IF(AC19=1,AD19*$AS$49,0)+IF(AC19=2,AD19*$AS$50,0)+IF(AC19=3,AD19*$AS$51,0)+IF(AC19=4,AD19*$AS$52,0)+IF(AC19=5,AD19*$AS$53,0)+IF(AC19=6,AD19*$AS$54)+IF(AC19=7,AD19*$AS$55)+IF(AC19=8,AD19*$AS$56)+IF(AC19=9,AD19*$AS$57)+IF(AC19=10,AD19*$AS$58)+IF(AC19=11,AD19*$AS$59,0)</f>
        <v>0</v>
      </c>
      <c r="DJ19" s="654" t="n">
        <f aca="false">IF(AE19=1,AF19*$AS$49,0)+IF(AE19=2,AF19*$AS$50,0)+IF(AE19=3,AF19*$AS$51,0)+IF(AE19=4,AF19*$AS$52,0)+IF(AE19=5,AF19*$AS$53,0)+IF(AE19=6,AF19*$AS$54)+IF(AE19=7,AF19*$AS$55)+IF(AE19=8,AF19*$AS$56)+IF(AE19=9,AF19*$AS$57)+IF(AE19=10,AF19*$AS$58)+IF(AE19=11,AF19*$AS$59,0)</f>
        <v>0</v>
      </c>
      <c r="DK19" s="654" t="n">
        <f aca="false">IF(AG19=1,AH19*$AS$49,0)+IF(AG19=2,AH19*$AS$50,0)+IF(AG19=3,AH19*$AS$51,0)+IF(AG19=4,AH19*$AS$52,0)+IF(AG19=5,AH19*$AS$53,0)+IF(AG19=6,AH19*$AS$54)+IF(AG19=7,AH19*$AS$55)+IF(AG19=8,AH19*$AS$56)+IF(AG19=9,AH19*$AS$57)+IF(AG19=10,AH19*$AS$58)+IF(AG19=11,AH19*$AS$59,0)</f>
        <v>0</v>
      </c>
      <c r="DL19" s="654" t="n">
        <f aca="false">IF(AI19=1,AJ19*$AS$49,0)+IF(AI19=2,AJ19*$AS$50,0)+IF(AI19=3,AJ19*$AS$51,0)+IF(AI19=4,AJ19*$AS$52,0)+IF(AI19=5,AJ19*$AS$53,0)+IF(AI19=6,AJ19*$AS$54)+IF(AI19=7,AJ19*$AS$55)+IF(AI19=8,AJ19*$AS$56)+IF(AI19=9,AJ19*$AS$57)+IF(AI19=10,AJ19*$AS$58)+IF(AI19=11,AJ19*$AS$59,0)</f>
        <v>0</v>
      </c>
      <c r="DM19" s="654" t="n">
        <f aca="false">IF(AK19=1,AL19*$AS$49,0)+IF(AK19=2,AL19*$AS$50,0)+IF(AK19=3,AL19*$AS$51,0)+IF(AK19=4,AL19*$AS$52,0)+IF(AK19=5,AL19*$AS$53,0)+IF(AK19=6,AL19*$AS$54)+IF(AK19=7,AL19*$AS$55)+IF(AK19=8,AL19*$AS$56)+IF(AK19=9,AL19*$AS$57)+IF(AK19=10,AL19*$AS$58)+IF(AK19=11,AL19*$AS$59,0)</f>
        <v>0</v>
      </c>
      <c r="DN19" s="654" t="n">
        <f aca="false">IF(AM19=1,AN19*$AS$49,0)+IF(AM19=2,AN19*$AS$50,0)+IF(AM19=3,AN19*$AS$51,0)+IF(AM19=4,AN19*$AS$52,0)+IF(AM19=5,AN19*$AS$53,0)+IF(AM19=6,AN19*$AS$54)+IF(AM19=7,AN19*$AS$55)+IF(AM19=8,AN19*$AS$56)+IF(AM19=9,AN19*$AS$57)+IF(AM19=10,AN19*$AS$58)+IF(AM19=11,AN19*$AS$59,0)</f>
        <v>0</v>
      </c>
      <c r="DO19" s="654" t="n">
        <f aca="false">IF(AO19=1,AP19*$AS$49,0)+IF(AO19=2,AP19*$AS$50,0)+IF(AO19=3,AP19*$AS$51,0)+IF(AO19=4,AP19*$AS$52,0)+IF(AO19=5,AP19*$AS$53,0)+IF(AO19=6,AP19*$AS$54)+IF(AO19=7,AP19*$AS$55)+IF(AO19=8,AP19*$AS$56)+IF(AO19=9,AP19*$AS$57)+IF(AO19=10,AP19*$AS$58)+IF(AO19=11,AP19*$AS$59,0)</f>
        <v>0</v>
      </c>
      <c r="DP19" s="1569" t="n">
        <f aca="false">D19</f>
        <v>0</v>
      </c>
    </row>
    <row r="20" customFormat="false" ht="19.5" hidden="false" customHeight="true" outlineLevel="0" collapsed="false">
      <c r="A20" s="16" t="s">
        <v>1451</v>
      </c>
      <c r="B20" s="920"/>
      <c r="C20" s="1506"/>
      <c r="D20" s="1586"/>
      <c r="E20" s="1587"/>
      <c r="F20" s="1074"/>
      <c r="G20" s="1509"/>
      <c r="H20" s="1074"/>
      <c r="I20" s="1509"/>
      <c r="J20" s="1074"/>
      <c r="K20" s="1510"/>
      <c r="L20" s="528"/>
      <c r="M20" s="895"/>
      <c r="N20" s="1513"/>
      <c r="O20" s="1514"/>
      <c r="P20" s="1515" t="n">
        <f aca="false">IF(BQ20=0,0,BN20/BQ20)</f>
        <v>0</v>
      </c>
      <c r="Q20" s="1516" t="n">
        <f aca="false">(D20*F20/324)*(1+K$65)+BB20</f>
        <v>0</v>
      </c>
      <c r="R20" s="1517" t="n">
        <f aca="false">IF(D20=0,0,S20/D20)</f>
        <v>0</v>
      </c>
      <c r="S20" s="1518" t="e">
        <f aca="false">SUM(CM20-DE20)*(1+M$45)</f>
        <v>#DIV/0!</v>
      </c>
      <c r="T20" s="1519" t="n">
        <f aca="false">CF20+CG20+CH20</f>
        <v>0</v>
      </c>
      <c r="U20" s="1520" t="n">
        <f aca="false">IF(P20-(D20*0.35)&lt;0,0,P20-(D20*0.35))</f>
        <v>0</v>
      </c>
      <c r="V20" s="1521" t="n">
        <f aca="false">IF(D20="",0,IF(D20/-30+Q20&lt;1,0,D20/-30+Q20))</f>
        <v>0</v>
      </c>
      <c r="W20" s="528"/>
      <c r="X20" s="1526"/>
      <c r="Y20" s="528"/>
      <c r="Z20" s="1579"/>
      <c r="AA20" s="528"/>
      <c r="AB20" s="1579"/>
      <c r="AC20" s="1525"/>
      <c r="AD20" s="1526"/>
      <c r="AE20" s="1511"/>
      <c r="AF20" s="1527"/>
      <c r="AG20" s="1528"/>
      <c r="AH20" s="1527"/>
      <c r="AI20" s="1859"/>
      <c r="AJ20" s="1530"/>
      <c r="AK20" s="1531"/>
      <c r="AL20" s="1527"/>
      <c r="AM20" s="528"/>
      <c r="AN20" s="1580"/>
      <c r="AO20" s="528"/>
      <c r="AP20" s="1579"/>
      <c r="AQ20" s="654"/>
      <c r="AR20" s="1533" t="str">
        <f aca="false">IF(W20="","",LOOKUP(W20,$B$49:$B$59,$R$49:$R$59)*X20)</f>
        <v/>
      </c>
      <c r="AS20" s="1430" t="str">
        <f aca="false">IF(Y20="","",LOOKUP(Y20,$B$49:$B$59,$R$49:$R$59)*Z20)</f>
        <v/>
      </c>
      <c r="AT20" s="1430" t="str">
        <f aca="false">IF(AB20="","",LOOKUP(AA20,$B$49:$B$59,$R$49:$R$59)*AB20)</f>
        <v/>
      </c>
      <c r="AU20" s="1430" t="str">
        <f aca="false">IF(AC20="","",LOOKUP(AC20,$B$49:$B$59,$R$49:$R$59)*AD20)</f>
        <v/>
      </c>
      <c r="AV20" s="1430" t="str">
        <f aca="false">IF(AE20="","",LOOKUP(AE20,$B$49:$B$59,$R$49:$R$59)*AF20)</f>
        <v/>
      </c>
      <c r="AW20" s="1430" t="str">
        <f aca="false">IF(AG20="","",LOOKUP(AG20,$B$49:$B$59,$R$49:$R$59)*AH20)</f>
        <v/>
      </c>
      <c r="AX20" s="1430" t="str">
        <f aca="false">IF(AI20="","",LOOKUP(AI20,$B$49:$B$59,$R$49:$R$59)*AJ20)</f>
        <v/>
      </c>
      <c r="AY20" s="1430" t="str">
        <f aca="false">IF(AK20="","",LOOKUP(AK20,$B$49:$B$59,$R$49:$R$59)*AL20)</f>
        <v/>
      </c>
      <c r="AZ20" s="1430" t="str">
        <f aca="false">IF(AM20="","",LOOKUP(AM20,$B$49:$B$59,$R$49:$R$59)*AN20)</f>
        <v/>
      </c>
      <c r="BA20" s="1430" t="str">
        <f aca="false">IF(AO20="","",LOOKUP(AO20,$B$49:$B$59,$R$49:$R$59)*AP20)</f>
        <v/>
      </c>
      <c r="BB20" s="1535" t="n">
        <f aca="false">SUM(AR20:BA20)</f>
        <v>0</v>
      </c>
      <c r="BC20" s="1533" t="str">
        <f aca="false">IF(W20="","",LOOKUP(W20,$B$49:$B$59,$P$49:$P$59)*X20)</f>
        <v/>
      </c>
      <c r="BD20" s="1430" t="str">
        <f aca="false">IF(Y20="","",LOOKUP(Y20,$B$49:$B$59,$P$49:$P$59)*Z20)</f>
        <v/>
      </c>
      <c r="BE20" s="1430" t="str">
        <f aca="false">IF(AA20="","",LOOKUP(AA20,$B$49:$B$59,$P$49:$P$59)*AB20)</f>
        <v/>
      </c>
      <c r="BF20" s="1430" t="str">
        <f aca="false">IF(AC20="","",LOOKUP(AC20,$B$49:$B$59,$P$49:$P$59)*AD20)</f>
        <v/>
      </c>
      <c r="BG20" s="1430" t="str">
        <f aca="false">IF(AE20="","",LOOKUP(AE20,$B$49:$B$59,$P$49:$P$59)*AF20)</f>
        <v/>
      </c>
      <c r="BH20" s="1430" t="str">
        <f aca="false">IF(AG20="","",LOOKUP(AG20,$B$49:$B$59,$P$49:$P$59)*AH20)</f>
        <v/>
      </c>
      <c r="BI20" s="1430" t="str">
        <f aca="false">IF(AI20="","",LOOKUP(AI20,$B$49:$B$59,$P$49:$P$59)*AJ20)</f>
        <v/>
      </c>
      <c r="BJ20" s="1430" t="str">
        <f aca="false">IF(AK20="","",LOOKUP(AK20,$B$49:$B$59,$P$49:$P$59)*AL20)</f>
        <v/>
      </c>
      <c r="BK20" s="1430" t="str">
        <f aca="false">IF(AM20="","",LOOKUP(AM20,$B$49:$B$59,$P$49:$P$59)*AN20)</f>
        <v/>
      </c>
      <c r="BL20" s="1430" t="str">
        <f aca="false">IF(AO20="","",LOOKUP(AO20,$B$49:$B$59,$P$49:$P$59)*AP20)</f>
        <v/>
      </c>
      <c r="BM20" s="1535" t="n">
        <f aca="false">SUM(BC20:BL20)*BQ20</f>
        <v>0</v>
      </c>
      <c r="BN20" s="1536" t="n">
        <f aca="false">BM20+BO20</f>
        <v>0</v>
      </c>
      <c r="BO20" s="1536" t="n">
        <f aca="false">IF(M20=0,0,(M20/12+M20/12)/(M20/12*M20/12)*D20*((L20/16*L20/16)*10.6870159))*(1+K$70)*BQ20</f>
        <v>0</v>
      </c>
      <c r="BP20" s="1536" t="n">
        <f aca="false">IF(O20="Y",D20*(1+K$71)*BQ20,0)</f>
        <v>0</v>
      </c>
      <c r="BQ20" s="1538" t="n">
        <f aca="false">G20</f>
        <v>0</v>
      </c>
      <c r="BR20" s="1411" t="n">
        <f aca="false">IF(O20="y",D20,0)</f>
        <v>0</v>
      </c>
      <c r="BS20" s="1567" t="n">
        <f aca="false">IF($I20=1,$Q20,0)*BQ20</f>
        <v>0</v>
      </c>
      <c r="BT20" s="1536" t="n">
        <f aca="false">IF($I20=2,$Q20,0)*BQ20</f>
        <v>0</v>
      </c>
      <c r="BU20" s="1536" t="n">
        <f aca="false">IF($I20=3,$Q20,0)*BQ20</f>
        <v>0</v>
      </c>
      <c r="BV20" s="1536" t="n">
        <f aca="false">IF($I20=4,$Q20,0)*BQ20</f>
        <v>0</v>
      </c>
      <c r="BW20" s="1536" t="n">
        <f aca="false">IF($I20=5,$Q20,0)*BQ20</f>
        <v>0</v>
      </c>
      <c r="BX20" s="1536" t="n">
        <f aca="false">IF($I20=6,$Q20,0)*$BQ20</f>
        <v>0</v>
      </c>
      <c r="BY20" s="1536" t="n">
        <f aca="false">IF($I20=7,$Q20,0)*$BQ20</f>
        <v>0</v>
      </c>
      <c r="BZ20" s="1536" t="n">
        <f aca="false">IF($I20=8,$Q20,0)*$BQ20</f>
        <v>0</v>
      </c>
      <c r="CA20" s="1536" t="n">
        <f aca="false">IF($I20=9,$Q20,0)*$BQ20</f>
        <v>0</v>
      </c>
      <c r="CB20" s="1568" t="n">
        <f aca="false">IF($I20=10,$Q20,0)*$BQ20</f>
        <v>0</v>
      </c>
      <c r="CC20" s="1538" t="n">
        <f aca="false">SUM(BS20:BX20)</f>
        <v>0</v>
      </c>
      <c r="CD20" s="1538" t="n">
        <f aca="false">IF(H20="N",0,D20)*BQ20</f>
        <v>0</v>
      </c>
      <c r="CE20" s="1538" t="n">
        <f aca="false">K20*BQ20</f>
        <v>0</v>
      </c>
      <c r="CF20" s="1542" t="n">
        <f aca="false">ROUND(IF(W20="",0,LOOKUP(W20,B$49:B$59,D$49:D$59)*X20/12),0)</f>
        <v>0</v>
      </c>
      <c r="CG20" s="1542" t="n">
        <f aca="false">ROUND(IF(Y20="",0,LOOKUP(Y20,B$49:B$59,D$49:D$59)*Z20/12),0)</f>
        <v>0</v>
      </c>
      <c r="CH20" s="1542" t="n">
        <f aca="false">ROUND(IF(AA20="",0,LOOKUP(AA20,B$49:B$59,D$49:D$59)*AB20/12),0)</f>
        <v>0</v>
      </c>
      <c r="CI20" s="1538" t="n">
        <f aca="false">D20*BQ20</f>
        <v>0</v>
      </c>
      <c r="CJ20" s="1538" t="n">
        <f aca="false">D20*J20/324*(1+K$73)*G20</f>
        <v>0</v>
      </c>
      <c r="CK20" s="1538" t="str">
        <f aca="false">IF(N20="","",N20)</f>
        <v/>
      </c>
      <c r="CL20" s="1538" t="n">
        <f aca="false">P20*BQ20</f>
        <v>0</v>
      </c>
      <c r="CM20" s="1543" t="n">
        <f aca="false">IF(BQ20=0,0,SUM(CN20:DE20)/BQ20)</f>
        <v>0</v>
      </c>
      <c r="CN20" s="656" t="n">
        <f aca="false">(BS20*Pricing!F$3+BT20*Pricing!G$3+BU20*Pricing!H$3+BV20*Pricing!I$3+BW20*Pricing!J$3+BX20*Pricing!K$3+BY20*Pricing!L$3+BZ20*Pricing!M$3+CA20*Pricing!N$3+CB20*Pricing!O$3)*IF(W$44="N",(1+Y$44),1)</f>
        <v>0</v>
      </c>
      <c r="CO20" s="656" t="n">
        <f aca="false">BN20*G$70*IF(W$44="n",1+Y$44,1)</f>
        <v>0</v>
      </c>
      <c r="CP20" s="1544" t="n">
        <f aca="false">C20*D20</f>
        <v>0</v>
      </c>
      <c r="CQ20" s="656" t="n">
        <f aca="false">IF(I$79=0,0,D20*(SUM(O$79:P$82)+O$85)/I$79*BQ20)</f>
        <v>0</v>
      </c>
      <c r="CR20" s="656" t="n">
        <f aca="false">IF(CF20="",0,CF20*E$83)+IF(CG20="",0,CG20*E$83)+IF(CH20="",0,CH20*E$83)</f>
        <v>0</v>
      </c>
      <c r="CS20" s="656"/>
      <c r="CT20" s="1545" t="n">
        <f aca="false">(U20/2000)*E$87</f>
        <v>0</v>
      </c>
      <c r="CU20" s="656" t="n">
        <f aca="false">IF(I$79=0,0,D20*(O$88)/I$79*BQ20)</f>
        <v>0</v>
      </c>
      <c r="CV20" s="656" t="n">
        <f aca="false">IF(D$42=0,0,SUM(O$91:P$94)/D$42*D20)*BQ20</f>
        <v>0</v>
      </c>
      <c r="CW20" s="656" t="n">
        <f aca="false">IF(D$42=0,0,SUM(Z$66:Z$97)/D$42*D20*BQ20)</f>
        <v>0</v>
      </c>
      <c r="CX20" s="656" t="n">
        <f aca="false">IF(D$42=0,0,SUM(O$96:P$101)/D$42*D20)*BQ20</f>
        <v>0</v>
      </c>
      <c r="CY20" s="656" t="n">
        <f aca="false">IF(D$42=0,0,SUM(O$103:O$109)/D$42)*D20*BQ20</f>
        <v>0</v>
      </c>
      <c r="CZ20" s="656" t="n">
        <f aca="false">IF(I$79=0,0,IF(I$79=0,0,SUM(Z$98:Z$109)/I$79*D20))</f>
        <v>0</v>
      </c>
      <c r="DA20" s="656" t="n">
        <f aca="false">IF(J$72&gt;0,J$72/D$42*D20*G20,CD20*(G$72*IF(W$44="n",(1+Y$44),1)))</f>
        <v>0</v>
      </c>
      <c r="DB20" s="656" t="n">
        <f aca="false">IF(CK20="",0,CK20*E$86)</f>
        <v>0</v>
      </c>
      <c r="DC20" s="656" t="n">
        <f aca="false">BP20*G$71*IF(W$44="Y",1,1+Y$44)</f>
        <v>0</v>
      </c>
      <c r="DD20" s="656" t="n">
        <f aca="false">CJ20*G$73*IF(W$44="Y",1,1+Y$44)</f>
        <v>0</v>
      </c>
      <c r="DE20" s="1546" t="e">
        <f aca="false">O$110/I$79*D20</f>
        <v>#DIV/0!</v>
      </c>
      <c r="DF20" s="654" t="n">
        <f aca="false">IF(W20=1,X20*$AS$49,0)+IF(W20=2,X20*$AS$50,0)+IF(W20=3,X20*$AS$51,0)+IF(W20=4,X20*$AS$52,0)+IF(W20=5,X20*$AS$53,0)+IF(W20=6,X20*$AS$54)+IF(W20=7,X20*$AS$55)+IF(W20=8,X20*$AS$56)+IF(W20=9,X20*$AS$57)+IF(W20=10,X20*$AS$58)+IF(W20=11,X20*$AS$59,0)</f>
        <v>0</v>
      </c>
      <c r="DG20" s="654" t="n">
        <f aca="false">IF(Y20=1,Z20*$AS$49,0)+IF(Y20=2,Z20*$AS$50,0)+IF(Y20=3,Z20*$AS$51,0)+IF(Y20=4,Z20*$AS$52,0)+IF(Y20=5,Z20*$AS$53,0)+IF(Y20=6,Z20*$AS$54)+IF(Y20=7,Z20*$AS$55)+IF(Y20=8,Z20*$AS$56)+IF(Y20=9,Z20*$AS$57)+IF(Y20=10,Z20*$AS$58)+IF(Y20=11,Z20*$AS$59,0)</f>
        <v>0</v>
      </c>
      <c r="DH20" s="654" t="n">
        <f aca="false">IF(AA20=1,AB20*$AS$49,0)+IF(AA20=2,AB20*$AS$50,0)+IF(AA20=3,AB20*$AS$51,0)+IF(AA20=4,AB20*$AS$52,0)+IF(AA20=5,AB20*$AS$53,0)+IF(AA20=6,AB20*$AS$54)+IF(AA20=7,AB20*$AS$55)+IF(AA20=8,AB20*$AS$56)+IF(AA20=9,AB20*$AS$57)+IF(AA20=10,AB20*$AS$58)+IF(AA20=11,AB20*$AS$59,0)</f>
        <v>0</v>
      </c>
      <c r="DI20" s="654" t="n">
        <f aca="false">IF(AC20=1,AD20*$AS$49,0)+IF(AC20=2,AD20*$AS$50,0)+IF(AC20=3,AD20*$AS$51,0)+IF(AC20=4,AD20*$AS$52,0)+IF(AC20=5,AD20*$AS$53,0)+IF(AC20=6,AD20*$AS$54)+IF(AC20=7,AD20*$AS$55)+IF(AC20=8,AD20*$AS$56)+IF(AC20=9,AD20*$AS$57)+IF(AC20=10,AD20*$AS$58)+IF(AC20=11,AD20*$AS$59,0)</f>
        <v>0</v>
      </c>
      <c r="DJ20" s="654" t="n">
        <f aca="false">IF(AE20=1,AF20*$AS$49,0)+IF(AE20=2,AF20*$AS$50,0)+IF(AE20=3,AF20*$AS$51,0)+IF(AE20=4,AF20*$AS$52,0)+IF(AE20=5,AF20*$AS$53,0)+IF(AE20=6,AF20*$AS$54)+IF(AE20=7,AF20*$AS$55)+IF(AE20=8,AF20*$AS$56)+IF(AE20=9,AF20*$AS$57)+IF(AE20=10,AF20*$AS$58)+IF(AE20=11,AF20*$AS$59,0)</f>
        <v>0</v>
      </c>
      <c r="DK20" s="654" t="n">
        <f aca="false">IF(AG20=1,AH20*$AS$49,0)+IF(AG20=2,AH20*$AS$50,0)+IF(AG20=3,AH20*$AS$51,0)+IF(AG20=4,AH20*$AS$52,0)+IF(AG20=5,AH20*$AS$53,0)+IF(AG20=6,AH20*$AS$54)+IF(AG20=7,AH20*$AS$55)+IF(AG20=8,AH20*$AS$56)+IF(AG20=9,AH20*$AS$57)+IF(AG20=10,AH20*$AS$58)+IF(AG20=11,AH20*$AS$59,0)</f>
        <v>0</v>
      </c>
      <c r="DL20" s="654" t="n">
        <f aca="false">IF(AI20=1,AJ20*$AS$49,0)+IF(AI20=2,AJ20*$AS$50,0)+IF(AI20=3,AJ20*$AS$51,0)+IF(AI20=4,AJ20*$AS$52,0)+IF(AI20=5,AJ20*$AS$53,0)+IF(AI20=6,AJ20*$AS$54)+IF(AI20=7,AJ20*$AS$55)+IF(AI20=8,AJ20*$AS$56)+IF(AI20=9,AJ20*$AS$57)+IF(AI20=10,AJ20*$AS$58)+IF(AI20=11,AJ20*$AS$59,0)</f>
        <v>0</v>
      </c>
      <c r="DM20" s="654" t="n">
        <f aca="false">IF(AK20=1,AL20*$AS$49,0)+IF(AK20=2,AL20*$AS$50,0)+IF(AK20=3,AL20*$AS$51,0)+IF(AK20=4,AL20*$AS$52,0)+IF(AK20=5,AL20*$AS$53,0)+IF(AK20=6,AL20*$AS$54)+IF(AK20=7,AL20*$AS$55)+IF(AK20=8,AL20*$AS$56)+IF(AK20=9,AL20*$AS$57)+IF(AK20=10,AL20*$AS$58)+IF(AK20=11,AL20*$AS$59,0)</f>
        <v>0</v>
      </c>
      <c r="DN20" s="654" t="n">
        <f aca="false">IF(AM20=1,AN20*$AS$49,0)+IF(AM20=2,AN20*$AS$50,0)+IF(AM20=3,AN20*$AS$51,0)+IF(AM20=4,AN20*$AS$52,0)+IF(AM20=5,AN20*$AS$53,0)+IF(AM20=6,AN20*$AS$54)+IF(AM20=7,AN20*$AS$55)+IF(AM20=8,AN20*$AS$56)+IF(AM20=9,AN20*$AS$57)+IF(AM20=10,AN20*$AS$58)+IF(AM20=11,AN20*$AS$59,0)</f>
        <v>0</v>
      </c>
      <c r="DO20" s="654" t="n">
        <f aca="false">IF(AO20=1,AP20*$AS$49,0)+IF(AO20=2,AP20*$AS$50,0)+IF(AO20=3,AP20*$AS$51,0)+IF(AO20=4,AP20*$AS$52,0)+IF(AO20=5,AP20*$AS$53,0)+IF(AO20=6,AP20*$AS$54)+IF(AO20=7,AP20*$AS$55)+IF(AO20=8,AP20*$AS$56)+IF(AO20=9,AP20*$AS$57)+IF(AO20=10,AP20*$AS$58)+IF(AO20=11,AP20*$AS$59,0)</f>
        <v>0</v>
      </c>
      <c r="DP20" s="1569" t="n">
        <f aca="false">D20</f>
        <v>0</v>
      </c>
    </row>
    <row r="21" customFormat="false" ht="19.5" hidden="false" customHeight="true" outlineLevel="0" collapsed="false">
      <c r="A21" s="16" t="s">
        <v>1077</v>
      </c>
      <c r="B21" s="1549"/>
      <c r="C21" s="1550"/>
      <c r="D21" s="1551"/>
      <c r="E21" s="1552"/>
      <c r="F21" s="1074"/>
      <c r="G21" s="1553"/>
      <c r="H21" s="1074"/>
      <c r="I21" s="1553"/>
      <c r="J21" s="1074"/>
      <c r="K21" s="1554"/>
      <c r="L21" s="1555"/>
      <c r="M21" s="1556"/>
      <c r="N21" s="1557"/>
      <c r="O21" s="1558"/>
      <c r="P21" s="1515" t="n">
        <f aca="false">IF(BQ21=0,0,BN21/BQ21)</f>
        <v>0</v>
      </c>
      <c r="Q21" s="1516" t="n">
        <f aca="false">(D21*F21/324)*(1+K$65)+BB21</f>
        <v>0</v>
      </c>
      <c r="R21" s="1517" t="n">
        <f aca="false">IF(D21=0,0,S21/D21)</f>
        <v>0</v>
      </c>
      <c r="S21" s="1518" t="e">
        <f aca="false">SUM(CM21-DE21)*(1+M$45)</f>
        <v>#DIV/0!</v>
      </c>
      <c r="T21" s="1519" t="n">
        <f aca="false">CF21+CG21+CH21</f>
        <v>0</v>
      </c>
      <c r="U21" s="1520" t="n">
        <f aca="false">IF(P21-(D21*0.35)&lt;0,0,P21-(D21*0.35))</f>
        <v>0</v>
      </c>
      <c r="V21" s="1521" t="n">
        <f aca="false">IF(D21="",0,IF(D21/-30+Q21&lt;1,0,D21/-30+Q21))</f>
        <v>0</v>
      </c>
      <c r="W21" s="1559"/>
      <c r="X21" s="1560"/>
      <c r="Y21" s="1559"/>
      <c r="Z21" s="1577"/>
      <c r="AA21" s="1559"/>
      <c r="AB21" s="1577"/>
      <c r="AC21" s="1562"/>
      <c r="AD21" s="1560"/>
      <c r="AE21" s="1559"/>
      <c r="AF21" s="1563"/>
      <c r="AG21" s="1564"/>
      <c r="AH21" s="1563"/>
      <c r="AI21" s="1565"/>
      <c r="AJ21" s="1560"/>
      <c r="AK21" s="1565"/>
      <c r="AL21" s="1563"/>
      <c r="AM21" s="1559"/>
      <c r="AN21" s="1578"/>
      <c r="AO21" s="1559"/>
      <c r="AP21" s="1577"/>
      <c r="AQ21" s="654"/>
      <c r="AR21" s="1533" t="str">
        <f aca="false">IF(W21="","",LOOKUP(W21,$B$49:$B$59,$R$49:$R$59)*X21)</f>
        <v/>
      </c>
      <c r="AS21" s="1430" t="str">
        <f aca="false">IF(Y21="","",LOOKUP(Y21,$B$49:$B$59,$R$49:$R$59)*Z21)</f>
        <v/>
      </c>
      <c r="AT21" s="1430" t="str">
        <f aca="false">IF(AB21="","",LOOKUP(AA21,$B$49:$B$59,$R$49:$R$59)*AB21)</f>
        <v/>
      </c>
      <c r="AU21" s="1430" t="str">
        <f aca="false">IF(AC21="","",LOOKUP(AC21,$B$49:$B$59,$R$49:$R$59)*AD21)</f>
        <v/>
      </c>
      <c r="AV21" s="1430" t="str">
        <f aca="false">IF(AE21="","",LOOKUP(AE21,$B$49:$B$59,$R$49:$R$59)*AF21)</f>
        <v/>
      </c>
      <c r="AW21" s="1430" t="str">
        <f aca="false">IF(AG21="","",LOOKUP(AG21,$B$49:$B$59,$R$49:$R$59)*AH21)</f>
        <v/>
      </c>
      <c r="AX21" s="1430" t="str">
        <f aca="false">IF(AI21="","",LOOKUP(AI21,$B$49:$B$59,$R$49:$R$59)*AJ21)</f>
        <v/>
      </c>
      <c r="AY21" s="1430" t="str">
        <f aca="false">IF(AK21="","",LOOKUP(AK21,$B$49:$B$59,$R$49:$R$59)*AL21)</f>
        <v/>
      </c>
      <c r="AZ21" s="1430" t="str">
        <f aca="false">IF(AM21="","",LOOKUP(AM21,$B$49:$B$59,$R$49:$R$59)*AN21)</f>
        <v/>
      </c>
      <c r="BA21" s="1430" t="str">
        <f aca="false">IF(AO21="","",LOOKUP(AO21,$B$49:$B$59,$R$49:$R$59)*AP21)</f>
        <v/>
      </c>
      <c r="BB21" s="1535" t="n">
        <f aca="false">SUM(AR21:BA21)</f>
        <v>0</v>
      </c>
      <c r="BC21" s="1533" t="str">
        <f aca="false">IF(W21="","",LOOKUP(W21,$B$49:$B$59,$P$49:$P$59)*X21)</f>
        <v/>
      </c>
      <c r="BD21" s="1430" t="str">
        <f aca="false">IF(Y21="","",LOOKUP(Y21,$B$49:$B$59,$P$49:$P$59)*Z21)</f>
        <v/>
      </c>
      <c r="BE21" s="1430" t="str">
        <f aca="false">IF(AA21="","",LOOKUP(AA21,$B$49:$B$59,$P$49:$P$59)*AB21)</f>
        <v/>
      </c>
      <c r="BF21" s="1430" t="str">
        <f aca="false">IF(AC21="","",LOOKUP(AC21,$B$49:$B$59,$P$49:$P$59)*AD21)</f>
        <v/>
      </c>
      <c r="BG21" s="1430" t="str">
        <f aca="false">IF(AE21="","",LOOKUP(AE21,$B$49:$B$59,$P$49:$P$59)*AF21)</f>
        <v/>
      </c>
      <c r="BH21" s="1430" t="str">
        <f aca="false">IF(AG21="","",LOOKUP(AG21,$B$49:$B$59,$P$49:$P$59)*AH21)</f>
        <v/>
      </c>
      <c r="BI21" s="1430" t="str">
        <f aca="false">IF(AI21="","",LOOKUP(AI21,$B$49:$B$59,$P$49:$P$59)*AJ21)</f>
        <v/>
      </c>
      <c r="BJ21" s="1430" t="str">
        <f aca="false">IF(AK21="","",LOOKUP(AK21,$B$49:$B$59,$P$49:$P$59)*AL21)</f>
        <v/>
      </c>
      <c r="BK21" s="1430" t="str">
        <f aca="false">IF(AM21="","",LOOKUP(AM21,$B$49:$B$59,$P$49:$P$59)*AN21)</f>
        <v/>
      </c>
      <c r="BL21" s="1430" t="str">
        <f aca="false">IF(AO21="","",LOOKUP(AO21,$B$49:$B$59,$P$49:$P$59)*AP21)</f>
        <v/>
      </c>
      <c r="BM21" s="1535" t="n">
        <f aca="false">SUM(BC21:BL21)*BQ21</f>
        <v>0</v>
      </c>
      <c r="BN21" s="1536" t="n">
        <f aca="false">BM21+BO21</f>
        <v>0</v>
      </c>
      <c r="BO21" s="1536" t="n">
        <f aca="false">IF(M21=0,0,(M21/12+M21/12)/(M21/12*M21/12)*D21*((L21/16*L21/16)*10.6870159))*(1+K$70)*BQ21</f>
        <v>0</v>
      </c>
      <c r="BP21" s="1536" t="n">
        <f aca="false">IF(O21="Y",D21*(1+K$71)*BQ21,0)</f>
        <v>0</v>
      </c>
      <c r="BQ21" s="1538" t="n">
        <f aca="false">G21</f>
        <v>0</v>
      </c>
      <c r="BR21" s="1411" t="n">
        <f aca="false">IF(O21="y",D21,0)</f>
        <v>0</v>
      </c>
      <c r="BS21" s="1567" t="n">
        <f aca="false">IF($I21=1,$Q21,0)*BQ21</f>
        <v>0</v>
      </c>
      <c r="BT21" s="1536" t="n">
        <f aca="false">IF($I21=2,$Q21,0)*BQ21</f>
        <v>0</v>
      </c>
      <c r="BU21" s="1536" t="n">
        <f aca="false">IF($I21=3,$Q21,0)*BQ21</f>
        <v>0</v>
      </c>
      <c r="BV21" s="1536" t="n">
        <f aca="false">IF($I21=4,$Q21,0)*BQ21</f>
        <v>0</v>
      </c>
      <c r="BW21" s="1536" t="n">
        <f aca="false">IF($I21=5,$Q21,0)*BQ21</f>
        <v>0</v>
      </c>
      <c r="BX21" s="1536" t="n">
        <f aca="false">IF($I21=6,$Q21,0)*$BQ21</f>
        <v>0</v>
      </c>
      <c r="BY21" s="1536" t="n">
        <f aca="false">IF($I21=7,$Q21,0)*$BQ21</f>
        <v>0</v>
      </c>
      <c r="BZ21" s="1536" t="n">
        <f aca="false">IF($I21=8,$Q21,0)*$BQ21</f>
        <v>0</v>
      </c>
      <c r="CA21" s="1536" t="n">
        <f aca="false">IF($I21=9,$Q21,0)*$BQ21</f>
        <v>0</v>
      </c>
      <c r="CB21" s="1568" t="n">
        <f aca="false">IF($I21=10,$Q21,0)*$BQ21</f>
        <v>0</v>
      </c>
      <c r="CC21" s="1538" t="n">
        <f aca="false">SUM(BS21:BX21)</f>
        <v>0</v>
      </c>
      <c r="CD21" s="1538" t="n">
        <f aca="false">IF(H21="N",0,D21)*BQ21</f>
        <v>0</v>
      </c>
      <c r="CE21" s="1538" t="n">
        <f aca="false">K21*BQ21</f>
        <v>0</v>
      </c>
      <c r="CF21" s="1542" t="n">
        <f aca="false">ROUND(IF(W21="",0,LOOKUP(W21,B$49:B$59,D$49:D$59)*X21/12),0)</f>
        <v>0</v>
      </c>
      <c r="CG21" s="1542" t="n">
        <f aca="false">ROUND(IF(Y21="",0,LOOKUP(Y21,B$49:B$59,D$49:D$59)*Z21/12),0)</f>
        <v>0</v>
      </c>
      <c r="CH21" s="1542" t="n">
        <f aca="false">ROUND(IF(AA21="",0,LOOKUP(AA21,B$49:B$59,D$49:D$59)*AB21/12),0)</f>
        <v>0</v>
      </c>
      <c r="CI21" s="1538" t="n">
        <f aca="false">D21*BQ21</f>
        <v>0</v>
      </c>
      <c r="CJ21" s="1538" t="n">
        <f aca="false">D21*J21/324*(1+K$73)*G21</f>
        <v>0</v>
      </c>
      <c r="CK21" s="1538" t="str">
        <f aca="false">IF(N21="","",N21)</f>
        <v/>
      </c>
      <c r="CL21" s="1538" t="n">
        <f aca="false">P21*BQ21</f>
        <v>0</v>
      </c>
      <c r="CM21" s="1543" t="n">
        <f aca="false">IF(BQ21=0,0,SUM(CN21:DE21)/BQ21)</f>
        <v>0</v>
      </c>
      <c r="CN21" s="656" t="n">
        <f aca="false">(BS21*Pricing!F$3+BT21*Pricing!G$3+BU21*Pricing!H$3+BV21*Pricing!I$3+BW21*Pricing!J$3+BX21*Pricing!K$3+BY21*Pricing!L$3+BZ21*Pricing!M$3+CA21*Pricing!N$3+CB21*Pricing!O$3)*IF(W$44="N",(1+Y$44),1)</f>
        <v>0</v>
      </c>
      <c r="CO21" s="656" t="n">
        <f aca="false">BN21*G$70*IF(W$44="n",1+Y$44,1)</f>
        <v>0</v>
      </c>
      <c r="CP21" s="1544" t="n">
        <f aca="false">C21*D21</f>
        <v>0</v>
      </c>
      <c r="CQ21" s="656" t="n">
        <f aca="false">IF(I$79=0,0,D21*(SUM(O$79:P$82)+O$85)/I$79*BQ21)</f>
        <v>0</v>
      </c>
      <c r="CR21" s="656" t="n">
        <f aca="false">IF(CF21="",0,CF21*E$83)+IF(CG21="",0,CG21*E$83)+IF(CH21="",0,CH21*E$83)</f>
        <v>0</v>
      </c>
      <c r="CS21" s="656"/>
      <c r="CT21" s="1545" t="n">
        <f aca="false">(U21/2000)*E$87</f>
        <v>0</v>
      </c>
      <c r="CU21" s="656" t="n">
        <f aca="false">IF(I$79=0,0,D21*(O$88)/I$79*BQ21)</f>
        <v>0</v>
      </c>
      <c r="CV21" s="656" t="n">
        <f aca="false">IF(D$42=0,0,SUM(O$91:P$94)/D$42*D21)*BQ21</f>
        <v>0</v>
      </c>
      <c r="CW21" s="656" t="n">
        <f aca="false">IF(D$42=0,0,SUM(Z$66:Z$97)/D$42*D21*BQ21)</f>
        <v>0</v>
      </c>
      <c r="CX21" s="656" t="n">
        <f aca="false">IF(D$42=0,0,SUM(O$96:P$101)/D$42*D21)*BQ21</f>
        <v>0</v>
      </c>
      <c r="CY21" s="656" t="n">
        <f aca="false">IF(D$42=0,0,SUM(O$103:O$109)/D$42)*D21*BQ21</f>
        <v>0</v>
      </c>
      <c r="CZ21" s="656" t="n">
        <f aca="false">IF(I$79=0,0,IF(I$79=0,0,SUM(Z$98:Z$109)/I$79*D21))</f>
        <v>0</v>
      </c>
      <c r="DA21" s="656" t="n">
        <f aca="false">IF(J$72&gt;0,J$72/D$42*D21*G21,CD21*(G$72*IF(W$44="n",(1+Y$44),1)))</f>
        <v>0</v>
      </c>
      <c r="DB21" s="656" t="n">
        <f aca="false">IF(CK21="",0,CK21*E$86)</f>
        <v>0</v>
      </c>
      <c r="DC21" s="656" t="n">
        <f aca="false">BP21*G$71*IF(W$44="Y",1,1+Y$44)</f>
        <v>0</v>
      </c>
      <c r="DD21" s="656" t="n">
        <f aca="false">CJ21*G$73*IF(W$44="Y",1,1+Y$44)</f>
        <v>0</v>
      </c>
      <c r="DE21" s="1546" t="e">
        <f aca="false">O$110/I$79*D21</f>
        <v>#DIV/0!</v>
      </c>
      <c r="DF21" s="654" t="n">
        <f aca="false">IF(W21=1,X21*$AS$49,0)+IF(W21=2,X21*$AS$50,0)+IF(W21=3,X21*$AS$51,0)+IF(W21=4,X21*$AS$52,0)+IF(W21=5,X21*$AS$53,0)+IF(W21=6,X21*$AS$54)+IF(W21=7,X21*$AS$55)+IF(W21=8,X21*$AS$56)+IF(W21=9,X21*$AS$57)+IF(W21=10,X21*$AS$58)+IF(W21=11,X21*$AS$59,0)</f>
        <v>0</v>
      </c>
      <c r="DG21" s="654" t="n">
        <f aca="false">IF(Y21=1,Z21*$AS$49,0)+IF(Y21=2,Z21*$AS$50,0)+IF(Y21=3,Z21*$AS$51,0)+IF(Y21=4,Z21*$AS$52,0)+IF(Y21=5,Z21*$AS$53,0)+IF(Y21=6,Z21*$AS$54)+IF(Y21=7,Z21*$AS$55)+IF(Y21=8,Z21*$AS$56)+IF(Y21=9,Z21*$AS$57)+IF(Y21=10,Z21*$AS$58)+IF(Y21=11,Z21*$AS$59,0)</f>
        <v>0</v>
      </c>
      <c r="DH21" s="654" t="n">
        <f aca="false">IF(AA21=1,AB21*$AS$49,0)+IF(AA21=2,AB21*$AS$50,0)+IF(AA21=3,AB21*$AS$51,0)+IF(AA21=4,AB21*$AS$52,0)+IF(AA21=5,AB21*$AS$53,0)+IF(AA21=6,AB21*$AS$54)+IF(AA21=7,AB21*$AS$55)+IF(AA21=8,AB21*$AS$56)+IF(AA21=9,AB21*$AS$57)+IF(AA21=10,AB21*$AS$58)+IF(AA21=11,AB21*$AS$59,0)</f>
        <v>0</v>
      </c>
      <c r="DI21" s="654" t="n">
        <f aca="false">IF(AC21=1,AD21*$AS$49,0)+IF(AC21=2,AD21*$AS$50,0)+IF(AC21=3,AD21*$AS$51,0)+IF(AC21=4,AD21*$AS$52,0)+IF(AC21=5,AD21*$AS$53,0)+IF(AC21=6,AD21*$AS$54)+IF(AC21=7,AD21*$AS$55)+IF(AC21=8,AD21*$AS$56)+IF(AC21=9,AD21*$AS$57)+IF(AC21=10,AD21*$AS$58)+IF(AC21=11,AD21*$AS$59,0)</f>
        <v>0</v>
      </c>
      <c r="DJ21" s="654" t="n">
        <f aca="false">IF(AE21=1,AF21*$AS$49,0)+IF(AE21=2,AF21*$AS$50,0)+IF(AE21=3,AF21*$AS$51,0)+IF(AE21=4,AF21*$AS$52,0)+IF(AE21=5,AF21*$AS$53,0)+IF(AE21=6,AF21*$AS$54)+IF(AE21=7,AF21*$AS$55)+IF(AE21=8,AF21*$AS$56)+IF(AE21=9,AF21*$AS$57)+IF(AE21=10,AF21*$AS$58)+IF(AE21=11,AF21*$AS$59,0)</f>
        <v>0</v>
      </c>
      <c r="DK21" s="654" t="n">
        <f aca="false">IF(AG21=1,AH21*$AS$49,0)+IF(AG21=2,AH21*$AS$50,0)+IF(AG21=3,AH21*$AS$51,0)+IF(AG21=4,AH21*$AS$52,0)+IF(AG21=5,AH21*$AS$53,0)+IF(AG21=6,AH21*$AS$54)+IF(AG21=7,AH21*$AS$55)+IF(AG21=8,AH21*$AS$56)+IF(AG21=9,AH21*$AS$57)+IF(AG21=10,AH21*$AS$58)+IF(AG21=11,AH21*$AS$59,0)</f>
        <v>0</v>
      </c>
      <c r="DL21" s="654" t="n">
        <f aca="false">IF(AI21=1,AJ21*$AS$49,0)+IF(AI21=2,AJ21*$AS$50,0)+IF(AI21=3,AJ21*$AS$51,0)+IF(AI21=4,AJ21*$AS$52,0)+IF(AI21=5,AJ21*$AS$53,0)+IF(AI21=6,AJ21*$AS$54)+IF(AI21=7,AJ21*$AS$55)+IF(AI21=8,AJ21*$AS$56)+IF(AI21=9,AJ21*$AS$57)+IF(AI21=10,AJ21*$AS$58)+IF(AI21=11,AJ21*$AS$59,0)</f>
        <v>0</v>
      </c>
      <c r="DM21" s="654" t="n">
        <f aca="false">IF(AK21=1,AL21*$AS$49,0)+IF(AK21=2,AL21*$AS$50,0)+IF(AK21=3,AL21*$AS$51,0)+IF(AK21=4,AL21*$AS$52,0)+IF(AK21=5,AL21*$AS$53,0)+IF(AK21=6,AL21*$AS$54)+IF(AK21=7,AL21*$AS$55)+IF(AK21=8,AL21*$AS$56)+IF(AK21=9,AL21*$AS$57)+IF(AK21=10,AL21*$AS$58)+IF(AK21=11,AL21*$AS$59,0)</f>
        <v>0</v>
      </c>
      <c r="DN21" s="654" t="n">
        <f aca="false">IF(AM21=1,AN21*$AS$49,0)+IF(AM21=2,AN21*$AS$50,0)+IF(AM21=3,AN21*$AS$51,0)+IF(AM21=4,AN21*$AS$52,0)+IF(AM21=5,AN21*$AS$53,0)+IF(AM21=6,AN21*$AS$54)+IF(AM21=7,AN21*$AS$55)+IF(AM21=8,AN21*$AS$56)+IF(AM21=9,AN21*$AS$57)+IF(AM21=10,AN21*$AS$58)+IF(AM21=11,AN21*$AS$59,0)</f>
        <v>0</v>
      </c>
      <c r="DO21" s="654" t="n">
        <f aca="false">IF(AO21=1,AP21*$AS$49,0)+IF(AO21=2,AP21*$AS$50,0)+IF(AO21=3,AP21*$AS$51,0)+IF(AO21=4,AP21*$AS$52,0)+IF(AO21=5,AP21*$AS$53,0)+IF(AO21=6,AP21*$AS$54)+IF(AO21=7,AP21*$AS$55)+IF(AO21=8,AP21*$AS$56)+IF(AO21=9,AP21*$AS$57)+IF(AO21=10,AP21*$AS$58)+IF(AO21=11,AP21*$AS$59,0)</f>
        <v>0</v>
      </c>
      <c r="DP21" s="1569" t="n">
        <f aca="false">D21</f>
        <v>0</v>
      </c>
    </row>
    <row r="22" customFormat="false" ht="19.5" hidden="false" customHeight="true" outlineLevel="0" collapsed="false">
      <c r="A22" s="16" t="s">
        <v>1078</v>
      </c>
      <c r="B22" s="920"/>
      <c r="C22" s="1506"/>
      <c r="D22" s="1507"/>
      <c r="E22" s="1508"/>
      <c r="F22" s="1074"/>
      <c r="G22" s="1553"/>
      <c r="H22" s="1074"/>
      <c r="I22" s="1553"/>
      <c r="J22" s="1074"/>
      <c r="K22" s="1583"/>
      <c r="L22" s="528"/>
      <c r="M22" s="895"/>
      <c r="N22" s="1513"/>
      <c r="O22" s="1514"/>
      <c r="P22" s="1515" t="n">
        <f aca="false">IF(BQ22=0,0,BN22/BQ22)</f>
        <v>0</v>
      </c>
      <c r="Q22" s="1516" t="n">
        <f aca="false">(D22*F22/324)*(1+K$65)+BB22</f>
        <v>0</v>
      </c>
      <c r="R22" s="1517" t="n">
        <f aca="false">IF(D22=0,0,S22/D22)</f>
        <v>0</v>
      </c>
      <c r="S22" s="1518" t="e">
        <f aca="false">SUM(CM22-DE22)*(1+M$45)</f>
        <v>#DIV/0!</v>
      </c>
      <c r="T22" s="1519" t="n">
        <f aca="false">CF22+CG22+CH22</f>
        <v>0</v>
      </c>
      <c r="U22" s="1520" t="n">
        <f aca="false">IF(P22-(D22*0.35)&lt;0,0,P22-(D22*0.35))</f>
        <v>0</v>
      </c>
      <c r="V22" s="1521" t="n">
        <f aca="false">IF(D22="",0,IF(D22/-30+Q22&lt;1,0,D22/-30+Q22))</f>
        <v>0</v>
      </c>
      <c r="W22" s="1511"/>
      <c r="X22" s="1526"/>
      <c r="Y22" s="528"/>
      <c r="Z22" s="1574"/>
      <c r="AA22" s="528"/>
      <c r="AB22" s="1574"/>
      <c r="AC22" s="1585"/>
      <c r="AD22" s="1526"/>
      <c r="AE22" s="528"/>
      <c r="AF22" s="1527"/>
      <c r="AG22" s="1531"/>
      <c r="AH22" s="1527"/>
      <c r="AI22" s="1859"/>
      <c r="AJ22" s="1530"/>
      <c r="AK22" s="1531"/>
      <c r="AL22" s="1527"/>
      <c r="AM22" s="528"/>
      <c r="AN22" s="1575"/>
      <c r="AO22" s="528"/>
      <c r="AP22" s="1574"/>
      <c r="AQ22" s="654"/>
      <c r="AR22" s="1533" t="str">
        <f aca="false">IF(W22="","",LOOKUP(W22,$B$49:$B$59,$R$49:$R$59)*X22)</f>
        <v/>
      </c>
      <c r="AS22" s="1430" t="str">
        <f aca="false">IF(Y22="","",LOOKUP(Y22,$B$49:$B$59,$R$49:$R$59)*Z22)</f>
        <v/>
      </c>
      <c r="AT22" s="1430" t="str">
        <f aca="false">IF(AB22="","",LOOKUP(AA22,$B$49:$B$59,$R$49:$R$59)*AB22)</f>
        <v/>
      </c>
      <c r="AU22" s="1430" t="str">
        <f aca="false">IF(AC22="","",LOOKUP(AC22,$B$49:$B$59,$R$49:$R$59)*AD22)</f>
        <v/>
      </c>
      <c r="AV22" s="1430" t="str">
        <f aca="false">IF(AE22="","",LOOKUP(AE22,$B$49:$B$59,$R$49:$R$59)*AF22)</f>
        <v/>
      </c>
      <c r="AW22" s="1430" t="str">
        <f aca="false">IF(AG22="","",LOOKUP(AG22,$B$49:$B$59,$R$49:$R$59)*AH22)</f>
        <v/>
      </c>
      <c r="AX22" s="1430" t="str">
        <f aca="false">IF(AI22="","",LOOKUP(AI22,$B$49:$B$59,$R$49:$R$59)*AJ22)</f>
        <v/>
      </c>
      <c r="AY22" s="1430" t="str">
        <f aca="false">IF(AK22="","",LOOKUP(AK22,$B$49:$B$59,$R$49:$R$59)*AL22)</f>
        <v/>
      </c>
      <c r="AZ22" s="1430" t="str">
        <f aca="false">IF(AM22="","",LOOKUP(AM22,$B$49:$B$59,$R$49:$R$59)*AN22)</f>
        <v/>
      </c>
      <c r="BA22" s="1430" t="str">
        <f aca="false">IF(AO22="","",LOOKUP(AO22,$B$49:$B$59,$R$49:$R$59)*AP22)</f>
        <v/>
      </c>
      <c r="BB22" s="1535" t="n">
        <f aca="false">SUM(AR22:BA22)</f>
        <v>0</v>
      </c>
      <c r="BC22" s="1533" t="str">
        <f aca="false">IF(W22="","",LOOKUP(W22,$B$49:$B$59,$P$49:$P$59)*X22)</f>
        <v/>
      </c>
      <c r="BD22" s="1430" t="str">
        <f aca="false">IF(Y22="","",LOOKUP(Y22,$B$49:$B$59,$P$49:$P$59)*Z22)</f>
        <v/>
      </c>
      <c r="BE22" s="1430" t="str">
        <f aca="false">IF(AA22="","",LOOKUP(AA22,$B$49:$B$59,$P$49:$P$59)*AB22)</f>
        <v/>
      </c>
      <c r="BF22" s="1430" t="str">
        <f aca="false">IF(AC22="","",LOOKUP(AC22,$B$49:$B$59,$P$49:$P$59)*AD22)</f>
        <v/>
      </c>
      <c r="BG22" s="1430" t="str">
        <f aca="false">IF(AE22="","",LOOKUP(AE22,$B$49:$B$59,$P$49:$P$59)*AF22)</f>
        <v/>
      </c>
      <c r="BH22" s="1430" t="str">
        <f aca="false">IF(AG22="","",LOOKUP(AG22,$B$49:$B$59,$P$49:$P$59)*AH22)</f>
        <v/>
      </c>
      <c r="BI22" s="1430" t="str">
        <f aca="false">IF(AI22="","",LOOKUP(AI22,$B$49:$B$59,$P$49:$P$59)*AJ22)</f>
        <v/>
      </c>
      <c r="BJ22" s="1430" t="str">
        <f aca="false">IF(AK22="","",LOOKUP(AK22,$B$49:$B$59,$P$49:$P$59)*AL22)</f>
        <v/>
      </c>
      <c r="BK22" s="1430" t="str">
        <f aca="false">IF(AM22="","",LOOKUP(AM22,$B$49:$B$59,$P$49:$P$59)*AN22)</f>
        <v/>
      </c>
      <c r="BL22" s="1430" t="str">
        <f aca="false">IF(AO22="","",LOOKUP(AO22,$B$49:$B$59,$P$49:$P$59)*AP22)</f>
        <v/>
      </c>
      <c r="BM22" s="1535" t="n">
        <f aca="false">SUM(BC22:BL22)*BQ22</f>
        <v>0</v>
      </c>
      <c r="BN22" s="1536" t="n">
        <f aca="false">BM22+BO22</f>
        <v>0</v>
      </c>
      <c r="BO22" s="1536" t="n">
        <f aca="false">IF(M22=0,0,(M22/12+M22/12)/(M22/12*M22/12)*D22*((L22/16*L22/16)*10.6870159))*(1+K$70)*BQ22</f>
        <v>0</v>
      </c>
      <c r="BP22" s="1536" t="n">
        <f aca="false">IF(O22="Y",D22*(1+K$71)*BQ22,0)</f>
        <v>0</v>
      </c>
      <c r="BQ22" s="1538" t="n">
        <f aca="false">G22</f>
        <v>0</v>
      </c>
      <c r="BR22" s="1411" t="n">
        <f aca="false">IF(O22="y",D22,0)</f>
        <v>0</v>
      </c>
      <c r="BS22" s="1567" t="n">
        <f aca="false">IF($I22=1,$Q22,0)*BQ22</f>
        <v>0</v>
      </c>
      <c r="BT22" s="1536" t="n">
        <f aca="false">IF($I22=2,$Q22,0)*BQ22</f>
        <v>0</v>
      </c>
      <c r="BU22" s="1536" t="n">
        <f aca="false">IF($I22=3,$Q22,0)*BQ22</f>
        <v>0</v>
      </c>
      <c r="BV22" s="1536" t="n">
        <f aca="false">IF($I22=4,$Q22,0)*BQ22</f>
        <v>0</v>
      </c>
      <c r="BW22" s="1536" t="n">
        <f aca="false">IF($I22=5,$Q22,0)*BQ22</f>
        <v>0</v>
      </c>
      <c r="BX22" s="1536" t="n">
        <f aca="false">IF($I22=6,$Q22,0)*$BQ22</f>
        <v>0</v>
      </c>
      <c r="BY22" s="1536" t="n">
        <f aca="false">IF($I22=7,$Q22,0)*$BQ22</f>
        <v>0</v>
      </c>
      <c r="BZ22" s="1536" t="n">
        <f aca="false">IF($I22=8,$Q22,0)*$BQ22</f>
        <v>0</v>
      </c>
      <c r="CA22" s="1536" t="n">
        <f aca="false">IF($I22=9,$Q22,0)*$BQ22</f>
        <v>0</v>
      </c>
      <c r="CB22" s="1568" t="n">
        <f aca="false">IF($I22=10,$Q22,0)*$BQ22</f>
        <v>0</v>
      </c>
      <c r="CC22" s="1538" t="n">
        <f aca="false">SUM(BS22:BX22)</f>
        <v>0</v>
      </c>
      <c r="CD22" s="1538" t="n">
        <f aca="false">IF(H22="N",0,D22)*BQ22</f>
        <v>0</v>
      </c>
      <c r="CE22" s="1538" t="n">
        <f aca="false">K22*BQ22</f>
        <v>0</v>
      </c>
      <c r="CF22" s="1542" t="n">
        <f aca="false">ROUND(IF(W22="",0,LOOKUP(W22,B$49:B$59,D$49:D$59)*X22/12),0)</f>
        <v>0</v>
      </c>
      <c r="CG22" s="1542" t="n">
        <f aca="false">ROUND(IF(Y22="",0,LOOKUP(Y22,B$49:B$59,D$49:D$59)*Z22/12),0)</f>
        <v>0</v>
      </c>
      <c r="CH22" s="1542" t="n">
        <f aca="false">ROUND(IF(AA22="",0,LOOKUP(AA22,B$49:B$59,D$49:D$59)*AB22/12),0)</f>
        <v>0</v>
      </c>
      <c r="CI22" s="1538" t="n">
        <f aca="false">D22*BQ22</f>
        <v>0</v>
      </c>
      <c r="CJ22" s="1538" t="n">
        <f aca="false">D22*J22/324*(1+K$73)*G22</f>
        <v>0</v>
      </c>
      <c r="CK22" s="1538" t="str">
        <f aca="false">IF(N22="","",N22)</f>
        <v/>
      </c>
      <c r="CL22" s="1538" t="n">
        <f aca="false">P22*BQ22</f>
        <v>0</v>
      </c>
      <c r="CM22" s="1543" t="n">
        <f aca="false">IF(BQ22=0,0,SUM(CN22:DE22)/BQ22)</f>
        <v>0</v>
      </c>
      <c r="CN22" s="656" t="n">
        <f aca="false">(BS22*Pricing!F$3+BT22*Pricing!G$3+BU22*Pricing!H$3+BV22*Pricing!I$3+BW22*Pricing!J$3+BX22*Pricing!K$3+BY22*Pricing!L$3+BZ22*Pricing!M$3+CA22*Pricing!N$3+CB22*Pricing!O$3)*IF(W$44="N",(1+Y$44),1)</f>
        <v>0</v>
      </c>
      <c r="CO22" s="656" t="n">
        <f aca="false">BN22*G$70*IF(W$44="n",1+Y$44,1)</f>
        <v>0</v>
      </c>
      <c r="CP22" s="1544" t="n">
        <f aca="false">C22*D22</f>
        <v>0</v>
      </c>
      <c r="CQ22" s="656" t="n">
        <f aca="false">IF(I$79=0,0,D22*(SUM(O$79:P$82)+O$85)/I$79*BQ22)</f>
        <v>0</v>
      </c>
      <c r="CR22" s="656" t="n">
        <f aca="false">IF(CF22="",0,CF22*E$83)+IF(CG22="",0,CG22*E$83)+IF(CH22="",0,CH22*E$83)</f>
        <v>0</v>
      </c>
      <c r="CS22" s="656"/>
      <c r="CT22" s="1545" t="n">
        <f aca="false">(U22/2000)*E$87</f>
        <v>0</v>
      </c>
      <c r="CU22" s="656" t="n">
        <f aca="false">IF(I$79=0,0,D22*(O$88)/I$79*BQ22)</f>
        <v>0</v>
      </c>
      <c r="CV22" s="656" t="n">
        <f aca="false">IF(D$42=0,0,SUM(O$91:P$94)/D$42*D22)*BQ22</f>
        <v>0</v>
      </c>
      <c r="CW22" s="656" t="n">
        <f aca="false">IF(D$42=0,0,SUM(Z$66:Z$97)/D$42*D22*BQ22)</f>
        <v>0</v>
      </c>
      <c r="CX22" s="656" t="n">
        <f aca="false">IF(D$42=0,0,SUM(O$96:P$101)/D$42*D22)*BQ22</f>
        <v>0</v>
      </c>
      <c r="CY22" s="656" t="n">
        <f aca="false">IF(D$42=0,0,SUM(O$103:O$109)/D$42)*D22*BQ22</f>
        <v>0</v>
      </c>
      <c r="CZ22" s="656" t="n">
        <f aca="false">IF(I$79=0,0,IF(I$79=0,0,SUM(Z$98:Z$109)/I$79*D22))</f>
        <v>0</v>
      </c>
      <c r="DA22" s="656" t="n">
        <f aca="false">IF(J$72&gt;0,J$72/D$42*D22*G22,CD22*(G$72*IF(W$44="n",(1+Y$44),1)))</f>
        <v>0</v>
      </c>
      <c r="DB22" s="656" t="n">
        <f aca="false">IF(CK22="",0,CK22*E$86)</f>
        <v>0</v>
      </c>
      <c r="DC22" s="656" t="n">
        <f aca="false">BP22*G$71*IF(W$44="Y",1,1+Y$44)</f>
        <v>0</v>
      </c>
      <c r="DD22" s="656" t="n">
        <f aca="false">CJ22*G$73*IF(W$44="Y",1,1+Y$44)</f>
        <v>0</v>
      </c>
      <c r="DE22" s="1546" t="e">
        <f aca="false">O$110/I$79*D22</f>
        <v>#DIV/0!</v>
      </c>
      <c r="DF22" s="654" t="n">
        <f aca="false">IF(W22=1,X22*$AS$49,0)+IF(W22=2,X22*$AS$50,0)+IF(W22=3,X22*$AS$51,0)+IF(W22=4,X22*$AS$52,0)+IF(W22=5,X22*$AS$53,0)+IF(W22=6,X22*$AS$54)+IF(W22=7,X22*$AS$55)+IF(W22=8,X22*$AS$56)+IF(W22=9,X22*$AS$57)+IF(W22=10,X22*$AS$58)+IF(W22=11,X22*$AS$59,0)</f>
        <v>0</v>
      </c>
      <c r="DG22" s="654" t="n">
        <f aca="false">IF(Y22=1,Z22*$AS$49,0)+IF(Y22=2,Z22*$AS$50,0)+IF(Y22=3,Z22*$AS$51,0)+IF(Y22=4,Z22*$AS$52,0)+IF(Y22=5,Z22*$AS$53,0)+IF(Y22=6,Z22*$AS$54)+IF(Y22=7,Z22*$AS$55)+IF(Y22=8,Z22*$AS$56)+IF(Y22=9,Z22*$AS$57)+IF(Y22=10,Z22*$AS$58)+IF(Y22=11,Z22*$AS$59,0)</f>
        <v>0</v>
      </c>
      <c r="DH22" s="654" t="n">
        <f aca="false">IF(AA22=1,AB22*$AS$49,0)+IF(AA22=2,AB22*$AS$50,0)+IF(AA22=3,AB22*$AS$51,0)+IF(AA22=4,AB22*$AS$52,0)+IF(AA22=5,AB22*$AS$53,0)+IF(AA22=6,AB22*$AS$54)+IF(AA22=7,AB22*$AS$55)+IF(AA22=8,AB22*$AS$56)+IF(AA22=9,AB22*$AS$57)+IF(AA22=10,AB22*$AS$58)+IF(AA22=11,AB22*$AS$59,0)</f>
        <v>0</v>
      </c>
      <c r="DI22" s="654" t="n">
        <f aca="false">IF(AC22=1,AD22*$AS$49,0)+IF(AC22=2,AD22*$AS$50,0)+IF(AC22=3,AD22*$AS$51,0)+IF(AC22=4,AD22*$AS$52,0)+IF(AC22=5,AD22*$AS$53,0)+IF(AC22=6,AD22*$AS$54)+IF(AC22=7,AD22*$AS$55)+IF(AC22=8,AD22*$AS$56)+IF(AC22=9,AD22*$AS$57)+IF(AC22=10,AD22*$AS$58)+IF(AC22=11,AD22*$AS$59,0)</f>
        <v>0</v>
      </c>
      <c r="DJ22" s="654" t="n">
        <f aca="false">IF(AE22=1,AF22*$AS$49,0)+IF(AE22=2,AF22*$AS$50,0)+IF(AE22=3,AF22*$AS$51,0)+IF(AE22=4,AF22*$AS$52,0)+IF(AE22=5,AF22*$AS$53,0)+IF(AE22=6,AF22*$AS$54)+IF(AE22=7,AF22*$AS$55)+IF(AE22=8,AF22*$AS$56)+IF(AE22=9,AF22*$AS$57)+IF(AE22=10,AF22*$AS$58)+IF(AE22=11,AF22*$AS$59,0)</f>
        <v>0</v>
      </c>
      <c r="DK22" s="654" t="n">
        <f aca="false">IF(AG22=1,AH22*$AS$49,0)+IF(AG22=2,AH22*$AS$50,0)+IF(AG22=3,AH22*$AS$51,0)+IF(AG22=4,AH22*$AS$52,0)+IF(AG22=5,AH22*$AS$53,0)+IF(AG22=6,AH22*$AS$54)+IF(AG22=7,AH22*$AS$55)+IF(AG22=8,AH22*$AS$56)+IF(AG22=9,AH22*$AS$57)+IF(AG22=10,AH22*$AS$58)+IF(AG22=11,AH22*$AS$59,0)</f>
        <v>0</v>
      </c>
      <c r="DL22" s="654" t="n">
        <f aca="false">IF(AI22=1,AJ22*$AS$49,0)+IF(AI22=2,AJ22*$AS$50,0)+IF(AI22=3,AJ22*$AS$51,0)+IF(AI22=4,AJ22*$AS$52,0)+IF(AI22=5,AJ22*$AS$53,0)+IF(AI22=6,AJ22*$AS$54)+IF(AI22=7,AJ22*$AS$55)+IF(AI22=8,AJ22*$AS$56)+IF(AI22=9,AJ22*$AS$57)+IF(AI22=10,AJ22*$AS$58)+IF(AI22=11,AJ22*$AS$59,0)</f>
        <v>0</v>
      </c>
      <c r="DM22" s="654" t="n">
        <f aca="false">IF(AK22=1,AL22*$AS$49,0)+IF(AK22=2,AL22*$AS$50,0)+IF(AK22=3,AL22*$AS$51,0)+IF(AK22=4,AL22*$AS$52,0)+IF(AK22=5,AL22*$AS$53,0)+IF(AK22=6,AL22*$AS$54)+IF(AK22=7,AL22*$AS$55)+IF(AK22=8,AL22*$AS$56)+IF(AK22=9,AL22*$AS$57)+IF(AK22=10,AL22*$AS$58)+IF(AK22=11,AL22*$AS$59,0)</f>
        <v>0</v>
      </c>
      <c r="DN22" s="654" t="n">
        <f aca="false">IF(AM22=1,AN22*$AS$49,0)+IF(AM22=2,AN22*$AS$50,0)+IF(AM22=3,AN22*$AS$51,0)+IF(AM22=4,AN22*$AS$52,0)+IF(AM22=5,AN22*$AS$53,0)+IF(AM22=6,AN22*$AS$54)+IF(AM22=7,AN22*$AS$55)+IF(AM22=8,AN22*$AS$56)+IF(AM22=9,AN22*$AS$57)+IF(AM22=10,AN22*$AS$58)+IF(AM22=11,AN22*$AS$59,0)</f>
        <v>0</v>
      </c>
      <c r="DO22" s="654" t="n">
        <f aca="false">IF(AO22=1,AP22*$AS$49,0)+IF(AO22=2,AP22*$AS$50,0)+IF(AO22=3,AP22*$AS$51,0)+IF(AO22=4,AP22*$AS$52,0)+IF(AO22=5,AP22*$AS$53,0)+IF(AO22=6,AP22*$AS$54)+IF(AO22=7,AP22*$AS$55)+IF(AO22=8,AP22*$AS$56)+IF(AO22=9,AP22*$AS$57)+IF(AO22=10,AP22*$AS$58)+IF(AO22=11,AP22*$AS$59,0)</f>
        <v>0</v>
      </c>
      <c r="DP22" s="1569" t="n">
        <f aca="false">D22</f>
        <v>0</v>
      </c>
    </row>
    <row r="23" customFormat="false" ht="19.5" hidden="false" customHeight="true" outlineLevel="0" collapsed="false">
      <c r="A23" s="16" t="s">
        <v>1328</v>
      </c>
      <c r="B23" s="1549"/>
      <c r="C23" s="1550"/>
      <c r="D23" s="1551"/>
      <c r="E23" s="1552"/>
      <c r="F23" s="1074"/>
      <c r="G23" s="1553"/>
      <c r="H23" s="1074"/>
      <c r="I23" s="1553"/>
      <c r="J23" s="1074"/>
      <c r="K23" s="1583"/>
      <c r="L23" s="1555"/>
      <c r="M23" s="1556"/>
      <c r="N23" s="1557"/>
      <c r="O23" s="1558"/>
      <c r="P23" s="1515" t="n">
        <f aca="false">IF(BQ23=0,0,BN23/BQ23)</f>
        <v>0</v>
      </c>
      <c r="Q23" s="1516" t="n">
        <f aca="false">(D23*F23/324)*(1+K$65)+BB23</f>
        <v>0</v>
      </c>
      <c r="R23" s="1517" t="n">
        <f aca="false">IF(D23=0,0,S23/D23)</f>
        <v>0</v>
      </c>
      <c r="S23" s="1518" t="e">
        <f aca="false">SUM(CM23-DE23)*(1+M$45)</f>
        <v>#DIV/0!</v>
      </c>
      <c r="T23" s="1519" t="n">
        <f aca="false">CF23+CG23+CH23</f>
        <v>0</v>
      </c>
      <c r="U23" s="1520" t="n">
        <f aca="false">IF(P23-(D23*0.35)&lt;0,0,P23-(D23*0.35))</f>
        <v>0</v>
      </c>
      <c r="V23" s="1521" t="n">
        <f aca="false">IF(D23="",0,IF(D23/-30+Q23&lt;1,0,D23/-30+Q23))</f>
        <v>0</v>
      </c>
      <c r="W23" s="1559"/>
      <c r="X23" s="1560"/>
      <c r="Y23" s="1559"/>
      <c r="Z23" s="1561"/>
      <c r="AA23" s="1559"/>
      <c r="AB23" s="1561"/>
      <c r="AC23" s="1562"/>
      <c r="AD23" s="1560"/>
      <c r="AE23" s="1559"/>
      <c r="AF23" s="1563"/>
      <c r="AG23" s="1564"/>
      <c r="AH23" s="1563"/>
      <c r="AI23" s="1565"/>
      <c r="AJ23" s="1560"/>
      <c r="AK23" s="1565"/>
      <c r="AL23" s="1581"/>
      <c r="AM23" s="1559"/>
      <c r="AN23" s="1566"/>
      <c r="AO23" s="1559"/>
      <c r="AP23" s="1561"/>
      <c r="AQ23" s="654"/>
      <c r="AR23" s="1533" t="str">
        <f aca="false">IF(W23="","",LOOKUP(W23,$B$49:$B$59,$R$49:$R$59)*X23)</f>
        <v/>
      </c>
      <c r="AS23" s="1430" t="str">
        <f aca="false">IF(Y23="","",LOOKUP(Y23,$B$49:$B$59,$R$49:$R$59)*Z23)</f>
        <v/>
      </c>
      <c r="AT23" s="1430" t="str">
        <f aca="false">IF(AB23="","",LOOKUP(AA23,$B$49:$B$59,$R$49:$R$59)*AB23)</f>
        <v/>
      </c>
      <c r="AU23" s="1430" t="str">
        <f aca="false">IF(AC23="","",LOOKUP(AC23,$B$49:$B$59,$R$49:$R$59)*AD23)</f>
        <v/>
      </c>
      <c r="AV23" s="1430" t="str">
        <f aca="false">IF(AE23="","",LOOKUP(AE23,$B$49:$B$59,$R$49:$R$59)*AF23)</f>
        <v/>
      </c>
      <c r="AW23" s="1430" t="str">
        <f aca="false">IF(AG23="","",LOOKUP(AG23,$B$49:$B$59,$R$49:$R$59)*AH23)</f>
        <v/>
      </c>
      <c r="AX23" s="1430" t="str">
        <f aca="false">IF(AI23="","",LOOKUP(AI23,$B$49:$B$59,$R$49:$R$59)*AJ23)</f>
        <v/>
      </c>
      <c r="AY23" s="1430" t="str">
        <f aca="false">IF(AK23="","",LOOKUP(AK23,$B$49:$B$59,$R$49:$R$59)*AL23)</f>
        <v/>
      </c>
      <c r="AZ23" s="1430" t="str">
        <f aca="false">IF(AM23="","",LOOKUP(AM23,$B$49:$B$59,$R$49:$R$59)*AN23)</f>
        <v/>
      </c>
      <c r="BA23" s="1430" t="str">
        <f aca="false">IF(AO23="","",LOOKUP(AO23,$B$49:$B$59,$R$49:$R$59)*AP23)</f>
        <v/>
      </c>
      <c r="BB23" s="1535" t="n">
        <f aca="false">SUM(AR23:BA23)</f>
        <v>0</v>
      </c>
      <c r="BC23" s="1533" t="str">
        <f aca="false">IF(W23="","",LOOKUP(W23,$B$49:$B$59,$P$49:$P$59)*X23)</f>
        <v/>
      </c>
      <c r="BD23" s="1430" t="str">
        <f aca="false">IF(Y23="","",LOOKUP(Y23,$B$49:$B$59,$P$49:$P$59)*Z23)</f>
        <v/>
      </c>
      <c r="BE23" s="1430" t="str">
        <f aca="false">IF(AA23="","",LOOKUP(AA23,$B$49:$B$59,$P$49:$P$59)*AB23)</f>
        <v/>
      </c>
      <c r="BF23" s="1430" t="str">
        <f aca="false">IF(AC23="","",LOOKUP(AC23,$B$49:$B$59,$P$49:$P$59)*AD23)</f>
        <v/>
      </c>
      <c r="BG23" s="1430" t="str">
        <f aca="false">IF(AE23="","",LOOKUP(AE23,$B$49:$B$59,$P$49:$P$59)*AF23)</f>
        <v/>
      </c>
      <c r="BH23" s="1430" t="str">
        <f aca="false">IF(AG23="","",LOOKUP(AG23,$B$49:$B$59,$P$49:$P$59)*AH23)</f>
        <v/>
      </c>
      <c r="BI23" s="1430" t="str">
        <f aca="false">IF(AI23="","",LOOKUP(AI23,$B$49:$B$59,$P$49:$P$59)*AJ23)</f>
        <v/>
      </c>
      <c r="BJ23" s="1430" t="str">
        <f aca="false">IF(AK23="","",LOOKUP(AK23,$B$49:$B$59,$P$49:$P$59)*AL23)</f>
        <v/>
      </c>
      <c r="BK23" s="1430" t="str">
        <f aca="false">IF(AM23="","",LOOKUP(AM23,$B$49:$B$59,$P$49:$P$59)*AN23)</f>
        <v/>
      </c>
      <c r="BL23" s="1430" t="str">
        <f aca="false">IF(AO23="","",LOOKUP(AO23,$B$49:$B$59,$P$49:$P$59)*AP23)</f>
        <v/>
      </c>
      <c r="BM23" s="1535" t="n">
        <f aca="false">SUM(BC23:BL23)*BQ23</f>
        <v>0</v>
      </c>
      <c r="BN23" s="1536" t="n">
        <f aca="false">BM23+BO23</f>
        <v>0</v>
      </c>
      <c r="BO23" s="1536" t="n">
        <f aca="false">IF(M23=0,0,(M23/12+M23/12)/(M23/12*M23/12)*D23*((L23/16*L23/16)*10.6870159))*(1+K$70)*BQ23</f>
        <v>0</v>
      </c>
      <c r="BP23" s="1536" t="n">
        <f aca="false">IF(O23="Y",D23*(1+K$71)*BQ23,0)</f>
        <v>0</v>
      </c>
      <c r="BQ23" s="1538" t="n">
        <f aca="false">G23</f>
        <v>0</v>
      </c>
      <c r="BR23" s="1411" t="n">
        <f aca="false">IF(O23="y",D23,0)</f>
        <v>0</v>
      </c>
      <c r="BS23" s="1567" t="n">
        <f aca="false">IF($I23=1,$Q23,0)*BQ23</f>
        <v>0</v>
      </c>
      <c r="BT23" s="1536" t="n">
        <f aca="false">IF($I23=2,$Q23,0)*BQ23</f>
        <v>0</v>
      </c>
      <c r="BU23" s="1536" t="n">
        <f aca="false">IF($I23=3,$Q23,0)*BQ23</f>
        <v>0</v>
      </c>
      <c r="BV23" s="1536" t="n">
        <f aca="false">IF($I23=4,$Q23,0)*BQ23</f>
        <v>0</v>
      </c>
      <c r="BW23" s="1536" t="n">
        <f aca="false">IF($I23=5,$Q23,0)*BQ23</f>
        <v>0</v>
      </c>
      <c r="BX23" s="1536" t="n">
        <f aca="false">IF($I23=6,$Q23,0)*$BQ23</f>
        <v>0</v>
      </c>
      <c r="BY23" s="1536" t="n">
        <f aca="false">IF($I23=7,$Q23,0)*$BQ23</f>
        <v>0</v>
      </c>
      <c r="BZ23" s="1536" t="n">
        <f aca="false">IF($I23=8,$Q23,0)*$BQ23</f>
        <v>0</v>
      </c>
      <c r="CA23" s="1536" t="n">
        <f aca="false">IF($I23=9,$Q23,0)*$BQ23</f>
        <v>0</v>
      </c>
      <c r="CB23" s="1568" t="n">
        <f aca="false">IF($I23=10,$Q23,0)*$BQ23</f>
        <v>0</v>
      </c>
      <c r="CC23" s="1538" t="n">
        <f aca="false">SUM(BS23:BX23)</f>
        <v>0</v>
      </c>
      <c r="CD23" s="1538" t="n">
        <f aca="false">IF(H23="N",0,D23)*BQ23</f>
        <v>0</v>
      </c>
      <c r="CE23" s="1538" t="n">
        <f aca="false">K23*BQ23</f>
        <v>0</v>
      </c>
      <c r="CF23" s="1542" t="n">
        <f aca="false">ROUND(IF(W23="",0,LOOKUP(W23,B$49:B$59,D$49:D$59)*X23/12),0)</f>
        <v>0</v>
      </c>
      <c r="CG23" s="1542" t="n">
        <f aca="false">ROUND(IF(Y23="",0,LOOKUP(Y23,B$49:B$59,D$49:D$59)*Z23/12),0)</f>
        <v>0</v>
      </c>
      <c r="CH23" s="1542" t="n">
        <f aca="false">ROUND(IF(AA23="",0,LOOKUP(AA23,B$49:B$59,D$49:D$59)*AB23/12),0)</f>
        <v>0</v>
      </c>
      <c r="CI23" s="1538" t="n">
        <f aca="false">D23*BQ23</f>
        <v>0</v>
      </c>
      <c r="CJ23" s="1538" t="n">
        <f aca="false">D23*J23/324*(1+K$73)*G23</f>
        <v>0</v>
      </c>
      <c r="CK23" s="1538" t="str">
        <f aca="false">IF(N23="","",N23)</f>
        <v/>
      </c>
      <c r="CL23" s="1538" t="n">
        <f aca="false">P23*BQ23</f>
        <v>0</v>
      </c>
      <c r="CM23" s="1543" t="n">
        <f aca="false">IF(BQ23=0,0,SUM(CN23:DE23)/BQ23)</f>
        <v>0</v>
      </c>
      <c r="CN23" s="656" t="n">
        <f aca="false">(BS23*Pricing!F$3+BT23*Pricing!G$3+BU23*Pricing!H$3+BV23*Pricing!I$3+BW23*Pricing!J$3+BX23*Pricing!K$3+BY23*Pricing!L$3+BZ23*Pricing!M$3+CA23*Pricing!N$3+CB23*Pricing!O$3)*IF(W$44="N",(1+Y$44),1)</f>
        <v>0</v>
      </c>
      <c r="CO23" s="656" t="n">
        <f aca="false">BN23*G$70*IF(W$44="n",1+Y$44,1)</f>
        <v>0</v>
      </c>
      <c r="CP23" s="1544" t="n">
        <f aca="false">C23*D23</f>
        <v>0</v>
      </c>
      <c r="CQ23" s="656" t="n">
        <f aca="false">IF(I$79=0,0,D23*(SUM(O$79:P$82)+O$85)/I$79*BQ23)</f>
        <v>0</v>
      </c>
      <c r="CR23" s="656" t="n">
        <f aca="false">IF(CF23="",0,CF23*E$83)+IF(CG23="",0,CG23*E$83)+IF(CH23="",0,CH23*E$83)</f>
        <v>0</v>
      </c>
      <c r="CS23" s="656"/>
      <c r="CT23" s="1545" t="n">
        <f aca="false">(U23/2000)*E$87</f>
        <v>0</v>
      </c>
      <c r="CU23" s="656" t="n">
        <f aca="false">IF(I$79=0,0,D23*(O$88)/I$79*BQ23)</f>
        <v>0</v>
      </c>
      <c r="CV23" s="656" t="n">
        <f aca="false">IF(D$42=0,0,SUM(O$91:P$94)/D$42*D23)*BQ23</f>
        <v>0</v>
      </c>
      <c r="CW23" s="656" t="n">
        <f aca="false">IF(D$42=0,0,SUM(Z$66:Z$97)/D$42*D23*BQ23)</f>
        <v>0</v>
      </c>
      <c r="CX23" s="656" t="n">
        <f aca="false">IF(D$42=0,0,SUM(O$96:P$101)/D$42*D23)*BQ23</f>
        <v>0</v>
      </c>
      <c r="CY23" s="656" t="n">
        <f aca="false">IF(D$42=0,0,SUM(O$103:O$109)/D$42)*D23*BQ23</f>
        <v>0</v>
      </c>
      <c r="CZ23" s="656" t="n">
        <f aca="false">IF(I$79=0,0,IF(I$79=0,0,SUM(Z$98:Z$109)/I$79*D23))</f>
        <v>0</v>
      </c>
      <c r="DA23" s="656" t="n">
        <f aca="false">IF(J$72&gt;0,J$72/D$42*D23*G23,CD23*(G$72*IF(W$44="n",(1+Y$44),1)))</f>
        <v>0</v>
      </c>
      <c r="DB23" s="656" t="n">
        <f aca="false">IF(CK23="",0,CK23*E$86)</f>
        <v>0</v>
      </c>
      <c r="DC23" s="656" t="n">
        <f aca="false">BP23*G$71*IF(W$44="Y",1,1+Y$44)</f>
        <v>0</v>
      </c>
      <c r="DD23" s="656" t="n">
        <f aca="false">CJ23*G$73*IF(W$44="Y",1,1+Y$44)</f>
        <v>0</v>
      </c>
      <c r="DE23" s="1546" t="e">
        <f aca="false">O$110/I$79*D23</f>
        <v>#DIV/0!</v>
      </c>
      <c r="DF23" s="654" t="n">
        <f aca="false">IF(W23=1,X23*$AS$49,0)+IF(W23=2,X23*$AS$50,0)+IF(W23=3,X23*$AS$51,0)+IF(W23=4,X23*$AS$52,0)+IF(W23=5,X23*$AS$53,0)+IF(W23=6,X23*$AS$54)+IF(W23=7,X23*$AS$55)+IF(W23=8,X23*$AS$56)+IF(W23=9,X23*$AS$57)+IF(W23=10,X23*$AS$58)+IF(W23=11,X23*$AS$59,0)</f>
        <v>0</v>
      </c>
      <c r="DG23" s="654" t="n">
        <f aca="false">IF(Y23=1,Z23*$AS$49,0)+IF(Y23=2,Z23*$AS$50,0)+IF(Y23=3,Z23*$AS$51,0)+IF(Y23=4,Z23*$AS$52,0)+IF(Y23=5,Z23*$AS$53,0)+IF(Y23=6,Z23*$AS$54)+IF(Y23=7,Z23*$AS$55)+IF(Y23=8,Z23*$AS$56)+IF(Y23=9,Z23*$AS$57)+IF(Y23=10,Z23*$AS$58)+IF(Y23=11,Z23*$AS$59,0)</f>
        <v>0</v>
      </c>
      <c r="DH23" s="654" t="n">
        <f aca="false">IF(AA23=1,AB23*$AS$49,0)+IF(AA23=2,AB23*$AS$50,0)+IF(AA23=3,AB23*$AS$51,0)+IF(AA23=4,AB23*$AS$52,0)+IF(AA23=5,AB23*$AS$53,0)+IF(AA23=6,AB23*$AS$54)+IF(AA23=7,AB23*$AS$55)+IF(AA23=8,AB23*$AS$56)+IF(AA23=9,AB23*$AS$57)+IF(AA23=10,AB23*$AS$58)+IF(AA23=11,AB23*$AS$59,0)</f>
        <v>0</v>
      </c>
      <c r="DI23" s="654" t="n">
        <f aca="false">IF(AC23=1,AD23*$AS$49,0)+IF(AC23=2,AD23*$AS$50,0)+IF(AC23=3,AD23*$AS$51,0)+IF(AC23=4,AD23*$AS$52,0)+IF(AC23=5,AD23*$AS$53,0)+IF(AC23=6,AD23*$AS$54)+IF(AC23=7,AD23*$AS$55)+IF(AC23=8,AD23*$AS$56)+IF(AC23=9,AD23*$AS$57)+IF(AC23=10,AD23*$AS$58)+IF(AC23=11,AD23*$AS$59,0)</f>
        <v>0</v>
      </c>
      <c r="DJ23" s="654" t="n">
        <f aca="false">IF(AE23=1,AF23*$AS$49,0)+IF(AE23=2,AF23*$AS$50,0)+IF(AE23=3,AF23*$AS$51,0)+IF(AE23=4,AF23*$AS$52,0)+IF(AE23=5,AF23*$AS$53,0)+IF(AE23=6,AF23*$AS$54)+IF(AE23=7,AF23*$AS$55)+IF(AE23=8,AF23*$AS$56)+IF(AE23=9,AF23*$AS$57)+IF(AE23=10,AF23*$AS$58)+IF(AE23=11,AF23*$AS$59,0)</f>
        <v>0</v>
      </c>
      <c r="DK23" s="654" t="n">
        <f aca="false">IF(AG23=1,AH23*$AS$49,0)+IF(AG23=2,AH23*$AS$50,0)+IF(AG23=3,AH23*$AS$51,0)+IF(AG23=4,AH23*$AS$52,0)+IF(AG23=5,AH23*$AS$53,0)+IF(AG23=6,AH23*$AS$54)+IF(AG23=7,AH23*$AS$55)+IF(AG23=8,AH23*$AS$56)+IF(AG23=9,AH23*$AS$57)+IF(AG23=10,AH23*$AS$58)+IF(AG23=11,AH23*$AS$59,0)</f>
        <v>0</v>
      </c>
      <c r="DL23" s="654" t="n">
        <f aca="false">IF(AI23=1,AJ23*$AS$49,0)+IF(AI23=2,AJ23*$AS$50,0)+IF(AI23=3,AJ23*$AS$51,0)+IF(AI23=4,AJ23*$AS$52,0)+IF(AI23=5,AJ23*$AS$53,0)+IF(AI23=6,AJ23*$AS$54)+IF(AI23=7,AJ23*$AS$55)+IF(AI23=8,AJ23*$AS$56)+IF(AI23=9,AJ23*$AS$57)+IF(AI23=10,AJ23*$AS$58)+IF(AI23=11,AJ23*$AS$59,0)</f>
        <v>0</v>
      </c>
      <c r="DM23" s="654" t="n">
        <f aca="false">IF(AK23=1,AL23*$AS$49,0)+IF(AK23=2,AL23*$AS$50,0)+IF(AK23=3,AL23*$AS$51,0)+IF(AK23=4,AL23*$AS$52,0)+IF(AK23=5,AL23*$AS$53,0)+IF(AK23=6,AL23*$AS$54)+IF(AK23=7,AL23*$AS$55)+IF(AK23=8,AL23*$AS$56)+IF(AK23=9,AL23*$AS$57)+IF(AK23=10,AL23*$AS$58)+IF(AK23=11,AL23*$AS$59,0)</f>
        <v>0</v>
      </c>
      <c r="DN23" s="654" t="n">
        <f aca="false">IF(AM23=1,AN23*$AS$49,0)+IF(AM23=2,AN23*$AS$50,0)+IF(AM23=3,AN23*$AS$51,0)+IF(AM23=4,AN23*$AS$52,0)+IF(AM23=5,AN23*$AS$53,0)+IF(AM23=6,AN23*$AS$54)+IF(AM23=7,AN23*$AS$55)+IF(AM23=8,AN23*$AS$56)+IF(AM23=9,AN23*$AS$57)+IF(AM23=10,AN23*$AS$58)+IF(AM23=11,AN23*$AS$59,0)</f>
        <v>0</v>
      </c>
      <c r="DO23" s="654" t="n">
        <f aca="false">IF(AO23=1,AP23*$AS$49,0)+IF(AO23=2,AP23*$AS$50,0)+IF(AO23=3,AP23*$AS$51,0)+IF(AO23=4,AP23*$AS$52,0)+IF(AO23=5,AP23*$AS$53,0)+IF(AO23=6,AP23*$AS$54)+IF(AO23=7,AP23*$AS$55)+IF(AO23=8,AP23*$AS$56)+IF(AO23=9,AP23*$AS$57)+IF(AO23=10,AP23*$AS$58)+IF(AO23=11,AP23*$AS$59,0)</f>
        <v>0</v>
      </c>
      <c r="DP23" s="1569" t="n">
        <f aca="false">D23</f>
        <v>0</v>
      </c>
    </row>
    <row r="24" customFormat="false" ht="19.5" hidden="false" customHeight="true" outlineLevel="0" collapsed="false">
      <c r="A24" s="16" t="s">
        <v>1330</v>
      </c>
      <c r="B24" s="920"/>
      <c r="C24" s="1506"/>
      <c r="D24" s="1586"/>
      <c r="E24" s="1587"/>
      <c r="F24" s="1074"/>
      <c r="G24" s="1553"/>
      <c r="H24" s="1074"/>
      <c r="I24" s="1553"/>
      <c r="J24" s="1074"/>
      <c r="K24" s="1590"/>
      <c r="L24" s="528"/>
      <c r="M24" s="895"/>
      <c r="N24" s="1513"/>
      <c r="O24" s="1514"/>
      <c r="P24" s="1515" t="n">
        <f aca="false">IF(BQ24=0,0,BN24/BQ24)</f>
        <v>0</v>
      </c>
      <c r="Q24" s="1516" t="n">
        <f aca="false">(D24*F24/324)*(1+K$65)+BB24</f>
        <v>0</v>
      </c>
      <c r="R24" s="1517" t="n">
        <f aca="false">IF(D24=0,0,S24/D24)</f>
        <v>0</v>
      </c>
      <c r="S24" s="1518" t="e">
        <f aca="false">SUM(CM24-DE24)*(1+M$45)</f>
        <v>#DIV/0!</v>
      </c>
      <c r="T24" s="1519" t="n">
        <f aca="false">CF24+CG24+CH24</f>
        <v>0</v>
      </c>
      <c r="U24" s="1520" t="n">
        <f aca="false">IF(P24-(D24*0.35)&lt;0,0,P24-(D24*0.35))</f>
        <v>0</v>
      </c>
      <c r="V24" s="1521" t="n">
        <f aca="false">IF(D24="",0,IF(D24/-30+Q24&lt;1,0,D24/-30+Q24))</f>
        <v>0</v>
      </c>
      <c r="W24" s="1511"/>
      <c r="X24" s="1526"/>
      <c r="Y24" s="528"/>
      <c r="Z24" s="1574"/>
      <c r="AA24" s="528"/>
      <c r="AB24" s="1574"/>
      <c r="AC24" s="1585"/>
      <c r="AD24" s="1526"/>
      <c r="AE24" s="528"/>
      <c r="AF24" s="1527"/>
      <c r="AG24" s="1531"/>
      <c r="AH24" s="1527"/>
      <c r="AI24" s="1859"/>
      <c r="AJ24" s="1530"/>
      <c r="AK24" s="1531"/>
      <c r="AL24" s="1582"/>
      <c r="AM24" s="528"/>
      <c r="AN24" s="1575"/>
      <c r="AO24" s="528"/>
      <c r="AP24" s="1574"/>
      <c r="AQ24" s="654"/>
      <c r="AR24" s="1533" t="str">
        <f aca="false">IF(W24="","",LOOKUP(W24,$B$49:$B$59,$R$49:$R$59)*X24)</f>
        <v/>
      </c>
      <c r="AS24" s="1430" t="str">
        <f aca="false">IF(Y24="","",LOOKUP(Y24,$B$49:$B$59,$R$49:$R$59)*Z24)</f>
        <v/>
      </c>
      <c r="AT24" s="1430" t="str">
        <f aca="false">IF(AB24="","",LOOKUP(AA24,$B$49:$B$59,$R$49:$R$59)*AB24)</f>
        <v/>
      </c>
      <c r="AU24" s="1430" t="str">
        <f aca="false">IF(AC24="","",LOOKUP(AC24,$B$49:$B$59,$R$49:$R$59)*AD24)</f>
        <v/>
      </c>
      <c r="AV24" s="1430" t="str">
        <f aca="false">IF(AE24="","",LOOKUP(AE24,$B$49:$B$59,$R$49:$R$59)*AF24)</f>
        <v/>
      </c>
      <c r="AW24" s="1430" t="str">
        <f aca="false">IF(AG24="","",LOOKUP(AG24,$B$49:$B$59,$R$49:$R$59)*AH24)</f>
        <v/>
      </c>
      <c r="AX24" s="1430" t="str">
        <f aca="false">IF(AI24="","",LOOKUP(AI24,$B$49:$B$59,$R$49:$R$59)*AJ24)</f>
        <v/>
      </c>
      <c r="AY24" s="1430" t="str">
        <f aca="false">IF(AK24="","",LOOKUP(AK24,$B$49:$B$59,$R$49:$R$59)*AL24)</f>
        <v/>
      </c>
      <c r="AZ24" s="1430" t="str">
        <f aca="false">IF(AM24="","",LOOKUP(AM24,$B$49:$B$59,$R$49:$R$59)*AN24)</f>
        <v/>
      </c>
      <c r="BA24" s="1430" t="str">
        <f aca="false">IF(AO24="","",LOOKUP(AO24,$B$49:$B$59,$R$49:$R$59)*AP24)</f>
        <v/>
      </c>
      <c r="BB24" s="1535" t="n">
        <f aca="false">SUM(AR24:BA24)</f>
        <v>0</v>
      </c>
      <c r="BC24" s="1533" t="str">
        <f aca="false">IF(W24="","",LOOKUP(W24,$B$49:$B$59,$P$49:$P$59)*X24)</f>
        <v/>
      </c>
      <c r="BD24" s="1430" t="str">
        <f aca="false">IF(Y24="","",LOOKUP(Y24,$B$49:$B$59,$P$49:$P$59)*Z24)</f>
        <v/>
      </c>
      <c r="BE24" s="1430" t="str">
        <f aca="false">IF(AA24="","",LOOKUP(AA24,$B$49:$B$59,$P$49:$P$59)*AB24)</f>
        <v/>
      </c>
      <c r="BF24" s="1430" t="str">
        <f aca="false">IF(AC24="","",LOOKUP(AC24,$B$49:$B$59,$P$49:$P$59)*AD24)</f>
        <v/>
      </c>
      <c r="BG24" s="1430" t="str">
        <f aca="false">IF(AE24="","",LOOKUP(AE24,$B$49:$B$59,$P$49:$P$59)*AF24)</f>
        <v/>
      </c>
      <c r="BH24" s="1430" t="str">
        <f aca="false">IF(AG24="","",LOOKUP(AG24,$B$49:$B$59,$P$49:$P$59)*AH24)</f>
        <v/>
      </c>
      <c r="BI24" s="1430" t="str">
        <f aca="false">IF(AI24="","",LOOKUP(AI24,$B$49:$B$59,$P$49:$P$59)*AJ24)</f>
        <v/>
      </c>
      <c r="BJ24" s="1430" t="str">
        <f aca="false">IF(AK24="","",LOOKUP(AK24,$B$49:$B$59,$P$49:$P$59)*AL24)</f>
        <v/>
      </c>
      <c r="BK24" s="1430" t="str">
        <f aca="false">IF(AM24="","",LOOKUP(AM24,$B$49:$B$59,$P$49:$P$59)*AN24)</f>
        <v/>
      </c>
      <c r="BL24" s="1430" t="str">
        <f aca="false">IF(AO24="","",LOOKUP(AO24,$B$49:$B$59,$P$49:$P$59)*AP24)</f>
        <v/>
      </c>
      <c r="BM24" s="1535" t="n">
        <f aca="false">SUM(BC24:BL24)*BQ24</f>
        <v>0</v>
      </c>
      <c r="BN24" s="1536" t="n">
        <f aca="false">BM24+BO24</f>
        <v>0</v>
      </c>
      <c r="BO24" s="1536" t="n">
        <f aca="false">IF(M24=0,0,(M24/12+M24/12)/(M24/12*M24/12)*D24*((L24/16*L24/16)*10.6870159))*(1+K$70)*BQ24</f>
        <v>0</v>
      </c>
      <c r="BP24" s="1536" t="n">
        <f aca="false">IF(O24="Y",D24*(1+K$71)*BQ24,0)</f>
        <v>0</v>
      </c>
      <c r="BQ24" s="1538" t="n">
        <f aca="false">G24</f>
        <v>0</v>
      </c>
      <c r="BR24" s="1411" t="n">
        <f aca="false">IF(O24="y",D24,0)</f>
        <v>0</v>
      </c>
      <c r="BS24" s="1567" t="n">
        <f aca="false">IF($I24=1,$Q24,0)*BQ24</f>
        <v>0</v>
      </c>
      <c r="BT24" s="1536" t="n">
        <f aca="false">IF($I24=2,$Q24,0)*BQ24</f>
        <v>0</v>
      </c>
      <c r="BU24" s="1536" t="n">
        <f aca="false">IF($I24=3,$Q24,0)*BQ24</f>
        <v>0</v>
      </c>
      <c r="BV24" s="1536" t="n">
        <f aca="false">IF($I24=4,$Q24,0)*BQ24</f>
        <v>0</v>
      </c>
      <c r="BW24" s="1536" t="n">
        <f aca="false">IF($I24=5,$Q24,0)*BQ24</f>
        <v>0</v>
      </c>
      <c r="BX24" s="1536" t="n">
        <f aca="false">IF($I24=6,$Q24,0)*$BQ24</f>
        <v>0</v>
      </c>
      <c r="BY24" s="1536" t="n">
        <f aca="false">IF($I24=7,$Q24,0)*$BQ24</f>
        <v>0</v>
      </c>
      <c r="BZ24" s="1536" t="n">
        <f aca="false">IF($I24=8,$Q24,0)*$BQ24</f>
        <v>0</v>
      </c>
      <c r="CA24" s="1536" t="n">
        <f aca="false">IF($I24=9,$Q24,0)*$BQ24</f>
        <v>0</v>
      </c>
      <c r="CB24" s="1568" t="n">
        <f aca="false">IF($I24=10,$Q24,0)*$BQ24</f>
        <v>0</v>
      </c>
      <c r="CC24" s="1538" t="n">
        <f aca="false">SUM(BS24:BX24)</f>
        <v>0</v>
      </c>
      <c r="CD24" s="1538" t="n">
        <f aca="false">IF(H24="N",0,D24)*BQ24</f>
        <v>0</v>
      </c>
      <c r="CE24" s="1538" t="n">
        <f aca="false">K24*BQ24</f>
        <v>0</v>
      </c>
      <c r="CF24" s="1542" t="n">
        <f aca="false">ROUND(IF(W24="",0,LOOKUP(W24,B$49:B$59,D$49:D$59)*X24/12),0)</f>
        <v>0</v>
      </c>
      <c r="CG24" s="1542" t="n">
        <f aca="false">ROUND(IF(Y24="",0,LOOKUP(Y24,B$49:B$59,D$49:D$59)*Z24/12),0)</f>
        <v>0</v>
      </c>
      <c r="CH24" s="1542" t="n">
        <f aca="false">ROUND(IF(AA24="",0,LOOKUP(AA24,B$49:B$59,D$49:D$59)*AB24/12),0)</f>
        <v>0</v>
      </c>
      <c r="CI24" s="1538" t="n">
        <f aca="false">D24*BQ24</f>
        <v>0</v>
      </c>
      <c r="CJ24" s="1538" t="n">
        <f aca="false">D24*J24/324*(1+K$73)*G24</f>
        <v>0</v>
      </c>
      <c r="CK24" s="1538" t="str">
        <f aca="false">IF(N24="","",N24)</f>
        <v/>
      </c>
      <c r="CL24" s="1538" t="n">
        <f aca="false">P24*BQ24</f>
        <v>0</v>
      </c>
      <c r="CM24" s="1543" t="n">
        <f aca="false">IF(BQ24=0,0,SUM(CN24:DE24)/BQ24)</f>
        <v>0</v>
      </c>
      <c r="CN24" s="656" t="n">
        <f aca="false">(BS24*Pricing!F$3+BT24*Pricing!G$3+BU24*Pricing!H$3+BV24*Pricing!I$3+BW24*Pricing!J$3+BX24*Pricing!K$3+BY24*Pricing!L$3+BZ24*Pricing!M$3+CA24*Pricing!N$3+CB24*Pricing!O$3)*IF(W$44="N",(1+Y$44),1)</f>
        <v>0</v>
      </c>
      <c r="CO24" s="656" t="n">
        <f aca="false">BN24*G$70*IF(W$44="n",1+Y$44,1)</f>
        <v>0</v>
      </c>
      <c r="CP24" s="1544" t="n">
        <f aca="false">C24*D24</f>
        <v>0</v>
      </c>
      <c r="CQ24" s="656" t="n">
        <f aca="false">IF(I$79=0,0,D24*(SUM(O$79:P$82)+O$85)/I$79*BQ24)</f>
        <v>0</v>
      </c>
      <c r="CR24" s="656" t="n">
        <f aca="false">IF(CF24="",0,CF24*E$83)+IF(CG24="",0,CG24*E$83)+IF(CH24="",0,CH24*E$83)</f>
        <v>0</v>
      </c>
      <c r="CS24" s="656"/>
      <c r="CT24" s="1545" t="n">
        <f aca="false">(U24/2000)*E$87</f>
        <v>0</v>
      </c>
      <c r="CU24" s="656" t="n">
        <f aca="false">IF(I$79=0,0,D24*(O$88)/I$79*BQ24)</f>
        <v>0</v>
      </c>
      <c r="CV24" s="656" t="n">
        <f aca="false">IF(D$42=0,0,SUM(O$91:P$94)/D$42*D24)*BQ24</f>
        <v>0</v>
      </c>
      <c r="CW24" s="656" t="n">
        <f aca="false">IF(D$42=0,0,SUM(Z$66:Z$97)/D$42*D24*BQ24)</f>
        <v>0</v>
      </c>
      <c r="CX24" s="656" t="n">
        <f aca="false">IF(D$42=0,0,SUM(O$96:P$101)/D$42*D24)*BQ24</f>
        <v>0</v>
      </c>
      <c r="CY24" s="656" t="n">
        <f aca="false">IF(D$42=0,0,SUM(O$103:O$109)/D$42)*D24*BQ24</f>
        <v>0</v>
      </c>
      <c r="CZ24" s="656" t="n">
        <f aca="false">IF(I$79=0,0,IF(I$79=0,0,SUM(Z$98:Z$109)/I$79*D24))</f>
        <v>0</v>
      </c>
      <c r="DA24" s="656" t="n">
        <f aca="false">IF(J$72&gt;0,J$72/D$42*D24*G24,CD24*(G$72*IF(W$44="n",(1+Y$44),1)))</f>
        <v>0</v>
      </c>
      <c r="DB24" s="656" t="n">
        <f aca="false">IF(CK24="",0,CK24*E$86)</f>
        <v>0</v>
      </c>
      <c r="DC24" s="656" t="n">
        <f aca="false">BP24*G$71*IF(W$44="Y",1,1+Y$44)</f>
        <v>0</v>
      </c>
      <c r="DD24" s="656" t="n">
        <f aca="false">CJ24*G$73*IF(W$44="Y",1,1+Y$44)</f>
        <v>0</v>
      </c>
      <c r="DE24" s="1546" t="e">
        <f aca="false">O$110/I$79*D24</f>
        <v>#DIV/0!</v>
      </c>
      <c r="DF24" s="654" t="n">
        <f aca="false">IF(W24=1,X24*$AS$49,0)+IF(W24=2,X24*$AS$50,0)+IF(W24=3,X24*$AS$51,0)+IF(W24=4,X24*$AS$52,0)+IF(W24=5,X24*$AS$53,0)+IF(W24=6,X24*$AS$54)+IF(W24=7,X24*$AS$55)+IF(W24=8,X24*$AS$56)+IF(W24=9,X24*$AS$57)+IF(W24=10,X24*$AS$58)+IF(W24=11,X24*$AS$59,0)</f>
        <v>0</v>
      </c>
      <c r="DG24" s="654" t="n">
        <f aca="false">IF(Y24=1,Z24*$AS$49,0)+IF(Y24=2,Z24*$AS$50,0)+IF(Y24=3,Z24*$AS$51,0)+IF(Y24=4,Z24*$AS$52,0)+IF(Y24=5,Z24*$AS$53,0)+IF(Y24=6,Z24*$AS$54)+IF(Y24=7,Z24*$AS$55)+IF(Y24=8,Z24*$AS$56)+IF(Y24=9,Z24*$AS$57)+IF(Y24=10,Z24*$AS$58)+IF(Y24=11,Z24*$AS$59,0)</f>
        <v>0</v>
      </c>
      <c r="DH24" s="654" t="n">
        <f aca="false">IF(AA24=1,AB24*$AS$49,0)+IF(AA24=2,AB24*$AS$50,0)+IF(AA24=3,AB24*$AS$51,0)+IF(AA24=4,AB24*$AS$52,0)+IF(AA24=5,AB24*$AS$53,0)+IF(AA24=6,AB24*$AS$54)+IF(AA24=7,AB24*$AS$55)+IF(AA24=8,AB24*$AS$56)+IF(AA24=9,AB24*$AS$57)+IF(AA24=10,AB24*$AS$58)+IF(AA24=11,AB24*$AS$59,0)</f>
        <v>0</v>
      </c>
      <c r="DI24" s="654" t="n">
        <f aca="false">IF(AC24=1,AD24*$AS$49,0)+IF(AC24=2,AD24*$AS$50,0)+IF(AC24=3,AD24*$AS$51,0)+IF(AC24=4,AD24*$AS$52,0)+IF(AC24=5,AD24*$AS$53,0)+IF(AC24=6,AD24*$AS$54)+IF(AC24=7,AD24*$AS$55)+IF(AC24=8,AD24*$AS$56)+IF(AC24=9,AD24*$AS$57)+IF(AC24=10,AD24*$AS$58)+IF(AC24=11,AD24*$AS$59,0)</f>
        <v>0</v>
      </c>
      <c r="DJ24" s="654" t="n">
        <f aca="false">IF(AE24=1,AF24*$AS$49,0)+IF(AE24=2,AF24*$AS$50,0)+IF(AE24=3,AF24*$AS$51,0)+IF(AE24=4,AF24*$AS$52,0)+IF(AE24=5,AF24*$AS$53,0)+IF(AE24=6,AF24*$AS$54)+IF(AE24=7,AF24*$AS$55)+IF(AE24=8,AF24*$AS$56)+IF(AE24=9,AF24*$AS$57)+IF(AE24=10,AF24*$AS$58)+IF(AE24=11,AF24*$AS$59,0)</f>
        <v>0</v>
      </c>
      <c r="DK24" s="654" t="n">
        <f aca="false">IF(AG24=1,AH24*$AS$49,0)+IF(AG24=2,AH24*$AS$50,0)+IF(AG24=3,AH24*$AS$51,0)+IF(AG24=4,AH24*$AS$52,0)+IF(AG24=5,AH24*$AS$53,0)+IF(AG24=6,AH24*$AS$54)+IF(AG24=7,AH24*$AS$55)+IF(AG24=8,AH24*$AS$56)+IF(AG24=9,AH24*$AS$57)+IF(AG24=10,AH24*$AS$58)+IF(AG24=11,AH24*$AS$59,0)</f>
        <v>0</v>
      </c>
      <c r="DL24" s="654" t="n">
        <f aca="false">IF(AI24=1,AJ24*$AS$49,0)+IF(AI24=2,AJ24*$AS$50,0)+IF(AI24=3,AJ24*$AS$51,0)+IF(AI24=4,AJ24*$AS$52,0)+IF(AI24=5,AJ24*$AS$53,0)+IF(AI24=6,AJ24*$AS$54)+IF(AI24=7,AJ24*$AS$55)+IF(AI24=8,AJ24*$AS$56)+IF(AI24=9,AJ24*$AS$57)+IF(AI24=10,AJ24*$AS$58)+IF(AI24=11,AJ24*$AS$59,0)</f>
        <v>0</v>
      </c>
      <c r="DM24" s="654" t="n">
        <f aca="false">IF(AK24=1,AL24*$AS$49,0)+IF(AK24=2,AL24*$AS$50,0)+IF(AK24=3,AL24*$AS$51,0)+IF(AK24=4,AL24*$AS$52,0)+IF(AK24=5,AL24*$AS$53,0)+IF(AK24=6,AL24*$AS$54)+IF(AK24=7,AL24*$AS$55)+IF(AK24=8,AL24*$AS$56)+IF(AK24=9,AL24*$AS$57)+IF(AK24=10,AL24*$AS$58)+IF(AK24=11,AL24*$AS$59,0)</f>
        <v>0</v>
      </c>
      <c r="DN24" s="654" t="n">
        <f aca="false">IF(AM24=1,AN24*$AS$49,0)+IF(AM24=2,AN24*$AS$50,0)+IF(AM24=3,AN24*$AS$51,0)+IF(AM24=4,AN24*$AS$52,0)+IF(AM24=5,AN24*$AS$53,0)+IF(AM24=6,AN24*$AS$54)+IF(AM24=7,AN24*$AS$55)+IF(AM24=8,AN24*$AS$56)+IF(AM24=9,AN24*$AS$57)+IF(AM24=10,AN24*$AS$58)+IF(AM24=11,AN24*$AS$59,0)</f>
        <v>0</v>
      </c>
      <c r="DO24" s="654" t="n">
        <f aca="false">IF(AO24=1,AP24*$AS$49,0)+IF(AO24=2,AP24*$AS$50,0)+IF(AO24=3,AP24*$AS$51,0)+IF(AO24=4,AP24*$AS$52,0)+IF(AO24=5,AP24*$AS$53,0)+IF(AO24=6,AP24*$AS$54)+IF(AO24=7,AP24*$AS$55)+IF(AO24=8,AP24*$AS$56)+IF(AO24=9,AP24*$AS$57)+IF(AO24=10,AP24*$AS$58)+IF(AO24=11,AP24*$AS$59,0)</f>
        <v>0</v>
      </c>
      <c r="DP24" s="1569" t="n">
        <f aca="false">D24</f>
        <v>0</v>
      </c>
    </row>
    <row r="25" customFormat="false" ht="19.5" hidden="false" customHeight="true" outlineLevel="0" collapsed="false">
      <c r="A25" s="16" t="s">
        <v>1568</v>
      </c>
      <c r="B25" s="1549"/>
      <c r="C25" s="1550"/>
      <c r="D25" s="1551"/>
      <c r="E25" s="1552"/>
      <c r="F25" s="1074"/>
      <c r="G25" s="1553"/>
      <c r="H25" s="1074"/>
      <c r="I25" s="1553"/>
      <c r="J25" s="1074"/>
      <c r="K25" s="1583"/>
      <c r="L25" s="1555"/>
      <c r="M25" s="1556"/>
      <c r="N25" s="1557"/>
      <c r="O25" s="1558"/>
      <c r="P25" s="1515" t="n">
        <f aca="false">IF(BQ25=0,0,BN25/BQ25)</f>
        <v>0</v>
      </c>
      <c r="Q25" s="1516" t="n">
        <f aca="false">(D25*F25/324)*(1+K$65)+BB25</f>
        <v>0</v>
      </c>
      <c r="R25" s="1517" t="n">
        <f aca="false">IF(D25=0,0,S25/D25)</f>
        <v>0</v>
      </c>
      <c r="S25" s="1518" t="e">
        <f aca="false">SUM(CM25-DE25)*(1+M$45)</f>
        <v>#DIV/0!</v>
      </c>
      <c r="T25" s="1519" t="n">
        <f aca="false">CF25+CG25+CH25</f>
        <v>0</v>
      </c>
      <c r="U25" s="1520" t="n">
        <f aca="false">IF(P25-(D25*0.35)&lt;0,0,P25-(D25*0.35))</f>
        <v>0</v>
      </c>
      <c r="V25" s="1521" t="n">
        <f aca="false">IF(D25="",0,IF(D25/-30+Q25&lt;1,0,D25/-30+Q25))</f>
        <v>0</v>
      </c>
      <c r="W25" s="1559"/>
      <c r="X25" s="1560"/>
      <c r="Y25" s="1559"/>
      <c r="Z25" s="1561"/>
      <c r="AA25" s="1559"/>
      <c r="AB25" s="1561"/>
      <c r="AC25" s="1562"/>
      <c r="AD25" s="1560"/>
      <c r="AE25" s="1559"/>
      <c r="AF25" s="1563"/>
      <c r="AG25" s="1564"/>
      <c r="AH25" s="1563"/>
      <c r="AI25" s="1565"/>
      <c r="AJ25" s="1560"/>
      <c r="AK25" s="1565"/>
      <c r="AL25" s="1581"/>
      <c r="AM25" s="1559"/>
      <c r="AN25" s="1566"/>
      <c r="AO25" s="1559"/>
      <c r="AP25" s="1561"/>
      <c r="AQ25" s="654"/>
      <c r="AR25" s="1533" t="str">
        <f aca="false">IF(W25="","",LOOKUP(W25,$B$49:$B$59,$R$49:$R$59)*X25)</f>
        <v/>
      </c>
      <c r="AS25" s="1430" t="str">
        <f aca="false">IF(Y25="","",LOOKUP(Y25,$B$49:$B$59,$R$49:$R$59)*Z25)</f>
        <v/>
      </c>
      <c r="AT25" s="1430" t="str">
        <f aca="false">IF(AB25="","",LOOKUP(AA25,$B$49:$B$59,$R$49:$R$59)*AB25)</f>
        <v/>
      </c>
      <c r="AU25" s="1430" t="str">
        <f aca="false">IF(AC25="","",LOOKUP(AC25,$B$49:$B$59,$R$49:$R$59)*AD25)</f>
        <v/>
      </c>
      <c r="AV25" s="1430" t="str">
        <f aca="false">IF(AE25="","",LOOKUP(AE25,$B$49:$B$59,$R$49:$R$59)*AF25)</f>
        <v/>
      </c>
      <c r="AW25" s="1430" t="str">
        <f aca="false">IF(AG25="","",LOOKUP(AG25,$B$49:$B$59,$R$49:$R$59)*AH25)</f>
        <v/>
      </c>
      <c r="AX25" s="1430" t="str">
        <f aca="false">IF(AI25="","",LOOKUP(AI25,$B$49:$B$59,$R$49:$R$59)*AJ25)</f>
        <v/>
      </c>
      <c r="AY25" s="1430" t="str">
        <f aca="false">IF(AK25="","",LOOKUP(AK25,$B$49:$B$59,$R$49:$R$59)*AL25)</f>
        <v/>
      </c>
      <c r="AZ25" s="1430" t="str">
        <f aca="false">IF(AM25="","",LOOKUP(AM25,$B$49:$B$59,$R$49:$R$59)*AN25)</f>
        <v/>
      </c>
      <c r="BA25" s="1430" t="str">
        <f aca="false">IF(AO25="","",LOOKUP(AO25,$B$49:$B$59,$R$49:$R$59)*AP25)</f>
        <v/>
      </c>
      <c r="BB25" s="1535" t="n">
        <f aca="false">SUM(AR25:BA25)</f>
        <v>0</v>
      </c>
      <c r="BC25" s="1533" t="str">
        <f aca="false">IF(W25="","",LOOKUP(W25,$B$49:$B$59,$P$49:$P$59)*X25)</f>
        <v/>
      </c>
      <c r="BD25" s="1430" t="str">
        <f aca="false">IF(Y25="","",LOOKUP(Y25,$B$49:$B$59,$P$49:$P$59)*Z25)</f>
        <v/>
      </c>
      <c r="BE25" s="1430" t="str">
        <f aca="false">IF(AA25="","",LOOKUP(AA25,$B$49:$B$59,$P$49:$P$59)*AB25)</f>
        <v/>
      </c>
      <c r="BF25" s="1430" t="str">
        <f aca="false">IF(AC25="","",LOOKUP(AC25,$B$49:$B$59,$P$49:$P$59)*AD25)</f>
        <v/>
      </c>
      <c r="BG25" s="1430" t="str">
        <f aca="false">IF(AE25="","",LOOKUP(AE25,$B$49:$B$59,$P$49:$P$59)*AF25)</f>
        <v/>
      </c>
      <c r="BH25" s="1430" t="str">
        <f aca="false">IF(AG25="","",LOOKUP(AG25,$B$49:$B$59,$P$49:$P$59)*AH25)</f>
        <v/>
      </c>
      <c r="BI25" s="1430" t="str">
        <f aca="false">IF(AI25="","",LOOKUP(AI25,$B$49:$B$59,$P$49:$P$59)*AJ25)</f>
        <v/>
      </c>
      <c r="BJ25" s="1430" t="str">
        <f aca="false">IF(AK25="","",LOOKUP(AK25,$B$49:$B$59,$P$49:$P$59)*AL25)</f>
        <v/>
      </c>
      <c r="BK25" s="1430" t="str">
        <f aca="false">IF(AM25="","",LOOKUP(AM25,$B$49:$B$59,$P$49:$P$59)*AN25)</f>
        <v/>
      </c>
      <c r="BL25" s="1430" t="str">
        <f aca="false">IF(AO25="","",LOOKUP(AO25,$B$49:$B$59,$P$49:$P$59)*AP25)</f>
        <v/>
      </c>
      <c r="BM25" s="1535" t="n">
        <f aca="false">SUM(BC25:BL25)*BQ25</f>
        <v>0</v>
      </c>
      <c r="BN25" s="1536" t="n">
        <f aca="false">BM25+BO25</f>
        <v>0</v>
      </c>
      <c r="BO25" s="1536" t="n">
        <f aca="false">IF(M25=0,0,(M25/12+M25/12)/(M25/12*M25/12)*D25*((L25/16*L25/16)*10.6870159))*(1+K$70)*BQ25</f>
        <v>0</v>
      </c>
      <c r="BP25" s="1536" t="n">
        <f aca="false">IF(O25="Y",D25*(1+K$71)*BQ25,0)</f>
        <v>0</v>
      </c>
      <c r="BQ25" s="1538" t="n">
        <f aca="false">G25</f>
        <v>0</v>
      </c>
      <c r="BR25" s="1411" t="n">
        <f aca="false">IF(O25="y",D25,0)</f>
        <v>0</v>
      </c>
      <c r="BS25" s="1567" t="n">
        <f aca="false">IF($I25=1,$Q25,0)*BQ25</f>
        <v>0</v>
      </c>
      <c r="BT25" s="1536" t="n">
        <f aca="false">IF($I25=2,$Q25,0)*BQ25</f>
        <v>0</v>
      </c>
      <c r="BU25" s="1536" t="n">
        <f aca="false">IF($I25=3,$Q25,0)*BQ25</f>
        <v>0</v>
      </c>
      <c r="BV25" s="1536" t="n">
        <f aca="false">IF($I25=4,$Q25,0)*BQ25</f>
        <v>0</v>
      </c>
      <c r="BW25" s="1536" t="n">
        <f aca="false">IF($I25=5,$Q25,0)*BQ25</f>
        <v>0</v>
      </c>
      <c r="BX25" s="1536" t="n">
        <f aca="false">IF($I25=6,$Q25,0)*$BQ25</f>
        <v>0</v>
      </c>
      <c r="BY25" s="1536" t="n">
        <f aca="false">IF($I25=7,$Q25,0)*$BQ25</f>
        <v>0</v>
      </c>
      <c r="BZ25" s="1536" t="n">
        <f aca="false">IF($I25=8,$Q25,0)*$BQ25</f>
        <v>0</v>
      </c>
      <c r="CA25" s="1536" t="n">
        <f aca="false">IF($I25=9,$Q25,0)*$BQ25</f>
        <v>0</v>
      </c>
      <c r="CB25" s="1568" t="n">
        <f aca="false">IF($I25=10,$Q25,0)*$BQ25</f>
        <v>0</v>
      </c>
      <c r="CC25" s="1538" t="n">
        <f aca="false">SUM(BS25:BX25)</f>
        <v>0</v>
      </c>
      <c r="CD25" s="1538" t="n">
        <f aca="false">IF(H25="N",0,D25)*BQ25</f>
        <v>0</v>
      </c>
      <c r="CE25" s="1538" t="n">
        <f aca="false">K25*BQ25</f>
        <v>0</v>
      </c>
      <c r="CF25" s="1542" t="n">
        <f aca="false">ROUND(IF(W25="",0,LOOKUP(W25,B$49:B$59,D$49:D$59)*X25/12),0)</f>
        <v>0</v>
      </c>
      <c r="CG25" s="1542" t="n">
        <f aca="false">ROUND(IF(Y25="",0,LOOKUP(Y25,B$49:B$59,D$49:D$59)*Z25/12),0)</f>
        <v>0</v>
      </c>
      <c r="CH25" s="1542" t="n">
        <f aca="false">ROUND(IF(AA25="",0,LOOKUP(AA25,B$49:B$59,D$49:D$59)*AB25/12),0)</f>
        <v>0</v>
      </c>
      <c r="CI25" s="1538" t="n">
        <f aca="false">D25*BQ25</f>
        <v>0</v>
      </c>
      <c r="CJ25" s="1538" t="n">
        <f aca="false">D25*J25/324*(1+K$73)*G25</f>
        <v>0</v>
      </c>
      <c r="CK25" s="1538" t="str">
        <f aca="false">IF(N25="","",N25)</f>
        <v/>
      </c>
      <c r="CL25" s="1538" t="n">
        <f aca="false">P25*BQ25</f>
        <v>0</v>
      </c>
      <c r="CM25" s="1543" t="n">
        <f aca="false">IF(BQ25=0,0,SUM(CN25:DE25)/BQ25)</f>
        <v>0</v>
      </c>
      <c r="CN25" s="656" t="n">
        <f aca="false">(BS25*Pricing!F$3+BT25*Pricing!G$3+BU25*Pricing!H$3+BV25*Pricing!I$3+BW25*Pricing!J$3+BX25*Pricing!K$3+BY25*Pricing!L$3+BZ25*Pricing!M$3+CA25*Pricing!N$3+CB25*Pricing!O$3)*IF(W$44="N",(1+Y$44),1)</f>
        <v>0</v>
      </c>
      <c r="CO25" s="656" t="n">
        <f aca="false">BN25*G$70*IF(W$44="n",1+Y$44,1)</f>
        <v>0</v>
      </c>
      <c r="CP25" s="1544" t="n">
        <f aca="false">C25*D25</f>
        <v>0</v>
      </c>
      <c r="CQ25" s="656" t="n">
        <f aca="false">IF(I$79=0,0,D25*(SUM(O$79:P$82)+O$85)/I$79*BQ25)</f>
        <v>0</v>
      </c>
      <c r="CR25" s="656" t="n">
        <f aca="false">IF(CF25="",0,CF25*E$83)+IF(CG25="",0,CG25*E$83)+IF(CH25="",0,CH25*E$83)</f>
        <v>0</v>
      </c>
      <c r="CS25" s="656"/>
      <c r="CT25" s="1545" t="n">
        <f aca="false">(U25/2000)*E$87</f>
        <v>0</v>
      </c>
      <c r="CU25" s="656" t="n">
        <f aca="false">IF(I$79=0,0,D25*(O$88)/I$79*BQ25)</f>
        <v>0</v>
      </c>
      <c r="CV25" s="656" t="n">
        <f aca="false">IF(D$42=0,0,SUM(O$91:P$94)/D$42*D25)*BQ25</f>
        <v>0</v>
      </c>
      <c r="CW25" s="656" t="n">
        <f aca="false">IF(D$42=0,0,SUM(Z$66:Z$97)/D$42*D25*BQ25)</f>
        <v>0</v>
      </c>
      <c r="CX25" s="656" t="n">
        <f aca="false">IF(D$42=0,0,SUM(O$96:P$101)/D$42*D25)*BQ25</f>
        <v>0</v>
      </c>
      <c r="CY25" s="656" t="n">
        <f aca="false">IF(D$42=0,0,SUM(O$103:O$109)/D$42)*D25*BQ25</f>
        <v>0</v>
      </c>
      <c r="CZ25" s="656" t="n">
        <f aca="false">IF(I$79=0,0,IF(I$79=0,0,SUM(Z$98:Z$109)/I$79*D25))</f>
        <v>0</v>
      </c>
      <c r="DA25" s="656" t="n">
        <f aca="false">IF(J$72&gt;0,J$72/D$42*D25*G25,CD25*(G$72*IF(W$44="n",(1+Y$44),1)))</f>
        <v>0</v>
      </c>
      <c r="DB25" s="656" t="n">
        <f aca="false">IF(CK25="",0,CK25*E$86)</f>
        <v>0</v>
      </c>
      <c r="DC25" s="656" t="n">
        <f aca="false">BP25*G$71*IF(W$44="Y",1,1+Y$44)</f>
        <v>0</v>
      </c>
      <c r="DD25" s="656" t="n">
        <f aca="false">CJ25*G$73*IF(W$44="Y",1,1+Y$44)</f>
        <v>0</v>
      </c>
      <c r="DE25" s="1546" t="e">
        <f aca="false">O$110/I$79*D25</f>
        <v>#DIV/0!</v>
      </c>
      <c r="DF25" s="654" t="n">
        <f aca="false">IF(W25=1,X25*$AS$49,0)+IF(W25=2,X25*$AS$50,0)+IF(W25=3,X25*$AS$51,0)+IF(W25=4,X25*$AS$52,0)+IF(W25=5,X25*$AS$53,0)+IF(W25=6,X25*$AS$54)+IF(W25=7,X25*$AS$55)+IF(W25=8,X25*$AS$56)+IF(W25=9,X25*$AS$57)+IF(W25=10,X25*$AS$58)+IF(W25=11,X25*$AS$59,0)</f>
        <v>0</v>
      </c>
      <c r="DG25" s="654" t="n">
        <f aca="false">IF(Y25=1,Z25*$AS$49,0)+IF(Y25=2,Z25*$AS$50,0)+IF(Y25=3,Z25*$AS$51,0)+IF(Y25=4,Z25*$AS$52,0)+IF(Y25=5,Z25*$AS$53,0)+IF(Y25=6,Z25*$AS$54)+IF(Y25=7,Z25*$AS$55)+IF(Y25=8,Z25*$AS$56)+IF(Y25=9,Z25*$AS$57)+IF(Y25=10,Z25*$AS$58)+IF(Y25=11,Z25*$AS$59,0)</f>
        <v>0</v>
      </c>
      <c r="DH25" s="654" t="n">
        <f aca="false">IF(AA25=1,AB25*$AS$49,0)+IF(AA25=2,AB25*$AS$50,0)+IF(AA25=3,AB25*$AS$51,0)+IF(AA25=4,AB25*$AS$52,0)+IF(AA25=5,AB25*$AS$53,0)+IF(AA25=6,AB25*$AS$54)+IF(AA25=7,AB25*$AS$55)+IF(AA25=8,AB25*$AS$56)+IF(AA25=9,AB25*$AS$57)+IF(AA25=10,AB25*$AS$58)+IF(AA25=11,AB25*$AS$59,0)</f>
        <v>0</v>
      </c>
      <c r="DI25" s="654" t="n">
        <f aca="false">IF(AC25=1,AD25*$AS$49,0)+IF(AC25=2,AD25*$AS$50,0)+IF(AC25=3,AD25*$AS$51,0)+IF(AC25=4,AD25*$AS$52,0)+IF(AC25=5,AD25*$AS$53,0)+IF(AC25=6,AD25*$AS$54)+IF(AC25=7,AD25*$AS$55)+IF(AC25=8,AD25*$AS$56)+IF(AC25=9,AD25*$AS$57)+IF(AC25=10,AD25*$AS$58)+IF(AC25=11,AD25*$AS$59,0)</f>
        <v>0</v>
      </c>
      <c r="DJ25" s="654" t="n">
        <f aca="false">IF(AE25=1,AF25*$AS$49,0)+IF(AE25=2,AF25*$AS$50,0)+IF(AE25=3,AF25*$AS$51,0)+IF(AE25=4,AF25*$AS$52,0)+IF(AE25=5,AF25*$AS$53,0)+IF(AE25=6,AF25*$AS$54)+IF(AE25=7,AF25*$AS$55)+IF(AE25=8,AF25*$AS$56)+IF(AE25=9,AF25*$AS$57)+IF(AE25=10,AF25*$AS$58)+IF(AE25=11,AF25*$AS$59,0)</f>
        <v>0</v>
      </c>
      <c r="DK25" s="654" t="n">
        <f aca="false">IF(AG25=1,AH25*$AS$49,0)+IF(AG25=2,AH25*$AS$50,0)+IF(AG25=3,AH25*$AS$51,0)+IF(AG25=4,AH25*$AS$52,0)+IF(AG25=5,AH25*$AS$53,0)+IF(AG25=6,AH25*$AS$54)+IF(AG25=7,AH25*$AS$55)+IF(AG25=8,AH25*$AS$56)+IF(AG25=9,AH25*$AS$57)+IF(AG25=10,AH25*$AS$58)+IF(AG25=11,AH25*$AS$59,0)</f>
        <v>0</v>
      </c>
      <c r="DL25" s="654" t="n">
        <f aca="false">IF(AI25=1,AJ25*$AS$49,0)+IF(AI25=2,AJ25*$AS$50,0)+IF(AI25=3,AJ25*$AS$51,0)+IF(AI25=4,AJ25*$AS$52,0)+IF(AI25=5,AJ25*$AS$53,0)+IF(AI25=6,AJ25*$AS$54)+IF(AI25=7,AJ25*$AS$55)+IF(AI25=8,AJ25*$AS$56)+IF(AI25=9,AJ25*$AS$57)+IF(AI25=10,AJ25*$AS$58)+IF(AI25=11,AJ25*$AS$59,0)</f>
        <v>0</v>
      </c>
      <c r="DM25" s="654" t="n">
        <f aca="false">IF(AK25=1,AL25*$AS$49,0)+IF(AK25=2,AL25*$AS$50,0)+IF(AK25=3,AL25*$AS$51,0)+IF(AK25=4,AL25*$AS$52,0)+IF(AK25=5,AL25*$AS$53,0)+IF(AK25=6,AL25*$AS$54)+IF(AK25=7,AL25*$AS$55)+IF(AK25=8,AL25*$AS$56)+IF(AK25=9,AL25*$AS$57)+IF(AK25=10,AL25*$AS$58)+IF(AK25=11,AL25*$AS$59,0)</f>
        <v>0</v>
      </c>
      <c r="DN25" s="654" t="n">
        <f aca="false">IF(AM25=1,AN25*$AS$49,0)+IF(AM25=2,AN25*$AS$50,0)+IF(AM25=3,AN25*$AS$51,0)+IF(AM25=4,AN25*$AS$52,0)+IF(AM25=5,AN25*$AS$53,0)+IF(AM25=6,AN25*$AS$54)+IF(AM25=7,AN25*$AS$55)+IF(AM25=8,AN25*$AS$56)+IF(AM25=9,AN25*$AS$57)+IF(AM25=10,AN25*$AS$58)+IF(AM25=11,AN25*$AS$59,0)</f>
        <v>0</v>
      </c>
      <c r="DO25" s="654" t="n">
        <f aca="false">IF(AO25=1,AP25*$AS$49,0)+IF(AO25=2,AP25*$AS$50,0)+IF(AO25=3,AP25*$AS$51,0)+IF(AO25=4,AP25*$AS$52,0)+IF(AO25=5,AP25*$AS$53,0)+IF(AO25=6,AP25*$AS$54)+IF(AO25=7,AP25*$AS$55)+IF(AO25=8,AP25*$AS$56)+IF(AO25=9,AP25*$AS$57)+IF(AO25=10,AP25*$AS$58)+IF(AO25=11,AP25*$AS$59,0)</f>
        <v>0</v>
      </c>
      <c r="DP25" s="1569" t="n">
        <f aca="false">D25</f>
        <v>0</v>
      </c>
    </row>
    <row r="26" customFormat="false" ht="19.5" hidden="false" customHeight="true" outlineLevel="0" collapsed="false">
      <c r="A26" s="16" t="s">
        <v>1570</v>
      </c>
      <c r="B26" s="920"/>
      <c r="C26" s="1506"/>
      <c r="D26" s="1507"/>
      <c r="E26" s="1508"/>
      <c r="F26" s="1074"/>
      <c r="G26" s="1553"/>
      <c r="H26" s="1074"/>
      <c r="I26" s="1553"/>
      <c r="J26" s="1074"/>
      <c r="K26" s="1583"/>
      <c r="L26" s="528"/>
      <c r="M26" s="895"/>
      <c r="N26" s="1513"/>
      <c r="O26" s="1514"/>
      <c r="P26" s="1515" t="n">
        <f aca="false">IF(BQ26=0,0,BN26/BQ26)</f>
        <v>0</v>
      </c>
      <c r="Q26" s="1516" t="n">
        <f aca="false">(D26*F26/324)*(1+K$65)+BB26</f>
        <v>0</v>
      </c>
      <c r="R26" s="1517" t="n">
        <f aca="false">IF(D26=0,0,S26/D26)</f>
        <v>0</v>
      </c>
      <c r="S26" s="1518" t="e">
        <f aca="false">SUM(CM26-DE26)*(1+M$45)</f>
        <v>#DIV/0!</v>
      </c>
      <c r="T26" s="1519" t="n">
        <f aca="false">CF26+CG26+CH26</f>
        <v>0</v>
      </c>
      <c r="U26" s="1520" t="n">
        <f aca="false">IF(P26-(D26*0.35)&lt;0,0,P26-(D26*0.35))</f>
        <v>0</v>
      </c>
      <c r="V26" s="1521" t="n">
        <f aca="false">IF(D26="",0,IF(D26/-30+Q26&lt;1,0,D26/-30+Q26))</f>
        <v>0</v>
      </c>
      <c r="W26" s="1511"/>
      <c r="X26" s="1526"/>
      <c r="Y26" s="528"/>
      <c r="Z26" s="1574"/>
      <c r="AA26" s="528"/>
      <c r="AB26" s="1574"/>
      <c r="AC26" s="1525"/>
      <c r="AD26" s="1526"/>
      <c r="AE26" s="1511"/>
      <c r="AF26" s="1527"/>
      <c r="AG26" s="1528"/>
      <c r="AH26" s="1527"/>
      <c r="AI26" s="1859"/>
      <c r="AJ26" s="1530"/>
      <c r="AK26" s="1531"/>
      <c r="AL26" s="1582"/>
      <c r="AM26" s="528"/>
      <c r="AN26" s="1575"/>
      <c r="AO26" s="528"/>
      <c r="AP26" s="1574"/>
      <c r="AQ26" s="654"/>
      <c r="AR26" s="1533" t="str">
        <f aca="false">IF(W26="","",LOOKUP(W26,$B$49:$B$59,$R$49:$R$59)*X26)</f>
        <v/>
      </c>
      <c r="AS26" s="1430" t="str">
        <f aca="false">IF(Y26="","",LOOKUP(Y26,$B$49:$B$59,$R$49:$R$59)*Z26)</f>
        <v/>
      </c>
      <c r="AT26" s="1430" t="str">
        <f aca="false">IF(AB26="","",LOOKUP(AA26,$B$49:$B$59,$R$49:$R$59)*AB26)</f>
        <v/>
      </c>
      <c r="AU26" s="1430" t="str">
        <f aca="false">IF(AC26="","",LOOKUP(AC26,$B$49:$B$59,$R$49:$R$59)*AD26)</f>
        <v/>
      </c>
      <c r="AV26" s="1430" t="str">
        <f aca="false">IF(AE26="","",LOOKUP(AE26,$B$49:$B$59,$R$49:$R$59)*AF26)</f>
        <v/>
      </c>
      <c r="AW26" s="1430" t="str">
        <f aca="false">IF(AG26="","",LOOKUP(AG26,$B$49:$B$59,$R$49:$R$59)*AH26)</f>
        <v/>
      </c>
      <c r="AX26" s="1430" t="str">
        <f aca="false">IF(AI26="","",LOOKUP(AI26,$B$49:$B$59,$R$49:$R$59)*AJ26)</f>
        <v/>
      </c>
      <c r="AY26" s="1430" t="str">
        <f aca="false">IF(AK26="","",LOOKUP(AK26,$B$49:$B$59,$R$49:$R$59)*AL26)</f>
        <v/>
      </c>
      <c r="AZ26" s="1430" t="str">
        <f aca="false">IF(AM26="","",LOOKUP(AM26,$B$49:$B$59,$R$49:$R$59)*AN26)</f>
        <v/>
      </c>
      <c r="BA26" s="1430" t="str">
        <f aca="false">IF(AO26="","",LOOKUP(AO26,$B$49:$B$59,$R$49:$R$59)*AP26)</f>
        <v/>
      </c>
      <c r="BB26" s="1535" t="n">
        <f aca="false">SUM(AR26:BA26)</f>
        <v>0</v>
      </c>
      <c r="BC26" s="1533" t="str">
        <f aca="false">IF(W26="","",LOOKUP(W26,$B$49:$B$59,$P$49:$P$59)*X26)</f>
        <v/>
      </c>
      <c r="BD26" s="654" t="str">
        <f aca="false">IF(Y26="","",LOOKUP(Y26,$B$49:$B$59,$P$49:$P$59)*Z26)</f>
        <v/>
      </c>
      <c r="BE26" s="1430"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584" t="n">
        <f aca="false">SUM(BC26:BL26)*BQ26</f>
        <v>0</v>
      </c>
      <c r="BN26" s="1536" t="n">
        <f aca="false">BM26+BO26</f>
        <v>0</v>
      </c>
      <c r="BO26" s="1536" t="n">
        <f aca="false">IF(M26=0,0,(M26/12+M26/12)/(M26/12*M26/12)*D26*((L26/16*L26/16)*10.6870159))*(1+K$70)*BQ26</f>
        <v>0</v>
      </c>
      <c r="BP26" s="1536" t="n">
        <f aca="false">IF(O26="Y",D26*(1+K$71)*BQ26,0)</f>
        <v>0</v>
      </c>
      <c r="BQ26" s="1538" t="n">
        <f aca="false">G26</f>
        <v>0</v>
      </c>
      <c r="BR26" s="1411" t="n">
        <f aca="false">IF(O26="y",D26,0)</f>
        <v>0</v>
      </c>
      <c r="BS26" s="1567" t="n">
        <f aca="false">IF($I26=1,$Q26,0)*BQ26</f>
        <v>0</v>
      </c>
      <c r="BT26" s="1536" t="n">
        <f aca="false">IF($I26=2,$Q26,0)*BQ26</f>
        <v>0</v>
      </c>
      <c r="BU26" s="1536" t="n">
        <f aca="false">IF($I26=3,$Q26,0)*BQ26</f>
        <v>0</v>
      </c>
      <c r="BV26" s="1536" t="n">
        <f aca="false">IF($I26=4,$Q26,0)*BQ26</f>
        <v>0</v>
      </c>
      <c r="BW26" s="1536" t="n">
        <f aca="false">IF($I26=5,$Q26,0)*BQ26</f>
        <v>0</v>
      </c>
      <c r="BX26" s="1536" t="n">
        <f aca="false">IF($I26=6,$Q26,0)*$BQ26</f>
        <v>0</v>
      </c>
      <c r="BY26" s="1536" t="n">
        <f aca="false">IF($I26=7,$Q26,0)*$BQ26</f>
        <v>0</v>
      </c>
      <c r="BZ26" s="1536" t="n">
        <f aca="false">IF($I26=8,$Q26,0)*$BQ26</f>
        <v>0</v>
      </c>
      <c r="CA26" s="1536" t="n">
        <f aca="false">IF($I26=9,$Q26,0)*$BQ26</f>
        <v>0</v>
      </c>
      <c r="CB26" s="1568" t="n">
        <f aca="false">IF($I26=10,$Q26,0)*$BQ26</f>
        <v>0</v>
      </c>
      <c r="CC26" s="1538" t="n">
        <f aca="false">SUM(BS26:BX26)</f>
        <v>0</v>
      </c>
      <c r="CD26" s="1538" t="n">
        <f aca="false">IF(H26="N",0,D26)*BQ26</f>
        <v>0</v>
      </c>
      <c r="CE26" s="1538" t="n">
        <f aca="false">K26*BQ26</f>
        <v>0</v>
      </c>
      <c r="CF26" s="1542" t="n">
        <f aca="false">ROUND(IF(W26="",0,LOOKUP(W26,B$49:B$59,D$49:D$59)*X26/12),0)</f>
        <v>0</v>
      </c>
      <c r="CG26" s="1542" t="n">
        <f aca="false">ROUND(IF(Y26="",0,LOOKUP(Y26,B$49:B$59,D$49:D$59)*Z26/12),0)</f>
        <v>0</v>
      </c>
      <c r="CH26" s="1542" t="n">
        <f aca="false">ROUND(IF(AA26="",0,LOOKUP(AA26,B$49:B$59,D$49:D$59)*AB26/12),0)</f>
        <v>0</v>
      </c>
      <c r="CI26" s="1538" t="n">
        <f aca="false">D26*BQ26</f>
        <v>0</v>
      </c>
      <c r="CJ26" s="1538" t="n">
        <f aca="false">D26*J26/324*(1+K$73)*G26</f>
        <v>0</v>
      </c>
      <c r="CK26" s="1538" t="str">
        <f aca="false">IF(N26="","",N26)</f>
        <v/>
      </c>
      <c r="CL26" s="1538" t="n">
        <f aca="false">P26*BQ26</f>
        <v>0</v>
      </c>
      <c r="CM26" s="1543" t="n">
        <f aca="false">IF(BQ26=0,0,SUM(CN26:DE26)/BQ26)</f>
        <v>0</v>
      </c>
      <c r="CN26" s="656" t="n">
        <f aca="false">(BS26*Pricing!F$3+BT26*Pricing!G$3+BU26*Pricing!H$3+BV26*Pricing!I$3+BW26*Pricing!J$3+BX26*Pricing!K$3+BY26*Pricing!L$3+BZ26*Pricing!M$3+CA26*Pricing!N$3+CB26*Pricing!O$3)*IF(W$44="N",(1+Y$44),1)</f>
        <v>0</v>
      </c>
      <c r="CO26" s="656" t="n">
        <f aca="false">BN26*G$70*IF(W$44="n",1+Y$44,1)</f>
        <v>0</v>
      </c>
      <c r="CP26" s="1544" t="n">
        <f aca="false">C26*D26</f>
        <v>0</v>
      </c>
      <c r="CQ26" s="656" t="n">
        <f aca="false">IF(I$79=0,0,D26*(SUM(O$79:P$82)+O$85)/I$79*BQ26)</f>
        <v>0</v>
      </c>
      <c r="CR26" s="656" t="n">
        <f aca="false">IF(CF26="",0,CF26*E$83)+IF(CG26="",0,CG26*E$83)+IF(CH26="",0,CH26*E$83)</f>
        <v>0</v>
      </c>
      <c r="CS26" s="656"/>
      <c r="CT26" s="1545" t="n">
        <f aca="false">(U26/2000)*E$87</f>
        <v>0</v>
      </c>
      <c r="CU26" s="656" t="n">
        <f aca="false">IF(I$79=0,0,D26*(O$88)/I$79*BQ26)</f>
        <v>0</v>
      </c>
      <c r="CV26" s="656" t="n">
        <f aca="false">IF(D$42=0,0,SUM(O$91:P$94)/D$42*D26)*BQ26</f>
        <v>0</v>
      </c>
      <c r="CW26" s="656" t="n">
        <f aca="false">IF(D$42=0,0,SUM(Z$66:Z$97)/D$42*D26*BQ26)</f>
        <v>0</v>
      </c>
      <c r="CX26" s="656" t="n">
        <f aca="false">IF(D$42=0,0,SUM(O$96:P$101)/D$42*D26)*BQ26</f>
        <v>0</v>
      </c>
      <c r="CY26" s="656" t="n">
        <f aca="false">IF(D$42=0,0,SUM(O$103:O$109)/D$42)*D26*BQ26</f>
        <v>0</v>
      </c>
      <c r="CZ26" s="656" t="n">
        <f aca="false">IF(I$79=0,0,IF(I$79=0,0,SUM(Z$98:Z$109)/I$79*D26))</f>
        <v>0</v>
      </c>
      <c r="DA26" s="656" t="n">
        <f aca="false">IF(J$72&gt;0,J$72/D$42*D26*G26,CD26*(G$72*IF(W$44="n",(1+Y$44),1)))</f>
        <v>0</v>
      </c>
      <c r="DB26" s="656" t="n">
        <f aca="false">IF(CK26="",0,CK26*E$86)</f>
        <v>0</v>
      </c>
      <c r="DC26" s="656" t="n">
        <f aca="false">BP26*G$71*IF(W$44="Y",1,1+Y$44)</f>
        <v>0</v>
      </c>
      <c r="DD26" s="656" t="n">
        <f aca="false">CJ26*G$73*IF(W$44="Y",1,1+Y$44)</f>
        <v>0</v>
      </c>
      <c r="DE26" s="1546" t="e">
        <f aca="false">O$110/I$79*D26</f>
        <v>#DIV/0!</v>
      </c>
      <c r="DF26" s="654" t="n">
        <f aca="false">IF(W26=1,X26*$AS$49,0)+IF(W26=2,X26*$AS$50,0)+IF(W26=3,X26*$AS$51,0)+IF(W26=4,X26*$AS$52,0)+IF(W26=5,X26*$AS$53,0)+IF(W26=6,X26*$AS$54)+IF(W26=7,X26*$AS$55)+IF(W26=8,X26*$AS$56)+IF(W26=9,X26*$AS$57)+IF(W26=10,X26*$AS$58)+IF(W26=11,X26*$AS$59,0)</f>
        <v>0</v>
      </c>
      <c r="DG26" s="654" t="n">
        <f aca="false">IF(Y26=1,Z26*$AS$49,0)+IF(Y26=2,Z26*$AS$50,0)+IF(Y26=3,Z26*$AS$51,0)+IF(Y26=4,Z26*$AS$52,0)+IF(Y26=5,Z26*$AS$53,0)+IF(Y26=6,Z26*$AS$54)+IF(Y26=7,Z26*$AS$55)+IF(Y26=8,Z26*$AS$56)+IF(Y26=9,Z26*$AS$57)+IF(Y26=10,Z26*$AS$58)+IF(Y26=11,Z26*$AS$59,0)</f>
        <v>0</v>
      </c>
      <c r="DH26" s="654" t="n">
        <f aca="false">IF(AA26=1,AB26*$AS$49,0)+IF(AA26=2,AB26*$AS$50,0)+IF(AA26=3,AB26*$AS$51,0)+IF(AA26=4,AB26*$AS$52,0)+IF(AA26=5,AB26*$AS$53,0)+IF(AA26=6,AB26*$AS$54)+IF(AA26=7,AB26*$AS$55)+IF(AA26=8,AB26*$AS$56)+IF(AA26=9,AB26*$AS$57)+IF(AA26=10,AB26*$AS$58)+IF(AA26=11,AB26*$AS$59,0)</f>
        <v>0</v>
      </c>
      <c r="DI26" s="654" t="n">
        <f aca="false">IF(AC26=1,AD26*$AS$49,0)+IF(AC26=2,AD26*$AS$50,0)+IF(AC26=3,AD26*$AS$51,0)+IF(AC26=4,AD26*$AS$52,0)+IF(AC26=5,AD26*$AS$53,0)+IF(AC26=6,AD26*$AS$54)+IF(AC26=7,AD26*$AS$55)+IF(AC26=8,AD26*$AS$56)+IF(AC26=9,AD26*$AS$57)+IF(AC26=10,AD26*$AS$58)+IF(AC26=11,AD26*$AS$59,0)</f>
        <v>0</v>
      </c>
      <c r="DJ26" s="654" t="n">
        <f aca="false">IF(AE26=1,AF26*$AS$49,0)+IF(AE26=2,AF26*$AS$50,0)+IF(AE26=3,AF26*$AS$51,0)+IF(AE26=4,AF26*$AS$52,0)+IF(AE26=5,AF26*$AS$53,0)+IF(AE26=6,AF26*$AS$54)+IF(AE26=7,AF26*$AS$55)+IF(AE26=8,AF26*$AS$56)+IF(AE26=9,AF26*$AS$57)+IF(AE26=10,AF26*$AS$58)+IF(AE26=11,AF26*$AS$59,0)</f>
        <v>0</v>
      </c>
      <c r="DK26" s="654" t="n">
        <f aca="false">IF(AG26=1,AH26*$AS$49,0)+IF(AG26=2,AH26*$AS$50,0)+IF(AG26=3,AH26*$AS$51,0)+IF(AG26=4,AH26*$AS$52,0)+IF(AG26=5,AH26*$AS$53,0)+IF(AG26=6,AH26*$AS$54)+IF(AG26=7,AH26*$AS$55)+IF(AG26=8,AH26*$AS$56)+IF(AG26=9,AH26*$AS$57)+IF(AG26=10,AH26*$AS$58)+IF(AG26=11,AH26*$AS$59,0)</f>
        <v>0</v>
      </c>
      <c r="DL26" s="654" t="n">
        <f aca="false">IF(AI26=1,AJ26*$AS$49,0)+IF(AI26=2,AJ26*$AS$50,0)+IF(AI26=3,AJ26*$AS$51,0)+IF(AI26=4,AJ26*$AS$52,0)+IF(AI26=5,AJ26*$AS$53,0)+IF(AI26=6,AJ26*$AS$54)+IF(AI26=7,AJ26*$AS$55)+IF(AI26=8,AJ26*$AS$56)+IF(AI26=9,AJ26*$AS$57)+IF(AI26=10,AJ26*$AS$58)+IF(AI26=11,AJ26*$AS$59,0)</f>
        <v>0</v>
      </c>
      <c r="DM26" s="654" t="n">
        <f aca="false">IF(AK26=1,AL26*$AS$49,0)+IF(AK26=2,AL26*$AS$50,0)+IF(AK26=3,AL26*$AS$51,0)+IF(AK26=4,AL26*$AS$52,0)+IF(AK26=5,AL26*$AS$53,0)+IF(AK26=6,AL26*$AS$54)+IF(AK26=7,AL26*$AS$55)+IF(AK26=8,AL26*$AS$56)+IF(AK26=9,AL26*$AS$57)+IF(AK26=10,AL26*$AS$58)+IF(AK26=11,AL26*$AS$59,0)</f>
        <v>0</v>
      </c>
      <c r="DN26" s="654" t="n">
        <f aca="false">IF(AM26=1,AN26*$AS$49,0)+IF(AM26=2,AN26*$AS$50,0)+IF(AM26=3,AN26*$AS$51,0)+IF(AM26=4,AN26*$AS$52,0)+IF(AM26=5,AN26*$AS$53,0)+IF(AM26=6,AN26*$AS$54)+IF(AM26=7,AN26*$AS$55)+IF(AM26=8,AN26*$AS$56)+IF(AM26=9,AN26*$AS$57)+IF(AM26=10,AN26*$AS$58)+IF(AM26=11,AN26*$AS$59,0)</f>
        <v>0</v>
      </c>
      <c r="DO26" s="654" t="n">
        <f aca="false">IF(AO26=1,AP26*$AS$49,0)+IF(AO26=2,AP26*$AS$50,0)+IF(AO26=3,AP26*$AS$51,0)+IF(AO26=4,AP26*$AS$52,0)+IF(AO26=5,AP26*$AS$53,0)+IF(AO26=6,AP26*$AS$54)+IF(AO26=7,AP26*$AS$55)+IF(AO26=8,AP26*$AS$56)+IF(AO26=9,AP26*$AS$57)+IF(AO26=10,AP26*$AS$58)+IF(AO26=11,AP26*$AS$59,0)</f>
        <v>0</v>
      </c>
      <c r="DP26" s="1569" t="n">
        <f aca="false">D26</f>
        <v>0</v>
      </c>
    </row>
    <row r="27" customFormat="false" ht="19.5" hidden="false" customHeight="true" outlineLevel="0" collapsed="false">
      <c r="A27" s="16" t="s">
        <v>1571</v>
      </c>
      <c r="B27" s="1549"/>
      <c r="C27" s="1550"/>
      <c r="D27" s="1551"/>
      <c r="E27" s="1552"/>
      <c r="F27" s="1074"/>
      <c r="G27" s="1553"/>
      <c r="H27" s="1074"/>
      <c r="I27" s="1553"/>
      <c r="J27" s="1074"/>
      <c r="K27" s="1583"/>
      <c r="L27" s="1555"/>
      <c r="M27" s="1556"/>
      <c r="N27" s="1557"/>
      <c r="O27" s="1558"/>
      <c r="P27" s="1515" t="n">
        <f aca="false">IF(BQ27=0,0,BN27/BQ27)</f>
        <v>0</v>
      </c>
      <c r="Q27" s="1516" t="n">
        <f aca="false">(D27*F27/324)*(1+K$65)+BB27</f>
        <v>0</v>
      </c>
      <c r="R27" s="1517" t="n">
        <f aca="false">IF(D27=0,0,S27/D27)</f>
        <v>0</v>
      </c>
      <c r="S27" s="1518" t="e">
        <f aca="false">SUM(CM27-DE27)*(1+M$45)</f>
        <v>#DIV/0!</v>
      </c>
      <c r="T27" s="1519" t="n">
        <f aca="false">CF27+CG27+CH27</f>
        <v>0</v>
      </c>
      <c r="U27" s="1520" t="n">
        <f aca="false">IF(P27-(D27*0.35)&lt;0,0,P27-(D27*0.35))</f>
        <v>0</v>
      </c>
      <c r="V27" s="1521" t="n">
        <f aca="false">IF(D27="",0,IF(D27/-30+Q27&lt;1,0,D27/-30+Q27))</f>
        <v>0</v>
      </c>
      <c r="W27" s="1559"/>
      <c r="X27" s="1560"/>
      <c r="Y27" s="1559"/>
      <c r="Z27" s="1561"/>
      <c r="AA27" s="1559"/>
      <c r="AB27" s="1561"/>
      <c r="AC27" s="1562"/>
      <c r="AD27" s="1560"/>
      <c r="AE27" s="1559"/>
      <c r="AF27" s="1563"/>
      <c r="AG27" s="1564"/>
      <c r="AH27" s="1563"/>
      <c r="AI27" s="1565"/>
      <c r="AJ27" s="1560"/>
      <c r="AK27" s="1565"/>
      <c r="AL27" s="1581"/>
      <c r="AM27" s="1559"/>
      <c r="AN27" s="1566"/>
      <c r="AO27" s="1559"/>
      <c r="AP27" s="1561"/>
      <c r="AQ27" s="654"/>
      <c r="AR27" s="1533" t="str">
        <f aca="false">IF(W27="","",LOOKUP(W27,$B$49:$B$59,$R$49:$R$59)*X27)</f>
        <v/>
      </c>
      <c r="AS27" s="1430" t="str">
        <f aca="false">IF(Y27="","",LOOKUP(Y27,$B$49:$B$59,$R$49:$R$59)*Z27)</f>
        <v/>
      </c>
      <c r="AT27" s="1430" t="str">
        <f aca="false">IF(AB27="","",LOOKUP(AA27,$B$49:$B$59,$R$49:$R$59)*AB27)</f>
        <v/>
      </c>
      <c r="AU27" s="1430" t="str">
        <f aca="false">IF(AC27="","",LOOKUP(AC27,$B$49:$B$59,$R$49:$R$59)*AD27)</f>
        <v/>
      </c>
      <c r="AV27" s="1430" t="str">
        <f aca="false">IF(AE27="","",LOOKUP(AE27,$B$49:$B$59,$R$49:$R$59)*AF27)</f>
        <v/>
      </c>
      <c r="AW27" s="1430" t="str">
        <f aca="false">IF(AG27="","",LOOKUP(AG27,$B$49:$B$59,$R$49:$R$59)*AH27)</f>
        <v/>
      </c>
      <c r="AX27" s="1430" t="str">
        <f aca="false">IF(AI27="","",LOOKUP(AI27,$B$49:$B$59,$R$49:$R$59)*AJ27)</f>
        <v/>
      </c>
      <c r="AY27" s="1430" t="str">
        <f aca="false">IF(AK27="","",LOOKUP(AK27,$B$49:$B$59,$R$49:$R$59)*AL27)</f>
        <v/>
      </c>
      <c r="AZ27" s="1430" t="str">
        <f aca="false">IF(AM27="","",LOOKUP(AM27,$B$49:$B$59,$R$49:$R$59)*AN27)</f>
        <v/>
      </c>
      <c r="BA27" s="1430" t="str">
        <f aca="false">IF(AO27="","",LOOKUP(AO27,$B$49:$B$59,$R$49:$R$59)*AP27)</f>
        <v/>
      </c>
      <c r="BB27" s="1535" t="n">
        <f aca="false">SUM(AR27:BA27)</f>
        <v>0</v>
      </c>
      <c r="BC27" s="1533" t="str">
        <f aca="false">IF(W27="","",LOOKUP(W27,$B$49:$B$59,$P$49:$P$59)*X27)</f>
        <v/>
      </c>
      <c r="BD27" s="654" t="str">
        <f aca="false">IF(Y27="","",LOOKUP(Y27,$B$49:$B$59,$P$49:$P$59)*Z27)</f>
        <v/>
      </c>
      <c r="BE27" s="1430"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584" t="n">
        <f aca="false">SUM(BC27:BL27)*BQ27</f>
        <v>0</v>
      </c>
      <c r="BN27" s="1536" t="n">
        <f aca="false">BM27+BO27</f>
        <v>0</v>
      </c>
      <c r="BO27" s="1536" t="n">
        <f aca="false">IF(M27=0,0,(M27/12+M27/12)/(M27/12*M27/12)*D27*((L27/16*L27/16)*10.6870159))*(1+K$70)*BQ27</f>
        <v>0</v>
      </c>
      <c r="BP27" s="1536" t="n">
        <f aca="false">IF(O27="Y",D27*(1+K$71)*BQ27,0)</f>
        <v>0</v>
      </c>
      <c r="BQ27" s="1538" t="n">
        <f aca="false">G27</f>
        <v>0</v>
      </c>
      <c r="BR27" s="1411" t="n">
        <f aca="false">IF(O27="y",D27,0)</f>
        <v>0</v>
      </c>
      <c r="BS27" s="1567" t="n">
        <f aca="false">IF($I27=1,$Q27,0)*BQ27</f>
        <v>0</v>
      </c>
      <c r="BT27" s="1536" t="n">
        <f aca="false">IF($I27=2,$Q27,0)*BQ27</f>
        <v>0</v>
      </c>
      <c r="BU27" s="1536" t="n">
        <f aca="false">IF($I27=3,$Q27,0)*BQ27</f>
        <v>0</v>
      </c>
      <c r="BV27" s="1536" t="n">
        <f aca="false">IF($I27=4,$Q27,0)*BQ27</f>
        <v>0</v>
      </c>
      <c r="BW27" s="1536" t="n">
        <f aca="false">IF($I27=5,$Q27,0)*BQ27</f>
        <v>0</v>
      </c>
      <c r="BX27" s="1536" t="n">
        <f aca="false">IF($I27=6,$Q27,0)*$BQ27</f>
        <v>0</v>
      </c>
      <c r="BY27" s="1536" t="n">
        <f aca="false">IF($I27=7,$Q27,0)*$BQ27</f>
        <v>0</v>
      </c>
      <c r="BZ27" s="1536" t="n">
        <f aca="false">IF($I27=8,$Q27,0)*$BQ27</f>
        <v>0</v>
      </c>
      <c r="CA27" s="1536" t="n">
        <f aca="false">IF($I27=9,$Q27,0)*$BQ27</f>
        <v>0</v>
      </c>
      <c r="CB27" s="1568" t="n">
        <f aca="false">IF($I27=10,$Q27,0)*$BQ27</f>
        <v>0</v>
      </c>
      <c r="CC27" s="1538" t="n">
        <f aca="false">SUM(BS27:BX27)</f>
        <v>0</v>
      </c>
      <c r="CD27" s="1538" t="n">
        <f aca="false">IF(H27="N",0,D27)*BQ27</f>
        <v>0</v>
      </c>
      <c r="CE27" s="1538" t="n">
        <f aca="false">K27*BQ27</f>
        <v>0</v>
      </c>
      <c r="CF27" s="1542" t="n">
        <f aca="false">ROUND(IF(W27="",0,LOOKUP(W27,B$49:B$59,D$49:D$59)*X27/12),0)</f>
        <v>0</v>
      </c>
      <c r="CG27" s="1542" t="n">
        <f aca="false">ROUND(IF(Y27="",0,LOOKUP(Y27,B$49:B$59,D$49:D$59)*Z27/12),0)</f>
        <v>0</v>
      </c>
      <c r="CH27" s="1542" t="n">
        <f aca="false">ROUND(IF(AA27="",0,LOOKUP(AA27,B$49:B$59,D$49:D$59)*AB27/12),0)</f>
        <v>0</v>
      </c>
      <c r="CI27" s="1538" t="n">
        <f aca="false">D27*BQ27</f>
        <v>0</v>
      </c>
      <c r="CJ27" s="1538" t="n">
        <f aca="false">D27*J27/324*(1+K$73)*G27</f>
        <v>0</v>
      </c>
      <c r="CK27" s="1538" t="str">
        <f aca="false">IF(N27="","",N27)</f>
        <v/>
      </c>
      <c r="CL27" s="1538" t="n">
        <f aca="false">P27*BQ27</f>
        <v>0</v>
      </c>
      <c r="CM27" s="1543" t="n">
        <f aca="false">IF(BQ27=0,0,SUM(CN27:DE27)/BQ27)</f>
        <v>0</v>
      </c>
      <c r="CN27" s="656" t="n">
        <f aca="false">(BS27*Pricing!F$3+BT27*Pricing!G$3+BU27*Pricing!H$3+BV27*Pricing!I$3+BW27*Pricing!J$3+BX27*Pricing!K$3+BY27*Pricing!L$3+BZ27*Pricing!M$3+CA27*Pricing!N$3+CB27*Pricing!O$3)*IF(W$44="N",(1+Y$44),1)</f>
        <v>0</v>
      </c>
      <c r="CO27" s="656" t="n">
        <f aca="false">BN27*G$70*IF(W$44="n",1+Y$44,1)</f>
        <v>0</v>
      </c>
      <c r="CP27" s="1544" t="n">
        <f aca="false">C27*D27</f>
        <v>0</v>
      </c>
      <c r="CQ27" s="656" t="n">
        <f aca="false">IF(I$79=0,0,D27*(SUM(O$79:P$82)+O$85)/I$79*BQ27)</f>
        <v>0</v>
      </c>
      <c r="CR27" s="656" t="n">
        <f aca="false">IF(CF27="",0,CF27*E$83)+IF(CG27="",0,CG27*E$83)+IF(CH27="",0,CH27*E$83)</f>
        <v>0</v>
      </c>
      <c r="CS27" s="656"/>
      <c r="CT27" s="1545" t="n">
        <f aca="false">(U27/2000)*E$87</f>
        <v>0</v>
      </c>
      <c r="CU27" s="656" t="n">
        <f aca="false">IF(I$79=0,0,D27*(O$88)/I$79*BQ27)</f>
        <v>0</v>
      </c>
      <c r="CV27" s="656" t="n">
        <f aca="false">IF(D$42=0,0,SUM(O$91:P$94)/D$42*D27)*BQ27</f>
        <v>0</v>
      </c>
      <c r="CW27" s="656" t="n">
        <f aca="false">IF(D$42=0,0,SUM(Z$66:Z$97)/D$42*D27*BQ27)</f>
        <v>0</v>
      </c>
      <c r="CX27" s="656" t="n">
        <f aca="false">IF(D$42=0,0,SUM(O$96:P$101)/D$42*D27)*BQ27</f>
        <v>0</v>
      </c>
      <c r="CY27" s="656" t="n">
        <f aca="false">IF(D$42=0,0,SUM(O$103:O$109)/D$42)*D27*BQ27</f>
        <v>0</v>
      </c>
      <c r="CZ27" s="656" t="n">
        <f aca="false">IF(I$79=0,0,IF(I$79=0,0,SUM(Z$98:Z$109)/I$79*D27))</f>
        <v>0</v>
      </c>
      <c r="DA27" s="656" t="n">
        <f aca="false">IF(J$72&gt;0,J$72/D$42*D27*G27,CD27*(G$72*IF(W$44="n",(1+Y$44),1)))</f>
        <v>0</v>
      </c>
      <c r="DB27" s="656" t="n">
        <f aca="false">IF(CK27="",0,CK27*E$86)</f>
        <v>0</v>
      </c>
      <c r="DC27" s="656" t="n">
        <f aca="false">BP27*G$71*IF(W$44="Y",1,1+Y$44)</f>
        <v>0</v>
      </c>
      <c r="DD27" s="656" t="n">
        <f aca="false">CJ27*G$73*IF(W$44="Y",1,1+Y$44)</f>
        <v>0</v>
      </c>
      <c r="DE27" s="1546" t="e">
        <f aca="false">O$110/I$79*D27</f>
        <v>#DIV/0!</v>
      </c>
      <c r="DF27" s="654" t="n">
        <f aca="false">IF(W27=1,X27*$AS$49,0)+IF(W27=2,X27*$AS$50,0)+IF(W27=3,X27*$AS$51,0)+IF(W27=4,X27*$AS$52,0)+IF(W27=5,X27*$AS$53,0)+IF(W27=6,X27*$AS$54)+IF(W27=7,X27*$AS$55)+IF(W27=8,X27*$AS$56)+IF(W27=9,X27*$AS$57)+IF(W27=10,X27*$AS$58)+IF(W27=11,X27*$AS$59,0)</f>
        <v>0</v>
      </c>
      <c r="DG27" s="654" t="n">
        <f aca="false">IF(Y27=1,Z27*$AS$49,0)+IF(Y27=2,Z27*$AS$50,0)+IF(Y27=3,Z27*$AS$51,0)+IF(Y27=4,Z27*$AS$52,0)+IF(Y27=5,Z27*$AS$53,0)+IF(Y27=6,Z27*$AS$54)+IF(Y27=7,Z27*$AS$55)+IF(Y27=8,Z27*$AS$56)+IF(Y27=9,Z27*$AS$57)+IF(Y27=10,Z27*$AS$58)+IF(Y27=11,Z27*$AS$59,0)</f>
        <v>0</v>
      </c>
      <c r="DH27" s="654" t="n">
        <f aca="false">IF(AA27=1,AB27*$AS$49,0)+IF(AA27=2,AB27*$AS$50,0)+IF(AA27=3,AB27*$AS$51,0)+IF(AA27=4,AB27*$AS$52,0)+IF(AA27=5,AB27*$AS$53,0)+IF(AA27=6,AB27*$AS$54)+IF(AA27=7,AB27*$AS$55)+IF(AA27=8,AB27*$AS$56)+IF(AA27=9,AB27*$AS$57)+IF(AA27=10,AB27*$AS$58)+IF(AA27=11,AB27*$AS$59,0)</f>
        <v>0</v>
      </c>
      <c r="DI27" s="654" t="n">
        <f aca="false">IF(AC27=1,AD27*$AS$49,0)+IF(AC27=2,AD27*$AS$50,0)+IF(AC27=3,AD27*$AS$51,0)+IF(AC27=4,AD27*$AS$52,0)+IF(AC27=5,AD27*$AS$53,0)+IF(AC27=6,AD27*$AS$54)+IF(AC27=7,AD27*$AS$55)+IF(AC27=8,AD27*$AS$56)+IF(AC27=9,AD27*$AS$57)+IF(AC27=10,AD27*$AS$58)+IF(AC27=11,AD27*$AS$59,0)</f>
        <v>0</v>
      </c>
      <c r="DJ27" s="654" t="n">
        <f aca="false">IF(AE27=1,AF27*$AS$49,0)+IF(AE27=2,AF27*$AS$50,0)+IF(AE27=3,AF27*$AS$51,0)+IF(AE27=4,AF27*$AS$52,0)+IF(AE27=5,AF27*$AS$53,0)+IF(AE27=6,AF27*$AS$54)+IF(AE27=7,AF27*$AS$55)+IF(AE27=8,AF27*$AS$56)+IF(AE27=9,AF27*$AS$57)+IF(AE27=10,AF27*$AS$58)+IF(AE27=11,AF27*$AS$59,0)</f>
        <v>0</v>
      </c>
      <c r="DK27" s="654" t="n">
        <f aca="false">IF(AG27=1,AH27*$AS$49,0)+IF(AG27=2,AH27*$AS$50,0)+IF(AG27=3,AH27*$AS$51,0)+IF(AG27=4,AH27*$AS$52,0)+IF(AG27=5,AH27*$AS$53,0)+IF(AG27=6,AH27*$AS$54)+IF(AG27=7,AH27*$AS$55)+IF(AG27=8,AH27*$AS$56)+IF(AG27=9,AH27*$AS$57)+IF(AG27=10,AH27*$AS$58)+IF(AG27=11,AH27*$AS$59,0)</f>
        <v>0</v>
      </c>
      <c r="DL27" s="654" t="n">
        <f aca="false">IF(AI27=1,AJ27*$AS$49,0)+IF(AI27=2,AJ27*$AS$50,0)+IF(AI27=3,AJ27*$AS$51,0)+IF(AI27=4,AJ27*$AS$52,0)+IF(AI27=5,AJ27*$AS$53,0)+IF(AI27=6,AJ27*$AS$54)+IF(AI27=7,AJ27*$AS$55)+IF(AI27=8,AJ27*$AS$56)+IF(AI27=9,AJ27*$AS$57)+IF(AI27=10,AJ27*$AS$58)+IF(AI27=11,AJ27*$AS$59,0)</f>
        <v>0</v>
      </c>
      <c r="DM27" s="654" t="n">
        <f aca="false">IF(AK27=1,AL27*$AS$49,0)+IF(AK27=2,AL27*$AS$50,0)+IF(AK27=3,AL27*$AS$51,0)+IF(AK27=4,AL27*$AS$52,0)+IF(AK27=5,AL27*$AS$53,0)+IF(AK27=6,AL27*$AS$54)+IF(AK27=7,AL27*$AS$55)+IF(AK27=8,AL27*$AS$56)+IF(AK27=9,AL27*$AS$57)+IF(AK27=10,AL27*$AS$58)+IF(AK27=11,AL27*$AS$59,0)</f>
        <v>0</v>
      </c>
      <c r="DN27" s="654" t="n">
        <f aca="false">IF(AM27=1,AN27*$AS$49,0)+IF(AM27=2,AN27*$AS$50,0)+IF(AM27=3,AN27*$AS$51,0)+IF(AM27=4,AN27*$AS$52,0)+IF(AM27=5,AN27*$AS$53,0)+IF(AM27=6,AN27*$AS$54)+IF(AM27=7,AN27*$AS$55)+IF(AM27=8,AN27*$AS$56)+IF(AM27=9,AN27*$AS$57)+IF(AM27=10,AN27*$AS$58)+IF(AM27=11,AN27*$AS$59,0)</f>
        <v>0</v>
      </c>
      <c r="DO27" s="654" t="n">
        <f aca="false">IF(AO27=1,AP27*$AS$49,0)+IF(AO27=2,AP27*$AS$50,0)+IF(AO27=3,AP27*$AS$51,0)+IF(AO27=4,AP27*$AS$52,0)+IF(AO27=5,AP27*$AS$53,0)+IF(AO27=6,AP27*$AS$54)+IF(AO27=7,AP27*$AS$55)+IF(AO27=8,AP27*$AS$56)+IF(AO27=9,AP27*$AS$57)+IF(AO27=10,AP27*$AS$58)+IF(AO27=11,AP27*$AS$59,0)</f>
        <v>0</v>
      </c>
      <c r="DP27" s="1569" t="n">
        <f aca="false">D27</f>
        <v>0</v>
      </c>
    </row>
    <row r="28" customFormat="false" ht="19.5" hidden="false" customHeight="true" outlineLevel="0" collapsed="false">
      <c r="A28" s="16" t="s">
        <v>1572</v>
      </c>
      <c r="B28" s="920"/>
      <c r="C28" s="1506"/>
      <c r="D28" s="1507"/>
      <c r="E28" s="1508"/>
      <c r="F28" s="1074"/>
      <c r="G28" s="1553"/>
      <c r="H28" s="1074"/>
      <c r="I28" s="1553"/>
      <c r="J28" s="1074"/>
      <c r="K28" s="1583"/>
      <c r="L28" s="528"/>
      <c r="M28" s="895"/>
      <c r="N28" s="1513"/>
      <c r="O28" s="1514"/>
      <c r="P28" s="1515" t="n">
        <f aca="false">IF(BQ28=0,0,BN28/BQ28)</f>
        <v>0</v>
      </c>
      <c r="Q28" s="1516" t="n">
        <f aca="false">(D28*F28/324)*(1+K$65)+BB28</f>
        <v>0</v>
      </c>
      <c r="R28" s="1517" t="n">
        <f aca="false">IF(D28=0,0,S28/D28)</f>
        <v>0</v>
      </c>
      <c r="S28" s="1518" t="e">
        <f aca="false">SUM(CM28-DE28)*(1+M$45)</f>
        <v>#DIV/0!</v>
      </c>
      <c r="T28" s="1519" t="n">
        <f aca="false">CF28+CG28+CH28</f>
        <v>0</v>
      </c>
      <c r="U28" s="1520" t="n">
        <f aca="false">IF(P28-(D28*0.35)&lt;0,0,P28-(D28*0.35))</f>
        <v>0</v>
      </c>
      <c r="V28" s="1521" t="n">
        <f aca="false">IF(D28="",0,IF(D28/-30+Q28&lt;1,0,D28/-30+Q28))</f>
        <v>0</v>
      </c>
      <c r="W28" s="528"/>
      <c r="X28" s="1526"/>
      <c r="Y28" s="528"/>
      <c r="Z28" s="1574"/>
      <c r="AA28" s="528"/>
      <c r="AB28" s="1574"/>
      <c r="AC28" s="1585"/>
      <c r="AD28" s="1526"/>
      <c r="AE28" s="528"/>
      <c r="AF28" s="1527"/>
      <c r="AG28" s="1531"/>
      <c r="AH28" s="1527"/>
      <c r="AI28" s="1859"/>
      <c r="AJ28" s="1530"/>
      <c r="AK28" s="1531"/>
      <c r="AL28" s="1582"/>
      <c r="AM28" s="528"/>
      <c r="AN28" s="1575"/>
      <c r="AO28" s="528"/>
      <c r="AP28" s="1574"/>
      <c r="AQ28" s="654"/>
      <c r="AR28" s="1533" t="str">
        <f aca="false">IF(W28="","",LOOKUP(W28,$B$49:$B$59,$R$49:$R$59)*X28)</f>
        <v/>
      </c>
      <c r="AS28" s="1430" t="str">
        <f aca="false">IF(Y28="","",LOOKUP(Y28,$B$49:$B$59,$R$49:$R$59)*Z28)</f>
        <v/>
      </c>
      <c r="AT28" s="1430" t="str">
        <f aca="false">IF(AB28="","",LOOKUP(AA28,$B$49:$B$59,$R$49:$R$59)*AB28)</f>
        <v/>
      </c>
      <c r="AU28" s="1430" t="str">
        <f aca="false">IF(AC28="","",LOOKUP(AC28,$B$49:$B$59,$R$49:$R$59)*AD28)</f>
        <v/>
      </c>
      <c r="AV28" s="1430" t="str">
        <f aca="false">IF(AE28="","",LOOKUP(AE28,$B$49:$B$59,$R$49:$R$59)*AF28)</f>
        <v/>
      </c>
      <c r="AW28" s="1430" t="str">
        <f aca="false">IF(AG28="","",LOOKUP(AG28,$B$49:$B$59,$R$49:$R$59)*AH28)</f>
        <v/>
      </c>
      <c r="AX28" s="1430" t="str">
        <f aca="false">IF(AI28="","",LOOKUP(AI28,$B$49:$B$59,$R$49:$R$59)*AJ28)</f>
        <v/>
      </c>
      <c r="AY28" s="1430" t="str">
        <f aca="false">IF(AK28="","",LOOKUP(AK28,$B$49:$B$59,$R$49:$R$59)*AL28)</f>
        <v/>
      </c>
      <c r="AZ28" s="1430" t="str">
        <f aca="false">IF(AM28="","",LOOKUP(AM28,$B$49:$B$59,$R$49:$R$59)*AN28)</f>
        <v/>
      </c>
      <c r="BA28" s="1430" t="str">
        <f aca="false">IF(AO28="","",LOOKUP(AO28,$B$49:$B$59,$R$49:$R$59)*AP28)</f>
        <v/>
      </c>
      <c r="BB28" s="1535" t="n">
        <f aca="false">SUM(AR28:BA28)</f>
        <v>0</v>
      </c>
      <c r="BC28" s="1533" t="str">
        <f aca="false">IF(W28="","",LOOKUP(W28,$B$49:$B$59,$P$49:$P$59)*X28)</f>
        <v/>
      </c>
      <c r="BD28" s="654" t="str">
        <f aca="false">IF(Y28="","",LOOKUP(Y28,$B$49:$B$59,$P$49:$P$59)*Z28)</f>
        <v/>
      </c>
      <c r="BE28" s="1430"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584" t="n">
        <f aca="false">SUM(BC28:BL28)*BQ28</f>
        <v>0</v>
      </c>
      <c r="BN28" s="1536" t="n">
        <f aca="false">BM28+BO28</f>
        <v>0</v>
      </c>
      <c r="BO28" s="1536" t="n">
        <f aca="false">IF(M28=0,0,(M28/12+M28/12)/(M28/12*M28/12)*D28*((L28/16*L28/16)*10.6870159))*(1+K$70)*BQ28</f>
        <v>0</v>
      </c>
      <c r="BP28" s="1536" t="n">
        <f aca="false">IF(O28="Y",D28*(1+K$71)*BQ28,0)</f>
        <v>0</v>
      </c>
      <c r="BQ28" s="1538" t="n">
        <f aca="false">G28</f>
        <v>0</v>
      </c>
      <c r="BR28" s="1411" t="n">
        <f aca="false">IF(O28="y",D28,0)</f>
        <v>0</v>
      </c>
      <c r="BS28" s="1567" t="n">
        <f aca="false">IF($I28=1,$Q28,0)*BQ28</f>
        <v>0</v>
      </c>
      <c r="BT28" s="1536" t="n">
        <f aca="false">IF($I28=2,$Q28,0)*BQ28</f>
        <v>0</v>
      </c>
      <c r="BU28" s="1536" t="n">
        <f aca="false">IF($I28=3,$Q28,0)*BQ28</f>
        <v>0</v>
      </c>
      <c r="BV28" s="1536" t="n">
        <f aca="false">IF($I28=4,$Q28,0)*BQ28</f>
        <v>0</v>
      </c>
      <c r="BW28" s="1536" t="n">
        <f aca="false">IF($I28=5,$Q28,0)*BQ28</f>
        <v>0</v>
      </c>
      <c r="BX28" s="1536" t="n">
        <f aca="false">IF($I28=6,$Q28,0)*$BQ28</f>
        <v>0</v>
      </c>
      <c r="BY28" s="1536" t="n">
        <f aca="false">IF($I28=7,$Q28,0)*$BQ28</f>
        <v>0</v>
      </c>
      <c r="BZ28" s="1536" t="n">
        <f aca="false">IF($I28=8,$Q28,0)*$BQ28</f>
        <v>0</v>
      </c>
      <c r="CA28" s="1536" t="n">
        <f aca="false">IF($I28=9,$Q28,0)*$BQ28</f>
        <v>0</v>
      </c>
      <c r="CB28" s="1568" t="n">
        <f aca="false">IF($I28=10,$Q28,0)*$BQ28</f>
        <v>0</v>
      </c>
      <c r="CC28" s="1538" t="n">
        <f aca="false">SUM(BS28:BX28)</f>
        <v>0</v>
      </c>
      <c r="CD28" s="1538" t="n">
        <f aca="false">IF(H28="N",0,D28)*BQ28</f>
        <v>0</v>
      </c>
      <c r="CE28" s="1538" t="n">
        <f aca="false">K28*BQ28</f>
        <v>0</v>
      </c>
      <c r="CF28" s="1542" t="n">
        <f aca="false">ROUND(IF(W28="",0,LOOKUP(W28,B$49:B$59,D$49:D$59)*X28/12),0)</f>
        <v>0</v>
      </c>
      <c r="CG28" s="1542" t="n">
        <f aca="false">ROUND(IF(Y28="",0,LOOKUP(Y28,B$49:B$59,D$49:D$59)*Z28/12),0)</f>
        <v>0</v>
      </c>
      <c r="CH28" s="1542" t="n">
        <f aca="false">ROUND(IF(AA28="",0,LOOKUP(AA28,B$49:B$59,D$49:D$59)*AB28/12),0)</f>
        <v>0</v>
      </c>
      <c r="CI28" s="1538" t="n">
        <f aca="false">D28*BQ28</f>
        <v>0</v>
      </c>
      <c r="CJ28" s="1538" t="n">
        <f aca="false">D28*J28/324*(1+K$73)*G28</f>
        <v>0</v>
      </c>
      <c r="CK28" s="1538" t="str">
        <f aca="false">IF(N28="","",N28)</f>
        <v/>
      </c>
      <c r="CL28" s="1538" t="n">
        <f aca="false">P28*BQ28</f>
        <v>0</v>
      </c>
      <c r="CM28" s="1543" t="n">
        <f aca="false">IF(BQ28=0,0,SUM(CN28:DE28)/BQ28)</f>
        <v>0</v>
      </c>
      <c r="CN28" s="656" t="n">
        <f aca="false">(BS28*Pricing!F$3+BT28*Pricing!G$3+BU28*Pricing!H$3+BV28*Pricing!I$3+BW28*Pricing!J$3+BX28*Pricing!K$3+BY28*Pricing!L$3+BZ28*Pricing!M$3+CA28*Pricing!N$3+CB28*Pricing!O$3)*IF(W$44="N",(1+Y$44),1)</f>
        <v>0</v>
      </c>
      <c r="CO28" s="656" t="n">
        <f aca="false">BN28*G$70*IF(W$44="n",1+Y$44,1)</f>
        <v>0</v>
      </c>
      <c r="CP28" s="1544" t="n">
        <f aca="false">C28*D28</f>
        <v>0</v>
      </c>
      <c r="CQ28" s="656" t="n">
        <f aca="false">IF(I$79=0,0,D28*(SUM(O$79:P$82)+O$85)/I$79*BQ28)</f>
        <v>0</v>
      </c>
      <c r="CR28" s="656" t="n">
        <f aca="false">IF(CF28="",0,CF28*E$83)+IF(CG28="",0,CG28*E$83)+IF(CH28="",0,CH28*E$83)</f>
        <v>0</v>
      </c>
      <c r="CS28" s="656"/>
      <c r="CT28" s="1545" t="n">
        <f aca="false">(U28/2000)*E$87</f>
        <v>0</v>
      </c>
      <c r="CU28" s="656" t="n">
        <f aca="false">IF(I$79=0,0,D28*(O$88)/I$79*BQ28)</f>
        <v>0</v>
      </c>
      <c r="CV28" s="656" t="n">
        <f aca="false">IF(D$42=0,0,SUM(O$91:P$94)/D$42*D28)*BQ28</f>
        <v>0</v>
      </c>
      <c r="CW28" s="656" t="n">
        <f aca="false">IF(D$42=0,0,SUM(Z$66:Z$97)/D$42*D28*BQ28)</f>
        <v>0</v>
      </c>
      <c r="CX28" s="656" t="n">
        <f aca="false">IF(D$42=0,0,SUM(O$96:P$101)/D$42*D28)*BQ28</f>
        <v>0</v>
      </c>
      <c r="CY28" s="656" t="n">
        <f aca="false">IF(D$42=0,0,SUM(O$103:O$109)/D$42)*D28*BQ28</f>
        <v>0</v>
      </c>
      <c r="CZ28" s="656" t="n">
        <f aca="false">IF(I$79=0,0,IF(I$79=0,0,SUM(Z$98:Z$109)/I$79*D28))</f>
        <v>0</v>
      </c>
      <c r="DA28" s="656" t="n">
        <f aca="false">IF(J$72&gt;0,J$72/D$42*D28*G28,CD28*(G$72*IF(W$44="n",(1+Y$44),1)))</f>
        <v>0</v>
      </c>
      <c r="DB28" s="656" t="n">
        <f aca="false">IF(CK28="",0,CK28*E$86)</f>
        <v>0</v>
      </c>
      <c r="DC28" s="656" t="n">
        <f aca="false">BP28*G$71*IF(W$44="Y",1,1+Y$44)</f>
        <v>0</v>
      </c>
      <c r="DD28" s="656" t="n">
        <f aca="false">CJ28*G$73*IF(W$44="Y",1,1+Y$44)</f>
        <v>0</v>
      </c>
      <c r="DE28" s="1546" t="e">
        <f aca="false">O$110/I$79*D28</f>
        <v>#DIV/0!</v>
      </c>
      <c r="DF28" s="654" t="n">
        <f aca="false">IF(W28=1,X28*$AS$49,0)+IF(W28=2,X28*$AS$50,0)+IF(W28=3,X28*$AS$51,0)+IF(W28=4,X28*$AS$52,0)+IF(W28=5,X28*$AS$53,0)+IF(W28=6,X28*$AS$54)+IF(W28=7,X28*$AS$55)+IF(W28=8,X28*$AS$56)+IF(W28=9,X28*$AS$57)+IF(W28=10,X28*$AS$58)+IF(W28=11,X28*$AS$59,0)</f>
        <v>0</v>
      </c>
      <c r="DG28" s="654" t="n">
        <f aca="false">IF(Y28=1,Z28*$AS$49,0)+IF(Y28=2,Z28*$AS$50,0)+IF(Y28=3,Z28*$AS$51,0)+IF(Y28=4,Z28*$AS$52,0)+IF(Y28=5,Z28*$AS$53,0)+IF(Y28=6,Z28*$AS$54)+IF(Y28=7,Z28*$AS$55)+IF(Y28=8,Z28*$AS$56)+IF(Y28=9,Z28*$AS$57)+IF(Y28=10,Z28*$AS$58)+IF(Y28=11,Z28*$AS$59,0)</f>
        <v>0</v>
      </c>
      <c r="DH28" s="654" t="n">
        <f aca="false">IF(AA28=1,AB28*$AS$49,0)+IF(AA28=2,AB28*$AS$50,0)+IF(AA28=3,AB28*$AS$51,0)+IF(AA28=4,AB28*$AS$52,0)+IF(AA28=5,AB28*$AS$53,0)+IF(AA28=6,AB28*$AS$54)+IF(AA28=7,AB28*$AS$55)+IF(AA28=8,AB28*$AS$56)+IF(AA28=9,AB28*$AS$57)+IF(AA28=10,AB28*$AS$58)+IF(AA28=11,AB28*$AS$59,0)</f>
        <v>0</v>
      </c>
      <c r="DI28" s="654" t="n">
        <f aca="false">IF(AC28=1,AD28*$AS$49,0)+IF(AC28=2,AD28*$AS$50,0)+IF(AC28=3,AD28*$AS$51,0)+IF(AC28=4,AD28*$AS$52,0)+IF(AC28=5,AD28*$AS$53,0)+IF(AC28=6,AD28*$AS$54)+IF(AC28=7,AD28*$AS$55)+IF(AC28=8,AD28*$AS$56)+IF(AC28=9,AD28*$AS$57)+IF(AC28=10,AD28*$AS$58)+IF(AC28=11,AD28*$AS$59,0)</f>
        <v>0</v>
      </c>
      <c r="DJ28" s="654" t="n">
        <f aca="false">IF(AE28=1,AF28*$AS$49,0)+IF(AE28=2,AF28*$AS$50,0)+IF(AE28=3,AF28*$AS$51,0)+IF(AE28=4,AF28*$AS$52,0)+IF(AE28=5,AF28*$AS$53,0)+IF(AE28=6,AF28*$AS$54)+IF(AE28=7,AF28*$AS$55)+IF(AE28=8,AF28*$AS$56)+IF(AE28=9,AF28*$AS$57)+IF(AE28=10,AF28*$AS$58)+IF(AE28=11,AF28*$AS$59,0)</f>
        <v>0</v>
      </c>
      <c r="DK28" s="654" t="n">
        <f aca="false">IF(AG28=1,AH28*$AS$49,0)+IF(AG28=2,AH28*$AS$50,0)+IF(AG28=3,AH28*$AS$51,0)+IF(AG28=4,AH28*$AS$52,0)+IF(AG28=5,AH28*$AS$53,0)+IF(AG28=6,AH28*$AS$54)+IF(AG28=7,AH28*$AS$55)+IF(AG28=8,AH28*$AS$56)+IF(AG28=9,AH28*$AS$57)+IF(AG28=10,AH28*$AS$58)+IF(AG28=11,AH28*$AS$59,0)</f>
        <v>0</v>
      </c>
      <c r="DL28" s="654" t="n">
        <f aca="false">IF(AI28=1,AJ28*$AS$49,0)+IF(AI28=2,AJ28*$AS$50,0)+IF(AI28=3,AJ28*$AS$51,0)+IF(AI28=4,AJ28*$AS$52,0)+IF(AI28=5,AJ28*$AS$53,0)+IF(AI28=6,AJ28*$AS$54)+IF(AI28=7,AJ28*$AS$55)+IF(AI28=8,AJ28*$AS$56)+IF(AI28=9,AJ28*$AS$57)+IF(AI28=10,AJ28*$AS$58)+IF(AI28=11,AJ28*$AS$59,0)</f>
        <v>0</v>
      </c>
      <c r="DM28" s="654" t="n">
        <f aca="false">IF(AK28=1,AL28*$AS$49,0)+IF(AK28=2,AL28*$AS$50,0)+IF(AK28=3,AL28*$AS$51,0)+IF(AK28=4,AL28*$AS$52,0)+IF(AK28=5,AL28*$AS$53,0)+IF(AK28=6,AL28*$AS$54)+IF(AK28=7,AL28*$AS$55)+IF(AK28=8,AL28*$AS$56)+IF(AK28=9,AL28*$AS$57)+IF(AK28=10,AL28*$AS$58)+IF(AK28=11,AL28*$AS$59,0)</f>
        <v>0</v>
      </c>
      <c r="DN28" s="654" t="n">
        <f aca="false">IF(AM28=1,AN28*$AS$49,0)+IF(AM28=2,AN28*$AS$50,0)+IF(AM28=3,AN28*$AS$51,0)+IF(AM28=4,AN28*$AS$52,0)+IF(AM28=5,AN28*$AS$53,0)+IF(AM28=6,AN28*$AS$54)+IF(AM28=7,AN28*$AS$55)+IF(AM28=8,AN28*$AS$56)+IF(AM28=9,AN28*$AS$57)+IF(AM28=10,AN28*$AS$58)+IF(AM28=11,AN28*$AS$59,0)</f>
        <v>0</v>
      </c>
      <c r="DO28" s="654" t="n">
        <f aca="false">IF(AO28=1,AP28*$AS$49,0)+IF(AO28=2,AP28*$AS$50,0)+IF(AO28=3,AP28*$AS$51,0)+IF(AO28=4,AP28*$AS$52,0)+IF(AO28=5,AP28*$AS$53,0)+IF(AO28=6,AP28*$AS$54)+IF(AO28=7,AP28*$AS$55)+IF(AO28=8,AP28*$AS$56)+IF(AO28=9,AP28*$AS$57)+IF(AO28=10,AP28*$AS$58)+IF(AO28=11,AP28*$AS$59,0)</f>
        <v>0</v>
      </c>
      <c r="DP28" s="1569" t="n">
        <f aca="false">D28</f>
        <v>0</v>
      </c>
    </row>
    <row r="29" customFormat="false" ht="19.5" hidden="false" customHeight="true" outlineLevel="0" collapsed="false">
      <c r="A29" s="16" t="s">
        <v>1573</v>
      </c>
      <c r="B29" s="1549"/>
      <c r="C29" s="1550"/>
      <c r="D29" s="1551"/>
      <c r="E29" s="1552"/>
      <c r="F29" s="1074"/>
      <c r="G29" s="1553"/>
      <c r="H29" s="1074"/>
      <c r="I29" s="1553"/>
      <c r="J29" s="1074"/>
      <c r="K29" s="1583"/>
      <c r="L29" s="1555"/>
      <c r="M29" s="1556"/>
      <c r="N29" s="1557"/>
      <c r="O29" s="1558"/>
      <c r="P29" s="1515" t="n">
        <f aca="false">IF(BQ29=0,0,BN29/BQ29)</f>
        <v>0</v>
      </c>
      <c r="Q29" s="1516" t="n">
        <f aca="false">(D29*F29/324)*(1+K$65)+BB29</f>
        <v>0</v>
      </c>
      <c r="R29" s="1517" t="n">
        <f aca="false">IF(D29=0,0,S29/D29)</f>
        <v>0</v>
      </c>
      <c r="S29" s="1518" t="e">
        <f aca="false">SUM(CM29-DE29)*(1+M$45)</f>
        <v>#DIV/0!</v>
      </c>
      <c r="T29" s="1519" t="n">
        <f aca="false">CF29+CG29+CH29</f>
        <v>0</v>
      </c>
      <c r="U29" s="1520" t="n">
        <f aca="false">IF(P29-(D29*0.35)&lt;0,0,P29-(D29*0.35))</f>
        <v>0</v>
      </c>
      <c r="V29" s="1521" t="n">
        <f aca="false">IF(D29="",0,IF(D29/-30+Q29&lt;1,0,D29/-30+Q29))</f>
        <v>0</v>
      </c>
      <c r="W29" s="1559"/>
      <c r="X29" s="1560"/>
      <c r="Y29" s="1559"/>
      <c r="Z29" s="1561"/>
      <c r="AA29" s="1559"/>
      <c r="AB29" s="1561"/>
      <c r="AC29" s="1562"/>
      <c r="AD29" s="1560"/>
      <c r="AE29" s="1559"/>
      <c r="AF29" s="1563"/>
      <c r="AG29" s="1564"/>
      <c r="AH29" s="1563"/>
      <c r="AI29" s="1565"/>
      <c r="AJ29" s="1560"/>
      <c r="AK29" s="1565"/>
      <c r="AL29" s="1581"/>
      <c r="AM29" s="1559"/>
      <c r="AN29" s="1566"/>
      <c r="AO29" s="1559"/>
      <c r="AP29" s="1561"/>
      <c r="AQ29" s="654"/>
      <c r="AR29" s="1533" t="str">
        <f aca="false">IF(W29="","",LOOKUP(W29,$B$49:$B$59,$R$49:$R$59)*X29)</f>
        <v/>
      </c>
      <c r="AS29" s="1430" t="str">
        <f aca="false">IF(Y29="","",LOOKUP(Y29,$B$49:$B$59,$R$49:$R$59)*Z29)</f>
        <v/>
      </c>
      <c r="AT29" s="1430" t="str">
        <f aca="false">IF(AB29="","",LOOKUP(AA29,$B$49:$B$59,$R$49:$R$59)*AB29)</f>
        <v/>
      </c>
      <c r="AU29" s="1430" t="str">
        <f aca="false">IF(AC29="","",LOOKUP(AC29,$B$49:$B$59,$R$49:$R$59)*AD29)</f>
        <v/>
      </c>
      <c r="AV29" s="1430" t="str">
        <f aca="false">IF(AE29="","",LOOKUP(AE29,$B$49:$B$59,$R$49:$R$59)*AF29)</f>
        <v/>
      </c>
      <c r="AW29" s="1430" t="str">
        <f aca="false">IF(AG29="","",LOOKUP(AG29,$B$49:$B$59,$R$49:$R$59)*AH29)</f>
        <v/>
      </c>
      <c r="AX29" s="1430" t="str">
        <f aca="false">IF(AI29="","",LOOKUP(AI29,$B$49:$B$59,$R$49:$R$59)*AJ29)</f>
        <v/>
      </c>
      <c r="AY29" s="1430" t="str">
        <f aca="false">IF(AK29="","",LOOKUP(AK29,$B$49:$B$59,$R$49:$R$59)*AL29)</f>
        <v/>
      </c>
      <c r="AZ29" s="1430" t="str">
        <f aca="false">IF(AM29="","",LOOKUP(AM29,$B$49:$B$59,$R$49:$R$59)*AN29)</f>
        <v/>
      </c>
      <c r="BA29" s="1430" t="str">
        <f aca="false">IF(AO29="","",LOOKUP(AO29,$B$49:$B$59,$R$49:$R$59)*AP29)</f>
        <v/>
      </c>
      <c r="BB29" s="1535" t="n">
        <f aca="false">SUM(AR29:BA29)</f>
        <v>0</v>
      </c>
      <c r="BC29" s="1533" t="str">
        <f aca="false">IF(W29="","",LOOKUP(W29,$B$49:$B$59,$P$49:$P$59)*X29)</f>
        <v/>
      </c>
      <c r="BD29" s="654" t="str">
        <f aca="false">IF(Y29="","",LOOKUP(Y29,$B$49:$B$59,$P$49:$P$59)*Z29)</f>
        <v/>
      </c>
      <c r="BE29" s="1430"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584" t="n">
        <f aca="false">SUM(BC29:BL29)*BQ29</f>
        <v>0</v>
      </c>
      <c r="BN29" s="1536" t="n">
        <f aca="false">BM29+BO29</f>
        <v>0</v>
      </c>
      <c r="BO29" s="1536" t="n">
        <f aca="false">IF(M29=0,0,(M29/12+M29/12)/(M29/12*M29/12)*D29*((L29/16*L29/16)*10.6870159))*(1+K$70)*BQ29</f>
        <v>0</v>
      </c>
      <c r="BP29" s="1536" t="n">
        <f aca="false">IF(O29="Y",D29*(1+K$71)*BQ29,0)</f>
        <v>0</v>
      </c>
      <c r="BQ29" s="1538" t="n">
        <f aca="false">G29</f>
        <v>0</v>
      </c>
      <c r="BR29" s="1411" t="n">
        <f aca="false">IF(O29="y",D29,0)</f>
        <v>0</v>
      </c>
      <c r="BS29" s="1567" t="n">
        <f aca="false">IF($I29=1,$Q29,0)*BQ29</f>
        <v>0</v>
      </c>
      <c r="BT29" s="1536" t="n">
        <f aca="false">IF($I29=2,$Q29,0)*BQ29</f>
        <v>0</v>
      </c>
      <c r="BU29" s="1536" t="n">
        <f aca="false">IF($I29=3,$Q29,0)*BQ29</f>
        <v>0</v>
      </c>
      <c r="BV29" s="1536" t="n">
        <f aca="false">IF($I29=4,$Q29,0)*BQ29</f>
        <v>0</v>
      </c>
      <c r="BW29" s="1536" t="n">
        <f aca="false">IF($I29=5,$Q29,0)*BQ29</f>
        <v>0</v>
      </c>
      <c r="BX29" s="1536" t="n">
        <f aca="false">IF($I29=6,$Q29,0)*$BQ29</f>
        <v>0</v>
      </c>
      <c r="BY29" s="1536" t="n">
        <f aca="false">IF($I29=7,$Q29,0)*$BQ29</f>
        <v>0</v>
      </c>
      <c r="BZ29" s="1536" t="n">
        <f aca="false">IF($I29=8,$Q29,0)*$BQ29</f>
        <v>0</v>
      </c>
      <c r="CA29" s="1536" t="n">
        <f aca="false">IF($I29=9,$Q29,0)*$BQ29</f>
        <v>0</v>
      </c>
      <c r="CB29" s="1568" t="n">
        <f aca="false">IF($I29=10,$Q29,0)*$BQ29</f>
        <v>0</v>
      </c>
      <c r="CC29" s="1538" t="n">
        <f aca="false">SUM(BS29:BX29)</f>
        <v>0</v>
      </c>
      <c r="CD29" s="1538" t="n">
        <f aca="false">IF(H29="N",0,D29)*BQ29</f>
        <v>0</v>
      </c>
      <c r="CE29" s="1538" t="n">
        <f aca="false">K29*BQ29</f>
        <v>0</v>
      </c>
      <c r="CF29" s="1542" t="n">
        <f aca="false">ROUND(IF(W29="",0,LOOKUP(W29,B$49:B$59,D$49:D$59)*X29/12),0)</f>
        <v>0</v>
      </c>
      <c r="CG29" s="1542" t="n">
        <f aca="false">ROUND(IF(Y29="",0,LOOKUP(Y29,B$49:B$59,D$49:D$59)*Z29/12),0)</f>
        <v>0</v>
      </c>
      <c r="CH29" s="1542" t="n">
        <f aca="false">ROUND(IF(AA29="",0,LOOKUP(AA29,B$49:B$59,D$49:D$59)*AB29/12),0)</f>
        <v>0</v>
      </c>
      <c r="CI29" s="1538" t="n">
        <f aca="false">D29*BQ29</f>
        <v>0</v>
      </c>
      <c r="CJ29" s="1538" t="n">
        <f aca="false">D29*J29/324*(1+K$73)*G29</f>
        <v>0</v>
      </c>
      <c r="CK29" s="1538" t="str">
        <f aca="false">IF(N29="","",N29)</f>
        <v/>
      </c>
      <c r="CL29" s="1538" t="n">
        <f aca="false">P29*BQ29</f>
        <v>0</v>
      </c>
      <c r="CM29" s="1543" t="n">
        <f aca="false">IF(BQ29=0,0,SUM(CN29:DE29)/BQ29)</f>
        <v>0</v>
      </c>
      <c r="CN29" s="656" t="n">
        <f aca="false">(BS29*Pricing!F$3+BT29*Pricing!G$3+BU29*Pricing!H$3+BV29*Pricing!I$3+BW29*Pricing!J$3+BX29*Pricing!K$3+BY29*Pricing!L$3+BZ29*Pricing!M$3+CA29*Pricing!N$3+CB29*Pricing!O$3)*IF(W$44="N",(1+Y$44),1)</f>
        <v>0</v>
      </c>
      <c r="CO29" s="656" t="n">
        <f aca="false">BN29*G$70*IF(W$44="n",1+Y$44,1)</f>
        <v>0</v>
      </c>
      <c r="CP29" s="1544" t="n">
        <f aca="false">C29*D29</f>
        <v>0</v>
      </c>
      <c r="CQ29" s="656" t="n">
        <f aca="false">IF(I$79=0,0,D29*(SUM(O$79:P$82)+O$85)/I$79*BQ29)</f>
        <v>0</v>
      </c>
      <c r="CR29" s="656" t="n">
        <f aca="false">IF(CF29="",0,CF29*E$83)+IF(CG29="",0,CG29*E$83)+IF(CH29="",0,CH29*E$83)</f>
        <v>0</v>
      </c>
      <c r="CS29" s="656"/>
      <c r="CT29" s="1545" t="n">
        <f aca="false">(U29/2000)*E$87</f>
        <v>0</v>
      </c>
      <c r="CU29" s="656" t="n">
        <f aca="false">IF(I$79=0,0,D29*(O$88)/I$79*BQ29)</f>
        <v>0</v>
      </c>
      <c r="CV29" s="656" t="n">
        <f aca="false">IF(D$42=0,0,SUM(O$91:P$94)/D$42*D29)*BQ29</f>
        <v>0</v>
      </c>
      <c r="CW29" s="656" t="n">
        <f aca="false">IF(D$42=0,0,SUM(Z$66:Z$97)/D$42*D29*BQ29)</f>
        <v>0</v>
      </c>
      <c r="CX29" s="656" t="n">
        <f aca="false">IF(D$42=0,0,SUM(O$96:P$101)/D$42*D29)*BQ29</f>
        <v>0</v>
      </c>
      <c r="CY29" s="656" t="n">
        <f aca="false">IF(D$42=0,0,SUM(O$103:O$109)/D$42)*D29*BQ29</f>
        <v>0</v>
      </c>
      <c r="CZ29" s="656" t="n">
        <f aca="false">IF(I$79=0,0,IF(I$79=0,0,SUM(Z$98:Z$109)/I$79*D29))</f>
        <v>0</v>
      </c>
      <c r="DA29" s="656" t="n">
        <f aca="false">IF(J$72&gt;0,J$72/D$42*D29*G29,CD29*(G$72*IF(W$44="n",(1+Y$44),1)))</f>
        <v>0</v>
      </c>
      <c r="DB29" s="656" t="n">
        <f aca="false">IF(CK29="",0,CK29*E$86)</f>
        <v>0</v>
      </c>
      <c r="DC29" s="656" t="n">
        <f aca="false">BP29*G$71*IF(W$44="Y",1,1+Y$44)</f>
        <v>0</v>
      </c>
      <c r="DD29" s="656" t="n">
        <f aca="false">CJ29*G$73*IF(W$44="Y",1,1+Y$44)</f>
        <v>0</v>
      </c>
      <c r="DE29" s="1546" t="e">
        <f aca="false">O$110/I$79*D29</f>
        <v>#DIV/0!</v>
      </c>
      <c r="DF29" s="654" t="n">
        <f aca="false">IF(W29=1,X29*$AS$49,0)+IF(W29=2,X29*$AS$50,0)+IF(W29=3,X29*$AS$51,0)+IF(W29=4,X29*$AS$52,0)+IF(W29=5,X29*$AS$53,0)+IF(W29=6,X29*$AS$54)+IF(W29=7,X29*$AS$55)+IF(W29=8,X29*$AS$56)+IF(W29=9,X29*$AS$57)+IF(W29=10,X29*$AS$58)+IF(W29=11,X29*$AS$59,0)</f>
        <v>0</v>
      </c>
      <c r="DG29" s="654" t="n">
        <f aca="false">IF(Y29=1,Z29*$AS$49,0)+IF(Y29=2,Z29*$AS$50,0)+IF(Y29=3,Z29*$AS$51,0)+IF(Y29=4,Z29*$AS$52,0)+IF(Y29=5,Z29*$AS$53,0)+IF(Y29=6,Z29*$AS$54)+IF(Y29=7,Z29*$AS$55)+IF(Y29=8,Z29*$AS$56)+IF(Y29=9,Z29*$AS$57)+IF(Y29=10,Z29*$AS$58)+IF(Y29=11,Z29*$AS$59,0)</f>
        <v>0</v>
      </c>
      <c r="DH29" s="654" t="n">
        <f aca="false">IF(AA29=1,AB29*$AS$49,0)+IF(AA29=2,AB29*$AS$50,0)+IF(AA29=3,AB29*$AS$51,0)+IF(AA29=4,AB29*$AS$52,0)+IF(AA29=5,AB29*$AS$53,0)+IF(AA29=6,AB29*$AS$54)+IF(AA29=7,AB29*$AS$55)+IF(AA29=8,AB29*$AS$56)+IF(AA29=9,AB29*$AS$57)+IF(AA29=10,AB29*$AS$58)+IF(AA29=11,AB29*$AS$59,0)</f>
        <v>0</v>
      </c>
      <c r="DI29" s="654" t="n">
        <f aca="false">IF(AC29=1,AD29*$AS$49,0)+IF(AC29=2,AD29*$AS$50,0)+IF(AC29=3,AD29*$AS$51,0)+IF(AC29=4,AD29*$AS$52,0)+IF(AC29=5,AD29*$AS$53,0)+IF(AC29=6,AD29*$AS$54)+IF(AC29=7,AD29*$AS$55)+IF(AC29=8,AD29*$AS$56)+IF(AC29=9,AD29*$AS$57)+IF(AC29=10,AD29*$AS$58)+IF(AC29=11,AD29*$AS$59,0)</f>
        <v>0</v>
      </c>
      <c r="DJ29" s="654" t="n">
        <f aca="false">IF(AE29=1,AF29*$AS$49,0)+IF(AE29=2,AF29*$AS$50,0)+IF(AE29=3,AF29*$AS$51,0)+IF(AE29=4,AF29*$AS$52,0)+IF(AE29=5,AF29*$AS$53,0)+IF(AE29=6,AF29*$AS$54)+IF(AE29=7,AF29*$AS$55)+IF(AE29=8,AF29*$AS$56)+IF(AE29=9,AF29*$AS$57)+IF(AE29=10,AF29*$AS$58)+IF(AE29=11,AF29*$AS$59,0)</f>
        <v>0</v>
      </c>
      <c r="DK29" s="654" t="n">
        <f aca="false">IF(AG29=1,AH29*$AS$49,0)+IF(AG29=2,AH29*$AS$50,0)+IF(AG29=3,AH29*$AS$51,0)+IF(AG29=4,AH29*$AS$52,0)+IF(AG29=5,AH29*$AS$53,0)+IF(AG29=6,AH29*$AS$54)+IF(AG29=7,AH29*$AS$55)+IF(AG29=8,AH29*$AS$56)+IF(AG29=9,AH29*$AS$57)+IF(AG29=10,AH29*$AS$58)+IF(AG29=11,AH29*$AS$59,0)</f>
        <v>0</v>
      </c>
      <c r="DL29" s="654" t="n">
        <f aca="false">IF(AI29=1,AJ29*$AS$49,0)+IF(AI29=2,AJ29*$AS$50,0)+IF(AI29=3,AJ29*$AS$51,0)+IF(AI29=4,AJ29*$AS$52,0)+IF(AI29=5,AJ29*$AS$53,0)+IF(AI29=6,AJ29*$AS$54)+IF(AI29=7,AJ29*$AS$55)+IF(AI29=8,AJ29*$AS$56)+IF(AI29=9,AJ29*$AS$57)+IF(AI29=10,AJ29*$AS$58)+IF(AI29=11,AJ29*$AS$59,0)</f>
        <v>0</v>
      </c>
      <c r="DM29" s="654" t="n">
        <f aca="false">IF(AK29=1,AL29*$AS$49,0)+IF(AK29=2,AL29*$AS$50,0)+IF(AK29=3,AL29*$AS$51,0)+IF(AK29=4,AL29*$AS$52,0)+IF(AK29=5,AL29*$AS$53,0)+IF(AK29=6,AL29*$AS$54)+IF(AK29=7,AL29*$AS$55)+IF(AK29=8,AL29*$AS$56)+IF(AK29=9,AL29*$AS$57)+IF(AK29=10,AL29*$AS$58)+IF(AK29=11,AL29*$AS$59,0)</f>
        <v>0</v>
      </c>
      <c r="DN29" s="654" t="n">
        <f aca="false">IF(AM29=1,AN29*$AS$49,0)+IF(AM29=2,AN29*$AS$50,0)+IF(AM29=3,AN29*$AS$51,0)+IF(AM29=4,AN29*$AS$52,0)+IF(AM29=5,AN29*$AS$53,0)+IF(AM29=6,AN29*$AS$54)+IF(AM29=7,AN29*$AS$55)+IF(AM29=8,AN29*$AS$56)+IF(AM29=9,AN29*$AS$57)+IF(AM29=10,AN29*$AS$58)+IF(AM29=11,AN29*$AS$59,0)</f>
        <v>0</v>
      </c>
      <c r="DO29" s="654" t="n">
        <f aca="false">IF(AO29=1,AP29*$AS$49,0)+IF(AO29=2,AP29*$AS$50,0)+IF(AO29=3,AP29*$AS$51,0)+IF(AO29=4,AP29*$AS$52,0)+IF(AO29=5,AP29*$AS$53,0)+IF(AO29=6,AP29*$AS$54)+IF(AO29=7,AP29*$AS$55)+IF(AO29=8,AP29*$AS$56)+IF(AO29=9,AP29*$AS$57)+IF(AO29=10,AP29*$AS$58)+IF(AO29=11,AP29*$AS$59,0)</f>
        <v>0</v>
      </c>
      <c r="DP29" s="1569" t="n">
        <f aca="false">D29</f>
        <v>0</v>
      </c>
    </row>
    <row r="30" customFormat="false" ht="19.5" hidden="false" customHeight="true" outlineLevel="0" collapsed="false">
      <c r="A30" s="16" t="s">
        <v>1574</v>
      </c>
      <c r="B30" s="920"/>
      <c r="C30" s="1506"/>
      <c r="D30" s="1507"/>
      <c r="E30" s="1508"/>
      <c r="F30" s="1074"/>
      <c r="G30" s="1553"/>
      <c r="H30" s="1074"/>
      <c r="I30" s="1553"/>
      <c r="J30" s="1074"/>
      <c r="K30" s="1583"/>
      <c r="L30" s="528"/>
      <c r="M30" s="895"/>
      <c r="N30" s="1513"/>
      <c r="O30" s="1514"/>
      <c r="P30" s="1515" t="n">
        <f aca="false">IF(BQ30=0,0,BN30/BQ30)</f>
        <v>0</v>
      </c>
      <c r="Q30" s="1516" t="n">
        <f aca="false">(D30*F30/324)*(1+K$65)+BB30</f>
        <v>0</v>
      </c>
      <c r="R30" s="1517" t="n">
        <f aca="false">IF(D30=0,0,S30/D30)</f>
        <v>0</v>
      </c>
      <c r="S30" s="1518" t="e">
        <f aca="false">SUM(CM30-DE30)*(1+M$45)</f>
        <v>#DIV/0!</v>
      </c>
      <c r="T30" s="1519" t="n">
        <f aca="false">CF30+CG30+CH30</f>
        <v>0</v>
      </c>
      <c r="U30" s="1520" t="n">
        <f aca="false">IF(P30-(D30*0.35)&lt;0,0,P30-(D30*0.35))</f>
        <v>0</v>
      </c>
      <c r="V30" s="1521" t="n">
        <f aca="false">IF(D30="",0,IF(D30/-30+Q30&lt;1,0,D30/-30+Q30))</f>
        <v>0</v>
      </c>
      <c r="W30" s="528"/>
      <c r="X30" s="1526"/>
      <c r="Y30" s="1511"/>
      <c r="Z30" s="1524"/>
      <c r="AA30" s="1511"/>
      <c r="AB30" s="1524"/>
      <c r="AC30" s="1525"/>
      <c r="AD30" s="1526"/>
      <c r="AE30" s="1511"/>
      <c r="AF30" s="1527"/>
      <c r="AG30" s="1528"/>
      <c r="AH30" s="1527"/>
      <c r="AI30" s="1859"/>
      <c r="AJ30" s="1526"/>
      <c r="AK30" s="1572"/>
      <c r="AL30" s="1573"/>
      <c r="AM30" s="1511"/>
      <c r="AN30" s="1532"/>
      <c r="AO30" s="1511"/>
      <c r="AP30" s="1524"/>
      <c r="AQ30" s="654"/>
      <c r="AR30" s="1533" t="str">
        <f aca="false">IF(W30="","",LOOKUP(W30,$B$49:$B$59,$R$49:$R$59)*X30)</f>
        <v/>
      </c>
      <c r="AS30" s="1430" t="str">
        <f aca="false">IF(Y30="","",LOOKUP(Y30,$B$49:$B$59,$R$49:$R$59)*Z30)</f>
        <v/>
      </c>
      <c r="AT30" s="1430" t="str">
        <f aca="false">IF(AB30="","",LOOKUP(AA30,$B$49:$B$59,$R$49:$R$59)*AB30)</f>
        <v/>
      </c>
      <c r="AU30" s="1430" t="str">
        <f aca="false">IF(AC30="","",LOOKUP(AC30,$B$49:$B$59,$R$49:$R$59)*AD30)</f>
        <v/>
      </c>
      <c r="AV30" s="1430" t="str">
        <f aca="false">IF(AE30="","",LOOKUP(AE30,$B$49:$B$59,$R$49:$R$59)*AF30)</f>
        <v/>
      </c>
      <c r="AW30" s="1430" t="str">
        <f aca="false">IF(AG30="","",LOOKUP(AG30,$B$49:$B$59,$R$49:$R$59)*AH30)</f>
        <v/>
      </c>
      <c r="AX30" s="1430" t="str">
        <f aca="false">IF(AI30="","",LOOKUP(AI30,$B$49:$B$59,$R$49:$R$59)*AJ30)</f>
        <v/>
      </c>
      <c r="AY30" s="1430" t="str">
        <f aca="false">IF(AK30="","",LOOKUP(AK30,$B$49:$B$59,$R$49:$R$59)*AL30)</f>
        <v/>
      </c>
      <c r="AZ30" s="1430" t="str">
        <f aca="false">IF(AM30="","",LOOKUP(AM30,$B$49:$B$59,$R$49:$R$59)*AN30)</f>
        <v/>
      </c>
      <c r="BA30" s="1430" t="str">
        <f aca="false">IF(AO30="","",LOOKUP(AO30,$B$49:$B$59,$R$49:$R$59)*AP30)</f>
        <v/>
      </c>
      <c r="BB30" s="1535" t="n">
        <f aca="false">SUM(AR30:BA30)</f>
        <v>0</v>
      </c>
      <c r="BC30" s="1533" t="str">
        <f aca="false">IF(W30="","",LOOKUP(W30,$B$49:$B$59,$P$49:$P$59)*X30)</f>
        <v/>
      </c>
      <c r="BD30" s="654" t="str">
        <f aca="false">IF(Y30="","",LOOKUP(Y30,$B$49:$B$59,$P$49:$P$59)*Z30)</f>
        <v/>
      </c>
      <c r="BE30" s="1430"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584" t="n">
        <f aca="false">SUM(BC30:BL30)*BQ30</f>
        <v>0</v>
      </c>
      <c r="BN30" s="1536" t="n">
        <f aca="false">BM30+BO30</f>
        <v>0</v>
      </c>
      <c r="BO30" s="1536" t="n">
        <f aca="false">IF(M30=0,0,(M30/12+M30/12)/(M30/12*M30/12)*D30*((L30/16*L30/16)*10.6870159))*(1+K$70)*BQ30</f>
        <v>0</v>
      </c>
      <c r="BP30" s="1536" t="n">
        <f aca="false">IF(O30="Y",D30*(1+K$71)*BQ30,0)</f>
        <v>0</v>
      </c>
      <c r="BQ30" s="1538" t="n">
        <f aca="false">G30</f>
        <v>0</v>
      </c>
      <c r="BR30" s="1411" t="n">
        <f aca="false">IF(O30="y",D30,0)</f>
        <v>0</v>
      </c>
      <c r="BS30" s="1567" t="n">
        <f aca="false">IF($I30=1,$Q30,0)*BQ30</f>
        <v>0</v>
      </c>
      <c r="BT30" s="1536" t="n">
        <f aca="false">IF($I30=2,$Q30,0)*BQ30</f>
        <v>0</v>
      </c>
      <c r="BU30" s="1536" t="n">
        <f aca="false">IF($I30=3,$Q30,0)*BQ30</f>
        <v>0</v>
      </c>
      <c r="BV30" s="1536" t="n">
        <f aca="false">IF($I30=4,$Q30,0)*BQ30</f>
        <v>0</v>
      </c>
      <c r="BW30" s="1536" t="n">
        <f aca="false">IF($I30=5,$Q30,0)*BQ30</f>
        <v>0</v>
      </c>
      <c r="BX30" s="1536" t="n">
        <f aca="false">IF($I30=6,$Q30,0)*$BQ30</f>
        <v>0</v>
      </c>
      <c r="BY30" s="1536" t="n">
        <f aca="false">IF($I30=7,$Q30,0)*$BQ30</f>
        <v>0</v>
      </c>
      <c r="BZ30" s="1536" t="n">
        <f aca="false">IF($I30=8,$Q30,0)*$BQ30</f>
        <v>0</v>
      </c>
      <c r="CA30" s="1536" t="n">
        <f aca="false">IF($I30=9,$Q30,0)*$BQ30</f>
        <v>0</v>
      </c>
      <c r="CB30" s="1568" t="n">
        <f aca="false">IF($I30=10,$Q30,0)*$BQ30</f>
        <v>0</v>
      </c>
      <c r="CC30" s="1538" t="n">
        <f aca="false">SUM(BS30:BX30)</f>
        <v>0</v>
      </c>
      <c r="CD30" s="1538" t="n">
        <f aca="false">IF(H30="N",0,D30)*BQ30</f>
        <v>0</v>
      </c>
      <c r="CE30" s="1538" t="n">
        <f aca="false">K30*BQ30</f>
        <v>0</v>
      </c>
      <c r="CF30" s="1542" t="n">
        <f aca="false">ROUND(IF(W30="",0,LOOKUP(W30,B$49:B$59,D$49:D$59)*X30/12),0)</f>
        <v>0</v>
      </c>
      <c r="CG30" s="1542" t="n">
        <f aca="false">ROUND(IF(Y30="",0,LOOKUP(Y30,B$49:B$59,D$49:D$59)*Z30/12),0)</f>
        <v>0</v>
      </c>
      <c r="CH30" s="1542" t="n">
        <f aca="false">ROUND(IF(AA30="",0,LOOKUP(AA30,B$49:B$59,D$49:D$59)*AB30/12),0)</f>
        <v>0</v>
      </c>
      <c r="CI30" s="1538" t="n">
        <f aca="false">D30*BQ30</f>
        <v>0</v>
      </c>
      <c r="CJ30" s="1538" t="n">
        <f aca="false">D30*J30/324*(1+K$73)*G30</f>
        <v>0</v>
      </c>
      <c r="CK30" s="1538" t="str">
        <f aca="false">IF(N30="","",N30)</f>
        <v/>
      </c>
      <c r="CL30" s="1538" t="n">
        <f aca="false">P30*BQ30</f>
        <v>0</v>
      </c>
      <c r="CM30" s="1543" t="n">
        <f aca="false">IF(BQ30=0,0,SUM(CN30:DE30)/BQ30)</f>
        <v>0</v>
      </c>
      <c r="CN30" s="656" t="n">
        <f aca="false">(BS30*Pricing!F$3+BT30*Pricing!G$3+BU30*Pricing!H$3+BV30*Pricing!I$3+BW30*Pricing!J$3+BX30*Pricing!K$3+BY30*Pricing!L$3+BZ30*Pricing!M$3+CA30*Pricing!N$3+CB30*Pricing!O$3)*IF(W$44="N",(1+Y$44),1)</f>
        <v>0</v>
      </c>
      <c r="CO30" s="656" t="n">
        <f aca="false">BN30*G$70*IF(W$44="n",1+Y$44,1)</f>
        <v>0</v>
      </c>
      <c r="CP30" s="1544" t="n">
        <f aca="false">C30*D30</f>
        <v>0</v>
      </c>
      <c r="CQ30" s="656" t="n">
        <f aca="false">IF(I$79=0,0,D30*(SUM(O$79:P$82)+O$85)/I$79*BQ30)</f>
        <v>0</v>
      </c>
      <c r="CR30" s="656" t="n">
        <f aca="false">IF(CF30="",0,CF30*E$83)+IF(CG30="",0,CG30*E$83)+IF(CH30="",0,CH30*E$83)</f>
        <v>0</v>
      </c>
      <c r="CS30" s="656"/>
      <c r="CT30" s="1545" t="n">
        <f aca="false">(U30/2000)*E$87</f>
        <v>0</v>
      </c>
      <c r="CU30" s="656" t="n">
        <f aca="false">IF(I$79=0,0,D30*(O$88)/I$79*BQ30)</f>
        <v>0</v>
      </c>
      <c r="CV30" s="656" t="n">
        <f aca="false">IF(D$42=0,0,SUM(O$91:P$94)/D$42*D30)*BQ30</f>
        <v>0</v>
      </c>
      <c r="CW30" s="656" t="n">
        <f aca="false">IF(D$42=0,0,SUM(Z$66:Z$97)/D$42*D30*BQ30)</f>
        <v>0</v>
      </c>
      <c r="CX30" s="656" t="n">
        <f aca="false">IF(D$42=0,0,SUM(O$96:P$101)/D$42*D30)*BQ30</f>
        <v>0</v>
      </c>
      <c r="CY30" s="656" t="n">
        <f aca="false">IF(D$42=0,0,SUM(O$103:O$109)/D$42)*D30*BQ30</f>
        <v>0</v>
      </c>
      <c r="CZ30" s="656" t="n">
        <f aca="false">IF(I$79=0,0,IF(I$79=0,0,SUM(Z$98:Z$109)/I$79*D30))</f>
        <v>0</v>
      </c>
      <c r="DA30" s="656" t="n">
        <f aca="false">IF(J$72&gt;0,J$72/D$42*D30*G30,CD30*(G$72*IF(W$44="n",(1+Y$44),1)))</f>
        <v>0</v>
      </c>
      <c r="DB30" s="656" t="n">
        <f aca="false">IF(CK30="",0,CK30*E$86)</f>
        <v>0</v>
      </c>
      <c r="DC30" s="656" t="n">
        <f aca="false">BP30*G$71*IF(W$44="Y",1,1+Y$44)</f>
        <v>0</v>
      </c>
      <c r="DD30" s="656" t="n">
        <f aca="false">CJ30*G$73*IF(W$44="Y",1,1+Y$44)</f>
        <v>0</v>
      </c>
      <c r="DE30" s="1546" t="e">
        <f aca="false">O$110/I$79*D30</f>
        <v>#DIV/0!</v>
      </c>
      <c r="DF30" s="654" t="n">
        <f aca="false">IF(W30=1,X30*$AS$49,0)+IF(W30=2,X30*$AS$50,0)+IF(W30=3,X30*$AS$51,0)+IF(W30=4,X30*$AS$52,0)+IF(W30=5,X30*$AS$53,0)+IF(W30=6,X30*$AS$54)+IF(W30=7,X30*$AS$55)+IF(W30=8,X30*$AS$56)+IF(W30=9,X30*$AS$57)+IF(W30=10,X30*$AS$58)+IF(W30=11,X30*$AS$59,0)</f>
        <v>0</v>
      </c>
      <c r="DG30" s="654" t="n">
        <f aca="false">IF(Y30=1,Z30*$AS$49,0)+IF(Y30=2,Z30*$AS$50,0)+IF(Y30=3,Z30*$AS$51,0)+IF(Y30=4,Z30*$AS$52,0)+IF(Y30=5,Z30*$AS$53,0)+IF(Y30=6,Z30*$AS$54)+IF(Y30=7,Z30*$AS$55)+IF(Y30=8,Z30*$AS$56)+IF(Y30=9,Z30*$AS$57)+IF(Y30=10,Z30*$AS$58)+IF(Y30=11,Z30*$AS$59,0)</f>
        <v>0</v>
      </c>
      <c r="DH30" s="654" t="n">
        <f aca="false">IF(AA30=1,AB30*$AS$49,0)+IF(AA30=2,AB30*$AS$50,0)+IF(AA30=3,AB30*$AS$51,0)+IF(AA30=4,AB30*$AS$52,0)+IF(AA30=5,AB30*$AS$53,0)+IF(AA30=6,AB30*$AS$54)+IF(AA30=7,AB30*$AS$55)+IF(AA30=8,AB30*$AS$56)+IF(AA30=9,AB30*$AS$57)+IF(AA30=10,AB30*$AS$58)+IF(AA30=11,AB30*$AS$59,0)</f>
        <v>0</v>
      </c>
      <c r="DI30" s="654" t="n">
        <f aca="false">IF(AC30=1,AD30*$AS$49,0)+IF(AC30=2,AD30*$AS$50,0)+IF(AC30=3,AD30*$AS$51,0)+IF(AC30=4,AD30*$AS$52,0)+IF(AC30=5,AD30*$AS$53,0)+IF(AC30=6,AD30*$AS$54)+IF(AC30=7,AD30*$AS$55)+IF(AC30=8,AD30*$AS$56)+IF(AC30=9,AD30*$AS$57)+IF(AC30=10,AD30*$AS$58)+IF(AC30=11,AD30*$AS$59,0)</f>
        <v>0</v>
      </c>
      <c r="DJ30" s="654" t="n">
        <f aca="false">IF(AE30=1,AF30*$AS$49,0)+IF(AE30=2,AF30*$AS$50,0)+IF(AE30=3,AF30*$AS$51,0)+IF(AE30=4,AF30*$AS$52,0)+IF(AE30=5,AF30*$AS$53,0)+IF(AE30=6,AF30*$AS$54)+IF(AE30=7,AF30*$AS$55)+IF(AE30=8,AF30*$AS$56)+IF(AE30=9,AF30*$AS$57)+IF(AE30=10,AF30*$AS$58)+IF(AE30=11,AF30*$AS$59,0)</f>
        <v>0</v>
      </c>
      <c r="DK30" s="654" t="n">
        <f aca="false">IF(AG30=1,AH30*$AS$49,0)+IF(AG30=2,AH30*$AS$50,0)+IF(AG30=3,AH30*$AS$51,0)+IF(AG30=4,AH30*$AS$52,0)+IF(AG30=5,AH30*$AS$53,0)+IF(AG30=6,AH30*$AS$54)+IF(AG30=7,AH30*$AS$55)+IF(AG30=8,AH30*$AS$56)+IF(AG30=9,AH30*$AS$57)+IF(AG30=10,AH30*$AS$58)+IF(AG30=11,AH30*$AS$59,0)</f>
        <v>0</v>
      </c>
      <c r="DL30" s="654" t="n">
        <f aca="false">IF(AI30=1,AJ30*$AS$49,0)+IF(AI30=2,AJ30*$AS$50,0)+IF(AI30=3,AJ30*$AS$51,0)+IF(AI30=4,AJ30*$AS$52,0)+IF(AI30=5,AJ30*$AS$53,0)+IF(AI30=6,AJ30*$AS$54)+IF(AI30=7,AJ30*$AS$55)+IF(AI30=8,AJ30*$AS$56)+IF(AI30=9,AJ30*$AS$57)+IF(AI30=10,AJ30*$AS$58)+IF(AI30=11,AJ30*$AS$59,0)</f>
        <v>0</v>
      </c>
      <c r="DM30" s="654" t="n">
        <f aca="false">IF(AK30=1,AL30*$AS$49,0)+IF(AK30=2,AL30*$AS$50,0)+IF(AK30=3,AL30*$AS$51,0)+IF(AK30=4,AL30*$AS$52,0)+IF(AK30=5,AL30*$AS$53,0)+IF(AK30=6,AL30*$AS$54)+IF(AK30=7,AL30*$AS$55)+IF(AK30=8,AL30*$AS$56)+IF(AK30=9,AL30*$AS$57)+IF(AK30=10,AL30*$AS$58)+IF(AK30=11,AL30*$AS$59,0)</f>
        <v>0</v>
      </c>
      <c r="DN30" s="654" t="n">
        <f aca="false">IF(AM30=1,AN30*$AS$49,0)+IF(AM30=2,AN30*$AS$50,0)+IF(AM30=3,AN30*$AS$51,0)+IF(AM30=4,AN30*$AS$52,0)+IF(AM30=5,AN30*$AS$53,0)+IF(AM30=6,AN30*$AS$54)+IF(AM30=7,AN30*$AS$55)+IF(AM30=8,AN30*$AS$56)+IF(AM30=9,AN30*$AS$57)+IF(AM30=10,AN30*$AS$58)+IF(AM30=11,AN30*$AS$59,0)</f>
        <v>0</v>
      </c>
      <c r="DO30" s="654" t="n">
        <f aca="false">IF(AO30=1,AP30*$AS$49,0)+IF(AO30=2,AP30*$AS$50,0)+IF(AO30=3,AP30*$AS$51,0)+IF(AO30=4,AP30*$AS$52,0)+IF(AO30=5,AP30*$AS$53,0)+IF(AO30=6,AP30*$AS$54)+IF(AO30=7,AP30*$AS$55)+IF(AO30=8,AP30*$AS$56)+IF(AO30=9,AP30*$AS$57)+IF(AO30=10,AP30*$AS$58)+IF(AO30=11,AP30*$AS$59,0)</f>
        <v>0</v>
      </c>
      <c r="DP30" s="1569" t="n">
        <f aca="false">D30</f>
        <v>0</v>
      </c>
    </row>
    <row r="31" customFormat="false" ht="19.5" hidden="false" customHeight="true" outlineLevel="0" collapsed="false">
      <c r="A31" s="16" t="s">
        <v>1575</v>
      </c>
      <c r="B31" s="1549"/>
      <c r="C31" s="1550"/>
      <c r="D31" s="1551"/>
      <c r="E31" s="1552"/>
      <c r="F31" s="1074"/>
      <c r="G31" s="1553"/>
      <c r="H31" s="1074"/>
      <c r="I31" s="1553"/>
      <c r="J31" s="1074"/>
      <c r="K31" s="1583"/>
      <c r="L31" s="1559"/>
      <c r="M31" s="1556"/>
      <c r="N31" s="1557"/>
      <c r="O31" s="1558"/>
      <c r="P31" s="1515" t="n">
        <f aca="false">IF(BQ31=0,0,BN31/BQ31)</f>
        <v>0</v>
      </c>
      <c r="Q31" s="1516" t="n">
        <f aca="false">(D31*F31/324)*(1+K$65)+BB31</f>
        <v>0</v>
      </c>
      <c r="R31" s="1517" t="n">
        <f aca="false">IF(D31=0,0,S31/D31)</f>
        <v>0</v>
      </c>
      <c r="S31" s="1518" t="e">
        <f aca="false">SUM(CM31-DE31)*(1+M$45)</f>
        <v>#DIV/0!</v>
      </c>
      <c r="T31" s="1519" t="n">
        <f aca="false">CF31+CG31+CH31</f>
        <v>0</v>
      </c>
      <c r="U31" s="1520" t="n">
        <f aca="false">IF(P31-(D31*0.35)&lt;0,0,P31-(D31*0.35))</f>
        <v>0</v>
      </c>
      <c r="V31" s="1521" t="n">
        <f aca="false">IF(D31="",0,IF(D31/-30+Q31&lt;1,0,D31/-30+Q31))</f>
        <v>0</v>
      </c>
      <c r="W31" s="1559"/>
      <c r="X31" s="1560"/>
      <c r="Y31" s="1559"/>
      <c r="Z31" s="1561"/>
      <c r="AA31" s="1559"/>
      <c r="AB31" s="1561"/>
      <c r="AC31" s="1562"/>
      <c r="AD31" s="1560"/>
      <c r="AE31" s="1559"/>
      <c r="AF31" s="1563"/>
      <c r="AG31" s="1564"/>
      <c r="AH31" s="1563"/>
      <c r="AI31" s="1565"/>
      <c r="AJ31" s="1560"/>
      <c r="AK31" s="1565"/>
      <c r="AL31" s="1581"/>
      <c r="AM31" s="1559"/>
      <c r="AN31" s="1566"/>
      <c r="AO31" s="1559"/>
      <c r="AP31" s="1561"/>
      <c r="AQ31" s="654"/>
      <c r="AR31" s="1533" t="str">
        <f aca="false">IF(W31="","",LOOKUP(W31,$B$49:$B$59,$R$49:$R$59)*X31)</f>
        <v/>
      </c>
      <c r="AS31" s="1430" t="str">
        <f aca="false">IF(Y31="","",LOOKUP(Y31,$B$49:$B$59,$R$49:$R$59)*Z31)</f>
        <v/>
      </c>
      <c r="AT31" s="1430" t="str">
        <f aca="false">IF(AB31="","",LOOKUP(AA31,$B$49:$B$59,$R$49:$R$59)*AB31)</f>
        <v/>
      </c>
      <c r="AU31" s="1430" t="str">
        <f aca="false">IF(AC31="","",LOOKUP(AC31,$B$49:$B$59,$R$49:$R$59)*AD31)</f>
        <v/>
      </c>
      <c r="AV31" s="1430" t="str">
        <f aca="false">IF(AE31="","",LOOKUP(AE31,$B$49:$B$59,$R$49:$R$59)*AF31)</f>
        <v/>
      </c>
      <c r="AW31" s="1430" t="str">
        <f aca="false">IF(AG31="","",LOOKUP(AG31,$B$49:$B$59,$R$49:$R$59)*AH31)</f>
        <v/>
      </c>
      <c r="AX31" s="1430" t="str">
        <f aca="false">IF(AI31="","",LOOKUP(AI31,$B$49:$B$59,$R$49:$R$59)*AJ31)</f>
        <v/>
      </c>
      <c r="AY31" s="1430" t="str">
        <f aca="false">IF(AK31="","",LOOKUP(AK31,$B$49:$B$59,$R$49:$R$59)*AL31)</f>
        <v/>
      </c>
      <c r="AZ31" s="1430" t="str">
        <f aca="false">IF(AM31="","",LOOKUP(AM31,$B$49:$B$59,$R$49:$R$59)*AN31)</f>
        <v/>
      </c>
      <c r="BA31" s="1430" t="str">
        <f aca="false">IF(AO31="","",LOOKUP(AO31,$B$49:$B$59,$R$49:$R$59)*AP31)</f>
        <v/>
      </c>
      <c r="BB31" s="1535" t="n">
        <f aca="false">SUM(AR31:BA31)</f>
        <v>0</v>
      </c>
      <c r="BC31" s="1533" t="str">
        <f aca="false">IF(W31="","",LOOKUP(W31,$B$49:$B$59,$P$49:$P$59)*X31)</f>
        <v/>
      </c>
      <c r="BD31" s="654" t="str">
        <f aca="false">IF(Y31="","",LOOKUP(Y31,$B$49:$B$59,$P$49:$P$59)*Z31)</f>
        <v/>
      </c>
      <c r="BE31" s="1430"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584" t="n">
        <f aca="false">SUM(BC31:BL31)*BQ31</f>
        <v>0</v>
      </c>
      <c r="BN31" s="1536" t="n">
        <f aca="false">BM31+BO31</f>
        <v>0</v>
      </c>
      <c r="BO31" s="1536" t="n">
        <f aca="false">IF(M31=0,0,(M31/12+M31/12)/(M31/12*M31/12)*D31*((L31/16*L31/16)*10.6870159))*(1+K$70)*BQ31</f>
        <v>0</v>
      </c>
      <c r="BP31" s="1536" t="n">
        <f aca="false">IF(O31="Y",D31*(1+K$71)*BQ31,0)</f>
        <v>0</v>
      </c>
      <c r="BQ31" s="1538" t="n">
        <f aca="false">G31</f>
        <v>0</v>
      </c>
      <c r="BR31" s="1411" t="n">
        <f aca="false">IF(O31="y",D31,0)</f>
        <v>0</v>
      </c>
      <c r="BS31" s="1567" t="n">
        <f aca="false">IF($I31=1,$Q31,0)*BQ31</f>
        <v>0</v>
      </c>
      <c r="BT31" s="1536" t="n">
        <f aca="false">IF($I31=2,$Q31,0)*BQ31</f>
        <v>0</v>
      </c>
      <c r="BU31" s="1536" t="n">
        <f aca="false">IF($I31=3,$Q31,0)*BQ31</f>
        <v>0</v>
      </c>
      <c r="BV31" s="1536" t="n">
        <f aca="false">IF($I31=4,$Q31,0)*BQ31</f>
        <v>0</v>
      </c>
      <c r="BW31" s="1536" t="n">
        <f aca="false">IF($I31=5,$Q31,0)*BQ31</f>
        <v>0</v>
      </c>
      <c r="BX31" s="1536" t="n">
        <f aca="false">IF($I31=6,$Q31,0)*$BQ31</f>
        <v>0</v>
      </c>
      <c r="BY31" s="1536" t="n">
        <f aca="false">IF($I31=7,$Q31,0)*$BQ31</f>
        <v>0</v>
      </c>
      <c r="BZ31" s="1536" t="n">
        <f aca="false">IF($I31=8,$Q31,0)*$BQ31</f>
        <v>0</v>
      </c>
      <c r="CA31" s="1536" t="n">
        <f aca="false">IF($I31=9,$Q31,0)*$BQ31</f>
        <v>0</v>
      </c>
      <c r="CB31" s="1568" t="n">
        <f aca="false">IF($I31=10,$Q31,0)*$BQ31</f>
        <v>0</v>
      </c>
      <c r="CC31" s="1538" t="n">
        <f aca="false">SUM(BS31:BX31)</f>
        <v>0</v>
      </c>
      <c r="CD31" s="1538" t="n">
        <f aca="false">IF(H31="N",0,D31)*BQ31</f>
        <v>0</v>
      </c>
      <c r="CE31" s="1538" t="n">
        <f aca="false">K31*BQ31</f>
        <v>0</v>
      </c>
      <c r="CF31" s="1542" t="n">
        <f aca="false">ROUND(IF(W31="",0,LOOKUP(W31,B$49:B$59,D$49:D$59)*X31/12),0)</f>
        <v>0</v>
      </c>
      <c r="CG31" s="1542" t="n">
        <f aca="false">ROUND(IF(Y31="",0,LOOKUP(Y31,B$49:B$59,D$49:D$59)*Z31/12),0)</f>
        <v>0</v>
      </c>
      <c r="CH31" s="1542" t="n">
        <f aca="false">ROUND(IF(AA31="",0,LOOKUP(AA31,B$49:B$59,D$49:D$59)*AB31/12),0)</f>
        <v>0</v>
      </c>
      <c r="CI31" s="1538" t="n">
        <f aca="false">D31*BQ31</f>
        <v>0</v>
      </c>
      <c r="CJ31" s="1538" t="n">
        <f aca="false">D31*J31/324*(1+K$73)*G31</f>
        <v>0</v>
      </c>
      <c r="CK31" s="1538" t="str">
        <f aca="false">IF(N31="","",N31)</f>
        <v/>
      </c>
      <c r="CL31" s="1538" t="n">
        <f aca="false">P31*BQ31</f>
        <v>0</v>
      </c>
      <c r="CM31" s="1543" t="n">
        <f aca="false">IF(BQ31=0,0,SUM(CN31:DE31)/BQ31)</f>
        <v>0</v>
      </c>
      <c r="CN31" s="656" t="n">
        <f aca="false">(BS31*Pricing!F$3+BT31*Pricing!G$3+BU31*Pricing!H$3+BV31*Pricing!I$3+BW31*Pricing!J$3+BX31*Pricing!K$3+BY31*Pricing!L$3+BZ31*Pricing!M$3+CA31*Pricing!N$3+CB31*Pricing!O$3)*IF(W$44="N",(1+Y$44),1)</f>
        <v>0</v>
      </c>
      <c r="CO31" s="656" t="n">
        <f aca="false">BN31*G$70*IF(W$44="n",1+Y$44,1)</f>
        <v>0</v>
      </c>
      <c r="CP31" s="1544" t="n">
        <f aca="false">C31*D31</f>
        <v>0</v>
      </c>
      <c r="CQ31" s="656" t="n">
        <f aca="false">IF(I$79=0,0,D31*(SUM(O$79:P$82)+O$85)/I$79*BQ31)</f>
        <v>0</v>
      </c>
      <c r="CR31" s="656" t="n">
        <f aca="false">IF(CF31="",0,CF31*E$83)+IF(CG31="",0,CG31*E$83)+IF(CH31="",0,CH31*E$83)</f>
        <v>0</v>
      </c>
      <c r="CS31" s="656"/>
      <c r="CT31" s="1545" t="n">
        <f aca="false">(U31/2000)*E$87</f>
        <v>0</v>
      </c>
      <c r="CU31" s="656" t="n">
        <f aca="false">IF(I$79=0,0,D31*(O$88)/I$79*BQ31)</f>
        <v>0</v>
      </c>
      <c r="CV31" s="656" t="n">
        <f aca="false">IF(D$42=0,0,SUM(O$91:P$94)/D$42*D31)*BQ31</f>
        <v>0</v>
      </c>
      <c r="CW31" s="656" t="n">
        <f aca="false">IF(D$42=0,0,SUM(Z$66:Z$97)/D$42*D31*BQ31)</f>
        <v>0</v>
      </c>
      <c r="CX31" s="656" t="n">
        <f aca="false">IF(D$42=0,0,SUM(O$96:P$101)/D$42*D31)*BQ31</f>
        <v>0</v>
      </c>
      <c r="CY31" s="656" t="n">
        <f aca="false">IF(D$42=0,0,SUM(O$103:O$109)/D$42)*D31*BQ31</f>
        <v>0</v>
      </c>
      <c r="CZ31" s="656" t="n">
        <f aca="false">IF(I$79=0,0,IF(I$79=0,0,SUM(Z$98:Z$109)/I$79*D31))</f>
        <v>0</v>
      </c>
      <c r="DA31" s="656" t="n">
        <f aca="false">IF(J$72&gt;0,J$72/D$42*D31*G31,CD31*(G$72*IF(W$44="n",(1+Y$44),1)))</f>
        <v>0</v>
      </c>
      <c r="DB31" s="656" t="n">
        <f aca="false">IF(CK31="",0,CK31*E$86)</f>
        <v>0</v>
      </c>
      <c r="DC31" s="656" t="n">
        <f aca="false">BP31*G$71*IF(W$44="Y",1,1+Y$44)</f>
        <v>0</v>
      </c>
      <c r="DD31" s="656" t="n">
        <f aca="false">CJ31*G$73*IF(W$44="Y",1,1+Y$44)</f>
        <v>0</v>
      </c>
      <c r="DE31" s="1546" t="e">
        <f aca="false">O$110/I$79*D31</f>
        <v>#DIV/0!</v>
      </c>
      <c r="DF31" s="654" t="n">
        <f aca="false">IF(W31=1,X31*$AS$49,0)+IF(W31=2,X31*$AS$50,0)+IF(W31=3,X31*$AS$51,0)+IF(W31=4,X31*$AS$52,0)+IF(W31=5,X31*$AS$53,0)+IF(W31=6,X31*$AS$54)+IF(W31=7,X31*$AS$55)+IF(W31=8,X31*$AS$56)+IF(W31=9,X31*$AS$57)+IF(W31=10,X31*$AS$58)+IF(W31=11,X31*$AS$59,0)</f>
        <v>0</v>
      </c>
      <c r="DG31" s="654" t="n">
        <f aca="false">IF(Y31=1,Z31*$AS$49,0)+IF(Y31=2,Z31*$AS$50,0)+IF(Y31=3,Z31*$AS$51,0)+IF(Y31=4,Z31*$AS$52,0)+IF(Y31=5,Z31*$AS$53,0)+IF(Y31=6,Z31*$AS$54)+IF(Y31=7,Z31*$AS$55)+IF(Y31=8,Z31*$AS$56)+IF(Y31=9,Z31*$AS$57)+IF(Y31=10,Z31*$AS$58)+IF(Y31=11,Z31*$AS$59,0)</f>
        <v>0</v>
      </c>
      <c r="DH31" s="654" t="n">
        <f aca="false">IF(AA31=1,AB31*$AS$49,0)+IF(AA31=2,AB31*$AS$50,0)+IF(AA31=3,AB31*$AS$51,0)+IF(AA31=4,AB31*$AS$52,0)+IF(AA31=5,AB31*$AS$53,0)+IF(AA31=6,AB31*$AS$54)+IF(AA31=7,AB31*$AS$55)+IF(AA31=8,AB31*$AS$56)+IF(AA31=9,AB31*$AS$57)+IF(AA31=10,AB31*$AS$58)+IF(AA31=11,AB31*$AS$59,0)</f>
        <v>0</v>
      </c>
      <c r="DI31" s="654" t="n">
        <f aca="false">IF(AC31=1,AD31*$AS$49,0)+IF(AC31=2,AD31*$AS$50,0)+IF(AC31=3,AD31*$AS$51,0)+IF(AC31=4,AD31*$AS$52,0)+IF(AC31=5,AD31*$AS$53,0)+IF(AC31=6,AD31*$AS$54)+IF(AC31=7,AD31*$AS$55)+IF(AC31=8,AD31*$AS$56)+IF(AC31=9,AD31*$AS$57)+IF(AC31=10,AD31*$AS$58)+IF(AC31=11,AD31*$AS$59,0)</f>
        <v>0</v>
      </c>
      <c r="DJ31" s="654" t="n">
        <f aca="false">IF(AE31=1,AF31*$AS$49,0)+IF(AE31=2,AF31*$AS$50,0)+IF(AE31=3,AF31*$AS$51,0)+IF(AE31=4,AF31*$AS$52,0)+IF(AE31=5,AF31*$AS$53,0)+IF(AE31=6,AF31*$AS$54)+IF(AE31=7,AF31*$AS$55)+IF(AE31=8,AF31*$AS$56)+IF(AE31=9,AF31*$AS$57)+IF(AE31=10,AF31*$AS$58)+IF(AE31=11,AF31*$AS$59,0)</f>
        <v>0</v>
      </c>
      <c r="DK31" s="654" t="n">
        <f aca="false">IF(AG31=1,AH31*$AS$49,0)+IF(AG31=2,AH31*$AS$50,0)+IF(AG31=3,AH31*$AS$51,0)+IF(AG31=4,AH31*$AS$52,0)+IF(AG31=5,AH31*$AS$53,0)+IF(AG31=6,AH31*$AS$54)+IF(AG31=7,AH31*$AS$55)+IF(AG31=8,AH31*$AS$56)+IF(AG31=9,AH31*$AS$57)+IF(AG31=10,AH31*$AS$58)+IF(AG31=11,AH31*$AS$59,0)</f>
        <v>0</v>
      </c>
      <c r="DL31" s="654" t="n">
        <f aca="false">IF(AI31=1,AJ31*$AS$49,0)+IF(AI31=2,AJ31*$AS$50,0)+IF(AI31=3,AJ31*$AS$51,0)+IF(AI31=4,AJ31*$AS$52,0)+IF(AI31=5,AJ31*$AS$53,0)+IF(AI31=6,AJ31*$AS$54)+IF(AI31=7,AJ31*$AS$55)+IF(AI31=8,AJ31*$AS$56)+IF(AI31=9,AJ31*$AS$57)+IF(AI31=10,AJ31*$AS$58)+IF(AI31=11,AJ31*$AS$59,0)</f>
        <v>0</v>
      </c>
      <c r="DM31" s="654" t="n">
        <f aca="false">IF(AK31=1,AL31*$AS$49,0)+IF(AK31=2,AL31*$AS$50,0)+IF(AK31=3,AL31*$AS$51,0)+IF(AK31=4,AL31*$AS$52,0)+IF(AK31=5,AL31*$AS$53,0)+IF(AK31=6,AL31*$AS$54)+IF(AK31=7,AL31*$AS$55)+IF(AK31=8,AL31*$AS$56)+IF(AK31=9,AL31*$AS$57)+IF(AK31=10,AL31*$AS$58)+IF(AK31=11,AL31*$AS$59,0)</f>
        <v>0</v>
      </c>
      <c r="DN31" s="654" t="n">
        <f aca="false">IF(AM31=1,AN31*$AS$49,0)+IF(AM31=2,AN31*$AS$50,0)+IF(AM31=3,AN31*$AS$51,0)+IF(AM31=4,AN31*$AS$52,0)+IF(AM31=5,AN31*$AS$53,0)+IF(AM31=6,AN31*$AS$54)+IF(AM31=7,AN31*$AS$55)+IF(AM31=8,AN31*$AS$56)+IF(AM31=9,AN31*$AS$57)+IF(AM31=10,AN31*$AS$58)+IF(AM31=11,AN31*$AS$59,0)</f>
        <v>0</v>
      </c>
      <c r="DO31" s="654" t="n">
        <f aca="false">IF(AO31=1,AP31*$AS$49,0)+IF(AO31=2,AP31*$AS$50,0)+IF(AO31=3,AP31*$AS$51,0)+IF(AO31=4,AP31*$AS$52,0)+IF(AO31=5,AP31*$AS$53,0)+IF(AO31=6,AP31*$AS$54)+IF(AO31=7,AP31*$AS$55)+IF(AO31=8,AP31*$AS$56)+IF(AO31=9,AP31*$AS$57)+IF(AO31=10,AP31*$AS$58)+IF(AO31=11,AP31*$AS$59,0)</f>
        <v>0</v>
      </c>
      <c r="DP31" s="1569" t="n">
        <f aca="false">D31</f>
        <v>0</v>
      </c>
    </row>
    <row r="32" customFormat="false" ht="19.5" hidden="false" customHeight="true" outlineLevel="0" collapsed="false">
      <c r="A32" s="16" t="s">
        <v>1576</v>
      </c>
      <c r="B32" s="920"/>
      <c r="C32" s="1506"/>
      <c r="D32" s="1586"/>
      <c r="E32" s="1587"/>
      <c r="F32" s="1074"/>
      <c r="G32" s="1509"/>
      <c r="H32" s="1074"/>
      <c r="I32" s="1509"/>
      <c r="J32" s="1074"/>
      <c r="K32" s="1588"/>
      <c r="L32" s="528"/>
      <c r="M32" s="895"/>
      <c r="N32" s="1513"/>
      <c r="O32" s="1514"/>
      <c r="P32" s="1515" t="n">
        <f aca="false">IF(BQ32=0,0,BN32/BQ32)</f>
        <v>0</v>
      </c>
      <c r="Q32" s="1516" t="n">
        <f aca="false">(D32*F32/324)*(1+K$65)+BB32</f>
        <v>0</v>
      </c>
      <c r="R32" s="1517" t="n">
        <f aca="false">IF(D32=0,0,S32/D32)</f>
        <v>0</v>
      </c>
      <c r="S32" s="1518" t="e">
        <f aca="false">SUM(CM32-DE32)*(1+M$45)</f>
        <v>#DIV/0!</v>
      </c>
      <c r="T32" s="1519" t="n">
        <f aca="false">CF32+CG32+CH32</f>
        <v>0</v>
      </c>
      <c r="U32" s="1520" t="n">
        <f aca="false">IF(P32-(D32*0.35)&lt;0,0,P32-(D32*0.35))</f>
        <v>0</v>
      </c>
      <c r="V32" s="1521" t="n">
        <f aca="false">IF(D32="",0,IF(D32/-30+Q32&lt;1,0,D32/-30+Q32))</f>
        <v>0</v>
      </c>
      <c r="W32" s="528"/>
      <c r="X32" s="1526"/>
      <c r="Y32" s="1511"/>
      <c r="Z32" s="1524"/>
      <c r="AA32" s="1511"/>
      <c r="AB32" s="1524"/>
      <c r="AC32" s="1585"/>
      <c r="AD32" s="1526"/>
      <c r="AE32" s="528"/>
      <c r="AF32" s="1527"/>
      <c r="AG32" s="1531"/>
      <c r="AH32" s="1527"/>
      <c r="AI32" s="1531"/>
      <c r="AJ32" s="1589"/>
      <c r="AK32" s="1531"/>
      <c r="AL32" s="1527"/>
      <c r="AM32" s="1511"/>
      <c r="AN32" s="1532"/>
      <c r="AO32" s="1511"/>
      <c r="AP32" s="1524"/>
      <c r="AQ32" s="654"/>
      <c r="AR32" s="1533" t="str">
        <f aca="false">IF(W32="","",LOOKUP(W32,$B$49:$B$59,$R$49:$R$59)*X32)</f>
        <v/>
      </c>
      <c r="AS32" s="1430" t="str">
        <f aca="false">IF(Y32="","",LOOKUP(Y32,$B$49:$B$59,$R$49:$R$59)*Z32)</f>
        <v/>
      </c>
      <c r="AT32" s="1430" t="str">
        <f aca="false">IF(AB32="","",LOOKUP(AA32,$B$49:$B$59,$R$49:$R$59)*AB32)</f>
        <v/>
      </c>
      <c r="AU32" s="1430" t="str">
        <f aca="false">IF(AC32="","",LOOKUP(AC32,$B$49:$B$59,$R$49:$R$59)*AD32)</f>
        <v/>
      </c>
      <c r="AV32" s="1430" t="str">
        <f aca="false">IF(AE32="","",LOOKUP(AE32,$B$49:$B$59,$R$49:$R$59)*AF32)</f>
        <v/>
      </c>
      <c r="AW32" s="1430" t="str">
        <f aca="false">IF(AG32="","",LOOKUP(AG32,$B$49:$B$59,$R$49:$R$59)*AH32)</f>
        <v/>
      </c>
      <c r="AX32" s="1430" t="str">
        <f aca="false">IF(AI32="","",LOOKUP(AI32,$B$49:$B$59,$R$49:$R$59)*AJ32)</f>
        <v/>
      </c>
      <c r="AY32" s="1430" t="str">
        <f aca="false">IF(AK32="","",LOOKUP(AK32,$B$49:$B$59,$R$49:$R$59)*AL32)</f>
        <v/>
      </c>
      <c r="AZ32" s="1430" t="str">
        <f aca="false">IF(AM32="","",LOOKUP(AM32,$B$49:$B$59,$R$49:$R$59)*AN32)</f>
        <v/>
      </c>
      <c r="BA32" s="1430" t="str">
        <f aca="false">IF(AO32="","",LOOKUP(AO32,$B$49:$B$59,$R$49:$R$59)*AP32)</f>
        <v/>
      </c>
      <c r="BB32" s="1535" t="n">
        <f aca="false">SUM(AR32:BA32)</f>
        <v>0</v>
      </c>
      <c r="BC32" s="1533" t="str">
        <f aca="false">IF(W32="","",LOOKUP(W32,$B$49:$B$59,$P$49:$P$59)*X32)</f>
        <v/>
      </c>
      <c r="BD32" s="654" t="str">
        <f aca="false">IF(Y32="","",LOOKUP(Y32,$B$49:$B$59,$P$49:$P$59)*Z32)</f>
        <v/>
      </c>
      <c r="BE32" s="1430"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584" t="n">
        <f aca="false">SUM(BC32:BL32)*BQ32</f>
        <v>0</v>
      </c>
      <c r="BN32" s="1536" t="n">
        <f aca="false">BM32+BO32</f>
        <v>0</v>
      </c>
      <c r="BO32" s="1536" t="n">
        <f aca="false">IF(M32=0,0,(M32/12+M32/12)/(M32/12*M32/12)*D32*((L32/16*L32/16)*10.6870159))*(1+K$70)*BQ32</f>
        <v>0</v>
      </c>
      <c r="BP32" s="1536" t="n">
        <f aca="false">IF(O32="Y",D32*(1+K$71)*BQ32,0)</f>
        <v>0</v>
      </c>
      <c r="BQ32" s="1538" t="n">
        <f aca="false">G32</f>
        <v>0</v>
      </c>
      <c r="BR32" s="1411" t="n">
        <f aca="false">IF(O32="y",D32,0)</f>
        <v>0</v>
      </c>
      <c r="BS32" s="1567" t="n">
        <f aca="false">IF($I32=1,$Q32,0)*BQ32</f>
        <v>0</v>
      </c>
      <c r="BT32" s="1536" t="n">
        <f aca="false">IF($I32=2,$Q32,0)*BQ32</f>
        <v>0</v>
      </c>
      <c r="BU32" s="1536" t="n">
        <f aca="false">IF($I32=3,$Q32,0)*BQ32</f>
        <v>0</v>
      </c>
      <c r="BV32" s="1536" t="n">
        <f aca="false">IF($I32=4,$Q32,0)*BQ32</f>
        <v>0</v>
      </c>
      <c r="BW32" s="1536" t="n">
        <f aca="false">IF($I32=5,$Q32,0)*BQ32</f>
        <v>0</v>
      </c>
      <c r="BX32" s="1536" t="n">
        <f aca="false">IF($I32=6,$Q32,0)*$BQ32</f>
        <v>0</v>
      </c>
      <c r="BY32" s="1536" t="n">
        <f aca="false">IF($I32=7,$Q32,0)*$BQ32</f>
        <v>0</v>
      </c>
      <c r="BZ32" s="1536" t="n">
        <f aca="false">IF($I32=8,$Q32,0)*$BQ32</f>
        <v>0</v>
      </c>
      <c r="CA32" s="1536" t="n">
        <f aca="false">IF($I32=9,$Q32,0)*$BQ32</f>
        <v>0</v>
      </c>
      <c r="CB32" s="1568" t="n">
        <f aca="false">IF($I32=10,$Q32,0)*$BQ32</f>
        <v>0</v>
      </c>
      <c r="CC32" s="1538" t="n">
        <f aca="false">SUM(BS32:BX32)</f>
        <v>0</v>
      </c>
      <c r="CD32" s="1538" t="n">
        <f aca="false">IF(H32="N",0,D32)*BQ32</f>
        <v>0</v>
      </c>
      <c r="CE32" s="1538" t="n">
        <f aca="false">K32*BQ32</f>
        <v>0</v>
      </c>
      <c r="CF32" s="1542" t="n">
        <f aca="false">ROUND(IF(W32="",0,LOOKUP(W32,B$49:B$59,D$49:D$59)*X32/12),0)</f>
        <v>0</v>
      </c>
      <c r="CG32" s="1542" t="n">
        <f aca="false">ROUND(IF(Y32="",0,LOOKUP(Y32,B$49:B$59,D$49:D$59)*Z32/12),0)</f>
        <v>0</v>
      </c>
      <c r="CH32" s="1542" t="n">
        <f aca="false">ROUND(IF(AA32="",0,LOOKUP(AA32,B$49:B$59,D$49:D$59)*AB32/12),0)</f>
        <v>0</v>
      </c>
      <c r="CI32" s="1538" t="n">
        <f aca="false">D32*BQ32</f>
        <v>0</v>
      </c>
      <c r="CJ32" s="1538" t="n">
        <f aca="false">D32*J32/324*(1+K$73)*G32</f>
        <v>0</v>
      </c>
      <c r="CK32" s="1538" t="str">
        <f aca="false">IF(N32="","",N32)</f>
        <v/>
      </c>
      <c r="CL32" s="1538" t="n">
        <f aca="false">P32*BQ32</f>
        <v>0</v>
      </c>
      <c r="CM32" s="1543" t="n">
        <f aca="false">IF(BQ32=0,0,SUM(CN32:DE32)/BQ32)</f>
        <v>0</v>
      </c>
      <c r="CN32" s="656" t="n">
        <f aca="false">(BS32*Pricing!F$3+BT32*Pricing!G$3+BU32*Pricing!H$3+BV32*Pricing!I$3+BW32*Pricing!J$3+BX32*Pricing!K$3+BY32*Pricing!L$3+BZ32*Pricing!M$3+CA32*Pricing!N$3+CB32*Pricing!O$3)*IF(W$44="N",(1+Y$44),1)</f>
        <v>0</v>
      </c>
      <c r="CO32" s="656" t="n">
        <f aca="false">BN32*G$70*IF(W$44="n",1+Y$44,1)</f>
        <v>0</v>
      </c>
      <c r="CP32" s="1544" t="n">
        <f aca="false">C32*D32</f>
        <v>0</v>
      </c>
      <c r="CQ32" s="656" t="n">
        <f aca="false">IF(I$79=0,0,D32*(SUM(O$79:P$82)+O$85)/I$79*BQ32)</f>
        <v>0</v>
      </c>
      <c r="CR32" s="656" t="n">
        <f aca="false">IF(CF32="",0,CF32*E$83)+IF(CG32="",0,CG32*E$83)+IF(CH32="",0,CH32*E$83)</f>
        <v>0</v>
      </c>
      <c r="CS32" s="656"/>
      <c r="CT32" s="1545" t="n">
        <f aca="false">(U32/2000)*E$87</f>
        <v>0</v>
      </c>
      <c r="CU32" s="656" t="n">
        <f aca="false">IF(I$79=0,0,D32*(O$88)/I$79*BQ32)</f>
        <v>0</v>
      </c>
      <c r="CV32" s="656" t="n">
        <f aca="false">IF(D$42=0,0,SUM(O$91:P$94)/D$42*D32)*BQ32</f>
        <v>0</v>
      </c>
      <c r="CW32" s="656" t="n">
        <f aca="false">IF(D$42=0,0,SUM(Z$66:Z$97)/D$42*D32*BQ32)</f>
        <v>0</v>
      </c>
      <c r="CX32" s="656" t="n">
        <f aca="false">IF(D$42=0,0,SUM(O$96:P$101)/D$42*D32)*BQ32</f>
        <v>0</v>
      </c>
      <c r="CY32" s="656" t="n">
        <f aca="false">IF(D$42=0,0,SUM(O$103:O$109)/D$42)*D32*BQ32</f>
        <v>0</v>
      </c>
      <c r="CZ32" s="656" t="n">
        <f aca="false">IF(I$79=0,0,IF(I$79=0,0,SUM(Z$98:Z$109)/I$79*D32))</f>
        <v>0</v>
      </c>
      <c r="DA32" s="656" t="n">
        <f aca="false">IF(J$72&gt;0,J$72/D$42*D32*G32,CD32*(G$72*IF(W$44="n",(1+Y$44),1)))</f>
        <v>0</v>
      </c>
      <c r="DB32" s="656" t="n">
        <f aca="false">IF(CK32="",0,CK32*E$86)</f>
        <v>0</v>
      </c>
      <c r="DC32" s="656" t="n">
        <f aca="false">BP32*G$71*IF(W$44="Y",1,1+Y$44)</f>
        <v>0</v>
      </c>
      <c r="DD32" s="656" t="n">
        <f aca="false">CJ32*G$73*IF(W$44="Y",1,1+Y$44)</f>
        <v>0</v>
      </c>
      <c r="DE32" s="1546" t="e">
        <f aca="false">O$110/I$79*D32</f>
        <v>#DIV/0!</v>
      </c>
      <c r="DF32" s="654" t="n">
        <f aca="false">IF(W32=1,X32*$AS$49,0)+IF(W32=2,X32*$AS$50,0)+IF(W32=3,X32*$AS$51,0)+IF(W32=4,X32*$AS$52,0)+IF(W32=5,X32*$AS$53,0)+IF(W32=6,X32*$AS$54)+IF(W32=7,X32*$AS$55)+IF(W32=8,X32*$AS$56)+IF(W32=9,X32*$AS$57)+IF(W32=10,X32*$AS$58)+IF(W32=11,X32*$AS$59,0)</f>
        <v>0</v>
      </c>
      <c r="DG32" s="654" t="n">
        <f aca="false">IF(Y32=1,Z32*$AS$49,0)+IF(Y32=2,Z32*$AS$50,0)+IF(Y32=3,Z32*$AS$51,0)+IF(Y32=4,Z32*$AS$52,0)+IF(Y32=5,Z32*$AS$53,0)+IF(Y32=6,Z32*$AS$54)+IF(Y32=7,Z32*$AS$55)+IF(Y32=8,Z32*$AS$56)+IF(Y32=9,Z32*$AS$57)+IF(Y32=10,Z32*$AS$58)+IF(Y32=11,Z32*$AS$59,0)</f>
        <v>0</v>
      </c>
      <c r="DH32" s="654" t="n">
        <f aca="false">IF(AA32=1,AB32*$AS$49,0)+IF(AA32=2,AB32*$AS$50,0)+IF(AA32=3,AB32*$AS$51,0)+IF(AA32=4,AB32*$AS$52,0)+IF(AA32=5,AB32*$AS$53,0)+IF(AA32=6,AB32*$AS$54)+IF(AA32=7,AB32*$AS$55)+IF(AA32=8,AB32*$AS$56)+IF(AA32=9,AB32*$AS$57)+IF(AA32=10,AB32*$AS$58)+IF(AA32=11,AB32*$AS$59,0)</f>
        <v>0</v>
      </c>
      <c r="DI32" s="654" t="n">
        <f aca="false">IF(AC32=1,AD32*$AS$49,0)+IF(AC32=2,AD32*$AS$50,0)+IF(AC32=3,AD32*$AS$51,0)+IF(AC32=4,AD32*$AS$52,0)+IF(AC32=5,AD32*$AS$53,0)+IF(AC32=6,AD32*$AS$54)+IF(AC32=7,AD32*$AS$55)+IF(AC32=8,AD32*$AS$56)+IF(AC32=9,AD32*$AS$57)+IF(AC32=10,AD32*$AS$58)+IF(AC32=11,AD32*$AS$59,0)</f>
        <v>0</v>
      </c>
      <c r="DJ32" s="654" t="n">
        <f aca="false">IF(AE32=1,AF32*$AS$49,0)+IF(AE32=2,AF32*$AS$50,0)+IF(AE32=3,AF32*$AS$51,0)+IF(AE32=4,AF32*$AS$52,0)+IF(AE32=5,AF32*$AS$53,0)+IF(AE32=6,AF32*$AS$54)+IF(AE32=7,AF32*$AS$55)+IF(AE32=8,AF32*$AS$56)+IF(AE32=9,AF32*$AS$57)+IF(AE32=10,AF32*$AS$58)+IF(AE32=11,AF32*$AS$59,0)</f>
        <v>0</v>
      </c>
      <c r="DK32" s="654" t="n">
        <f aca="false">IF(AG32=1,AH32*$AS$49,0)+IF(AG32=2,AH32*$AS$50,0)+IF(AG32=3,AH32*$AS$51,0)+IF(AG32=4,AH32*$AS$52,0)+IF(AG32=5,AH32*$AS$53,0)+IF(AG32=6,AH32*$AS$54)+IF(AG32=7,AH32*$AS$55)+IF(AG32=8,AH32*$AS$56)+IF(AG32=9,AH32*$AS$57)+IF(AG32=10,AH32*$AS$58)+IF(AG32=11,AH32*$AS$59,0)</f>
        <v>0</v>
      </c>
      <c r="DL32" s="654" t="n">
        <f aca="false">IF(AI32=1,AJ32*$AS$49,0)+IF(AI32=2,AJ32*$AS$50,0)+IF(AI32=3,AJ32*$AS$51,0)+IF(AI32=4,AJ32*$AS$52,0)+IF(AI32=5,AJ32*$AS$53,0)+IF(AI32=6,AJ32*$AS$54)+IF(AI32=7,AJ32*$AS$55)+IF(AI32=8,AJ32*$AS$56)+IF(AI32=9,AJ32*$AS$57)+IF(AI32=10,AJ32*$AS$58)+IF(AI32=11,AJ32*$AS$59,0)</f>
        <v>0</v>
      </c>
      <c r="DM32" s="654" t="n">
        <f aca="false">IF(AK32=1,AL32*$AS$49,0)+IF(AK32=2,AL32*$AS$50,0)+IF(AK32=3,AL32*$AS$51,0)+IF(AK32=4,AL32*$AS$52,0)+IF(AK32=5,AL32*$AS$53,0)+IF(AK32=6,AL32*$AS$54)+IF(AK32=7,AL32*$AS$55)+IF(AK32=8,AL32*$AS$56)+IF(AK32=9,AL32*$AS$57)+IF(AK32=10,AL32*$AS$58)+IF(AK32=11,AL32*$AS$59,0)</f>
        <v>0</v>
      </c>
      <c r="DN32" s="654" t="n">
        <f aca="false">IF(AM32=1,AN32*$AS$49,0)+IF(AM32=2,AN32*$AS$50,0)+IF(AM32=3,AN32*$AS$51,0)+IF(AM32=4,AN32*$AS$52,0)+IF(AM32=5,AN32*$AS$53,0)+IF(AM32=6,AN32*$AS$54)+IF(AM32=7,AN32*$AS$55)+IF(AM32=8,AN32*$AS$56)+IF(AM32=9,AN32*$AS$57)+IF(AM32=10,AN32*$AS$58)+IF(AM32=11,AN32*$AS$59,0)</f>
        <v>0</v>
      </c>
      <c r="DO32" s="654" t="n">
        <f aca="false">IF(AO32=1,AP32*$AS$49,0)+IF(AO32=2,AP32*$AS$50,0)+IF(AO32=3,AP32*$AS$51,0)+IF(AO32=4,AP32*$AS$52,0)+IF(AO32=5,AP32*$AS$53,0)+IF(AO32=6,AP32*$AS$54)+IF(AO32=7,AP32*$AS$55)+IF(AO32=8,AP32*$AS$56)+IF(AO32=9,AP32*$AS$57)+IF(AO32=10,AP32*$AS$58)+IF(AO32=11,AP32*$AS$59,0)</f>
        <v>0</v>
      </c>
      <c r="DP32" s="1569" t="n">
        <f aca="false">D32</f>
        <v>0</v>
      </c>
    </row>
    <row r="33" customFormat="false" ht="19.5" hidden="false" customHeight="true" outlineLevel="0" collapsed="false">
      <c r="A33" s="16" t="s">
        <v>1577</v>
      </c>
      <c r="B33" s="1549"/>
      <c r="C33" s="1550"/>
      <c r="D33" s="1551"/>
      <c r="E33" s="1552"/>
      <c r="F33" s="1074"/>
      <c r="G33" s="1553"/>
      <c r="H33" s="1074"/>
      <c r="I33" s="1553"/>
      <c r="J33" s="1074"/>
      <c r="K33" s="1583"/>
      <c r="L33" s="1559"/>
      <c r="M33" s="1556"/>
      <c r="N33" s="1557"/>
      <c r="O33" s="1558"/>
      <c r="P33" s="1515" t="n">
        <f aca="false">IF(BQ33=0,0,BN33/BQ33)</f>
        <v>0</v>
      </c>
      <c r="Q33" s="1516" t="n">
        <f aca="false">(D33*F33/324)*(1+K$65)+BB33</f>
        <v>0</v>
      </c>
      <c r="R33" s="1517" t="n">
        <f aca="false">IF(D33=0,0,S33/D33)</f>
        <v>0</v>
      </c>
      <c r="S33" s="1518" t="e">
        <f aca="false">SUM(CM33-DE33)*(1+M$45)</f>
        <v>#DIV/0!</v>
      </c>
      <c r="T33" s="1519" t="n">
        <f aca="false">CF33+CG33+CH33</f>
        <v>0</v>
      </c>
      <c r="U33" s="1520" t="n">
        <f aca="false">IF(P33-(D33*0.35)&lt;0,0,P33-(D33*0.35))</f>
        <v>0</v>
      </c>
      <c r="V33" s="1521" t="n">
        <f aca="false">IF(D33="",0,IF(D33/-30+Q33&lt;1,0,D33/-30+Q33))</f>
        <v>0</v>
      </c>
      <c r="W33" s="1559"/>
      <c r="X33" s="1560"/>
      <c r="Y33" s="1559"/>
      <c r="Z33" s="1561"/>
      <c r="AA33" s="1559"/>
      <c r="AB33" s="1561"/>
      <c r="AC33" s="1562"/>
      <c r="AD33" s="1560"/>
      <c r="AE33" s="1559"/>
      <c r="AF33" s="1563"/>
      <c r="AG33" s="1564"/>
      <c r="AH33" s="1563"/>
      <c r="AI33" s="1565"/>
      <c r="AJ33" s="1581"/>
      <c r="AK33" s="1565"/>
      <c r="AL33" s="1581"/>
      <c r="AM33" s="1559"/>
      <c r="AN33" s="1561"/>
      <c r="AO33" s="1559"/>
      <c r="AP33" s="1561"/>
      <c r="AQ33" s="654"/>
      <c r="AR33" s="1533" t="str">
        <f aca="false">IF(W33="","",LOOKUP(W33,$B$49:$B$59,$R$49:$R$59)*X33)</f>
        <v/>
      </c>
      <c r="AS33" s="1430" t="str">
        <f aca="false">IF(Y33="","",LOOKUP(Y33,$B$49:$B$59,$R$49:$R$59)*Z33)</f>
        <v/>
      </c>
      <c r="AT33" s="1430" t="str">
        <f aca="false">IF(AB33="","",LOOKUP(AA33,$B$49:$B$59,$R$49:$R$59)*AB33)</f>
        <v/>
      </c>
      <c r="AU33" s="1430" t="str">
        <f aca="false">IF(AC33="","",LOOKUP(AC33,$B$49:$B$59,$R$49:$R$59)*AD33)</f>
        <v/>
      </c>
      <c r="AV33" s="1430" t="str">
        <f aca="false">IF(AE33="","",LOOKUP(AE33,$B$49:$B$59,$R$49:$R$59)*AF33)</f>
        <v/>
      </c>
      <c r="AW33" s="1430" t="str">
        <f aca="false">IF(AG33="","",LOOKUP(AG33,$B$49:$B$59,$R$49:$R$59)*AH33)</f>
        <v/>
      </c>
      <c r="AX33" s="1430" t="str">
        <f aca="false">IF(AI33="","",LOOKUP(AI33,$B$49:$B$59,$R$49:$R$59)*AJ33)</f>
        <v/>
      </c>
      <c r="AY33" s="1430" t="str">
        <f aca="false">IF(AK33="","",LOOKUP(AK33,$B$49:$B$59,$R$49:$R$59)*AL33)</f>
        <v/>
      </c>
      <c r="AZ33" s="1430" t="str">
        <f aca="false">IF(AM33="","",LOOKUP(AM33,$B$49:$B$59,$R$49:$R$59)*AN33)</f>
        <v/>
      </c>
      <c r="BA33" s="1430" t="str">
        <f aca="false">IF(AO33="","",LOOKUP(AO33,$B$49:$B$59,$R$49:$R$59)*AP33)</f>
        <v/>
      </c>
      <c r="BB33" s="1535" t="n">
        <f aca="false">SUM(AR33:BA33)</f>
        <v>0</v>
      </c>
      <c r="BC33" s="1533" t="str">
        <f aca="false">IF(W33="","",LOOKUP(W33,$B$49:$B$59,$P$49:$P$59)*X33)</f>
        <v/>
      </c>
      <c r="BD33" s="654" t="str">
        <f aca="false">IF(Y33="","",LOOKUP(Y33,$B$49:$B$59,$P$49:$P$59)*Z33)</f>
        <v/>
      </c>
      <c r="BE33" s="1430"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584" t="n">
        <f aca="false">SUM(BC33:BL33)*BQ33</f>
        <v>0</v>
      </c>
      <c r="BN33" s="1536" t="n">
        <f aca="false">BM33+BO33</f>
        <v>0</v>
      </c>
      <c r="BO33" s="1536" t="n">
        <f aca="false">IF(M33=0,0,(M33/12+M33/12)/(M33/12*M33/12)*D33*((L33/16*L33/16)*10.6870159))*(1+K$70)*BQ33</f>
        <v>0</v>
      </c>
      <c r="BP33" s="1536" t="n">
        <f aca="false">IF(O33="Y",D33*(1+K$71)*BQ33,0)</f>
        <v>0</v>
      </c>
      <c r="BQ33" s="1538" t="n">
        <f aca="false">G33</f>
        <v>0</v>
      </c>
      <c r="BR33" s="1411" t="n">
        <f aca="false">IF(O33="y",D33,0)</f>
        <v>0</v>
      </c>
      <c r="BS33" s="1567" t="n">
        <f aca="false">IF($I33=1,$Q33,0)*BQ33</f>
        <v>0</v>
      </c>
      <c r="BT33" s="1536" t="n">
        <f aca="false">IF($I33=2,$Q33,0)*BQ33</f>
        <v>0</v>
      </c>
      <c r="BU33" s="1536" t="n">
        <f aca="false">IF($I33=3,$Q33,0)*BQ33</f>
        <v>0</v>
      </c>
      <c r="BV33" s="1536" t="n">
        <f aca="false">IF($I33=4,$Q33,0)*BQ33</f>
        <v>0</v>
      </c>
      <c r="BW33" s="1536" t="n">
        <f aca="false">IF($I33=5,$Q33,0)*BQ33</f>
        <v>0</v>
      </c>
      <c r="BX33" s="1536" t="n">
        <f aca="false">IF($I33=6,$Q33,0)*$BQ33</f>
        <v>0</v>
      </c>
      <c r="BY33" s="1536" t="n">
        <f aca="false">IF($I33=7,$Q33,0)*$BQ33</f>
        <v>0</v>
      </c>
      <c r="BZ33" s="1536" t="n">
        <f aca="false">IF($I33=8,$Q33,0)*$BQ33</f>
        <v>0</v>
      </c>
      <c r="CA33" s="1536" t="n">
        <f aca="false">IF($I33=9,$Q33,0)*$BQ33</f>
        <v>0</v>
      </c>
      <c r="CB33" s="1568" t="n">
        <f aca="false">IF($I33=10,$Q33,0)*$BQ33</f>
        <v>0</v>
      </c>
      <c r="CC33" s="1538" t="n">
        <f aca="false">SUM(BS33:BX33)</f>
        <v>0</v>
      </c>
      <c r="CD33" s="1538" t="n">
        <f aca="false">IF(H33="N",0,D33)*BQ33</f>
        <v>0</v>
      </c>
      <c r="CE33" s="1538" t="n">
        <f aca="false">K33*BQ33</f>
        <v>0</v>
      </c>
      <c r="CF33" s="1542" t="n">
        <f aca="false">ROUND(IF(W33="",0,LOOKUP(W33,B$49:B$59,D$49:D$59)*X33/12),0)</f>
        <v>0</v>
      </c>
      <c r="CG33" s="1542" t="n">
        <f aca="false">ROUND(IF(Y33="",0,LOOKUP(Y33,B$49:B$59,D$49:D$59)*Z33/12),0)</f>
        <v>0</v>
      </c>
      <c r="CH33" s="1542" t="n">
        <f aca="false">ROUND(IF(AA33="",0,LOOKUP(AA33,B$49:B$59,D$49:D$59)*AB33/12),0)</f>
        <v>0</v>
      </c>
      <c r="CI33" s="1538" t="n">
        <f aca="false">D33*BQ33</f>
        <v>0</v>
      </c>
      <c r="CJ33" s="1538" t="n">
        <f aca="false">D33*J33/324*(1+K$73)*G33</f>
        <v>0</v>
      </c>
      <c r="CK33" s="1538" t="str">
        <f aca="false">IF(N33="","",N33)</f>
        <v/>
      </c>
      <c r="CL33" s="1538" t="n">
        <f aca="false">P33*BQ33</f>
        <v>0</v>
      </c>
      <c r="CM33" s="1543" t="n">
        <f aca="false">IF(BQ33=0,0,SUM(CN33:DE33)/BQ33)</f>
        <v>0</v>
      </c>
      <c r="CN33" s="656" t="n">
        <f aca="false">(BS33*Pricing!F$3+BT33*Pricing!G$3+BU33*Pricing!H$3+BV33*Pricing!I$3+BW33*Pricing!J$3+BX33*Pricing!K$3+BY33*Pricing!L$3+BZ33*Pricing!M$3+CA33*Pricing!N$3+CB33*Pricing!O$3)*IF(W$44="N",(1+Y$44),1)</f>
        <v>0</v>
      </c>
      <c r="CO33" s="656" t="n">
        <f aca="false">BN33*G$70*IF(W$44="n",1+Y$44,1)</f>
        <v>0</v>
      </c>
      <c r="CP33" s="1544" t="n">
        <f aca="false">C33*D33</f>
        <v>0</v>
      </c>
      <c r="CQ33" s="656" t="n">
        <f aca="false">IF(I$79=0,0,D33*(SUM(O$79:P$82)+O$85)/I$79*BQ33)</f>
        <v>0</v>
      </c>
      <c r="CR33" s="656" t="n">
        <f aca="false">IF(CF33="",0,CF33*E$83)+IF(CG33="",0,CG33*E$83)+IF(CH33="",0,CH33*E$83)</f>
        <v>0</v>
      </c>
      <c r="CS33" s="656"/>
      <c r="CT33" s="1545" t="n">
        <f aca="false">(U33/2000)*E$87</f>
        <v>0</v>
      </c>
      <c r="CU33" s="656" t="n">
        <f aca="false">IF(I$79=0,0,D33*(O$88)/I$79*BQ33)</f>
        <v>0</v>
      </c>
      <c r="CV33" s="656" t="n">
        <f aca="false">IF(D$42=0,0,SUM(O$91:P$94)/D$42*D33)*BQ33</f>
        <v>0</v>
      </c>
      <c r="CW33" s="656" t="n">
        <f aca="false">IF(D$42=0,0,SUM(Z$66:Z$97)/D$42*D33*BQ33)</f>
        <v>0</v>
      </c>
      <c r="CX33" s="656" t="n">
        <f aca="false">IF(D$42=0,0,SUM(O$96:P$101)/D$42*D33)*BQ33</f>
        <v>0</v>
      </c>
      <c r="CY33" s="656" t="n">
        <f aca="false">IF(D$42=0,0,SUM(O$103:O$109)/D$42)*D33*BQ33</f>
        <v>0</v>
      </c>
      <c r="CZ33" s="656" t="n">
        <f aca="false">IF(I$79=0,0,IF(I$79=0,0,SUM(Z$98:Z$109)/I$79*D33))</f>
        <v>0</v>
      </c>
      <c r="DA33" s="656" t="n">
        <f aca="false">IF(J$72&gt;0,J$72/D$42*D33*G33,CD33*(G$72*IF(W$44="n",(1+Y$44),1)))</f>
        <v>0</v>
      </c>
      <c r="DB33" s="656" t="n">
        <f aca="false">IF(CK33="",0,CK33*E$86)</f>
        <v>0</v>
      </c>
      <c r="DC33" s="656" t="n">
        <f aca="false">BP33*G$71*IF(W$44="Y",1,1+Y$44)</f>
        <v>0</v>
      </c>
      <c r="DD33" s="656" t="n">
        <f aca="false">CJ33*G$73*IF(W$44="Y",1,1+Y$44)</f>
        <v>0</v>
      </c>
      <c r="DE33" s="1546" t="e">
        <f aca="false">O$110/I$79*D33</f>
        <v>#DIV/0!</v>
      </c>
      <c r="DF33" s="654" t="n">
        <f aca="false">IF(W33=1,X33*$AS$49,0)+IF(W33=2,X33*$AS$50,0)+IF(W33=3,X33*$AS$51,0)+IF(W33=4,X33*$AS$52,0)+IF(W33=5,X33*$AS$53,0)+IF(W33=6,X33*$AS$54)+IF(W33=7,X33*$AS$55)+IF(W33=8,X33*$AS$56)+IF(W33=9,X33*$AS$57)+IF(W33=10,X33*$AS$58)+IF(W33=11,X33*$AS$59,0)</f>
        <v>0</v>
      </c>
      <c r="DG33" s="654" t="n">
        <f aca="false">IF(Y33=1,Z33*$AS$49,0)+IF(Y33=2,Z33*$AS$50,0)+IF(Y33=3,Z33*$AS$51,0)+IF(Y33=4,Z33*$AS$52,0)+IF(Y33=5,Z33*$AS$53,0)+IF(Y33=6,Z33*$AS$54)+IF(Y33=7,Z33*$AS$55)+IF(Y33=8,Z33*$AS$56)+IF(Y33=9,Z33*$AS$57)+IF(Y33=10,Z33*$AS$58)+IF(Y33=11,Z33*$AS$59,0)</f>
        <v>0</v>
      </c>
      <c r="DH33" s="654" t="n">
        <f aca="false">IF(AA33=1,AB33*$AS$49,0)+IF(AA33=2,AB33*$AS$50,0)+IF(AA33=3,AB33*$AS$51,0)+IF(AA33=4,AB33*$AS$52,0)+IF(AA33=5,AB33*$AS$53,0)+IF(AA33=6,AB33*$AS$54)+IF(AA33=7,AB33*$AS$55)+IF(AA33=8,AB33*$AS$56)+IF(AA33=9,AB33*$AS$57)+IF(AA33=10,AB33*$AS$58)+IF(AA33=11,AB33*$AS$59,0)</f>
        <v>0</v>
      </c>
      <c r="DI33" s="654" t="n">
        <f aca="false">IF(AC33=1,AD33*$AS$49,0)+IF(AC33=2,AD33*$AS$50,0)+IF(AC33=3,AD33*$AS$51,0)+IF(AC33=4,AD33*$AS$52,0)+IF(AC33=5,AD33*$AS$53,0)+IF(AC33=6,AD33*$AS$54)+IF(AC33=7,AD33*$AS$55)+IF(AC33=8,AD33*$AS$56)+IF(AC33=9,AD33*$AS$57)+IF(AC33=10,AD33*$AS$58)+IF(AC33=11,AD33*$AS$59,0)</f>
        <v>0</v>
      </c>
      <c r="DJ33" s="654" t="n">
        <f aca="false">IF(AE33=1,AF33*$AS$49,0)+IF(AE33=2,AF33*$AS$50,0)+IF(AE33=3,AF33*$AS$51,0)+IF(AE33=4,AF33*$AS$52,0)+IF(AE33=5,AF33*$AS$53,0)+IF(AE33=6,AF33*$AS$54)+IF(AE33=7,AF33*$AS$55)+IF(AE33=8,AF33*$AS$56)+IF(AE33=9,AF33*$AS$57)+IF(AE33=10,AF33*$AS$58)+IF(AE33=11,AF33*$AS$59,0)</f>
        <v>0</v>
      </c>
      <c r="DK33" s="654" t="n">
        <f aca="false">IF(AG33=1,AH33*$AS$49,0)+IF(AG33=2,AH33*$AS$50,0)+IF(AG33=3,AH33*$AS$51,0)+IF(AG33=4,AH33*$AS$52,0)+IF(AG33=5,AH33*$AS$53,0)+IF(AG33=6,AH33*$AS$54)+IF(AG33=7,AH33*$AS$55)+IF(AG33=8,AH33*$AS$56)+IF(AG33=9,AH33*$AS$57)+IF(AG33=10,AH33*$AS$58)+IF(AG33=11,AH33*$AS$59,0)</f>
        <v>0</v>
      </c>
      <c r="DL33" s="654" t="n">
        <f aca="false">IF(AI33=1,AJ33*$AS$49,0)+IF(AI33=2,AJ33*$AS$50,0)+IF(AI33=3,AJ33*$AS$51,0)+IF(AI33=4,AJ33*$AS$52,0)+IF(AI33=5,AJ33*$AS$53,0)+IF(AI33=6,AJ33*$AS$54)+IF(AI33=7,AJ33*$AS$55)+IF(AI33=8,AJ33*$AS$56)+IF(AI33=9,AJ33*$AS$57)+IF(AI33=10,AJ33*$AS$58)+IF(AI33=11,AJ33*$AS$59,0)</f>
        <v>0</v>
      </c>
      <c r="DM33" s="654" t="n">
        <f aca="false">IF(AK33=1,AL33*$AS$49,0)+IF(AK33=2,AL33*$AS$50,0)+IF(AK33=3,AL33*$AS$51,0)+IF(AK33=4,AL33*$AS$52,0)+IF(AK33=5,AL33*$AS$53,0)+IF(AK33=6,AL33*$AS$54)+IF(AK33=7,AL33*$AS$55)+IF(AK33=8,AL33*$AS$56)+IF(AK33=9,AL33*$AS$57)+IF(AK33=10,AL33*$AS$58)+IF(AK33=11,AL33*$AS$59,0)</f>
        <v>0</v>
      </c>
      <c r="DN33" s="654" t="n">
        <f aca="false">IF(AM33=1,AN33*$AS$49,0)+IF(AM33=2,AN33*$AS$50,0)+IF(AM33=3,AN33*$AS$51,0)+IF(AM33=4,AN33*$AS$52,0)+IF(AM33=5,AN33*$AS$53,0)+IF(AM33=6,AN33*$AS$54)+IF(AM33=7,AN33*$AS$55)+IF(AM33=8,AN33*$AS$56)+IF(AM33=9,AN33*$AS$57)+IF(AM33=10,AN33*$AS$58)+IF(AM33=11,AN33*$AS$59,0)</f>
        <v>0</v>
      </c>
      <c r="DO33" s="654" t="n">
        <f aca="false">IF(AO33=1,AP33*$AS$49,0)+IF(AO33=2,AP33*$AS$50,0)+IF(AO33=3,AP33*$AS$51,0)+IF(AO33=4,AP33*$AS$52,0)+IF(AO33=5,AP33*$AS$53,0)+IF(AO33=6,AP33*$AS$54)+IF(AO33=7,AP33*$AS$55)+IF(AO33=8,AP33*$AS$56)+IF(AO33=9,AP33*$AS$57)+IF(AO33=10,AP33*$AS$58)+IF(AO33=11,AP33*$AS$59,0)</f>
        <v>0</v>
      </c>
      <c r="DP33" s="1569" t="n">
        <f aca="false">D33</f>
        <v>0</v>
      </c>
    </row>
    <row r="34" customFormat="false" ht="19.5" hidden="false" customHeight="true" outlineLevel="0" collapsed="false">
      <c r="A34" s="16" t="s">
        <v>1578</v>
      </c>
      <c r="B34" s="920"/>
      <c r="C34" s="1506"/>
      <c r="D34" s="1586"/>
      <c r="E34" s="1587"/>
      <c r="F34" s="1074"/>
      <c r="G34" s="1553"/>
      <c r="H34" s="1074"/>
      <c r="I34" s="1553"/>
      <c r="J34" s="1074"/>
      <c r="K34" s="1590"/>
      <c r="L34" s="528"/>
      <c r="M34" s="895"/>
      <c r="N34" s="1513"/>
      <c r="O34" s="1514"/>
      <c r="P34" s="1515" t="n">
        <f aca="false">IF(BQ34=0,0,BN34/BQ34)</f>
        <v>0</v>
      </c>
      <c r="Q34" s="1516" t="n">
        <f aca="false">(D34*F34/324)*(1+K$65)+BB34</f>
        <v>0</v>
      </c>
      <c r="R34" s="1517" t="n">
        <f aca="false">IF(D34=0,0,S34/D34)</f>
        <v>0</v>
      </c>
      <c r="S34" s="1518" t="e">
        <f aca="false">SUM(CM34-DE34)*(1+M$45)</f>
        <v>#DIV/0!</v>
      </c>
      <c r="T34" s="1519" t="n">
        <f aca="false">CF34+CG34+CH34</f>
        <v>0</v>
      </c>
      <c r="U34" s="1520" t="n">
        <f aca="false">IF(P34-(D34*0.35)&lt;0,0,P34-(D34*0.35))</f>
        <v>0</v>
      </c>
      <c r="V34" s="1521" t="n">
        <f aca="false">IF(D34="",0,IF(D34/-30+Q34&lt;1,0,D34/-30+Q34))</f>
        <v>0</v>
      </c>
      <c r="W34" s="528"/>
      <c r="X34" s="1591"/>
      <c r="Y34" s="1511"/>
      <c r="Z34" s="1524"/>
      <c r="AA34" s="1511"/>
      <c r="AB34" s="1524"/>
      <c r="AC34" s="1525"/>
      <c r="AD34" s="1591"/>
      <c r="AE34" s="1511"/>
      <c r="AF34" s="1592"/>
      <c r="AG34" s="1593"/>
      <c r="AH34" s="1512"/>
      <c r="AI34" s="528"/>
      <c r="AJ34" s="1591"/>
      <c r="AK34" s="528"/>
      <c r="AL34" s="1592"/>
      <c r="AM34" s="1511"/>
      <c r="AN34" s="1524"/>
      <c r="AO34" s="1511"/>
      <c r="AP34" s="1524"/>
      <c r="AQ34" s="654"/>
      <c r="AR34" s="1533" t="str">
        <f aca="false">IF(W34="","",LOOKUP(W34,$B$49:$B$59,$R$49:$R$59)*X34)</f>
        <v/>
      </c>
      <c r="AS34" s="1430" t="str">
        <f aca="false">IF(Y34="","",LOOKUP(Y34,$B$49:$B$59,$R$49:$R$59)*Z34)</f>
        <v/>
      </c>
      <c r="AT34" s="1430" t="str">
        <f aca="false">IF(AB34="","",LOOKUP(AA34,$B$49:$B$59,$R$49:$R$59)*AB34)</f>
        <v/>
      </c>
      <c r="AU34" s="1430" t="str">
        <f aca="false">IF(AC34="","",LOOKUP(AC34,$B$49:$B$59,$R$49:$R$59)*AD34)</f>
        <v/>
      </c>
      <c r="AV34" s="1430" t="str">
        <f aca="false">IF(AE34="","",LOOKUP(AE34,$B$49:$B$59,$R$49:$R$59)*AF34)</f>
        <v/>
      </c>
      <c r="AW34" s="1430" t="str">
        <f aca="false">IF(AG34="","",LOOKUP(AG34,$B$49:$B$59,$R$49:$R$59)*AH34)</f>
        <v/>
      </c>
      <c r="AX34" s="1430" t="str">
        <f aca="false">IF(AI34="","",LOOKUP(AI34,$B$49:$B$59,$R$49:$R$59)*AJ34)</f>
        <v/>
      </c>
      <c r="AY34" s="1430" t="str">
        <f aca="false">IF(AK34="","",LOOKUP(AK34,$B$49:$B$59,$R$49:$R$59)*AL34)</f>
        <v/>
      </c>
      <c r="AZ34" s="1430" t="str">
        <f aca="false">IF(AM34="","",LOOKUP(AM34,$B$49:$B$59,$R$49:$R$59)*AN34)</f>
        <v/>
      </c>
      <c r="BA34" s="1430" t="str">
        <f aca="false">IF(AO34="","",LOOKUP(AO34,$B$49:$B$59,$R$49:$R$59)*AP34)</f>
        <v/>
      </c>
      <c r="BB34" s="1535" t="n">
        <f aca="false">SUM(AR34:BA34)</f>
        <v>0</v>
      </c>
      <c r="BC34" s="1533" t="str">
        <f aca="false">IF(W34="","",LOOKUP(W34,$B$49:$B$59,$P$49:$P$59)*X34)</f>
        <v/>
      </c>
      <c r="BD34" s="654" t="str">
        <f aca="false">IF(Y34="","",LOOKUP(Y34,$B$49:$B$59,$P$49:$P$59)*Z34)</f>
        <v/>
      </c>
      <c r="BE34" s="1430"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584" t="n">
        <f aca="false">SUM(BC34:BL34)*BQ34</f>
        <v>0</v>
      </c>
      <c r="BN34" s="1536" t="n">
        <f aca="false">BM34+BO34</f>
        <v>0</v>
      </c>
      <c r="BO34" s="1536" t="n">
        <f aca="false">IF(M34=0,0,(M34/12+M34/12)/(M34/12*M34/12)*D34*((L34/16*L34/16)*10.6870159))*(1+K$70)*BQ34</f>
        <v>0</v>
      </c>
      <c r="BP34" s="1536" t="n">
        <f aca="false">IF(O34="Y",D34*(1+K$71)*BQ34,0)</f>
        <v>0</v>
      </c>
      <c r="BQ34" s="1538" t="n">
        <f aca="false">G34</f>
        <v>0</v>
      </c>
      <c r="BR34" s="1411" t="n">
        <f aca="false">IF(O34="y",D34,0)</f>
        <v>0</v>
      </c>
      <c r="BS34" s="1567" t="n">
        <f aca="false">IF($I34=1,$Q34,0)*BQ34</f>
        <v>0</v>
      </c>
      <c r="BT34" s="1536" t="n">
        <f aca="false">IF($I34=2,$Q34,0)*BQ34</f>
        <v>0</v>
      </c>
      <c r="BU34" s="1536" t="n">
        <f aca="false">IF($I34=3,$Q34,0)*BQ34</f>
        <v>0</v>
      </c>
      <c r="BV34" s="1536" t="n">
        <f aca="false">IF($I34=4,$Q34,0)*BQ34</f>
        <v>0</v>
      </c>
      <c r="BW34" s="1536" t="n">
        <f aca="false">IF($I34=5,$Q34,0)*BQ34</f>
        <v>0</v>
      </c>
      <c r="BX34" s="1536" t="n">
        <f aca="false">IF($I34=6,$Q34,0)*$BQ34</f>
        <v>0</v>
      </c>
      <c r="BY34" s="1536" t="n">
        <f aca="false">IF($I34=7,$Q34,0)*$BQ34</f>
        <v>0</v>
      </c>
      <c r="BZ34" s="1536" t="n">
        <f aca="false">IF($I34=8,$Q34,0)*$BQ34</f>
        <v>0</v>
      </c>
      <c r="CA34" s="1536" t="n">
        <f aca="false">IF($I34=9,$Q34,0)*$BQ34</f>
        <v>0</v>
      </c>
      <c r="CB34" s="1568" t="n">
        <f aca="false">IF($I34=10,$Q34,0)*$BQ34</f>
        <v>0</v>
      </c>
      <c r="CC34" s="1538" t="n">
        <f aca="false">SUM(BS34:BX34)</f>
        <v>0</v>
      </c>
      <c r="CD34" s="1538" t="n">
        <f aca="false">IF(H34="N",0,D34)*BQ34</f>
        <v>0</v>
      </c>
      <c r="CE34" s="1538" t="n">
        <f aca="false">K34*BQ34</f>
        <v>0</v>
      </c>
      <c r="CF34" s="1542" t="n">
        <f aca="false">ROUND(IF(W34="",0,LOOKUP(W34,B$49:B$59,D$49:D$59)*X34/12),0)</f>
        <v>0</v>
      </c>
      <c r="CG34" s="1542" t="n">
        <f aca="false">ROUND(IF(Y34="",0,LOOKUP(Y34,B$49:B$59,D$49:D$59)*Z34/12),0)</f>
        <v>0</v>
      </c>
      <c r="CH34" s="1542" t="n">
        <f aca="false">ROUND(IF(AA34="",0,LOOKUP(AA34,B$49:B$59,D$49:D$59)*AB34/12),0)</f>
        <v>0</v>
      </c>
      <c r="CI34" s="1538" t="n">
        <f aca="false">D34*BQ34</f>
        <v>0</v>
      </c>
      <c r="CJ34" s="1538" t="n">
        <f aca="false">D34*J34/324*(1+K$73)*G34</f>
        <v>0</v>
      </c>
      <c r="CK34" s="1538" t="str">
        <f aca="false">IF(N34="","",N34)</f>
        <v/>
      </c>
      <c r="CL34" s="1538" t="n">
        <f aca="false">P34*BQ34</f>
        <v>0</v>
      </c>
      <c r="CM34" s="1543" t="n">
        <f aca="false">IF(BQ34=0,0,SUM(CN34:DE34)/BQ34)</f>
        <v>0</v>
      </c>
      <c r="CN34" s="656" t="n">
        <f aca="false">(BS34*Pricing!F$3+BT34*Pricing!G$3+BU34*Pricing!H$3+BV34*Pricing!I$3+BW34*Pricing!J$3+BX34*Pricing!K$3+BY34*Pricing!L$3+BZ34*Pricing!M$3+CA34*Pricing!N$3+CB34*Pricing!O$3)*IF(W$44="N",(1+Y$44),1)</f>
        <v>0</v>
      </c>
      <c r="CO34" s="656" t="n">
        <f aca="false">BN34*G$70*IF(W$44="n",1+Y$44,1)</f>
        <v>0</v>
      </c>
      <c r="CP34" s="1544" t="n">
        <f aca="false">C34*D34</f>
        <v>0</v>
      </c>
      <c r="CQ34" s="656" t="n">
        <f aca="false">IF(I$79=0,0,D34*(SUM(O$79:P$82)+O$85)/I$79*BQ34)</f>
        <v>0</v>
      </c>
      <c r="CR34" s="656" t="n">
        <f aca="false">IF(CF34="",0,CF34*E$83)+IF(CG34="",0,CG34*E$83)+IF(CH34="",0,CH34*E$83)</f>
        <v>0</v>
      </c>
      <c r="CS34" s="656"/>
      <c r="CT34" s="1545" t="n">
        <f aca="false">(U34/2000)*E$87</f>
        <v>0</v>
      </c>
      <c r="CU34" s="656" t="n">
        <f aca="false">IF(I$79=0,0,D34*(O$88)/I$79*BQ34)</f>
        <v>0</v>
      </c>
      <c r="CV34" s="656" t="n">
        <f aca="false">IF(D$42=0,0,SUM(O$91:P$94)/D$42*D34)*BQ34</f>
        <v>0</v>
      </c>
      <c r="CW34" s="656" t="n">
        <f aca="false">IF(D$42=0,0,SUM(Z$66:Z$97)/D$42*D34*BQ34)</f>
        <v>0</v>
      </c>
      <c r="CX34" s="656" t="n">
        <f aca="false">IF(D$42=0,0,SUM(O$96:P$101)/D$42*D34)*BQ34</f>
        <v>0</v>
      </c>
      <c r="CY34" s="656" t="n">
        <f aca="false">IF(D$42=0,0,SUM(O$103:O$109)/D$42)*D34*BQ34</f>
        <v>0</v>
      </c>
      <c r="CZ34" s="656" t="n">
        <f aca="false">IF(I$79=0,0,IF(I$79=0,0,SUM(Z$98:Z$109)/I$79*D34))</f>
        <v>0</v>
      </c>
      <c r="DA34" s="656" t="n">
        <f aca="false">IF(J$72&gt;0,J$72/D$42*D34*G34,CD34*(G$72*IF(W$44="n",(1+Y$44),1)))</f>
        <v>0</v>
      </c>
      <c r="DB34" s="656" t="n">
        <f aca="false">IF(CK34="",0,CK34*E$86)</f>
        <v>0</v>
      </c>
      <c r="DC34" s="656" t="n">
        <f aca="false">BP34*G$71*IF(W$44="Y",1,1+Y$44)</f>
        <v>0</v>
      </c>
      <c r="DD34" s="656" t="n">
        <f aca="false">CJ34*G$73*IF(W$44="Y",1,1+Y$44)</f>
        <v>0</v>
      </c>
      <c r="DE34" s="1546" t="e">
        <f aca="false">O$110/I$79*D34</f>
        <v>#DIV/0!</v>
      </c>
      <c r="DF34" s="654" t="n">
        <f aca="false">IF(W34=1,X34*$AS$49,0)+IF(W34=2,X34*$AS$50,0)+IF(W34=3,X34*$AS$51,0)+IF(W34=4,X34*$AS$52,0)+IF(W34=5,X34*$AS$53,0)+IF(W34=6,X34*$AS$54)+IF(W34=7,X34*$AS$55)+IF(W34=8,X34*$AS$56)+IF(W34=9,X34*$AS$57)+IF(W34=10,X34*$AS$58)+IF(W34=11,X34*$AS$59,0)</f>
        <v>0</v>
      </c>
      <c r="DG34" s="654" t="n">
        <f aca="false">IF(Y34=1,Z34*$AS$49,0)+IF(Y34=2,Z34*$AS$50,0)+IF(Y34=3,Z34*$AS$51,0)+IF(Y34=4,Z34*$AS$52,0)+IF(Y34=5,Z34*$AS$53,0)+IF(Y34=6,Z34*$AS$54)+IF(Y34=7,Z34*$AS$55)+IF(Y34=8,Z34*$AS$56)+IF(Y34=9,Z34*$AS$57)+IF(Y34=10,Z34*$AS$58)+IF(Y34=11,Z34*$AS$59,0)</f>
        <v>0</v>
      </c>
      <c r="DH34" s="654" t="n">
        <f aca="false">IF(AA34=1,AB34*$AS$49,0)+IF(AA34=2,AB34*$AS$50,0)+IF(AA34=3,AB34*$AS$51,0)+IF(AA34=4,AB34*$AS$52,0)+IF(AA34=5,AB34*$AS$53,0)+IF(AA34=6,AB34*$AS$54)+IF(AA34=7,AB34*$AS$55)+IF(AA34=8,AB34*$AS$56)+IF(AA34=9,AB34*$AS$57)+IF(AA34=10,AB34*$AS$58)+IF(AA34=11,AB34*$AS$59,0)</f>
        <v>0</v>
      </c>
      <c r="DI34" s="654" t="n">
        <f aca="false">IF(AC34=1,AD34*$AS$49,0)+IF(AC34=2,AD34*$AS$50,0)+IF(AC34=3,AD34*$AS$51,0)+IF(AC34=4,AD34*$AS$52,0)+IF(AC34=5,AD34*$AS$53,0)+IF(AC34=6,AD34*$AS$54)+IF(AC34=7,AD34*$AS$55)+IF(AC34=8,AD34*$AS$56)+IF(AC34=9,AD34*$AS$57)+IF(AC34=10,AD34*$AS$58)+IF(AC34=11,AD34*$AS$59,0)</f>
        <v>0</v>
      </c>
      <c r="DJ34" s="654" t="n">
        <f aca="false">IF(AE34=1,AF34*$AS$49,0)+IF(AE34=2,AF34*$AS$50,0)+IF(AE34=3,AF34*$AS$51,0)+IF(AE34=4,AF34*$AS$52,0)+IF(AE34=5,AF34*$AS$53,0)+IF(AE34=6,AF34*$AS$54)+IF(AE34=7,AF34*$AS$55)+IF(AE34=8,AF34*$AS$56)+IF(AE34=9,AF34*$AS$57)+IF(AE34=10,AF34*$AS$58)+IF(AE34=11,AF34*$AS$59,0)</f>
        <v>0</v>
      </c>
      <c r="DK34" s="654" t="n">
        <f aca="false">IF(AG34=1,AH34*$AS$49,0)+IF(AG34=2,AH34*$AS$50,0)+IF(AG34=3,AH34*$AS$51,0)+IF(AG34=4,AH34*$AS$52,0)+IF(AG34=5,AH34*$AS$53,0)+IF(AG34=6,AH34*$AS$54)+IF(AG34=7,AH34*$AS$55)+IF(AG34=8,AH34*$AS$56)+IF(AG34=9,AH34*$AS$57)+IF(AG34=10,AH34*$AS$58)+IF(AG34=11,AH34*$AS$59,0)</f>
        <v>0</v>
      </c>
      <c r="DL34" s="654" t="n">
        <f aca="false">IF(AI34=1,AJ34*$AS$49,0)+IF(AI34=2,AJ34*$AS$50,0)+IF(AI34=3,AJ34*$AS$51,0)+IF(AI34=4,AJ34*$AS$52,0)+IF(AI34=5,AJ34*$AS$53,0)+IF(AI34=6,AJ34*$AS$54)+IF(AI34=7,AJ34*$AS$55)+IF(AI34=8,AJ34*$AS$56)+IF(AI34=9,AJ34*$AS$57)+IF(AI34=10,AJ34*$AS$58)+IF(AI34=11,AJ34*$AS$59,0)</f>
        <v>0</v>
      </c>
      <c r="DM34" s="654" t="n">
        <f aca="false">IF(AK34=1,AL34*$AS$49,0)+IF(AK34=2,AL34*$AS$50,0)+IF(AK34=3,AL34*$AS$51,0)+IF(AK34=4,AL34*$AS$52,0)+IF(AK34=5,AL34*$AS$53,0)+IF(AK34=6,AL34*$AS$54)+IF(AK34=7,AL34*$AS$55)+IF(AK34=8,AL34*$AS$56)+IF(AK34=9,AL34*$AS$57)+IF(AK34=10,AL34*$AS$58)+IF(AK34=11,AL34*$AS$59,0)</f>
        <v>0</v>
      </c>
      <c r="DN34" s="654" t="n">
        <f aca="false">IF(AM34=1,AN34*$AS$49,0)+IF(AM34=2,AN34*$AS$50,0)+IF(AM34=3,AN34*$AS$51,0)+IF(AM34=4,AN34*$AS$52,0)+IF(AM34=5,AN34*$AS$53,0)+IF(AM34=6,AN34*$AS$54)+IF(AM34=7,AN34*$AS$55)+IF(AM34=8,AN34*$AS$56)+IF(AM34=9,AN34*$AS$57)+IF(AM34=10,AN34*$AS$58)+IF(AM34=11,AN34*$AS$59,0)</f>
        <v>0</v>
      </c>
      <c r="DO34" s="654" t="n">
        <f aca="false">IF(AO34=1,AP34*$AS$49,0)+IF(AO34=2,AP34*$AS$50,0)+IF(AO34=3,AP34*$AS$51,0)+IF(AO34=4,AP34*$AS$52,0)+IF(AO34=5,AP34*$AS$53,0)+IF(AO34=6,AP34*$AS$54)+IF(AO34=7,AP34*$AS$55)+IF(AO34=8,AP34*$AS$56)+IF(AO34=9,AP34*$AS$57)+IF(AO34=10,AP34*$AS$58)+IF(AO34=11,AP34*$AS$59,0)</f>
        <v>0</v>
      </c>
      <c r="DP34" s="1569" t="n">
        <f aca="false">D34</f>
        <v>0</v>
      </c>
    </row>
    <row r="35" customFormat="false" ht="19.5" hidden="false" customHeight="true" outlineLevel="0" collapsed="false">
      <c r="A35" s="16" t="s">
        <v>1580</v>
      </c>
      <c r="B35" s="1549"/>
      <c r="C35" s="1550"/>
      <c r="D35" s="1551"/>
      <c r="E35" s="1552"/>
      <c r="F35" s="1074"/>
      <c r="G35" s="1553"/>
      <c r="H35" s="1074"/>
      <c r="I35" s="1553"/>
      <c r="J35" s="1074"/>
      <c r="K35" s="1583"/>
      <c r="L35" s="1559"/>
      <c r="M35" s="1556"/>
      <c r="N35" s="1557"/>
      <c r="O35" s="1558"/>
      <c r="P35" s="1515" t="n">
        <f aca="false">IF(BQ35=0,0,BN35/BQ35)</f>
        <v>0</v>
      </c>
      <c r="Q35" s="1516" t="n">
        <f aca="false">(D35*F35/324)*(1+K$65)+BB35</f>
        <v>0</v>
      </c>
      <c r="R35" s="1517" t="n">
        <f aca="false">IF(D35=0,0,S35/D35)</f>
        <v>0</v>
      </c>
      <c r="S35" s="1518" t="e">
        <f aca="false">SUM(CM35-DE35)*(1+M$45)</f>
        <v>#DIV/0!</v>
      </c>
      <c r="T35" s="1519" t="n">
        <f aca="false">CF35+CG35+CH35</f>
        <v>0</v>
      </c>
      <c r="U35" s="1520" t="n">
        <f aca="false">IF(P35-(D35*0.35)&lt;0,0,P35-(D35*0.35))</f>
        <v>0</v>
      </c>
      <c r="V35" s="1521" t="n">
        <f aca="false">IF(D35="",0,IF(D35/-30+Q35&lt;1,0,D35/-30+Q35))</f>
        <v>0</v>
      </c>
      <c r="W35" s="1559"/>
      <c r="X35" s="1594"/>
      <c r="Y35" s="1559"/>
      <c r="Z35" s="1561"/>
      <c r="AA35" s="1559"/>
      <c r="AB35" s="1561"/>
      <c r="AC35" s="1562"/>
      <c r="AD35" s="1594"/>
      <c r="AE35" s="1559"/>
      <c r="AF35" s="1556"/>
      <c r="AG35" s="1595"/>
      <c r="AH35" s="1556"/>
      <c r="AI35" s="1559"/>
      <c r="AJ35" s="1556"/>
      <c r="AK35" s="1559"/>
      <c r="AL35" s="1556"/>
      <c r="AM35" s="1559"/>
      <c r="AN35" s="1561"/>
      <c r="AO35" s="1559"/>
      <c r="AP35" s="1561"/>
      <c r="AQ35" s="654"/>
      <c r="AR35" s="1533" t="str">
        <f aca="false">IF(W35="","",LOOKUP(W35,$B$49:$B$59,$R$49:$R$59)*X35)</f>
        <v/>
      </c>
      <c r="AS35" s="1430" t="str">
        <f aca="false">IF(Y35="","",LOOKUP(Y35,$B$49:$B$59,$R$49:$R$59)*Z35)</f>
        <v/>
      </c>
      <c r="AT35" s="1430" t="str">
        <f aca="false">IF(AB35="","",LOOKUP(AA35,$B$49:$B$59,$R$49:$R$59)*AB35)</f>
        <v/>
      </c>
      <c r="AU35" s="1430" t="str">
        <f aca="false">IF(AC35="","",LOOKUP(AC35,$B$49:$B$59,$R$49:$R$59)*AD35)</f>
        <v/>
      </c>
      <c r="AV35" s="1430" t="str">
        <f aca="false">IF(AE35="","",LOOKUP(AE35,$B$49:$B$59,$R$49:$R$59)*AF35)</f>
        <v/>
      </c>
      <c r="AW35" s="1430" t="str">
        <f aca="false">IF(AG35="","",LOOKUP(AG35,$B$49:$B$59,$R$49:$R$59)*AH35)</f>
        <v/>
      </c>
      <c r="AX35" s="1430" t="str">
        <f aca="false">IF(AI35="","",LOOKUP(AI35,$B$49:$B$59,$R$49:$R$59)*AJ35)</f>
        <v/>
      </c>
      <c r="AY35" s="1430" t="str">
        <f aca="false">IF(AK35="","",LOOKUP(AK35,$B$49:$B$59,$R$49:$R$59)*AL35)</f>
        <v/>
      </c>
      <c r="AZ35" s="1430" t="str">
        <f aca="false">IF(AM35="","",LOOKUP(AM35,$B$49:$B$59,$R$49:$R$59)*AN35)</f>
        <v/>
      </c>
      <c r="BA35" s="1430" t="str">
        <f aca="false">IF(AO35="","",LOOKUP(AO35,$B$49:$B$59,$R$49:$R$59)*AP35)</f>
        <v/>
      </c>
      <c r="BB35" s="1535" t="n">
        <f aca="false">SUM(AR35:BA35)</f>
        <v>0</v>
      </c>
      <c r="BC35" s="1533" t="str">
        <f aca="false">IF(W35="","",LOOKUP(W35,$B$49:$B$59,$P$49:$P$59)*X35)</f>
        <v/>
      </c>
      <c r="BD35" s="654" t="str">
        <f aca="false">IF(Y35="","",LOOKUP(Y35,$B$49:$B$59,$P$49:$P$59)*Z35)</f>
        <v/>
      </c>
      <c r="BE35" s="1430"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584" t="n">
        <f aca="false">SUM(BC35:BL35)*BQ35</f>
        <v>0</v>
      </c>
      <c r="BN35" s="1536" t="n">
        <f aca="false">BM35+BO35</f>
        <v>0</v>
      </c>
      <c r="BO35" s="1536" t="n">
        <f aca="false">IF(M35=0,0,(M35/12+M35/12)/(M35/12*M35/12)*D35*((L35/16*L35/16)*10.6870159))*(1+K$70)*BQ35</f>
        <v>0</v>
      </c>
      <c r="BP35" s="1536" t="n">
        <f aca="false">IF(O35="Y",D35*(1+K$71)*BQ35,0)</f>
        <v>0</v>
      </c>
      <c r="BQ35" s="1538" t="n">
        <f aca="false">G35</f>
        <v>0</v>
      </c>
      <c r="BR35" s="1411" t="n">
        <f aca="false">IF(O35="y",D35,0)</f>
        <v>0</v>
      </c>
      <c r="BS35" s="1567" t="n">
        <f aca="false">IF($I35=1,$Q35,0)*BQ35</f>
        <v>0</v>
      </c>
      <c r="BT35" s="1536" t="n">
        <f aca="false">IF($I35=2,$Q35,0)*BQ35</f>
        <v>0</v>
      </c>
      <c r="BU35" s="1536" t="n">
        <f aca="false">IF($I35=3,$Q35,0)*BQ35</f>
        <v>0</v>
      </c>
      <c r="BV35" s="1536" t="n">
        <f aca="false">IF($I35=4,$Q35,0)*BQ35</f>
        <v>0</v>
      </c>
      <c r="BW35" s="1536" t="n">
        <f aca="false">IF($I35=5,$Q35,0)*BQ35</f>
        <v>0</v>
      </c>
      <c r="BX35" s="1536" t="n">
        <f aca="false">IF($I35=6,$Q35,0)*$BQ35</f>
        <v>0</v>
      </c>
      <c r="BY35" s="1536" t="n">
        <f aca="false">IF($I35=7,$Q35,0)*$BQ35</f>
        <v>0</v>
      </c>
      <c r="BZ35" s="1536" t="n">
        <f aca="false">IF($I35=8,$Q35,0)*$BQ35</f>
        <v>0</v>
      </c>
      <c r="CA35" s="1536" t="n">
        <f aca="false">IF($I35=9,$Q35,0)*$BQ35</f>
        <v>0</v>
      </c>
      <c r="CB35" s="1568" t="n">
        <f aca="false">IF($I35=10,$Q35,0)*$BQ35</f>
        <v>0</v>
      </c>
      <c r="CC35" s="1538" t="n">
        <f aca="false">SUM(BS35:BX35)</f>
        <v>0</v>
      </c>
      <c r="CD35" s="1538" t="n">
        <f aca="false">IF(H35="N",0,D35)*BQ35</f>
        <v>0</v>
      </c>
      <c r="CE35" s="1538" t="n">
        <f aca="false">K35*BQ35</f>
        <v>0</v>
      </c>
      <c r="CF35" s="1542" t="n">
        <f aca="false">ROUND(IF(W35="",0,LOOKUP(W35,B$49:B$59,D$49:D$59)*X35/12),0)</f>
        <v>0</v>
      </c>
      <c r="CG35" s="1542" t="n">
        <f aca="false">ROUND(IF(Y35="",0,LOOKUP(Y35,B$49:B$59,D$49:D$59)*Z35/12),0)</f>
        <v>0</v>
      </c>
      <c r="CH35" s="1542" t="n">
        <f aca="false">ROUND(IF(AA35="",0,LOOKUP(AA35,B$49:B$59,D$49:D$59)*AB35/12),0)</f>
        <v>0</v>
      </c>
      <c r="CI35" s="1538" t="n">
        <f aca="false">D35*BQ35</f>
        <v>0</v>
      </c>
      <c r="CJ35" s="1538" t="n">
        <f aca="false">D35*J35/324*(1+K$73)*G35</f>
        <v>0</v>
      </c>
      <c r="CK35" s="1538" t="str">
        <f aca="false">IF(N35="","",N35)</f>
        <v/>
      </c>
      <c r="CL35" s="1538" t="n">
        <f aca="false">P35*BQ35</f>
        <v>0</v>
      </c>
      <c r="CM35" s="1543" t="n">
        <f aca="false">IF(BQ35=0,0,SUM(CN35:DE35)/BQ35)</f>
        <v>0</v>
      </c>
      <c r="CN35" s="656" t="n">
        <f aca="false">(BS35*Pricing!F$3+BT35*Pricing!G$3+BU35*Pricing!H$3+BV35*Pricing!I$3+BW35*Pricing!J$3+BX35*Pricing!K$3+BY35*Pricing!L$3+BZ35*Pricing!M$3+CA35*Pricing!N$3+CB35*Pricing!O$3)*IF(W$44="N",(1+Y$44),1)</f>
        <v>0</v>
      </c>
      <c r="CO35" s="656" t="n">
        <f aca="false">BN35*G$70*IF(W$44="n",1+Y$44,1)</f>
        <v>0</v>
      </c>
      <c r="CP35" s="1544" t="n">
        <f aca="false">C35*D35</f>
        <v>0</v>
      </c>
      <c r="CQ35" s="656" t="n">
        <f aca="false">IF(I$79=0,0,D35*(SUM(O$79:P$82)+O$85)/I$79*BQ35)</f>
        <v>0</v>
      </c>
      <c r="CR35" s="656" t="n">
        <f aca="false">IF(CF35="",0,CF35*E$83)+IF(CG35="",0,CG35*E$83)+IF(CH35="",0,CH35*E$83)</f>
        <v>0</v>
      </c>
      <c r="CS35" s="656"/>
      <c r="CT35" s="1545" t="n">
        <f aca="false">(U35/2000)*E$87</f>
        <v>0</v>
      </c>
      <c r="CU35" s="656" t="n">
        <f aca="false">IF(I$79=0,0,D35*(O$88)/I$79*BQ35)</f>
        <v>0</v>
      </c>
      <c r="CV35" s="656" t="n">
        <f aca="false">IF(D$42=0,0,SUM(O$91:P$94)/D$42*D35)*BQ35</f>
        <v>0</v>
      </c>
      <c r="CW35" s="656" t="n">
        <f aca="false">IF(D$42=0,0,SUM(Z$66:Z$97)/D$42*D35*BQ35)</f>
        <v>0</v>
      </c>
      <c r="CX35" s="656" t="n">
        <f aca="false">IF(D$42=0,0,SUM(O$96:P$101)/D$42*D35)*BQ35</f>
        <v>0</v>
      </c>
      <c r="CY35" s="656" t="n">
        <f aca="false">IF(D$42=0,0,SUM(O$103:O$109)/D$42)*D35*BQ35</f>
        <v>0</v>
      </c>
      <c r="CZ35" s="656" t="n">
        <f aca="false">IF(I$79=0,0,IF(I$79=0,0,SUM(Z$98:Z$109)/I$79*D35))</f>
        <v>0</v>
      </c>
      <c r="DA35" s="656" t="n">
        <f aca="false">IF(J$72&gt;0,J$72/D$42*D35*G35,CD35*(G$72*IF(W$44="n",(1+Y$44),1)))</f>
        <v>0</v>
      </c>
      <c r="DB35" s="656" t="n">
        <f aca="false">IF(CK35="",0,CK35*E$86)</f>
        <v>0</v>
      </c>
      <c r="DC35" s="656" t="n">
        <f aca="false">BP35*G$71*IF(W$44="Y",1,1+Y$44)</f>
        <v>0</v>
      </c>
      <c r="DD35" s="656" t="n">
        <f aca="false">CJ35*G$73*IF(W$44="Y",1,1+Y$44)</f>
        <v>0</v>
      </c>
      <c r="DE35" s="1546" t="e">
        <f aca="false">O$110/I$79*D35</f>
        <v>#DIV/0!</v>
      </c>
      <c r="DF35" s="654" t="n">
        <f aca="false">IF(W35=1,X35*$AS$49,0)+IF(W35=2,X35*$AS$50,0)+IF(W35=3,X35*$AS$51,0)+IF(W35=4,X35*$AS$52,0)+IF(W35=5,X35*$AS$53,0)+IF(W35=6,X35*$AS$54)+IF(W35=7,X35*$AS$55)+IF(W35=8,X35*$AS$56)+IF(W35=9,X35*$AS$57)+IF(W35=10,X35*$AS$58)+IF(W35=11,X35*$AS$59,0)</f>
        <v>0</v>
      </c>
      <c r="DG35" s="654" t="n">
        <f aca="false">IF(Y35=1,Z35*$AS$49,0)+IF(Y35=2,Z35*$AS$50,0)+IF(Y35=3,Z35*$AS$51,0)+IF(Y35=4,Z35*$AS$52,0)+IF(Y35=5,Z35*$AS$53,0)+IF(Y35=6,Z35*$AS$54)+IF(Y35=7,Z35*$AS$55)+IF(Y35=8,Z35*$AS$56)+IF(Y35=9,Z35*$AS$57)+IF(Y35=10,Z35*$AS$58)+IF(Y35=11,Z35*$AS$59,0)</f>
        <v>0</v>
      </c>
      <c r="DH35" s="654" t="n">
        <f aca="false">IF(AA35=1,AB35*$AS$49,0)+IF(AA35=2,AB35*$AS$50,0)+IF(AA35=3,AB35*$AS$51,0)+IF(AA35=4,AB35*$AS$52,0)+IF(AA35=5,AB35*$AS$53,0)+IF(AA35=6,AB35*$AS$54)+IF(AA35=7,AB35*$AS$55)+IF(AA35=8,AB35*$AS$56)+IF(AA35=9,AB35*$AS$57)+IF(AA35=10,AB35*$AS$58)+IF(AA35=11,AB35*$AS$59,0)</f>
        <v>0</v>
      </c>
      <c r="DI35" s="654" t="n">
        <f aca="false">IF(AC35=1,AD35*$AS$49,0)+IF(AC35=2,AD35*$AS$50,0)+IF(AC35=3,AD35*$AS$51,0)+IF(AC35=4,AD35*$AS$52,0)+IF(AC35=5,AD35*$AS$53,0)+IF(AC35=6,AD35*$AS$54)+IF(AC35=7,AD35*$AS$55)+IF(AC35=8,AD35*$AS$56)+IF(AC35=9,AD35*$AS$57)+IF(AC35=10,AD35*$AS$58)+IF(AC35=11,AD35*$AS$59,0)</f>
        <v>0</v>
      </c>
      <c r="DJ35" s="654" t="n">
        <f aca="false">IF(AE35=1,AF35*$AS$49,0)+IF(AE35=2,AF35*$AS$50,0)+IF(AE35=3,AF35*$AS$51,0)+IF(AE35=4,AF35*$AS$52,0)+IF(AE35=5,AF35*$AS$53,0)+IF(AE35=6,AF35*$AS$54)+IF(AE35=7,AF35*$AS$55)+IF(AE35=8,AF35*$AS$56)+IF(AE35=9,AF35*$AS$57)+IF(AE35=10,AF35*$AS$58)+IF(AE35=11,AF35*$AS$59,0)</f>
        <v>0</v>
      </c>
      <c r="DK35" s="654" t="n">
        <f aca="false">IF(AG35=1,AH35*$AS$49,0)+IF(AG35=2,AH35*$AS$50,0)+IF(AG35=3,AH35*$AS$51,0)+IF(AG35=4,AH35*$AS$52,0)+IF(AG35=5,AH35*$AS$53,0)+IF(AG35=6,AH35*$AS$54)+IF(AG35=7,AH35*$AS$55)+IF(AG35=8,AH35*$AS$56)+IF(AG35=9,AH35*$AS$57)+IF(AG35=10,AH35*$AS$58)+IF(AG35=11,AH35*$AS$59,0)</f>
        <v>0</v>
      </c>
      <c r="DL35" s="654" t="n">
        <f aca="false">IF(AI35=1,AJ35*$AS$49,0)+IF(AI35=2,AJ35*$AS$50,0)+IF(AI35=3,AJ35*$AS$51,0)+IF(AI35=4,AJ35*$AS$52,0)+IF(AI35=5,AJ35*$AS$53,0)+IF(AI35=6,AJ35*$AS$54)+IF(AI35=7,AJ35*$AS$55)+IF(AI35=8,AJ35*$AS$56)+IF(AI35=9,AJ35*$AS$57)+IF(AI35=10,AJ35*$AS$58)+IF(AI35=11,AJ35*$AS$59,0)</f>
        <v>0</v>
      </c>
      <c r="DM35" s="654" t="n">
        <f aca="false">IF(AK35=1,AL35*$AS$49,0)+IF(AK35=2,AL35*$AS$50,0)+IF(AK35=3,AL35*$AS$51,0)+IF(AK35=4,AL35*$AS$52,0)+IF(AK35=5,AL35*$AS$53,0)+IF(AK35=6,AL35*$AS$54)+IF(AK35=7,AL35*$AS$55)+IF(AK35=8,AL35*$AS$56)+IF(AK35=9,AL35*$AS$57)+IF(AK35=10,AL35*$AS$58)+IF(AK35=11,AL35*$AS$59,0)</f>
        <v>0</v>
      </c>
      <c r="DN35" s="654" t="n">
        <f aca="false">IF(AM35=1,AN35*$AS$49,0)+IF(AM35=2,AN35*$AS$50,0)+IF(AM35=3,AN35*$AS$51,0)+IF(AM35=4,AN35*$AS$52,0)+IF(AM35=5,AN35*$AS$53,0)+IF(AM35=6,AN35*$AS$54)+IF(AM35=7,AN35*$AS$55)+IF(AM35=8,AN35*$AS$56)+IF(AM35=9,AN35*$AS$57)+IF(AM35=10,AN35*$AS$58)+IF(AM35=11,AN35*$AS$59,0)</f>
        <v>0</v>
      </c>
      <c r="DO35" s="654" t="n">
        <f aca="false">IF(AO35=1,AP35*$AS$49,0)+IF(AO35=2,AP35*$AS$50,0)+IF(AO35=3,AP35*$AS$51,0)+IF(AO35=4,AP35*$AS$52,0)+IF(AO35=5,AP35*$AS$53,0)+IF(AO35=6,AP35*$AS$54)+IF(AO35=7,AP35*$AS$55)+IF(AO35=8,AP35*$AS$56)+IF(AO35=9,AP35*$AS$57)+IF(AO35=10,AP35*$AS$58)+IF(AO35=11,AP35*$AS$59,0)</f>
        <v>0</v>
      </c>
      <c r="DP35" s="1569" t="n">
        <f aca="false">D35</f>
        <v>0</v>
      </c>
    </row>
    <row r="36" customFormat="false" ht="19.5" hidden="false" customHeight="true" outlineLevel="0" collapsed="false">
      <c r="A36" s="16" t="s">
        <v>1581</v>
      </c>
      <c r="B36" s="920"/>
      <c r="C36" s="1506"/>
      <c r="D36" s="1507"/>
      <c r="E36" s="1508"/>
      <c r="F36" s="1074"/>
      <c r="G36" s="1553"/>
      <c r="H36" s="1074"/>
      <c r="I36" s="1553"/>
      <c r="J36" s="1074"/>
      <c r="K36" s="1554"/>
      <c r="L36" s="528"/>
      <c r="M36" s="895"/>
      <c r="N36" s="1513"/>
      <c r="O36" s="1514"/>
      <c r="P36" s="1515" t="n">
        <f aca="false">IF(BQ36=0,0,BN36/BQ36)</f>
        <v>0</v>
      </c>
      <c r="Q36" s="1516" t="n">
        <f aca="false">(D36*F36/324)*(1+K$65)+BB36</f>
        <v>0</v>
      </c>
      <c r="R36" s="1517" t="n">
        <f aca="false">IF(D36=0,0,S36/D36)</f>
        <v>0</v>
      </c>
      <c r="S36" s="1518" t="e">
        <f aca="false">SUM(CM36-DE36)*(1+M$45)</f>
        <v>#DIV/0!</v>
      </c>
      <c r="T36" s="1519" t="n">
        <f aca="false">CF36+CG36+CH36</f>
        <v>0</v>
      </c>
      <c r="U36" s="1520" t="n">
        <f aca="false">IF(P36-(D36*0.35)&lt;0,0,P36-(D36*0.35))</f>
        <v>0</v>
      </c>
      <c r="V36" s="1521" t="n">
        <f aca="false">IF(D36="",0,IF(D36/-30+Q36&lt;1,0,D36/-30+Q36))</f>
        <v>0</v>
      </c>
      <c r="W36" s="1511"/>
      <c r="X36" s="1591"/>
      <c r="Y36" s="1511"/>
      <c r="Z36" s="1524"/>
      <c r="AA36" s="1511"/>
      <c r="AB36" s="1524"/>
      <c r="AC36" s="1585"/>
      <c r="AD36" s="1591"/>
      <c r="AE36" s="528"/>
      <c r="AF36" s="1592"/>
      <c r="AG36" s="528"/>
      <c r="AH36" s="1512"/>
      <c r="AI36" s="1511"/>
      <c r="AJ36" s="1512"/>
      <c r="AK36" s="1511"/>
      <c r="AL36" s="1512"/>
      <c r="AM36" s="1511"/>
      <c r="AN36" s="1524"/>
      <c r="AO36" s="1511"/>
      <c r="AP36" s="1524"/>
      <c r="AQ36" s="654"/>
      <c r="AR36" s="1533" t="str">
        <f aca="false">IF(W36="","",LOOKUP(W36,$B$49:$B$59,$R$49:$R$59)*X36)</f>
        <v/>
      </c>
      <c r="AS36" s="1430" t="str">
        <f aca="false">IF(Y36="","",LOOKUP(Y36,$B$49:$B$59,$R$49:$R$59)*Z36)</f>
        <v/>
      </c>
      <c r="AT36" s="1430" t="str">
        <f aca="false">IF(AB36="","",LOOKUP(AA36,$B$49:$B$59,$R$49:$R$59)*AB36)</f>
        <v/>
      </c>
      <c r="AU36" s="1430" t="str">
        <f aca="false">IF(AC36="","",LOOKUP(AC36,$B$49:$B$59,$R$49:$R$59)*AD36)</f>
        <v/>
      </c>
      <c r="AV36" s="1430" t="str">
        <f aca="false">IF(AE36="","",LOOKUP(AE36,$B$49:$B$59,$R$49:$R$59)*AF36)</f>
        <v/>
      </c>
      <c r="AW36" s="1430" t="str">
        <f aca="false">IF(AG36="","",LOOKUP(AG36,$B$49:$B$59,$R$49:$R$59)*AH36)</f>
        <v/>
      </c>
      <c r="AX36" s="1430" t="str">
        <f aca="false">IF(AI36="","",LOOKUP(AI36,$B$49:$B$59,$R$49:$R$59)*AJ36)</f>
        <v/>
      </c>
      <c r="AY36" s="1430" t="str">
        <f aca="false">IF(AK36="","",LOOKUP(AK36,$B$49:$B$59,$R$49:$R$59)*AL36)</f>
        <v/>
      </c>
      <c r="AZ36" s="1430" t="str">
        <f aca="false">IF(AM36="","",LOOKUP(AM36,$B$49:$B$59,$R$49:$R$59)*AN36)</f>
        <v/>
      </c>
      <c r="BA36" s="1430" t="str">
        <f aca="false">IF(AO36="","",LOOKUP(AO36,$B$49:$B$59,$R$49:$R$59)*AP36)</f>
        <v/>
      </c>
      <c r="BB36" s="1535" t="n">
        <f aca="false">SUM(AR36:BA36)</f>
        <v>0</v>
      </c>
      <c r="BC36" s="1533" t="str">
        <f aca="false">IF(W36="","",LOOKUP(W36,$B$49:$B$59,$P$49:$P$59)*X36)</f>
        <v/>
      </c>
      <c r="BD36" s="654" t="str">
        <f aca="false">IF(Y36="","",LOOKUP(Y36,$B$49:$B$59,$P$49:$P$59)*Z36)</f>
        <v/>
      </c>
      <c r="BE36" s="1430"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584" t="n">
        <f aca="false">SUM(BC36:BL36)*BQ36</f>
        <v>0</v>
      </c>
      <c r="BN36" s="1536" t="n">
        <f aca="false">BM36+BO36</f>
        <v>0</v>
      </c>
      <c r="BO36" s="1536" t="n">
        <f aca="false">IF(M36=0,0,(M36/12+M36/12)/(M36/12*M36/12)*D36*((L36/16*L36/16)*10.6870159))*(1+K$70)*BQ36</f>
        <v>0</v>
      </c>
      <c r="BP36" s="1536" t="n">
        <f aca="false">IF(O36="Y",D36*(1+K$71)*BQ36,0)</f>
        <v>0</v>
      </c>
      <c r="BQ36" s="1538" t="n">
        <f aca="false">G36</f>
        <v>0</v>
      </c>
      <c r="BR36" s="1411" t="n">
        <f aca="false">IF(O36="y",D36,0)</f>
        <v>0</v>
      </c>
      <c r="BS36" s="1567" t="n">
        <f aca="false">IF($I36=1,$Q36,0)*BQ36</f>
        <v>0</v>
      </c>
      <c r="BT36" s="1536" t="n">
        <f aca="false">IF($I36=2,$Q36,0)*BQ36</f>
        <v>0</v>
      </c>
      <c r="BU36" s="1536" t="n">
        <f aca="false">IF($I36=3,$Q36,0)*BQ36</f>
        <v>0</v>
      </c>
      <c r="BV36" s="1536" t="n">
        <f aca="false">IF($I36=4,$Q36,0)*BQ36</f>
        <v>0</v>
      </c>
      <c r="BW36" s="1536" t="n">
        <f aca="false">IF($I36=5,$Q36,0)*BQ36</f>
        <v>0</v>
      </c>
      <c r="BX36" s="1536" t="n">
        <f aca="false">IF($I36=6,$Q36,0)*$BQ36</f>
        <v>0</v>
      </c>
      <c r="BY36" s="1536" t="n">
        <f aca="false">IF($I36=7,$Q36,0)*$BQ36</f>
        <v>0</v>
      </c>
      <c r="BZ36" s="1536" t="n">
        <f aca="false">IF($I36=8,$Q36,0)*$BQ36</f>
        <v>0</v>
      </c>
      <c r="CA36" s="1536" t="n">
        <f aca="false">IF($I36=9,$Q36,0)*$BQ36</f>
        <v>0</v>
      </c>
      <c r="CB36" s="1568" t="n">
        <f aca="false">IF($I36=10,$Q36,0)*$BQ36</f>
        <v>0</v>
      </c>
      <c r="CC36" s="1538" t="n">
        <f aca="false">SUM(BS36:BX36)</f>
        <v>0</v>
      </c>
      <c r="CD36" s="1538" t="n">
        <f aca="false">IF(H36="N",0,D36)*BQ36</f>
        <v>0</v>
      </c>
      <c r="CE36" s="1538" t="n">
        <f aca="false">K36*BQ36</f>
        <v>0</v>
      </c>
      <c r="CF36" s="1542" t="n">
        <f aca="false">ROUND(IF(W36="",0,LOOKUP(W36,B$49:B$59,D$49:D$59)*X36/12),0)</f>
        <v>0</v>
      </c>
      <c r="CG36" s="1542" t="n">
        <f aca="false">ROUND(IF(Y36="",0,LOOKUP(Y36,B$49:B$59,D$49:D$59)*Z36/12),0)</f>
        <v>0</v>
      </c>
      <c r="CH36" s="1542" t="n">
        <f aca="false">ROUND(IF(AA36="",0,LOOKUP(AA36,B$49:B$59,D$49:D$59)*AB36/12),0)</f>
        <v>0</v>
      </c>
      <c r="CI36" s="1538" t="n">
        <f aca="false">D36*BQ36</f>
        <v>0</v>
      </c>
      <c r="CJ36" s="1538" t="n">
        <f aca="false">D36*J36/324*(1+K$73)*G36</f>
        <v>0</v>
      </c>
      <c r="CK36" s="1538" t="str">
        <f aca="false">IF(N36="","",N36)</f>
        <v/>
      </c>
      <c r="CL36" s="1538" t="n">
        <f aca="false">P36*BQ36</f>
        <v>0</v>
      </c>
      <c r="CM36" s="1543" t="n">
        <f aca="false">IF(BQ36=0,0,SUM(CN36:DE36)/BQ36)</f>
        <v>0</v>
      </c>
      <c r="CN36" s="656" t="n">
        <f aca="false">(BS36*Pricing!F$3+BT36*Pricing!G$3+BU36*Pricing!H$3+BV36*Pricing!I$3+BW36*Pricing!J$3+BX36*Pricing!K$3+BY36*Pricing!L$3+BZ36*Pricing!M$3+CA36*Pricing!N$3+CB36*Pricing!O$3)*IF(W$44="N",(1+Y$44),1)</f>
        <v>0</v>
      </c>
      <c r="CO36" s="656" t="n">
        <f aca="false">BN36*G$70*IF(W$44="n",1+Y$44,1)</f>
        <v>0</v>
      </c>
      <c r="CP36" s="1544" t="n">
        <f aca="false">C36*D36</f>
        <v>0</v>
      </c>
      <c r="CQ36" s="656" t="n">
        <f aca="false">IF(I$79=0,0,D36*(SUM(O$79:P$82)+O$85)/I$79*BQ36)</f>
        <v>0</v>
      </c>
      <c r="CR36" s="656" t="n">
        <f aca="false">IF(CF36="",0,CF36*E$83)+IF(CG36="",0,CG36*E$83)+IF(CH36="",0,CH36*E$83)</f>
        <v>0</v>
      </c>
      <c r="CS36" s="656"/>
      <c r="CT36" s="1545" t="n">
        <f aca="false">(U36/2000)*E$87</f>
        <v>0</v>
      </c>
      <c r="CU36" s="656" t="n">
        <f aca="false">IF(I$79=0,0,D36*(O$88)/I$79*BQ36)</f>
        <v>0</v>
      </c>
      <c r="CV36" s="656" t="n">
        <f aca="false">IF(D$42=0,0,SUM(O$91:P$94)/D$42*D36)*BQ36</f>
        <v>0</v>
      </c>
      <c r="CW36" s="656" t="n">
        <f aca="false">IF(D$42=0,0,SUM(Z$66:Z$97)/D$42*D36*BQ36)</f>
        <v>0</v>
      </c>
      <c r="CX36" s="656" t="n">
        <f aca="false">IF(D$42=0,0,SUM(O$96:P$101)/D$42*D36)*BQ36</f>
        <v>0</v>
      </c>
      <c r="CY36" s="656" t="n">
        <f aca="false">IF(D$42=0,0,SUM(O$103:O$109)/D$42)*D36*BQ36</f>
        <v>0</v>
      </c>
      <c r="CZ36" s="656" t="n">
        <f aca="false">IF(I$79=0,0,IF(I$79=0,0,SUM(Z$98:Z$109)/I$79*D36))</f>
        <v>0</v>
      </c>
      <c r="DA36" s="656" t="n">
        <f aca="false">IF(J$72&gt;0,J$72/D$42*D36*G36,CD36*(G$72*IF(W$44="n",(1+Y$44),1)))</f>
        <v>0</v>
      </c>
      <c r="DB36" s="656" t="n">
        <f aca="false">IF(CK36="",0,CK36*E$86)</f>
        <v>0</v>
      </c>
      <c r="DC36" s="656" t="n">
        <f aca="false">BP36*G$71*IF(W$44="Y",1,1+Y$44)</f>
        <v>0</v>
      </c>
      <c r="DD36" s="656" t="n">
        <f aca="false">CJ36*G$73*IF(W$44="Y",1,1+Y$44)</f>
        <v>0</v>
      </c>
      <c r="DE36" s="1546" t="e">
        <f aca="false">O$110/I$79*D36</f>
        <v>#DIV/0!</v>
      </c>
      <c r="DF36" s="654" t="n">
        <f aca="false">IF(W36=1,X36*$AS$49,0)+IF(W36=2,X36*$AS$50,0)+IF(W36=3,X36*$AS$51,0)+IF(W36=4,X36*$AS$52,0)+IF(W36=5,X36*$AS$53,0)+IF(W36=6,X36*$AS$54)+IF(W36=7,X36*$AS$55)+IF(W36=8,X36*$AS$56)+IF(W36=9,X36*$AS$57)+IF(W36=10,X36*$AS$58)+IF(W36=11,X36*$AS$59,0)</f>
        <v>0</v>
      </c>
      <c r="DG36" s="654" t="n">
        <f aca="false">IF(Y36=1,Z36*$AS$49,0)+IF(Y36=2,Z36*$AS$50,0)+IF(Y36=3,Z36*$AS$51,0)+IF(Y36=4,Z36*$AS$52,0)+IF(Y36=5,Z36*$AS$53,0)+IF(Y36=6,Z36*$AS$54)+IF(Y36=7,Z36*$AS$55)+IF(Y36=8,Z36*$AS$56)+IF(Y36=9,Z36*$AS$57)+IF(Y36=10,Z36*$AS$58)+IF(Y36=11,Z36*$AS$59,0)</f>
        <v>0</v>
      </c>
      <c r="DH36" s="654" t="n">
        <f aca="false">IF(AA36=1,AB36*$AS$49,0)+IF(AA36=2,AB36*$AS$50,0)+IF(AA36=3,AB36*$AS$51,0)+IF(AA36=4,AB36*$AS$52,0)+IF(AA36=5,AB36*$AS$53,0)+IF(AA36=6,AB36*$AS$54)+IF(AA36=7,AB36*$AS$55)+IF(AA36=8,AB36*$AS$56)+IF(AA36=9,AB36*$AS$57)+IF(AA36=10,AB36*$AS$58)+IF(AA36=11,AB36*$AS$59,0)</f>
        <v>0</v>
      </c>
      <c r="DI36" s="654" t="n">
        <f aca="false">IF(AC36=1,AD36*$AS$49,0)+IF(AC36=2,AD36*$AS$50,0)+IF(AC36=3,AD36*$AS$51,0)+IF(AC36=4,AD36*$AS$52,0)+IF(AC36=5,AD36*$AS$53,0)+IF(AC36=6,AD36*$AS$54)+IF(AC36=7,AD36*$AS$55)+IF(AC36=8,AD36*$AS$56)+IF(AC36=9,AD36*$AS$57)+IF(AC36=10,AD36*$AS$58)+IF(AC36=11,AD36*$AS$59,0)</f>
        <v>0</v>
      </c>
      <c r="DJ36" s="654" t="n">
        <f aca="false">IF(AE36=1,AF36*$AS$49,0)+IF(AE36=2,AF36*$AS$50,0)+IF(AE36=3,AF36*$AS$51,0)+IF(AE36=4,AF36*$AS$52,0)+IF(AE36=5,AF36*$AS$53,0)+IF(AE36=6,AF36*$AS$54)+IF(AE36=7,AF36*$AS$55)+IF(AE36=8,AF36*$AS$56)+IF(AE36=9,AF36*$AS$57)+IF(AE36=10,AF36*$AS$58)+IF(AE36=11,AF36*$AS$59,0)</f>
        <v>0</v>
      </c>
      <c r="DK36" s="654" t="n">
        <f aca="false">IF(AG36=1,AH36*$AS$49,0)+IF(AG36=2,AH36*$AS$50,0)+IF(AG36=3,AH36*$AS$51,0)+IF(AG36=4,AH36*$AS$52,0)+IF(AG36=5,AH36*$AS$53,0)+IF(AG36=6,AH36*$AS$54)+IF(AG36=7,AH36*$AS$55)+IF(AG36=8,AH36*$AS$56)+IF(AG36=9,AH36*$AS$57)+IF(AG36=10,AH36*$AS$58)+IF(AG36=11,AH36*$AS$59,0)</f>
        <v>0</v>
      </c>
      <c r="DL36" s="654" t="n">
        <f aca="false">IF(AI36=1,AJ36*$AS$49,0)+IF(AI36=2,AJ36*$AS$50,0)+IF(AI36=3,AJ36*$AS$51,0)+IF(AI36=4,AJ36*$AS$52,0)+IF(AI36=5,AJ36*$AS$53,0)+IF(AI36=6,AJ36*$AS$54)+IF(AI36=7,AJ36*$AS$55)+IF(AI36=8,AJ36*$AS$56)+IF(AI36=9,AJ36*$AS$57)+IF(AI36=10,AJ36*$AS$58)+IF(AI36=11,AJ36*$AS$59,0)</f>
        <v>0</v>
      </c>
      <c r="DM36" s="654" t="n">
        <f aca="false">IF(AK36=1,AL36*$AS$49,0)+IF(AK36=2,AL36*$AS$50,0)+IF(AK36=3,AL36*$AS$51,0)+IF(AK36=4,AL36*$AS$52,0)+IF(AK36=5,AL36*$AS$53,0)+IF(AK36=6,AL36*$AS$54)+IF(AK36=7,AL36*$AS$55)+IF(AK36=8,AL36*$AS$56)+IF(AK36=9,AL36*$AS$57)+IF(AK36=10,AL36*$AS$58)+IF(AK36=11,AL36*$AS$59,0)</f>
        <v>0</v>
      </c>
      <c r="DN36" s="654" t="n">
        <f aca="false">IF(AM36=1,AN36*$AS$49,0)+IF(AM36=2,AN36*$AS$50,0)+IF(AM36=3,AN36*$AS$51,0)+IF(AM36=4,AN36*$AS$52,0)+IF(AM36=5,AN36*$AS$53,0)+IF(AM36=6,AN36*$AS$54)+IF(AM36=7,AN36*$AS$55)+IF(AM36=8,AN36*$AS$56)+IF(AM36=9,AN36*$AS$57)+IF(AM36=10,AN36*$AS$58)+IF(AM36=11,AN36*$AS$59,0)</f>
        <v>0</v>
      </c>
      <c r="DO36" s="654" t="n">
        <f aca="false">IF(AO36=1,AP36*$AS$49,0)+IF(AO36=2,AP36*$AS$50,0)+IF(AO36=3,AP36*$AS$51,0)+IF(AO36=4,AP36*$AS$52,0)+IF(AO36=5,AP36*$AS$53,0)+IF(AO36=6,AP36*$AS$54)+IF(AO36=7,AP36*$AS$55)+IF(AO36=8,AP36*$AS$56)+IF(AO36=9,AP36*$AS$57)+IF(AO36=10,AP36*$AS$58)+IF(AO36=11,AP36*$AS$59,0)</f>
        <v>0</v>
      </c>
      <c r="DP36" s="1569" t="n">
        <f aca="false">D36</f>
        <v>0</v>
      </c>
    </row>
    <row r="37" customFormat="false" ht="19.5" hidden="false" customHeight="true" outlineLevel="0" collapsed="false">
      <c r="A37" s="16" t="s">
        <v>1582</v>
      </c>
      <c r="B37" s="1549"/>
      <c r="C37" s="1550"/>
      <c r="D37" s="1551"/>
      <c r="E37" s="1552"/>
      <c r="F37" s="1074"/>
      <c r="G37" s="1553"/>
      <c r="H37" s="1074"/>
      <c r="I37" s="1553"/>
      <c r="J37" s="1074"/>
      <c r="K37" s="1583"/>
      <c r="L37" s="1559"/>
      <c r="M37" s="1556"/>
      <c r="N37" s="1557"/>
      <c r="O37" s="1558"/>
      <c r="P37" s="1515" t="n">
        <f aca="false">IF(BQ37=0,0,BN37/BQ37)</f>
        <v>0</v>
      </c>
      <c r="Q37" s="1516" t="n">
        <f aca="false">(D37*F37/324)*(1+K$65)+BB37</f>
        <v>0</v>
      </c>
      <c r="R37" s="1517" t="n">
        <f aca="false">IF(D37=0,0,S37/D37)</f>
        <v>0</v>
      </c>
      <c r="S37" s="1518" t="e">
        <f aca="false">SUM(CM37-DE37)*(1+M$45)</f>
        <v>#DIV/0!</v>
      </c>
      <c r="T37" s="1519" t="n">
        <f aca="false">CF37+CG37+CH37</f>
        <v>0</v>
      </c>
      <c r="U37" s="1520" t="n">
        <f aca="false">IF(P37-(D37*0.35)&lt;0,0,P37-(D37*0.35))</f>
        <v>0</v>
      </c>
      <c r="V37" s="1521" t="n">
        <f aca="false">IF(D37="",0,IF(D37/-30+Q37&lt;1,0,D37/-30+Q37))</f>
        <v>0</v>
      </c>
      <c r="W37" s="1559"/>
      <c r="X37" s="1594"/>
      <c r="Y37" s="1559"/>
      <c r="Z37" s="1561"/>
      <c r="AA37" s="1559"/>
      <c r="AB37" s="1561"/>
      <c r="AC37" s="1562"/>
      <c r="AD37" s="1594"/>
      <c r="AE37" s="1559"/>
      <c r="AF37" s="1556"/>
      <c r="AG37" s="1595"/>
      <c r="AH37" s="1556"/>
      <c r="AI37" s="1559"/>
      <c r="AJ37" s="1556"/>
      <c r="AK37" s="1559"/>
      <c r="AL37" s="1556"/>
      <c r="AM37" s="1559"/>
      <c r="AN37" s="1561"/>
      <c r="AO37" s="1559"/>
      <c r="AP37" s="1561"/>
      <c r="AQ37" s="654"/>
      <c r="AR37" s="1533" t="str">
        <f aca="false">IF(W37="","",LOOKUP(W37,$B$49:$B$59,$R$49:$R$59)*X37)</f>
        <v/>
      </c>
      <c r="AS37" s="1430" t="str">
        <f aca="false">IF(Y37="","",LOOKUP(Y37,$B$49:$B$59,$R$49:$R$59)*Z37)</f>
        <v/>
      </c>
      <c r="AT37" s="1430" t="str">
        <f aca="false">IF(AB37="","",LOOKUP(AA37,$B$49:$B$59,$R$49:$R$59)*AB37)</f>
        <v/>
      </c>
      <c r="AU37" s="1430" t="str">
        <f aca="false">IF(AC37="","",LOOKUP(AC37,$B$49:$B$59,$R$49:$R$59)*AD37)</f>
        <v/>
      </c>
      <c r="AV37" s="1430" t="str">
        <f aca="false">IF(AE37="","",LOOKUP(AE37,$B$49:$B$59,$R$49:$R$59)*AF37)</f>
        <v/>
      </c>
      <c r="AW37" s="1430" t="str">
        <f aca="false">IF(AG37="","",LOOKUP(AG37,$B$49:$B$59,$R$49:$R$59)*AH37)</f>
        <v/>
      </c>
      <c r="AX37" s="1430" t="str">
        <f aca="false">IF(AI37="","",LOOKUP(AI37,$B$49:$B$59,$R$49:$R$59)*AJ37)</f>
        <v/>
      </c>
      <c r="AY37" s="1430" t="str">
        <f aca="false">IF(AK37="","",LOOKUP(AK37,$B$49:$B$59,$R$49:$R$59)*AL37)</f>
        <v/>
      </c>
      <c r="AZ37" s="1430" t="str">
        <f aca="false">IF(AM37="","",LOOKUP(AM37,$B$49:$B$59,$R$49:$R$59)*AN37)</f>
        <v/>
      </c>
      <c r="BA37" s="1430" t="str">
        <f aca="false">IF(AO37="","",LOOKUP(AO37,$B$49:$B$59,$R$49:$R$59)*AP37)</f>
        <v/>
      </c>
      <c r="BB37" s="1535" t="n">
        <f aca="false">SUM(AR37:BA37)</f>
        <v>0</v>
      </c>
      <c r="BC37" s="1533" t="str">
        <f aca="false">IF(W37="","",LOOKUP(W37,$B$49:$B$59,$P$49:$P$59)*X37)</f>
        <v/>
      </c>
      <c r="BD37" s="654" t="str">
        <f aca="false">IF(Y37="","",LOOKUP(Y37,$B$49:$B$59,$P$49:$P$59)*Z37)</f>
        <v/>
      </c>
      <c r="BE37" s="1430"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584" t="n">
        <f aca="false">SUM(BC37:BL37)*BQ37</f>
        <v>0</v>
      </c>
      <c r="BN37" s="1536" t="n">
        <f aca="false">BM37+BO37</f>
        <v>0</v>
      </c>
      <c r="BO37" s="1536" t="n">
        <f aca="false">IF(M37=0,0,(M37/12+M37/12)/(M37/12*M37/12)*D37*((L37/16*L37/16)*10.6870159))*(1+K$70)*BQ37</f>
        <v>0</v>
      </c>
      <c r="BP37" s="1536" t="n">
        <f aca="false">IF(O37="Y",D37*(1+K$71)*BQ37,0)</f>
        <v>0</v>
      </c>
      <c r="BQ37" s="1538" t="n">
        <f aca="false">G37</f>
        <v>0</v>
      </c>
      <c r="BR37" s="1411" t="n">
        <f aca="false">IF(O37="y",D37,0)</f>
        <v>0</v>
      </c>
      <c r="BS37" s="1567" t="n">
        <f aca="false">IF($I37=1,$Q37,0)*BQ37</f>
        <v>0</v>
      </c>
      <c r="BT37" s="1536" t="n">
        <f aca="false">IF($I37=2,$Q37,0)*BQ37</f>
        <v>0</v>
      </c>
      <c r="BU37" s="1536" t="n">
        <f aca="false">IF($I37=3,$Q37,0)*BQ37</f>
        <v>0</v>
      </c>
      <c r="BV37" s="1536" t="n">
        <f aca="false">IF($I37=4,$Q37,0)*BQ37</f>
        <v>0</v>
      </c>
      <c r="BW37" s="1536" t="n">
        <f aca="false">IF($I37=5,$Q37,0)*BQ37</f>
        <v>0</v>
      </c>
      <c r="BX37" s="1536" t="n">
        <f aca="false">IF($I37=6,$Q37,0)*$BQ37</f>
        <v>0</v>
      </c>
      <c r="BY37" s="1536" t="n">
        <f aca="false">IF($I37=7,$Q37,0)*$BQ37</f>
        <v>0</v>
      </c>
      <c r="BZ37" s="1536" t="n">
        <f aca="false">IF($I37=8,$Q37,0)*$BQ37</f>
        <v>0</v>
      </c>
      <c r="CA37" s="1536" t="n">
        <f aca="false">IF($I37=9,$Q37,0)*$BQ37</f>
        <v>0</v>
      </c>
      <c r="CB37" s="1568" t="n">
        <f aca="false">IF($I37=10,$Q37,0)*$BQ37</f>
        <v>0</v>
      </c>
      <c r="CC37" s="1538" t="n">
        <f aca="false">SUM(BS37:BX37)</f>
        <v>0</v>
      </c>
      <c r="CD37" s="1538" t="n">
        <f aca="false">IF(H37="N",0,D37)*BQ37</f>
        <v>0</v>
      </c>
      <c r="CE37" s="1538" t="n">
        <f aca="false">K37*BQ37</f>
        <v>0</v>
      </c>
      <c r="CF37" s="1542" t="n">
        <f aca="false">ROUND(IF(W37="",0,LOOKUP(W37,B$49:B$59,D$49:D$59)*X37/12),0)</f>
        <v>0</v>
      </c>
      <c r="CG37" s="1542" t="n">
        <f aca="false">ROUND(IF(Y37="",0,LOOKUP(Y37,B$49:B$59,D$49:D$59)*Z37/12),0)</f>
        <v>0</v>
      </c>
      <c r="CH37" s="1542" t="n">
        <f aca="false">ROUND(IF(AA37="",0,LOOKUP(AA37,B$49:B$59,D$49:D$59)*AB37/12),0)</f>
        <v>0</v>
      </c>
      <c r="CI37" s="1538" t="n">
        <f aca="false">D37*BQ37</f>
        <v>0</v>
      </c>
      <c r="CJ37" s="1538" t="n">
        <f aca="false">D37*J37/324*(1+K$73)*G37</f>
        <v>0</v>
      </c>
      <c r="CK37" s="1538" t="str">
        <f aca="false">IF(N37="","",N37)</f>
        <v/>
      </c>
      <c r="CL37" s="1538" t="n">
        <f aca="false">P37*BQ37</f>
        <v>0</v>
      </c>
      <c r="CM37" s="1543" t="n">
        <f aca="false">IF(BQ37=0,0,SUM(CN37:DE37)/BQ37)</f>
        <v>0</v>
      </c>
      <c r="CN37" s="656" t="n">
        <f aca="false">(BS37*Pricing!F$3+BT37*Pricing!G$3+BU37*Pricing!H$3+BV37*Pricing!I$3+BW37*Pricing!J$3+BX37*Pricing!K$3+BY37*Pricing!L$3+BZ37*Pricing!M$3+CA37*Pricing!N$3+CB37*Pricing!O$3)*IF(W$44="N",(1+Y$44),1)</f>
        <v>0</v>
      </c>
      <c r="CO37" s="656" t="n">
        <f aca="false">BN37*G$70*IF(W$44="n",1+Y$44,1)</f>
        <v>0</v>
      </c>
      <c r="CP37" s="1544" t="n">
        <f aca="false">C37*D37</f>
        <v>0</v>
      </c>
      <c r="CQ37" s="656" t="n">
        <f aca="false">IF(I$79=0,0,D37*(SUM(O$79:P$82)+O$85)/I$79*BQ37)</f>
        <v>0</v>
      </c>
      <c r="CR37" s="656" t="n">
        <f aca="false">IF(CF37="",0,CF37*E$83)+IF(CG37="",0,CG37*E$83)+IF(CH37="",0,CH37*E$83)</f>
        <v>0</v>
      </c>
      <c r="CS37" s="656"/>
      <c r="CT37" s="1545" t="n">
        <f aca="false">(U37/2000)*E$87</f>
        <v>0</v>
      </c>
      <c r="CU37" s="656" t="n">
        <f aca="false">IF(I$79=0,0,D37*(O$88)/I$79*BQ37)</f>
        <v>0</v>
      </c>
      <c r="CV37" s="656" t="n">
        <f aca="false">IF(D$42=0,0,SUM(O$91:P$94)/D$42*D37)*BQ37</f>
        <v>0</v>
      </c>
      <c r="CW37" s="656" t="n">
        <f aca="false">IF(D$42=0,0,SUM(Z$66:Z$97)/D$42*D37*BQ37)</f>
        <v>0</v>
      </c>
      <c r="CX37" s="656" t="n">
        <f aca="false">IF(D$42=0,0,SUM(O$96:P$101)/D$42*D37)*BQ37</f>
        <v>0</v>
      </c>
      <c r="CY37" s="656" t="n">
        <f aca="false">IF(D$42=0,0,SUM(O$103:O$109)/D$42)*D37*BQ37</f>
        <v>0</v>
      </c>
      <c r="CZ37" s="656" t="n">
        <f aca="false">IF(I$79=0,0,IF(I$79=0,0,SUM(Z$98:Z$109)/I$79*D37))</f>
        <v>0</v>
      </c>
      <c r="DA37" s="656" t="n">
        <f aca="false">IF(J$72&gt;0,J$72/D$42*D37*G37,CD37*(G$72*IF(W$44="n",(1+Y$44),1)))</f>
        <v>0</v>
      </c>
      <c r="DB37" s="656" t="n">
        <f aca="false">IF(CK37="",0,CK37*E$86)</f>
        <v>0</v>
      </c>
      <c r="DC37" s="656" t="n">
        <f aca="false">BP37*G$71*IF(W$44="Y",1,1+Y$44)</f>
        <v>0</v>
      </c>
      <c r="DD37" s="656" t="n">
        <f aca="false">CJ37*G$73*IF(W$44="Y",1,1+Y$44)</f>
        <v>0</v>
      </c>
      <c r="DE37" s="1546" t="e">
        <f aca="false">O$110/I$79*D37</f>
        <v>#DIV/0!</v>
      </c>
      <c r="DF37" s="654" t="n">
        <f aca="false">IF(W37=1,X37*$AS$49,0)+IF(W37=2,X37*$AS$50,0)+IF(W37=3,X37*$AS$51,0)+IF(W37=4,X37*$AS$52,0)+IF(W37=5,X37*$AS$53,0)+IF(W37=6,X37*$AS$54)+IF(W37=7,X37*$AS$55)+IF(W37=8,X37*$AS$56)+IF(W37=9,X37*$AS$57)+IF(W37=10,X37*$AS$58)+IF(W37=11,X37*$AS$59,0)</f>
        <v>0</v>
      </c>
      <c r="DG37" s="654" t="n">
        <f aca="false">IF(Y37=1,Z37*$AS$49,0)+IF(Y37=2,Z37*$AS$50,0)+IF(Y37=3,Z37*$AS$51,0)+IF(Y37=4,Z37*$AS$52,0)+IF(Y37=5,Z37*$AS$53,0)+IF(Y37=6,Z37*$AS$54)+IF(Y37=7,Z37*$AS$55)+IF(Y37=8,Z37*$AS$56)+IF(Y37=9,Z37*$AS$57)+IF(Y37=10,Z37*$AS$58)+IF(Y37=11,Z37*$AS$59,0)</f>
        <v>0</v>
      </c>
      <c r="DH37" s="654" t="n">
        <f aca="false">IF(AA37=1,AB37*$AS$49,0)+IF(AA37=2,AB37*$AS$50,0)+IF(AA37=3,AB37*$AS$51,0)+IF(AA37=4,AB37*$AS$52,0)+IF(AA37=5,AB37*$AS$53,0)+IF(AA37=6,AB37*$AS$54)+IF(AA37=7,AB37*$AS$55)+IF(AA37=8,AB37*$AS$56)+IF(AA37=9,AB37*$AS$57)+IF(AA37=10,AB37*$AS$58)+IF(AA37=11,AB37*$AS$59,0)</f>
        <v>0</v>
      </c>
      <c r="DI37" s="654" t="n">
        <f aca="false">IF(AC37=1,AD37*$AS$49,0)+IF(AC37=2,AD37*$AS$50,0)+IF(AC37=3,AD37*$AS$51,0)+IF(AC37=4,AD37*$AS$52,0)+IF(AC37=5,AD37*$AS$53,0)+IF(AC37=6,AD37*$AS$54)+IF(AC37=7,AD37*$AS$55)+IF(AC37=8,AD37*$AS$56)+IF(AC37=9,AD37*$AS$57)+IF(AC37=10,AD37*$AS$58)+IF(AC37=11,AD37*$AS$59,0)</f>
        <v>0</v>
      </c>
      <c r="DJ37" s="654" t="n">
        <f aca="false">IF(AE37=1,AF37*$AS$49,0)+IF(AE37=2,AF37*$AS$50,0)+IF(AE37=3,AF37*$AS$51,0)+IF(AE37=4,AF37*$AS$52,0)+IF(AE37=5,AF37*$AS$53,0)+IF(AE37=6,AF37*$AS$54)+IF(AE37=7,AF37*$AS$55)+IF(AE37=8,AF37*$AS$56)+IF(AE37=9,AF37*$AS$57)+IF(AE37=10,AF37*$AS$58)+IF(AE37=11,AF37*$AS$59,0)</f>
        <v>0</v>
      </c>
      <c r="DK37" s="654" t="n">
        <f aca="false">IF(AG37=1,AH37*$AS$49,0)+IF(AG37=2,AH37*$AS$50,0)+IF(AG37=3,AH37*$AS$51,0)+IF(AG37=4,AH37*$AS$52,0)+IF(AG37=5,AH37*$AS$53,0)+IF(AG37=6,AH37*$AS$54)+IF(AG37=7,AH37*$AS$55)+IF(AG37=8,AH37*$AS$56)+IF(AG37=9,AH37*$AS$57)+IF(AG37=10,AH37*$AS$58)+IF(AG37=11,AH37*$AS$59,0)</f>
        <v>0</v>
      </c>
      <c r="DL37" s="654" t="n">
        <f aca="false">IF(AI37=1,AJ37*$AS$49,0)+IF(AI37=2,AJ37*$AS$50,0)+IF(AI37=3,AJ37*$AS$51,0)+IF(AI37=4,AJ37*$AS$52,0)+IF(AI37=5,AJ37*$AS$53,0)+IF(AI37=6,AJ37*$AS$54)+IF(AI37=7,AJ37*$AS$55)+IF(AI37=8,AJ37*$AS$56)+IF(AI37=9,AJ37*$AS$57)+IF(AI37=10,AJ37*$AS$58)+IF(AI37=11,AJ37*$AS$59,0)</f>
        <v>0</v>
      </c>
      <c r="DM37" s="654" t="n">
        <f aca="false">IF(AK37=1,AL37*$AS$49,0)+IF(AK37=2,AL37*$AS$50,0)+IF(AK37=3,AL37*$AS$51,0)+IF(AK37=4,AL37*$AS$52,0)+IF(AK37=5,AL37*$AS$53,0)+IF(AK37=6,AL37*$AS$54)+IF(AK37=7,AL37*$AS$55)+IF(AK37=8,AL37*$AS$56)+IF(AK37=9,AL37*$AS$57)+IF(AK37=10,AL37*$AS$58)+IF(AK37=11,AL37*$AS$59,0)</f>
        <v>0</v>
      </c>
      <c r="DN37" s="654" t="n">
        <f aca="false">IF(AM37=1,AN37*$AS$49,0)+IF(AM37=2,AN37*$AS$50,0)+IF(AM37=3,AN37*$AS$51,0)+IF(AM37=4,AN37*$AS$52,0)+IF(AM37=5,AN37*$AS$53,0)+IF(AM37=6,AN37*$AS$54)+IF(AM37=7,AN37*$AS$55)+IF(AM37=8,AN37*$AS$56)+IF(AM37=9,AN37*$AS$57)+IF(AM37=10,AN37*$AS$58)+IF(AM37=11,AN37*$AS$59,0)</f>
        <v>0</v>
      </c>
      <c r="DO37" s="654" t="n">
        <f aca="false">IF(AO37=1,AP37*$AS$49,0)+IF(AO37=2,AP37*$AS$50,0)+IF(AO37=3,AP37*$AS$51,0)+IF(AO37=4,AP37*$AS$52,0)+IF(AO37=5,AP37*$AS$53,0)+IF(AO37=6,AP37*$AS$54)+IF(AO37=7,AP37*$AS$55)+IF(AO37=8,AP37*$AS$56)+IF(AO37=9,AP37*$AS$57)+IF(AO37=10,AP37*$AS$58)+IF(AO37=11,AP37*$AS$59,0)</f>
        <v>0</v>
      </c>
      <c r="DP37" s="1569" t="n">
        <f aca="false">D37</f>
        <v>0</v>
      </c>
    </row>
    <row r="38" customFormat="false" ht="19.5" hidden="false" customHeight="true" outlineLevel="0" collapsed="false">
      <c r="A38" s="16" t="s">
        <v>1583</v>
      </c>
      <c r="B38" s="920"/>
      <c r="C38" s="1550"/>
      <c r="D38" s="1507"/>
      <c r="E38" s="1508"/>
      <c r="F38" s="1074"/>
      <c r="G38" s="1553"/>
      <c r="H38" s="1074"/>
      <c r="I38" s="1553"/>
      <c r="J38" s="1074"/>
      <c r="K38" s="1583"/>
      <c r="L38" s="1511"/>
      <c r="M38" s="1512"/>
      <c r="N38" s="1513"/>
      <c r="O38" s="1514"/>
      <c r="P38" s="1515" t="n">
        <f aca="false">IF(BQ38=0,0,BN38/BQ38)</f>
        <v>0</v>
      </c>
      <c r="Q38" s="1516" t="n">
        <f aca="false">(D38*F38/324)*(1+K$65)+BB38</f>
        <v>0</v>
      </c>
      <c r="R38" s="1517" t="n">
        <f aca="false">IF(D38=0,0,S38/D38)</f>
        <v>0</v>
      </c>
      <c r="S38" s="1518" t="e">
        <f aca="false">SUM(CM38-DE38)*(1+M$45)</f>
        <v>#DIV/0!</v>
      </c>
      <c r="T38" s="1519" t="n">
        <f aca="false">CF38+CG38+CH38</f>
        <v>0</v>
      </c>
      <c r="U38" s="1520" t="n">
        <f aca="false">IF(P38-(D38*0.35)&lt;0,0,P38-(D38*0.35))</f>
        <v>0</v>
      </c>
      <c r="V38" s="1521" t="n">
        <f aca="false">IF(D38="",0,IF(D38/-30+Q38&lt;1,0,D38/-30+Q38))</f>
        <v>0</v>
      </c>
      <c r="W38" s="1511"/>
      <c r="X38" s="1596"/>
      <c r="Y38" s="1511"/>
      <c r="Z38" s="1524"/>
      <c r="AA38" s="1511"/>
      <c r="AB38" s="1524"/>
      <c r="AC38" s="1525"/>
      <c r="AD38" s="1596"/>
      <c r="AE38" s="1511"/>
      <c r="AF38" s="1512"/>
      <c r="AG38" s="1593"/>
      <c r="AH38" s="1512"/>
      <c r="AI38" s="1511"/>
      <c r="AJ38" s="1512"/>
      <c r="AK38" s="1511"/>
      <c r="AL38" s="1512"/>
      <c r="AM38" s="1511"/>
      <c r="AN38" s="1524"/>
      <c r="AO38" s="1511"/>
      <c r="AP38" s="1524"/>
      <c r="AQ38" s="654"/>
      <c r="AR38" s="1533" t="str">
        <f aca="false">IF(W38="","",LOOKUP(W38,$B$49:$B$59,$R$49:$R$59)*X38)</f>
        <v/>
      </c>
      <c r="AS38" s="1430" t="str">
        <f aca="false">IF(Y38="","",LOOKUP(Y38,$B$49:$B$59,$R$49:$R$59)*Z38)</f>
        <v/>
      </c>
      <c r="AT38" s="1430" t="str">
        <f aca="false">IF(AB38="","",LOOKUP(AA38,$B$49:$B$59,$R$49:$R$59)*AB38)</f>
        <v/>
      </c>
      <c r="AU38" s="1430" t="str">
        <f aca="false">IF(AC38="","",LOOKUP(AC38,$B$49:$B$59,$R$49:$R$59)*AD38)</f>
        <v/>
      </c>
      <c r="AV38" s="1430" t="str">
        <f aca="false">IF(AE38="","",LOOKUP(AE38,$B$49:$B$59,$R$49:$R$59)*AF38)</f>
        <v/>
      </c>
      <c r="AW38" s="1430" t="str">
        <f aca="false">IF(AG38="","",LOOKUP(AG38,$B$49:$B$59,$R$49:$R$59)*AH38)</f>
        <v/>
      </c>
      <c r="AX38" s="1430" t="str">
        <f aca="false">IF(AI38="","",LOOKUP(AI38,$B$49:$B$59,$R$49:$R$59)*AJ38)</f>
        <v/>
      </c>
      <c r="AY38" s="1430" t="str">
        <f aca="false">IF(AK38="","",LOOKUP(AK38,$B$49:$B$59,$R$49:$R$59)*AL38)</f>
        <v/>
      </c>
      <c r="AZ38" s="1430" t="str">
        <f aca="false">IF(AM38="","",LOOKUP(AM38,$B$49:$B$59,$R$49:$R$59)*AN38)</f>
        <v/>
      </c>
      <c r="BA38" s="1430" t="str">
        <f aca="false">IF(AO38="","",LOOKUP(AO38,$B$49:$B$59,$R$49:$R$59)*AP38)</f>
        <v/>
      </c>
      <c r="BB38" s="1535" t="n">
        <f aca="false">SUM(AR38:BA38)</f>
        <v>0</v>
      </c>
      <c r="BC38" s="1533" t="str">
        <f aca="false">IF(W38="","",LOOKUP(W38,$B$49:$B$59,$P$49:$P$59)*X38)</f>
        <v/>
      </c>
      <c r="BD38" s="654" t="str">
        <f aca="false">IF(Y38="","",LOOKUP(Y38,$B$49:$B$59,$P$49:$P$59)*Z38)</f>
        <v/>
      </c>
      <c r="BE38" s="1430"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584" t="n">
        <f aca="false">SUM(BC38:BL38)*BQ38</f>
        <v>0</v>
      </c>
      <c r="BN38" s="1536" t="n">
        <f aca="false">BM38+BO38</f>
        <v>0</v>
      </c>
      <c r="BO38" s="1536" t="n">
        <f aca="false">IF(M38=0,0,(M38/12+M38/12)/(M38/12*M38/12)*D38*((L38/16*L38/16)*10.6870159))*(1+K$70)*BQ38</f>
        <v>0</v>
      </c>
      <c r="BP38" s="1536" t="n">
        <f aca="false">IF(O38="Y",D38*(1+K$71)*BQ38,0)</f>
        <v>0</v>
      </c>
      <c r="BQ38" s="1538" t="n">
        <f aca="false">G38</f>
        <v>0</v>
      </c>
      <c r="BR38" s="1411" t="n">
        <f aca="false">IF(O38="y",D38,0)</f>
        <v>0</v>
      </c>
      <c r="BS38" s="1567" t="n">
        <f aca="false">IF($I38=1,$Q38,0)*BQ38</f>
        <v>0</v>
      </c>
      <c r="BT38" s="1536" t="n">
        <f aca="false">IF($I38=2,$Q38,0)*BQ38</f>
        <v>0</v>
      </c>
      <c r="BU38" s="1536" t="n">
        <f aca="false">IF($I38=3,$Q38,0)*BQ38</f>
        <v>0</v>
      </c>
      <c r="BV38" s="1536" t="n">
        <f aca="false">IF($I38=4,$Q38,0)*BQ38</f>
        <v>0</v>
      </c>
      <c r="BW38" s="1536" t="n">
        <f aca="false">IF($I38=5,$Q38,0)*BQ38</f>
        <v>0</v>
      </c>
      <c r="BX38" s="1536" t="n">
        <f aca="false">IF($I38=6,$Q38,0)*$BQ38</f>
        <v>0</v>
      </c>
      <c r="BY38" s="1536" t="n">
        <f aca="false">IF($I38=7,$Q38,0)*$BQ38</f>
        <v>0</v>
      </c>
      <c r="BZ38" s="1536" t="n">
        <f aca="false">IF($I38=8,$Q38,0)*$BQ38</f>
        <v>0</v>
      </c>
      <c r="CA38" s="1536" t="n">
        <f aca="false">IF($I38=9,$Q38,0)*$BQ38</f>
        <v>0</v>
      </c>
      <c r="CB38" s="1568" t="n">
        <f aca="false">IF($I38=10,$Q38,0)*$BQ38</f>
        <v>0</v>
      </c>
      <c r="CC38" s="1538" t="n">
        <f aca="false">SUM(BS38:BX38)</f>
        <v>0</v>
      </c>
      <c r="CD38" s="1538" t="n">
        <f aca="false">IF(H38="N",0,D38)*BQ38</f>
        <v>0</v>
      </c>
      <c r="CE38" s="1538" t="n">
        <f aca="false">K38*BQ38</f>
        <v>0</v>
      </c>
      <c r="CF38" s="1542" t="n">
        <f aca="false">ROUND(IF(W38="",0,LOOKUP(W38,B$49:B$59,D$49:D$59)*X38/12),0)</f>
        <v>0</v>
      </c>
      <c r="CG38" s="1542" t="n">
        <f aca="false">ROUND(IF(Y38="",0,LOOKUP(Y38,B$49:B$59,D$49:D$59)*Z38/12),0)</f>
        <v>0</v>
      </c>
      <c r="CH38" s="1542" t="n">
        <f aca="false">ROUND(IF(AA38="",0,LOOKUP(AA38,B$49:B$59,D$49:D$59)*AB38/12),0)</f>
        <v>0</v>
      </c>
      <c r="CI38" s="1538" t="n">
        <f aca="false">D38*BQ38</f>
        <v>0</v>
      </c>
      <c r="CJ38" s="1538" t="n">
        <f aca="false">D38*J38/324*(1+K$73)*G38</f>
        <v>0</v>
      </c>
      <c r="CK38" s="1538" t="str">
        <f aca="false">IF(N38="","",N38)</f>
        <v/>
      </c>
      <c r="CL38" s="1538" t="n">
        <f aca="false">P38*BQ38</f>
        <v>0</v>
      </c>
      <c r="CM38" s="1543" t="n">
        <f aca="false">IF(BQ38=0,0,SUM(CN38:DE38)/BQ38)</f>
        <v>0</v>
      </c>
      <c r="CN38" s="656" t="n">
        <f aca="false">(BS38*Pricing!F$3+BT38*Pricing!G$3+BU38*Pricing!H$3+BV38*Pricing!I$3+BW38*Pricing!J$3+BX38*Pricing!K$3+BY38*Pricing!L$3+BZ38*Pricing!M$3+CA38*Pricing!N$3+CB38*Pricing!O$3)*IF(W$44="N",(1+Y$44),1)</f>
        <v>0</v>
      </c>
      <c r="CO38" s="656" t="n">
        <f aca="false">BN38*G$70*IF(W$44="n",1+Y$44,1)</f>
        <v>0</v>
      </c>
      <c r="CP38" s="1544" t="n">
        <f aca="false">C38*D38</f>
        <v>0</v>
      </c>
      <c r="CQ38" s="656" t="n">
        <f aca="false">IF(I$79=0,0,D38*(SUM(O$79:P$82)+O$85)/I$79*BQ38)</f>
        <v>0</v>
      </c>
      <c r="CR38" s="656" t="n">
        <f aca="false">IF(CF38="",0,CF38*E$83)+IF(CG38="",0,CG38*E$83)+IF(CH38="",0,CH38*E$83)</f>
        <v>0</v>
      </c>
      <c r="CS38" s="656"/>
      <c r="CT38" s="1545" t="n">
        <f aca="false">(U38/2000)*E$87</f>
        <v>0</v>
      </c>
      <c r="CU38" s="656" t="n">
        <f aca="false">IF(I$79=0,0,D38*(O$88)/I$79*BQ38)</f>
        <v>0</v>
      </c>
      <c r="CV38" s="656" t="n">
        <f aca="false">IF(D$42=0,0,SUM(O$91:P$94)/D$42*D38)*BQ38</f>
        <v>0</v>
      </c>
      <c r="CW38" s="656" t="n">
        <f aca="false">IF(D$42=0,0,SUM(Z$66:Z$97)/D$42*D38*BQ38)</f>
        <v>0</v>
      </c>
      <c r="CX38" s="656" t="n">
        <f aca="false">IF(D$42=0,0,SUM(O$96:P$101)/D$42*D38)*BQ38</f>
        <v>0</v>
      </c>
      <c r="CY38" s="656" t="n">
        <f aca="false">IF(D$42=0,0,SUM(O$103:O$109)/D$42)*D38*BQ38</f>
        <v>0</v>
      </c>
      <c r="CZ38" s="656" t="n">
        <f aca="false">IF(I$79=0,0,IF(I$79=0,0,SUM(Z$98:Z$109)/I$79*D38))</f>
        <v>0</v>
      </c>
      <c r="DA38" s="656" t="n">
        <f aca="false">IF(J$72&gt;0,J$72/D$42*D38*G38,CD38*(G$72*IF(W$44="n",(1+Y$44),1)))</f>
        <v>0</v>
      </c>
      <c r="DB38" s="656" t="n">
        <f aca="false">IF(CK38="",0,CK38*E$86)</f>
        <v>0</v>
      </c>
      <c r="DC38" s="656" t="n">
        <f aca="false">BP38*G$71*IF(W$44="Y",1,1+Y$44)</f>
        <v>0</v>
      </c>
      <c r="DD38" s="656" t="n">
        <f aca="false">CJ38*G$73*IF(W$44="Y",1,1+Y$44)</f>
        <v>0</v>
      </c>
      <c r="DE38" s="1546" t="e">
        <f aca="false">O$110/I$79*D38</f>
        <v>#DIV/0!</v>
      </c>
      <c r="DF38" s="654" t="n">
        <f aca="false">IF(W38=1,X38*$AS$49,0)+IF(W38=2,X38*$AS$50,0)+IF(W38=3,X38*$AS$51,0)+IF(W38=4,X38*$AS$52,0)+IF(W38=5,X38*$AS$53,0)+IF(W38=6,X38*$AS$54)+IF(W38=7,X38*$AS$55)+IF(W38=8,X38*$AS$56)+IF(W38=9,X38*$AS$57)+IF(W38=10,X38*$AS$58)+IF(W38=11,X38*$AS$59,0)</f>
        <v>0</v>
      </c>
      <c r="DG38" s="654" t="n">
        <f aca="false">IF(Y38=1,Z38*$AS$49,0)+IF(Y38=2,Z38*$AS$50,0)+IF(Y38=3,Z38*$AS$51,0)+IF(Y38=4,Z38*$AS$52,0)+IF(Y38=5,Z38*$AS$53,0)+IF(Y38=6,Z38*$AS$54)+IF(Y38=7,Z38*$AS$55)+IF(Y38=8,Z38*$AS$56)+IF(Y38=9,Z38*$AS$57)+IF(Y38=10,Z38*$AS$58)+IF(Y38=11,Z38*$AS$59,0)</f>
        <v>0</v>
      </c>
      <c r="DH38" s="654" t="n">
        <f aca="false">IF(AA38=1,AB38*$AS$49,0)+IF(AA38=2,AB38*$AS$50,0)+IF(AA38=3,AB38*$AS$51,0)+IF(AA38=4,AB38*$AS$52,0)+IF(AA38=5,AB38*$AS$53,0)+IF(AA38=6,AB38*$AS$54)+IF(AA38=7,AB38*$AS$55)+IF(AA38=8,AB38*$AS$56)+IF(AA38=9,AB38*$AS$57)+IF(AA38=10,AB38*$AS$58)+IF(AA38=11,AB38*$AS$59,0)</f>
        <v>0</v>
      </c>
      <c r="DI38" s="654" t="n">
        <f aca="false">IF(AC38=1,AD38*$AS$49,0)+IF(AC38=2,AD38*$AS$50,0)+IF(AC38=3,AD38*$AS$51,0)+IF(AC38=4,AD38*$AS$52,0)+IF(AC38=5,AD38*$AS$53,0)+IF(AC38=6,AD38*$AS$54)+IF(AC38=7,AD38*$AS$55)+IF(AC38=8,AD38*$AS$56)+IF(AC38=9,AD38*$AS$57)+IF(AC38=10,AD38*$AS$58)+IF(AC38=11,AD38*$AS$59,0)</f>
        <v>0</v>
      </c>
      <c r="DJ38" s="654" t="n">
        <f aca="false">IF(AE38=1,AF38*$AS$49,0)+IF(AE38=2,AF38*$AS$50,0)+IF(AE38=3,AF38*$AS$51,0)+IF(AE38=4,AF38*$AS$52,0)+IF(AE38=5,AF38*$AS$53,0)+IF(AE38=6,AF38*$AS$54)+IF(AE38=7,AF38*$AS$55)+IF(AE38=8,AF38*$AS$56)+IF(AE38=9,AF38*$AS$57)+IF(AE38=10,AF38*$AS$58)+IF(AE38=11,AF38*$AS$59,0)</f>
        <v>0</v>
      </c>
      <c r="DK38" s="654" t="n">
        <f aca="false">IF(AG38=1,AH38*$AS$49,0)+IF(AG38=2,AH38*$AS$50,0)+IF(AG38=3,AH38*$AS$51,0)+IF(AG38=4,AH38*$AS$52,0)+IF(AG38=5,AH38*$AS$53,0)+IF(AG38=6,AH38*$AS$54)+IF(AG38=7,AH38*$AS$55)+IF(AG38=8,AH38*$AS$56)+IF(AG38=9,AH38*$AS$57)+IF(AG38=10,AH38*$AS$58)+IF(AG38=11,AH38*$AS$59,0)</f>
        <v>0</v>
      </c>
      <c r="DL38" s="654" t="n">
        <f aca="false">IF(AI38=1,AJ38*$AS$49,0)+IF(AI38=2,AJ38*$AS$50,0)+IF(AI38=3,AJ38*$AS$51,0)+IF(AI38=4,AJ38*$AS$52,0)+IF(AI38=5,AJ38*$AS$53,0)+IF(AI38=6,AJ38*$AS$54)+IF(AI38=7,AJ38*$AS$55)+IF(AI38=8,AJ38*$AS$56)+IF(AI38=9,AJ38*$AS$57)+IF(AI38=10,AJ38*$AS$58)+IF(AI38=11,AJ38*$AS$59,0)</f>
        <v>0</v>
      </c>
      <c r="DM38" s="654" t="n">
        <f aca="false">IF(AK38=1,AL38*$AS$49,0)+IF(AK38=2,AL38*$AS$50,0)+IF(AK38=3,AL38*$AS$51,0)+IF(AK38=4,AL38*$AS$52,0)+IF(AK38=5,AL38*$AS$53,0)+IF(AK38=6,AL38*$AS$54)+IF(AK38=7,AL38*$AS$55)+IF(AK38=8,AL38*$AS$56)+IF(AK38=9,AL38*$AS$57)+IF(AK38=10,AL38*$AS$58)+IF(AK38=11,AL38*$AS$59,0)</f>
        <v>0</v>
      </c>
      <c r="DN38" s="654" t="n">
        <f aca="false">IF(AM38=1,AN38*$AS$49,0)+IF(AM38=2,AN38*$AS$50,0)+IF(AM38=3,AN38*$AS$51,0)+IF(AM38=4,AN38*$AS$52,0)+IF(AM38=5,AN38*$AS$53,0)+IF(AM38=6,AN38*$AS$54)+IF(AM38=7,AN38*$AS$55)+IF(AM38=8,AN38*$AS$56)+IF(AM38=9,AN38*$AS$57)+IF(AM38=10,AN38*$AS$58)+IF(AM38=11,AN38*$AS$59,0)</f>
        <v>0</v>
      </c>
      <c r="DO38" s="654" t="n">
        <f aca="false">IF(AO38=1,AP38*$AS$49,0)+IF(AO38=2,AP38*$AS$50,0)+IF(AO38=3,AP38*$AS$51,0)+IF(AO38=4,AP38*$AS$52,0)+IF(AO38=5,AP38*$AS$53,0)+IF(AO38=6,AP38*$AS$54)+IF(AO38=7,AP38*$AS$55)+IF(AO38=8,AP38*$AS$56)+IF(AO38=9,AP38*$AS$57)+IF(AO38=10,AP38*$AS$58)+IF(AO38=11,AP38*$AS$59,0)</f>
        <v>0</v>
      </c>
      <c r="DP38" s="1569" t="n">
        <f aca="false">D38</f>
        <v>0</v>
      </c>
    </row>
    <row r="39" customFormat="false" ht="19.5" hidden="false" customHeight="true" outlineLevel="0" collapsed="false">
      <c r="A39" s="16" t="s">
        <v>1584</v>
      </c>
      <c r="B39" s="1549"/>
      <c r="C39" s="1550"/>
      <c r="D39" s="1551"/>
      <c r="E39" s="1552"/>
      <c r="F39" s="1074"/>
      <c r="G39" s="1553"/>
      <c r="H39" s="1074"/>
      <c r="I39" s="1553"/>
      <c r="J39" s="1597"/>
      <c r="K39" s="1583"/>
      <c r="L39" s="1559"/>
      <c r="M39" s="1556"/>
      <c r="N39" s="1557"/>
      <c r="O39" s="1558"/>
      <c r="P39" s="1515" t="n">
        <f aca="false">IF(BQ39=0,0,BN39/BQ39)</f>
        <v>0</v>
      </c>
      <c r="Q39" s="1516" t="n">
        <f aca="false">(D39*F39/324)*(1+K$65)+BB39</f>
        <v>0</v>
      </c>
      <c r="R39" s="1517" t="n">
        <f aca="false">IF(D39=0,0,S39/D39)</f>
        <v>0</v>
      </c>
      <c r="S39" s="1518" t="e">
        <f aca="false">SUM(CM39-DE39)*(1+M$45)</f>
        <v>#DIV/0!</v>
      </c>
      <c r="T39" s="1519" t="n">
        <f aca="false">CF39+CG39+CH39</f>
        <v>0</v>
      </c>
      <c r="U39" s="1520" t="n">
        <f aca="false">IF(P39-(D39*0.35)&lt;0,0,P39-(D39*0.35))</f>
        <v>0</v>
      </c>
      <c r="V39" s="1521" t="n">
        <f aca="false">IF(D39="",0,IF(D39/-30+Q39&lt;1,0,D39/-30+Q39))</f>
        <v>0</v>
      </c>
      <c r="W39" s="1559"/>
      <c r="X39" s="1594"/>
      <c r="Y39" s="1559"/>
      <c r="Z39" s="1561"/>
      <c r="AA39" s="1559"/>
      <c r="AB39" s="1561"/>
      <c r="AC39" s="1595"/>
      <c r="AD39" s="1594"/>
      <c r="AE39" s="1559"/>
      <c r="AF39" s="1556"/>
      <c r="AG39" s="1595"/>
      <c r="AH39" s="1556"/>
      <c r="AI39" s="1559"/>
      <c r="AJ39" s="1556"/>
      <c r="AK39" s="1559"/>
      <c r="AL39" s="1556"/>
      <c r="AM39" s="1559"/>
      <c r="AN39" s="1561"/>
      <c r="AO39" s="1559"/>
      <c r="AP39" s="1561"/>
      <c r="AQ39" s="654"/>
      <c r="AR39" s="1533" t="str">
        <f aca="false">IF(W39="","",LOOKUP(W39,$B$49:$B$59,$R$49:$R$59)*X39)</f>
        <v/>
      </c>
      <c r="AS39" s="1430" t="str">
        <f aca="false">IF(Y39="","",LOOKUP(Y39,$B$49:$B$59,$R$49:$R$59)*Z39)</f>
        <v/>
      </c>
      <c r="AT39" s="1430" t="str">
        <f aca="false">IF(AB39="","",LOOKUP(AA39,$B$49:$B$59,$R$49:$R$59)*AB39)</f>
        <v/>
      </c>
      <c r="AU39" s="1430" t="str">
        <f aca="false">IF(AC39="","",LOOKUP(AC39,$B$49:$B$59,$R$49:$R$59)*AD39)</f>
        <v/>
      </c>
      <c r="AV39" s="1430" t="str">
        <f aca="false">IF(AE39="","",LOOKUP(AE39,$B$49:$B$59,$R$49:$R$59)*AF39)</f>
        <v/>
      </c>
      <c r="AW39" s="1430" t="str">
        <f aca="false">IF(AG39="","",LOOKUP(AG39,$B$49:$B$59,$R$49:$R$59)*AH39)</f>
        <v/>
      </c>
      <c r="AX39" s="1430" t="str">
        <f aca="false">IF(AI39="","",LOOKUP(AI39,$B$49:$B$59,$R$49:$R$59)*AJ39)</f>
        <v/>
      </c>
      <c r="AY39" s="1430" t="str">
        <f aca="false">IF(AK39="","",LOOKUP(AK39,$B$49:$B$59,$R$49:$R$59)*AL39)</f>
        <v/>
      </c>
      <c r="AZ39" s="1430" t="str">
        <f aca="false">IF(AM39="","",LOOKUP(AM39,$B$49:$B$59,$R$49:$R$59)*AN39)</f>
        <v/>
      </c>
      <c r="BA39" s="1430" t="str">
        <f aca="false">IF(AO39="","",LOOKUP(AO39,$B$49:$B$59,$R$49:$R$59)*AP39)</f>
        <v/>
      </c>
      <c r="BB39" s="1535" t="n">
        <f aca="false">SUM(AR39:BA39)</f>
        <v>0</v>
      </c>
      <c r="BC39" s="1533" t="str">
        <f aca="false">IF(W39="","",LOOKUP(W39,$B$49:$B$59,$P$49:$P$59)*X39)</f>
        <v/>
      </c>
      <c r="BD39" s="654" t="str">
        <f aca="false">IF(Y39="","",LOOKUP(Y39,$B$49:$B$59,$P$49:$P$59)*Z39)</f>
        <v/>
      </c>
      <c r="BE39" s="1430"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584" t="n">
        <f aca="false">SUM(BC39:BL39)*BQ39</f>
        <v>0</v>
      </c>
      <c r="BN39" s="1536" t="n">
        <f aca="false">BM39+BO39</f>
        <v>0</v>
      </c>
      <c r="BO39" s="1536" t="n">
        <f aca="false">IF(M39=0,0,(M39/12+M39/12)/(M39/12*M39/12)*D39*((L39/16*L39/16)*10.6870159))*(1+K$70)*BQ39</f>
        <v>0</v>
      </c>
      <c r="BP39" s="1536" t="n">
        <f aca="false">IF(O39="Y",D39*(1+K$71)*BQ39,0)</f>
        <v>0</v>
      </c>
      <c r="BQ39" s="1538" t="n">
        <f aca="false">G39</f>
        <v>0</v>
      </c>
      <c r="BR39" s="1411" t="n">
        <f aca="false">IF(O39="y",D39,0)</f>
        <v>0</v>
      </c>
      <c r="BS39" s="1567" t="n">
        <f aca="false">IF($I39=1,$Q39,0)*BQ39</f>
        <v>0</v>
      </c>
      <c r="BT39" s="1536" t="n">
        <f aca="false">IF($I39=2,$Q39,0)*BQ39</f>
        <v>0</v>
      </c>
      <c r="BU39" s="1536" t="n">
        <f aca="false">IF($I39=3,$Q39,0)*BQ39</f>
        <v>0</v>
      </c>
      <c r="BV39" s="1536" t="n">
        <f aca="false">IF($I39=4,$Q39,0)*BQ39</f>
        <v>0</v>
      </c>
      <c r="BW39" s="1536" t="n">
        <f aca="false">IF($I39=5,$Q39,0)*BQ39</f>
        <v>0</v>
      </c>
      <c r="BX39" s="1536" t="n">
        <f aca="false">IF($I39=6,$Q39,0)*$BQ39</f>
        <v>0</v>
      </c>
      <c r="BY39" s="1536" t="n">
        <f aca="false">IF($I39=7,$Q39,0)*$BQ39</f>
        <v>0</v>
      </c>
      <c r="BZ39" s="1536" t="n">
        <f aca="false">IF($I39=8,$Q39,0)*$BQ39</f>
        <v>0</v>
      </c>
      <c r="CA39" s="1536" t="n">
        <f aca="false">IF($I39=9,$Q39,0)*$BQ39</f>
        <v>0</v>
      </c>
      <c r="CB39" s="1568" t="n">
        <f aca="false">IF($I39=10,$Q39,0)*$BQ39</f>
        <v>0</v>
      </c>
      <c r="CC39" s="1538" t="n">
        <f aca="false">SUM(BS39:BX39)</f>
        <v>0</v>
      </c>
      <c r="CD39" s="1538" t="n">
        <f aca="false">IF(H39="N",0,D39)*BQ39</f>
        <v>0</v>
      </c>
      <c r="CE39" s="1538" t="n">
        <f aca="false">K39*BQ39</f>
        <v>0</v>
      </c>
      <c r="CF39" s="1542" t="n">
        <f aca="false">ROUND(IF(W39="",0,LOOKUP(W39,B$49:B$59,D$49:D$59)*X39/12),0)</f>
        <v>0</v>
      </c>
      <c r="CG39" s="1542" t="n">
        <f aca="false">ROUND(IF(Y39="",0,LOOKUP(Y39,B$49:B$59,D$49:D$59)*Z39/12),0)</f>
        <v>0</v>
      </c>
      <c r="CH39" s="1542" t="n">
        <f aca="false">ROUND(IF(AA39="",0,LOOKUP(AA39,B$49:B$59,D$49:D$59)*AB39/12),0)</f>
        <v>0</v>
      </c>
      <c r="CI39" s="1538" t="n">
        <f aca="false">D39*BQ39</f>
        <v>0</v>
      </c>
      <c r="CJ39" s="1538" t="n">
        <f aca="false">D39*J39/324*(1+K$73)*G39</f>
        <v>0</v>
      </c>
      <c r="CK39" s="1538" t="str">
        <f aca="false">IF(N39="","",N39)</f>
        <v/>
      </c>
      <c r="CL39" s="1538" t="n">
        <f aca="false">P39*BQ39</f>
        <v>0</v>
      </c>
      <c r="CM39" s="1543" t="n">
        <f aca="false">IF(BQ39=0,0,SUM(CN39:DE39)/BQ39)</f>
        <v>0</v>
      </c>
      <c r="CN39" s="656" t="n">
        <f aca="false">(BS39*Pricing!F$3+BT39*Pricing!G$3+BU39*Pricing!H$3+BV39*Pricing!I$3+BW39*Pricing!J$3+BX39*Pricing!K$3+BY39*Pricing!L$3+BZ39*Pricing!M$3+CA39*Pricing!N$3+CB39*Pricing!O$3)*IF(W$44="N",(1+Y$44),1)</f>
        <v>0</v>
      </c>
      <c r="CO39" s="656" t="n">
        <f aca="false">BN39*G$70*IF(W$44="n",1+Y$44,1)</f>
        <v>0</v>
      </c>
      <c r="CP39" s="1544" t="n">
        <f aca="false">C39*D39</f>
        <v>0</v>
      </c>
      <c r="CQ39" s="656" t="n">
        <f aca="false">IF(I$79=0,0,D39*(SUM(O$79:P$82)+O$85)/I$79*BQ39)</f>
        <v>0</v>
      </c>
      <c r="CR39" s="656" t="n">
        <f aca="false">IF(CF39="",0,CF39*E$83)+IF(CG39="",0,CG39*E$83)+IF(CH39="",0,CH39*E$83)</f>
        <v>0</v>
      </c>
      <c r="CS39" s="656"/>
      <c r="CT39" s="1545" t="n">
        <f aca="false">(U39/2000)*E$87</f>
        <v>0</v>
      </c>
      <c r="CU39" s="656" t="n">
        <f aca="false">IF(I$79=0,0,D39*(O$88)/I$79*BQ39)</f>
        <v>0</v>
      </c>
      <c r="CV39" s="656" t="n">
        <f aca="false">IF(D$42=0,0,SUM(O$91:P$94)/D$42*D39)*BQ39</f>
        <v>0</v>
      </c>
      <c r="CW39" s="656" t="n">
        <f aca="false">IF(D$42=0,0,SUM(Z$66:Z$97)/D$42*D39*BQ39)</f>
        <v>0</v>
      </c>
      <c r="CX39" s="656" t="n">
        <f aca="false">IF(D$42=0,0,SUM(O$96:P$101)/D$42*D39)*BQ39</f>
        <v>0</v>
      </c>
      <c r="CY39" s="656" t="n">
        <f aca="false">IF(D$42=0,0,SUM(O$103:O$109)/D$42)*D39*BQ39</f>
        <v>0</v>
      </c>
      <c r="CZ39" s="656" t="n">
        <f aca="false">IF(I$79=0,0,IF(I$79=0,0,SUM(Z$98:Z$109)/I$79*D39))</f>
        <v>0</v>
      </c>
      <c r="DA39" s="656" t="n">
        <f aca="false">IF(J$72&gt;0,J$72/D$42*D39*G39,CD39*(G$72*IF(W$44="n",(1+Y$44),1)))</f>
        <v>0</v>
      </c>
      <c r="DB39" s="656" t="n">
        <f aca="false">IF(CK39="",0,CK39*E$86)</f>
        <v>0</v>
      </c>
      <c r="DC39" s="656" t="n">
        <f aca="false">BP39*G$71*IF(W$44="Y",1,1+Y$44)</f>
        <v>0</v>
      </c>
      <c r="DD39" s="656" t="n">
        <f aca="false">CJ39*G$73*IF(W$44="Y",1,1+Y$44)</f>
        <v>0</v>
      </c>
      <c r="DE39" s="1546" t="e">
        <f aca="false">O$110/I$79*D39</f>
        <v>#DIV/0!</v>
      </c>
      <c r="DF39" s="654" t="n">
        <f aca="false">IF(W39=1,X39*$AS$49,0)+IF(W39=2,X39*$AS$50,0)+IF(W39=3,X39*$AS$51,0)+IF(W39=4,X39*$AS$52,0)+IF(W39=5,X39*$AS$53,0)+IF(W39=6,X39*$AS$54)+IF(W39=7,X39*$AS$55)+IF(W39=8,X39*$AS$56)+IF(W39=9,X39*$AS$57)+IF(W39=10,X39*$AS$58)+IF(W39=11,X39*$AS$59,0)</f>
        <v>0</v>
      </c>
      <c r="DG39" s="654" t="n">
        <f aca="false">IF(Y39=1,Z39*$AS$49,0)+IF(Y39=2,Z39*$AS$50,0)+IF(Y39=3,Z39*$AS$51,0)+IF(Y39=4,Z39*$AS$52,0)+IF(Y39=5,Z39*$AS$53,0)+IF(Y39=6,Z39*$AS$54)+IF(Y39=7,Z39*$AS$55)+IF(Y39=8,Z39*$AS$56)+IF(Y39=9,Z39*$AS$57)+IF(Y39=10,Z39*$AS$58)+IF(Y39=11,Z39*$AS$59,0)</f>
        <v>0</v>
      </c>
      <c r="DH39" s="654" t="n">
        <f aca="false">IF(AA39=1,AB39*$AS$49,0)+IF(AA39=2,AB39*$AS$50,0)+IF(AA39=3,AB39*$AS$51,0)+IF(AA39=4,AB39*$AS$52,0)+IF(AA39=5,AB39*$AS$53,0)+IF(AA39=6,AB39*$AS$54)+IF(AA39=7,AB39*$AS$55)+IF(AA39=8,AB39*$AS$56)+IF(AA39=9,AB39*$AS$57)+IF(AA39=10,AB39*$AS$58)+IF(AA39=11,AB39*$AS$59,0)</f>
        <v>0</v>
      </c>
      <c r="DI39" s="654" t="n">
        <f aca="false">IF(AC39=1,AD39*$AS$49,0)+IF(AC39=2,AD39*$AS$50,0)+IF(AC39=3,AD39*$AS$51,0)+IF(AC39=4,AD39*$AS$52,0)+IF(AC39=5,AD39*$AS$53,0)+IF(AC39=6,AD39*$AS$54)+IF(AC39=7,AD39*$AS$55)+IF(AC39=8,AD39*$AS$56)+IF(AC39=9,AD39*$AS$57)+IF(AC39=10,AD39*$AS$58)+IF(AC39=11,AD39*$AS$59,0)</f>
        <v>0</v>
      </c>
      <c r="DJ39" s="654" t="n">
        <f aca="false">IF(AE39=1,AF39*$AS$49,0)+IF(AE39=2,AF39*$AS$50,0)+IF(AE39=3,AF39*$AS$51,0)+IF(AE39=4,AF39*$AS$52,0)+IF(AE39=5,AF39*$AS$53,0)+IF(AE39=6,AF39*$AS$54)+IF(AE39=7,AF39*$AS$55)+IF(AE39=8,AF39*$AS$56)+IF(AE39=9,AF39*$AS$57)+IF(AE39=10,AF39*$AS$58)+IF(AE39=11,AF39*$AS$59,0)</f>
        <v>0</v>
      </c>
      <c r="DK39" s="654" t="n">
        <f aca="false">IF(AG39=1,AH39*$AS$49,0)+IF(AG39=2,AH39*$AS$50,0)+IF(AG39=3,AH39*$AS$51,0)+IF(AG39=4,AH39*$AS$52,0)+IF(AG39=5,AH39*$AS$53,0)+IF(AG39=6,AH39*$AS$54)+IF(AG39=7,AH39*$AS$55)+IF(AG39=8,AH39*$AS$56)+IF(AG39=9,AH39*$AS$57)+IF(AG39=10,AH39*$AS$58)+IF(AG39=11,AH39*$AS$59,0)</f>
        <v>0</v>
      </c>
      <c r="DL39" s="654" t="n">
        <f aca="false">IF(AI39=1,AJ39*$AS$49,0)+IF(AI39=2,AJ39*$AS$50,0)+IF(AI39=3,AJ39*$AS$51,0)+IF(AI39=4,AJ39*$AS$52,0)+IF(AI39=5,AJ39*$AS$53,0)+IF(AI39=6,AJ39*$AS$54)+IF(AI39=7,AJ39*$AS$55)+IF(AI39=8,AJ39*$AS$56)+IF(AI39=9,AJ39*$AS$57)+IF(AI39=10,AJ39*$AS$58)+IF(AI39=11,AJ39*$AS$59,0)</f>
        <v>0</v>
      </c>
      <c r="DM39" s="654" t="n">
        <f aca="false">IF(AK39=1,AL39*$AS$49,0)+IF(AK39=2,AL39*$AS$50,0)+IF(AK39=3,AL39*$AS$51,0)+IF(AK39=4,AL39*$AS$52,0)+IF(AK39=5,AL39*$AS$53,0)+IF(AK39=6,AL39*$AS$54)+IF(AK39=7,AL39*$AS$55)+IF(AK39=8,AL39*$AS$56)+IF(AK39=9,AL39*$AS$57)+IF(AK39=10,AL39*$AS$58)+IF(AK39=11,AL39*$AS$59,0)</f>
        <v>0</v>
      </c>
      <c r="DN39" s="654" t="n">
        <f aca="false">IF(AM39=1,AN39*$AS$49,0)+IF(AM39=2,AN39*$AS$50,0)+IF(AM39=3,AN39*$AS$51,0)+IF(AM39=4,AN39*$AS$52,0)+IF(AM39=5,AN39*$AS$53,0)+IF(AM39=6,AN39*$AS$54)+IF(AM39=7,AN39*$AS$55)+IF(AM39=8,AN39*$AS$56)+IF(AM39=9,AN39*$AS$57)+IF(AM39=10,AN39*$AS$58)+IF(AM39=11,AN39*$AS$59,0)</f>
        <v>0</v>
      </c>
      <c r="DO39" s="654" t="n">
        <f aca="false">IF(AO39=1,AP39*$AS$49,0)+IF(AO39=2,AP39*$AS$50,0)+IF(AO39=3,AP39*$AS$51,0)+IF(AO39=4,AP39*$AS$52,0)+IF(AO39=5,AP39*$AS$53,0)+IF(AO39=6,AP39*$AS$54)+IF(AO39=7,AP39*$AS$55)+IF(AO39=8,AP39*$AS$56)+IF(AO39=9,AP39*$AS$57)+IF(AO39=10,AP39*$AS$58)+IF(AO39=11,AP39*$AS$59,0)</f>
        <v>0</v>
      </c>
      <c r="DP39" s="1569" t="n">
        <f aca="false">D39</f>
        <v>0</v>
      </c>
    </row>
    <row r="40" customFormat="false" ht="19.5" hidden="false" customHeight="true" outlineLevel="0" collapsed="false">
      <c r="A40" s="16" t="s">
        <v>1585</v>
      </c>
      <c r="B40" s="920"/>
      <c r="C40" s="1550"/>
      <c r="D40" s="1586"/>
      <c r="E40" s="1587"/>
      <c r="F40" s="1074"/>
      <c r="G40" s="1553"/>
      <c r="H40" s="1074"/>
      <c r="I40" s="1553"/>
      <c r="J40" s="1597"/>
      <c r="K40" s="1583"/>
      <c r="L40" s="528"/>
      <c r="M40" s="895"/>
      <c r="N40" s="1513"/>
      <c r="O40" s="1514"/>
      <c r="P40" s="1515" t="n">
        <f aca="false">IF(BQ40=0,0,BN40/BQ40)</f>
        <v>0</v>
      </c>
      <c r="Q40" s="1516" t="n">
        <f aca="false">(D40*F40/324)*(1+K$65)+BB40</f>
        <v>0</v>
      </c>
      <c r="R40" s="1517" t="n">
        <f aca="false">IF(D40=0,0,S40/D40)</f>
        <v>0</v>
      </c>
      <c r="S40" s="1518" t="e">
        <f aca="false">SUM(CM40-DE40)*(1+M$45)</f>
        <v>#DIV/0!</v>
      </c>
      <c r="T40" s="1519" t="n">
        <f aca="false">CF40+CG40+CH40</f>
        <v>0</v>
      </c>
      <c r="U40" s="1520" t="n">
        <f aca="false">IF(P40-(D40*0.35)&lt;0,0,P40-(D40*0.35))</f>
        <v>0</v>
      </c>
      <c r="V40" s="1521" t="n">
        <f aca="false">IF(D40="",0,IF(D40/-30+Q40&lt;1,0,D40/-30+Q40))</f>
        <v>0</v>
      </c>
      <c r="W40" s="528"/>
      <c r="X40" s="895"/>
      <c r="Y40" s="528"/>
      <c r="Z40" s="1574"/>
      <c r="AA40" s="528"/>
      <c r="AB40" s="1574"/>
      <c r="AC40" s="1593"/>
      <c r="AD40" s="1591"/>
      <c r="AE40" s="528"/>
      <c r="AF40" s="895"/>
      <c r="AG40" s="1593"/>
      <c r="AH40" s="895"/>
      <c r="AI40" s="528"/>
      <c r="AJ40" s="895"/>
      <c r="AK40" s="528"/>
      <c r="AL40" s="895"/>
      <c r="AM40" s="528"/>
      <c r="AN40" s="1574"/>
      <c r="AO40" s="528"/>
      <c r="AP40" s="1574"/>
      <c r="AQ40" s="654"/>
      <c r="AR40" s="1533" t="str">
        <f aca="false">IF(W40="","",LOOKUP(W40,$B$49:$B$59,$R$49:$R$59)*X40)</f>
        <v/>
      </c>
      <c r="AS40" s="1430" t="str">
        <f aca="false">IF(Y40="","",LOOKUP(Y40,$B$49:$B$59,$R$49:$R$59)*Z40)</f>
        <v/>
      </c>
      <c r="AT40" s="1430" t="str">
        <f aca="false">IF(AB40="","",LOOKUP(AA40,$B$49:$B$59,$R$49:$R$59)*AB40)</f>
        <v/>
      </c>
      <c r="AU40" s="1430" t="str">
        <f aca="false">IF(AC40="","",LOOKUP(AC40,$B$49:$B$59,$R$49:$R$59)*AD40)</f>
        <v/>
      </c>
      <c r="AV40" s="1430" t="str">
        <f aca="false">IF(AE40="","",LOOKUP(AE40,$B$49:$B$59,$R$49:$R$59)*AF40)</f>
        <v/>
      </c>
      <c r="AW40" s="1430" t="str">
        <f aca="false">IF(AG40="","",LOOKUP(AG40,$B$49:$B$59,$R$49:$R$59)*AH40)</f>
        <v/>
      </c>
      <c r="AX40" s="1430" t="str">
        <f aca="false">IF(AI40="","",LOOKUP(AI40,$B$49:$B$59,$R$49:$R$59)*AJ40)</f>
        <v/>
      </c>
      <c r="AY40" s="1430" t="str">
        <f aca="false">IF(AK40="","",LOOKUP(AK40,$B$49:$B$59,$R$49:$R$59)*AL40)</f>
        <v/>
      </c>
      <c r="AZ40" s="1430" t="str">
        <f aca="false">IF(AM40="","",LOOKUP(AM40,$B$49:$B$59,$R$49:$R$59)*AN40)</f>
        <v/>
      </c>
      <c r="BA40" s="1430" t="str">
        <f aca="false">IF(AO40="","",LOOKUP(AO40,$B$49:$B$59,$R$49:$R$59)*AP40)</f>
        <v/>
      </c>
      <c r="BB40" s="1535" t="n">
        <f aca="false">SUM(AR40:BA40)</f>
        <v>0</v>
      </c>
      <c r="BC40" s="1533" t="str">
        <f aca="false">IF(W40="","",LOOKUP(W40,$B$49:$B$59,$P$49:$P$59)*X40)</f>
        <v/>
      </c>
      <c r="BD40" s="654" t="str">
        <f aca="false">IF(Y40="","",LOOKUP(Y40,$B$49:$B$59,$P$49:$P$59)*Z40)</f>
        <v/>
      </c>
      <c r="BE40" s="1430"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584" t="n">
        <f aca="false">SUM(BC40:BL40)*BQ40</f>
        <v>0</v>
      </c>
      <c r="BN40" s="1536" t="n">
        <f aca="false">BM40+BO40</f>
        <v>0</v>
      </c>
      <c r="BO40" s="1536" t="n">
        <f aca="false">IF(M40=0,0,(M40/12+M40/12)/(M40/12*M40/12)*D40*((L40/16*L40/16)*10.6870159))*(1+K$70)*BQ40</f>
        <v>0</v>
      </c>
      <c r="BP40" s="1536" t="n">
        <f aca="false">IF(O40="Y",D40*(1+K$71)*BQ40,0)</f>
        <v>0</v>
      </c>
      <c r="BQ40" s="1538" t="n">
        <f aca="false">G40</f>
        <v>0</v>
      </c>
      <c r="BR40" s="1411" t="n">
        <f aca="false">IF(O40="y",D40,0)</f>
        <v>0</v>
      </c>
      <c r="BS40" s="1567" t="n">
        <f aca="false">IF($I40=1,$Q40,0)*BQ40</f>
        <v>0</v>
      </c>
      <c r="BT40" s="1536" t="n">
        <f aca="false">IF($I40=2,$Q40,0)*BQ40</f>
        <v>0</v>
      </c>
      <c r="BU40" s="1536" t="n">
        <f aca="false">IF($I40=3,$Q40,0)*BQ40</f>
        <v>0</v>
      </c>
      <c r="BV40" s="1536" t="n">
        <f aca="false">IF($I40=4,$Q40,0)*BQ40</f>
        <v>0</v>
      </c>
      <c r="BW40" s="1536" t="n">
        <f aca="false">IF($I40=5,$Q40,0)*BQ40</f>
        <v>0</v>
      </c>
      <c r="BX40" s="1536" t="n">
        <f aca="false">IF($I40=6,$Q40,0)*$BQ40</f>
        <v>0</v>
      </c>
      <c r="BY40" s="1536" t="n">
        <f aca="false">IF($I40=7,$Q40,0)*$BQ40</f>
        <v>0</v>
      </c>
      <c r="BZ40" s="1536" t="n">
        <f aca="false">IF($I40=8,$Q40,0)*$BQ40</f>
        <v>0</v>
      </c>
      <c r="CA40" s="1536" t="n">
        <f aca="false">IF($I40=9,$Q40,0)*$BQ40</f>
        <v>0</v>
      </c>
      <c r="CB40" s="1568" t="n">
        <f aca="false">IF($I40=10,$Q40,0)*$BQ40</f>
        <v>0</v>
      </c>
      <c r="CC40" s="1538" t="n">
        <f aca="false">SUM(BS40:BX40)</f>
        <v>0</v>
      </c>
      <c r="CD40" s="1538" t="n">
        <f aca="false">IF(H40="N",0,D40)*BQ40</f>
        <v>0</v>
      </c>
      <c r="CE40" s="1538" t="n">
        <f aca="false">K40*BQ40</f>
        <v>0</v>
      </c>
      <c r="CF40" s="1542" t="n">
        <f aca="false">ROUND(IF(W40="",0,LOOKUP(W40,B$49:B$59,D$49:D$59)*X40/12),0)</f>
        <v>0</v>
      </c>
      <c r="CG40" s="1542" t="n">
        <f aca="false">ROUND(IF(Y40="",0,LOOKUP(Y40,B$49:B$59,D$49:D$59)*Z40/12),0)</f>
        <v>0</v>
      </c>
      <c r="CH40" s="1542" t="n">
        <f aca="false">ROUND(IF(AA40="",0,LOOKUP(AA40,B$49:B$59,D$49:D$59)*AB40/12),0)</f>
        <v>0</v>
      </c>
      <c r="CI40" s="1538" t="n">
        <f aca="false">D40*BQ40</f>
        <v>0</v>
      </c>
      <c r="CJ40" s="1538" t="n">
        <f aca="false">D40*J40/324*(1+K$73)*G40</f>
        <v>0</v>
      </c>
      <c r="CK40" s="1538" t="str">
        <f aca="false">IF(N40="","",N40)</f>
        <v/>
      </c>
      <c r="CL40" s="1538" t="n">
        <f aca="false">P40*BQ40</f>
        <v>0</v>
      </c>
      <c r="CM40" s="1543" t="n">
        <f aca="false">IF(BQ40=0,0,SUM(CN40:DE40)/BQ40)</f>
        <v>0</v>
      </c>
      <c r="CN40" s="656" t="n">
        <f aca="false">(BS40*Pricing!F$3+BT40*Pricing!G$3+BU40*Pricing!H$3+BV40*Pricing!I$3+BW40*Pricing!J$3+BX40*Pricing!K$3+BY40*Pricing!L$3+BZ40*Pricing!M$3+CA40*Pricing!N$3+CB40*Pricing!O$3)*IF(W$44="N",(1+Y$44),1)</f>
        <v>0</v>
      </c>
      <c r="CO40" s="656" t="n">
        <f aca="false">BN40*G$70*IF(W$44="n",1+Y$44,1)</f>
        <v>0</v>
      </c>
      <c r="CP40" s="1544" t="n">
        <f aca="false">C40*D40</f>
        <v>0</v>
      </c>
      <c r="CQ40" s="656" t="n">
        <f aca="false">IF(I$79=0,0,D40*(SUM(O$79:P$82)+O$85)/I$79*BQ40)</f>
        <v>0</v>
      </c>
      <c r="CR40" s="656" t="n">
        <f aca="false">IF(CF40="",0,CF40*E$83)+IF(CG40="",0,CG40*E$83)+IF(CH40="",0,CH40*E$83)</f>
        <v>0</v>
      </c>
      <c r="CS40" s="656"/>
      <c r="CT40" s="1545" t="n">
        <f aca="false">(U40/2000)*E$87</f>
        <v>0</v>
      </c>
      <c r="CU40" s="656" t="n">
        <f aca="false">IF(I$79=0,0,D40*(O$88)/I$79*BQ40)</f>
        <v>0</v>
      </c>
      <c r="CV40" s="656" t="n">
        <f aca="false">IF(D$42=0,0,SUM(O$91:P$94)/D$42*D40)*BQ40</f>
        <v>0</v>
      </c>
      <c r="CW40" s="656" t="n">
        <f aca="false">IF(D$42=0,0,SUM(Z$66:Z$97)/D$42*D40*BQ40)</f>
        <v>0</v>
      </c>
      <c r="CX40" s="656" t="n">
        <f aca="false">IF(D$42=0,0,SUM(O$96:P$101)/D$42*D40)*BQ40</f>
        <v>0</v>
      </c>
      <c r="CY40" s="656" t="n">
        <f aca="false">IF(D$42=0,0,SUM(O$103:O$109)/D$42)*D40*BQ40</f>
        <v>0</v>
      </c>
      <c r="CZ40" s="656" t="n">
        <f aca="false">IF(I$79=0,0,IF(I$79=0,0,SUM(Z$98:Z$109)/I$79*D40))</f>
        <v>0</v>
      </c>
      <c r="DA40" s="656" t="n">
        <f aca="false">IF(J$72&gt;0,J$72/D$42*D40*G40,CD40*(G$72*IF(W$44="n",(1+Y$44),1)))</f>
        <v>0</v>
      </c>
      <c r="DB40" s="656" t="n">
        <f aca="false">IF(CK40="",0,CK40*E$86)</f>
        <v>0</v>
      </c>
      <c r="DC40" s="656" t="n">
        <f aca="false">BP40*G$71*IF(W$44="Y",1,1+Y$44)</f>
        <v>0</v>
      </c>
      <c r="DD40" s="656" t="n">
        <f aca="false">CJ40*G$73*IF(W$44="Y",1,1+Y$44)</f>
        <v>0</v>
      </c>
      <c r="DE40" s="1546" t="e">
        <f aca="false">O$110/I$79*D40</f>
        <v>#DIV/0!</v>
      </c>
      <c r="DF40" s="654" t="n">
        <f aca="false">IF(W40=1,X40*$AS$49,0)+IF(W40=2,X40*$AS$50,0)+IF(W40=3,X40*$AS$51,0)+IF(W40=4,X40*$AS$52,0)+IF(W40=5,X40*$AS$53,0)+IF(W40=6,X40*$AS$54)+IF(W40=7,X40*$AS$55)+IF(W40=8,X40*$AS$56)+IF(W40=9,X40*$AS$57)+IF(W40=10,X40*$AS$58)+IF(W40=11,X40*$AS$59,0)</f>
        <v>0</v>
      </c>
      <c r="DG40" s="654" t="n">
        <f aca="false">IF(Y40=1,Z40*$AS$49,0)+IF(Y40=2,Z40*$AS$50,0)+IF(Y40=3,Z40*$AS$51,0)+IF(Y40=4,Z40*$AS$52,0)+IF(Y40=5,Z40*$AS$53,0)+IF(Y40=6,Z40*$AS$54)+IF(Y40=7,Z40*$AS$55)+IF(Y40=8,Z40*$AS$56)+IF(Y40=9,Z40*$AS$57)+IF(Y40=10,Z40*$AS$58)+IF(Y40=11,Z40*$AS$59,0)</f>
        <v>0</v>
      </c>
      <c r="DH40" s="654" t="n">
        <f aca="false">IF(AA40=1,AB40*$AS$49,0)+IF(AA40=2,AB40*$AS$50,0)+IF(AA40=3,AB40*$AS$51,0)+IF(AA40=4,AB40*$AS$52,0)+IF(AA40=5,AB40*$AS$53,0)+IF(AA40=6,AB40*$AS$54)+IF(AA40=7,AB40*$AS$55)+IF(AA40=8,AB40*$AS$56)+IF(AA40=9,AB40*$AS$57)+IF(AA40=10,AB40*$AS$58)+IF(AA40=11,AB40*$AS$59,0)</f>
        <v>0</v>
      </c>
      <c r="DI40" s="654" t="n">
        <f aca="false">IF(AC40=1,AD40*$AS$49,0)+IF(AC40=2,AD40*$AS$50,0)+IF(AC40=3,AD40*$AS$51,0)+IF(AC40=4,AD40*$AS$52,0)+IF(AC40=5,AD40*$AS$53,0)+IF(AC40=6,AD40*$AS$54)+IF(AC40=7,AD40*$AS$55)+IF(AC40=8,AD40*$AS$56)+IF(AC40=9,AD40*$AS$57)+IF(AC40=10,AD40*$AS$58)+IF(AC40=11,AD40*$AS$59,0)</f>
        <v>0</v>
      </c>
      <c r="DJ40" s="654" t="n">
        <f aca="false">IF(AE40=1,AF40*$AS$49,0)+IF(AE40=2,AF40*$AS$50,0)+IF(AE40=3,AF40*$AS$51,0)+IF(AE40=4,AF40*$AS$52,0)+IF(AE40=5,AF40*$AS$53,0)+IF(AE40=6,AF40*$AS$54)+IF(AE40=7,AF40*$AS$55)+IF(AE40=8,AF40*$AS$56)+IF(AE40=9,AF40*$AS$57)+IF(AE40=10,AF40*$AS$58)+IF(AE40=11,AF40*$AS$59,0)</f>
        <v>0</v>
      </c>
      <c r="DK40" s="654" t="n">
        <f aca="false">IF(AG40=1,AH40*$AS$49,0)+IF(AG40=2,AH40*$AS$50,0)+IF(AG40=3,AH40*$AS$51,0)+IF(AG40=4,AH40*$AS$52,0)+IF(AG40=5,AH40*$AS$53,0)+IF(AG40=6,AH40*$AS$54)+IF(AG40=7,AH40*$AS$55)+IF(AG40=8,AH40*$AS$56)+IF(AG40=9,AH40*$AS$57)+IF(AG40=10,AH40*$AS$58)+IF(AG40=11,AH40*$AS$59,0)</f>
        <v>0</v>
      </c>
      <c r="DL40" s="654" t="n">
        <f aca="false">IF(AI40=1,AJ40*$AS$49,0)+IF(AI40=2,AJ40*$AS$50,0)+IF(AI40=3,AJ40*$AS$51,0)+IF(AI40=4,AJ40*$AS$52,0)+IF(AI40=5,AJ40*$AS$53,0)+IF(AI40=6,AJ40*$AS$54)+IF(AI40=7,AJ40*$AS$55)+IF(AI40=8,AJ40*$AS$56)+IF(AI40=9,AJ40*$AS$57)+IF(AI40=10,AJ40*$AS$58)+IF(AI40=11,AJ40*$AS$59,0)</f>
        <v>0</v>
      </c>
      <c r="DM40" s="654" t="n">
        <f aca="false">IF(AK40=1,AL40*$AS$49,0)+IF(AK40=2,AL40*$AS$50,0)+IF(AK40=3,AL40*$AS$51,0)+IF(AK40=4,AL40*$AS$52,0)+IF(AK40=5,AL40*$AS$53,0)+IF(AK40=6,AL40*$AS$54)+IF(AK40=7,AL40*$AS$55)+IF(AK40=8,AL40*$AS$56)+IF(AK40=9,AL40*$AS$57)+IF(AK40=10,AL40*$AS$58)+IF(AK40=11,AL40*$AS$59,0)</f>
        <v>0</v>
      </c>
      <c r="DN40" s="654" t="n">
        <f aca="false">IF(AM40=1,AN40*$AS$49,0)+IF(AM40=2,AN40*$AS$50,0)+IF(AM40=3,AN40*$AS$51,0)+IF(AM40=4,AN40*$AS$52,0)+IF(AM40=5,AN40*$AS$53,0)+IF(AM40=6,AN40*$AS$54)+IF(AM40=7,AN40*$AS$55)+IF(AM40=8,AN40*$AS$56)+IF(AM40=9,AN40*$AS$57)+IF(AM40=10,AN40*$AS$58)+IF(AM40=11,AN40*$AS$59,0)</f>
        <v>0</v>
      </c>
      <c r="DO40" s="654" t="n">
        <f aca="false">IF(AO40=1,AP40*$AS$49,0)+IF(AO40=2,AP40*$AS$50,0)+IF(AO40=3,AP40*$AS$51,0)+IF(AO40=4,AP40*$AS$52,0)+IF(AO40=5,AP40*$AS$53,0)+IF(AO40=6,AP40*$AS$54)+IF(AO40=7,AP40*$AS$55)+IF(AO40=8,AP40*$AS$56)+IF(AO40=9,AP40*$AS$57)+IF(AO40=10,AP40*$AS$58)+IF(AO40=11,AP40*$AS$59,0)</f>
        <v>0</v>
      </c>
      <c r="DP40" s="1569" t="n">
        <f aca="false">D40</f>
        <v>0</v>
      </c>
    </row>
    <row r="41" customFormat="false" ht="19.5" hidden="false" customHeight="true" outlineLevel="0" collapsed="false">
      <c r="A41" s="16" t="s">
        <v>1586</v>
      </c>
      <c r="B41" s="1599"/>
      <c r="C41" s="1600"/>
      <c r="D41" s="1601"/>
      <c r="E41" s="1602"/>
      <c r="F41" s="1603"/>
      <c r="G41" s="1604"/>
      <c r="H41" s="1605"/>
      <c r="I41" s="1606"/>
      <c r="J41" s="1607"/>
      <c r="K41" s="1608"/>
      <c r="L41" s="1605"/>
      <c r="M41" s="1609"/>
      <c r="N41" s="1610"/>
      <c r="O41" s="1611"/>
      <c r="P41" s="1612" t="n">
        <f aca="false">IF(BQ41=0,0,BN41/BQ41)</f>
        <v>0</v>
      </c>
      <c r="Q41" s="1613" t="n">
        <f aca="false">(D41*F41/324)*(1+K$65)+BB41</f>
        <v>0</v>
      </c>
      <c r="R41" s="1614" t="n">
        <f aca="false">IF(D41=0,0,S41/D41)</f>
        <v>0</v>
      </c>
      <c r="S41" s="1518" t="e">
        <f aca="false">SUM(CM41-DE41)*(1+M$45)</f>
        <v>#DIV/0!</v>
      </c>
      <c r="T41" s="1519" t="n">
        <f aca="false">CF41+CG41+CH41</f>
        <v>0</v>
      </c>
      <c r="U41" s="1520" t="n">
        <f aca="false">IF(P41-(D41*0.35)&lt;0,0,P41-(D41*0.35))</f>
        <v>0</v>
      </c>
      <c r="V41" s="1521" t="n">
        <f aca="false">IF(D41="",0,IF(D41/-30+Q41&lt;1,0,D41/-30+Q41))</f>
        <v>0</v>
      </c>
      <c r="W41" s="1605"/>
      <c r="X41" s="1609"/>
      <c r="Y41" s="1605"/>
      <c r="Z41" s="1615"/>
      <c r="AA41" s="1605"/>
      <c r="AB41" s="1615"/>
      <c r="AC41" s="1605"/>
      <c r="AD41" s="1609"/>
      <c r="AE41" s="1605"/>
      <c r="AF41" s="1609"/>
      <c r="AG41" s="1605"/>
      <c r="AH41" s="1609"/>
      <c r="AI41" s="1605"/>
      <c r="AJ41" s="1609"/>
      <c r="AK41" s="1605"/>
      <c r="AL41" s="1609"/>
      <c r="AM41" s="1605"/>
      <c r="AN41" s="1615"/>
      <c r="AO41" s="1605"/>
      <c r="AP41" s="1615"/>
      <c r="AQ41" s="654"/>
      <c r="AR41" s="1533" t="str">
        <f aca="false">IF(W41="","",LOOKUP(W41,$B$49:$B$59,$R$49:$R$59)*X41)</f>
        <v/>
      </c>
      <c r="AS41" s="1616" t="str">
        <f aca="false">IF(Y41="","",LOOKUP(Y41,$B$49:$B$59,$R$49:$R$59)*Z41)</f>
        <v/>
      </c>
      <c r="AT41" s="1616" t="str">
        <f aca="false">IF(AB41="","",LOOKUP(AA41,$B$49:$B$59,$R$49:$R$59)*AB41)</f>
        <v/>
      </c>
      <c r="AU41" s="1616" t="str">
        <f aca="false">IF(AC41="","",LOOKUP(AC41,$B$49:$B$59,$R$49:$R$59)*AD41)</f>
        <v/>
      </c>
      <c r="AV41" s="1616" t="str">
        <f aca="false">IF(AE41="","",LOOKUP(AE41,$B$49:$B$59,$R$49:$R$59)*AF41)</f>
        <v/>
      </c>
      <c r="AW41" s="1616" t="str">
        <f aca="false">IF(AG41="","",LOOKUP(AG41,$B$49:$B$59,$R$49:$R$59)*AH41)</f>
        <v/>
      </c>
      <c r="AX41" s="1616" t="str">
        <f aca="false">IF(AI41="","",LOOKUP(AI41,$B$49:$B$59,$R$49:$R$59)*AJ41)</f>
        <v/>
      </c>
      <c r="AY41" s="1616" t="str">
        <f aca="false">IF(AK41="","",LOOKUP(AK41,$B$49:$B$59,$R$49:$R$59)*AL41)</f>
        <v/>
      </c>
      <c r="AZ41" s="1616" t="str">
        <f aca="false">IF(AM41="","",LOOKUP(AM41,$B$49:$B$59,$R$49:$R$59)*AN41)</f>
        <v/>
      </c>
      <c r="BA41" s="1616" t="str">
        <f aca="false">IF(AO41="","",LOOKUP(AO41,$B$49:$B$59,$R$49:$R$59)*AP41)</f>
        <v/>
      </c>
      <c r="BB41" s="1617" t="n">
        <f aca="false">SUM(AR41:BA41)</f>
        <v>0</v>
      </c>
      <c r="BC41" s="1618" t="str">
        <f aca="false">IF(W41="","",LOOKUP(W41,$B$49:$B$59,$P$49:$P$59)*X41)</f>
        <v/>
      </c>
      <c r="BD41" s="726" t="str">
        <f aca="false">IF(Y41="","",LOOKUP(Y41,$B$49:$B$59,$P$49:$P$59)*Z41)</f>
        <v/>
      </c>
      <c r="BE41" s="1616" t="str">
        <f aca="false">IF(AA41="","",LOOKUP(AA41,$B$49:$B$59,$P$49:$P$59)*AB41)</f>
        <v/>
      </c>
      <c r="BF41" s="726" t="str">
        <f aca="false">IF(AC41="","",LOOKUP(AC41,$B$49:$B$59,$P$49:$P$59)*AD41)</f>
        <v/>
      </c>
      <c r="BG41" s="726" t="str">
        <f aca="false">IF(AE41="","",LOOKUP(AE41,$B$49:$B$59,$P$49:$P$59)*AF41)</f>
        <v/>
      </c>
      <c r="BH41" s="726" t="str">
        <f aca="false">IF(AG41="","",LOOKUP(AG41,$B$49:$B$59,$P$49:$P$59)*AH41)</f>
        <v/>
      </c>
      <c r="BI41" s="726" t="str">
        <f aca="false">IF(AI41="","",LOOKUP(AI41,$B$49:$B$59,$P$49:$P$59)*AJ41)</f>
        <v/>
      </c>
      <c r="BJ41" s="726" t="str">
        <f aca="false">IF(AK41="","",LOOKUP(AK41,$B$49:$B$59,$P$49:$P$59)*AL41)</f>
        <v/>
      </c>
      <c r="BK41" s="726" t="str">
        <f aca="false">IF(AM41="","",LOOKUP(AM41,$B$49:$B$59,$P$49:$P$59)*AN41)</f>
        <v/>
      </c>
      <c r="BL41" s="726" t="str">
        <f aca="false">IF(AO41="","",LOOKUP(AO41,$B$49:$B$59,$P$49:$P$59)*AP41)</f>
        <v/>
      </c>
      <c r="BM41" s="1619" t="n">
        <f aca="false">SUM(BC41:BL41)*BQ41</f>
        <v>0</v>
      </c>
      <c r="BN41" s="1536" t="n">
        <f aca="false">BM41+BO41</f>
        <v>0</v>
      </c>
      <c r="BO41" s="1536" t="n">
        <f aca="false">IF(M41=0,0,(M41/12+M41/12)/(M41/12*M41/12)*D41*((L41/16*L41/16)*10.6870159))*(1+K$70)*BQ41</f>
        <v>0</v>
      </c>
      <c r="BP41" s="1536" t="n">
        <f aca="false">IF(O41="Y",D41*(1+K$71)*BQ41,0)</f>
        <v>0</v>
      </c>
      <c r="BQ41" s="1538" t="n">
        <f aca="false">G41</f>
        <v>0</v>
      </c>
      <c r="BR41" s="1411" t="n">
        <f aca="false">IF(O41="y",D41,0)</f>
        <v>0</v>
      </c>
      <c r="BS41" s="1620" t="n">
        <f aca="false">IF($I41=1,$Q41,0)*BQ41</f>
        <v>0</v>
      </c>
      <c r="BT41" s="1621" t="n">
        <f aca="false">IF($I41=2,$Q41,0)*BQ41</f>
        <v>0</v>
      </c>
      <c r="BU41" s="1621" t="n">
        <f aca="false">IF($I41=3,$Q41,0)*BQ41</f>
        <v>0</v>
      </c>
      <c r="BV41" s="1621" t="n">
        <f aca="false">IF($I41=4,$Q41,0)*BQ41</f>
        <v>0</v>
      </c>
      <c r="BW41" s="1621" t="n">
        <f aca="false">IF($I41=5,$Q41,0)*BQ41</f>
        <v>0</v>
      </c>
      <c r="BX41" s="1621" t="n">
        <f aca="false">IF($I41=6,$Q41,0)*$BQ41</f>
        <v>0</v>
      </c>
      <c r="BY41" s="1621" t="n">
        <f aca="false">IF($I41=7,$Q41,0)*$BQ41</f>
        <v>0</v>
      </c>
      <c r="BZ41" s="1621" t="n">
        <f aca="false">IF($I41=8,$Q41,0)*$BQ41</f>
        <v>0</v>
      </c>
      <c r="CA41" s="1621" t="n">
        <f aca="false">IF($I41=9,$Q41,0)*$BQ41</f>
        <v>0</v>
      </c>
      <c r="CB41" s="1622" t="n">
        <f aca="false">IF($I41=10,$Q41,0)*$BQ41</f>
        <v>0</v>
      </c>
      <c r="CC41" s="1538" t="n">
        <f aca="false">SUM(BS41:BX41)</f>
        <v>0</v>
      </c>
      <c r="CD41" s="1538" t="n">
        <f aca="false">IF(H41="N",0,D41)*BQ41</f>
        <v>0</v>
      </c>
      <c r="CE41" s="1538" t="n">
        <f aca="false">K41*BQ41</f>
        <v>0</v>
      </c>
      <c r="CF41" s="1542" t="n">
        <f aca="false">ROUND(IF(W41="",0,LOOKUP(W41,B$49:B$59,D$49:D$59)*X41/12),0)</f>
        <v>0</v>
      </c>
      <c r="CG41" s="1542" t="n">
        <f aca="false">ROUND(IF(Y41="",0,LOOKUP(Y41,B$49:B$59,D$49:D$59)*Z41/12),0)</f>
        <v>0</v>
      </c>
      <c r="CH41" s="1542" t="n">
        <f aca="false">ROUND(IF(AA41="",0,LOOKUP(AA41,B$49:B$59,D$49:D$59)*AB41/12),0)</f>
        <v>0</v>
      </c>
      <c r="CI41" s="1538" t="n">
        <f aca="false">D41*BQ41</f>
        <v>0</v>
      </c>
      <c r="CJ41" s="1538" t="n">
        <f aca="false">D41*J41/324*(1+K$73)*G41</f>
        <v>0</v>
      </c>
      <c r="CK41" s="1538" t="str">
        <f aca="false">IF(N41="","",N41)</f>
        <v/>
      </c>
      <c r="CL41" s="1538" t="n">
        <f aca="false">P41*BQ41</f>
        <v>0</v>
      </c>
      <c r="CM41" s="1543" t="n">
        <f aca="false">IF(BQ41=0,0,SUM(CN41:DE41)/BQ41)</f>
        <v>0</v>
      </c>
      <c r="CN41" s="656" t="n">
        <f aca="false">(BS41*Pricing!F$3+BT41*Pricing!G$3+BU41*Pricing!H$3+BV41*Pricing!I$3+BW41*Pricing!J$3+BX41*Pricing!K$3+BY41*Pricing!L$3+BZ41*Pricing!M$3+CA41*Pricing!N$3+CB41*Pricing!O$3)*IF(W$44="N",(1+Y$44),1)</f>
        <v>0</v>
      </c>
      <c r="CO41" s="656" t="n">
        <f aca="false">BN41*G$70*IF(W$44="n",1+Y$44,1)</f>
        <v>0</v>
      </c>
      <c r="CP41" s="1544" t="n">
        <f aca="false">C41*D41</f>
        <v>0</v>
      </c>
      <c r="CQ41" s="656" t="n">
        <f aca="false">IF(I$79=0,0,D41*(SUM(O$79:P$82)+O$85)/I$79*BQ41)</f>
        <v>0</v>
      </c>
      <c r="CR41" s="656" t="n">
        <f aca="false">IF(CF41="",0,CF41*E$83)+IF(CG41="",0,CG41*E$83)+IF(CH41="",0,CH41*E$83)</f>
        <v>0</v>
      </c>
      <c r="CS41" s="656"/>
      <c r="CT41" s="1545" t="n">
        <f aca="false">(U41/2000)*E$87</f>
        <v>0</v>
      </c>
      <c r="CU41" s="656" t="n">
        <f aca="false">IF(I$79=0,0,D41*(O$88)/I$79*BQ41)</f>
        <v>0</v>
      </c>
      <c r="CV41" s="656" t="n">
        <f aca="false">IF(D$42=0,0,SUM(O$91:P$94)/D$42*D41)*BQ41</f>
        <v>0</v>
      </c>
      <c r="CW41" s="656" t="n">
        <f aca="false">IF(D$42=0,0,SUM(Z$66:Z$97)/D$42*D41*BQ41)</f>
        <v>0</v>
      </c>
      <c r="CX41" s="656" t="n">
        <f aca="false">IF(D$42=0,0,SUM(O$96:P$101)/D$42*D41)*BQ41</f>
        <v>0</v>
      </c>
      <c r="CY41" s="656" t="n">
        <f aca="false">IF(D$42=0,0,SUM(O$103:O$109)/D$42)*D41*BQ41</f>
        <v>0</v>
      </c>
      <c r="CZ41" s="656" t="n">
        <f aca="false">IF(I$79=0,0,IF(I$79=0,0,SUM(Z$98:Z$109)/I$79*D41))</f>
        <v>0</v>
      </c>
      <c r="DA41" s="656" t="n">
        <f aca="false">IF(J$72&gt;0,J$72/D$42*D41*G41,CD41*(G$72*IF(W$44="n",(1+Y$44),1)))</f>
        <v>0</v>
      </c>
      <c r="DB41" s="656" t="n">
        <f aca="false">IF(CK41="",0,CK41*E$86)</f>
        <v>0</v>
      </c>
      <c r="DC41" s="656" t="n">
        <f aca="false">BP41*G$71*IF(W$44="Y",1,1+Y$44)</f>
        <v>0</v>
      </c>
      <c r="DD41" s="656" t="n">
        <f aca="false">CJ41*G$73*IF(W$44="Y",1,1+Y$44)</f>
        <v>0</v>
      </c>
      <c r="DE41" s="1546" t="e">
        <f aca="false">O$110/I$79*D41</f>
        <v>#DIV/0!</v>
      </c>
      <c r="DF41" s="654" t="n">
        <f aca="false">IF(W41=1,X41*$AS$49,0)+IF(W41=2,X41*$AS$50,0)+IF(W41=3,X41*$AS$51,0)+IF(W41=4,X41*$AS$52,0)+IF(W41=5,X41*$AS$53,0)+IF(W41=6,X41*$AS$54)+IF(W41=7,X41*$AS$55)+IF(W41=8,X41*$AS$56)+IF(W41=9,X41*$AS$57)+IF(W41=10,X41*$AS$58)+IF(W41=11,X41*$AS$59,0)</f>
        <v>0</v>
      </c>
      <c r="DG41" s="654" t="n">
        <f aca="false">IF(Y41=1,Z41*$AS$49,0)+IF(Y41=2,Z41*$AS$50,0)+IF(Y41=3,Z41*$AS$51,0)+IF(Y41=4,Z41*$AS$52,0)+IF(Y41=5,Z41*$AS$53,0)+IF(Y41=6,Z41*$AS$54)+IF(Y41=7,Z41*$AS$55)+IF(Y41=8,Z41*$AS$56)+IF(Y41=9,Z41*$AS$57)+IF(Y41=10,Z41*$AS$58)+IF(Y41=11,Z41*$AS$59,0)</f>
        <v>0</v>
      </c>
      <c r="DH41" s="654" t="n">
        <f aca="false">IF(AA41=1,AB41*$AS$49,0)+IF(AA41=2,AB41*$AS$50,0)+IF(AA41=3,AB41*$AS$51,0)+IF(AA41=4,AB41*$AS$52,0)+IF(AA41=5,AB41*$AS$53,0)+IF(AA41=6,AB41*$AS$54)+IF(AA41=7,AB41*$AS$55)+IF(AA41=8,AB41*$AS$56)+IF(AA41=9,AB41*$AS$57)+IF(AA41=10,AB41*$AS$58)+IF(AA41=11,AB41*$AS$59,0)</f>
        <v>0</v>
      </c>
      <c r="DI41" s="654" t="n">
        <f aca="false">IF(AC41=1,AD41*$AS$49,0)+IF(AC41=2,AD41*$AS$50,0)+IF(AC41=3,AD41*$AS$51,0)+IF(AC41=4,AD41*$AS$52,0)+IF(AC41=5,AD41*$AS$53,0)+IF(AC41=6,AD41*$AS$54)+IF(AC41=7,AD41*$AS$55)+IF(AC41=8,AD41*$AS$56)+IF(AC41=9,AD41*$AS$57)+IF(AC41=10,AD41*$AS$58)+IF(AC41=11,AD41*$AS$59,0)</f>
        <v>0</v>
      </c>
      <c r="DJ41" s="654" t="n">
        <f aca="false">IF(AE41=1,AF41*$AS$49,0)+IF(AE41=2,AF41*$AS$50,0)+IF(AE41=3,AF41*$AS$51,0)+IF(AE41=4,AF41*$AS$52,0)+IF(AE41=5,AF41*$AS$53,0)+IF(AE41=6,AF41*$AS$54)+IF(AE41=7,AF41*$AS$55)+IF(AE41=8,AF41*$AS$56)+IF(AE41=9,AF41*$AS$57)+IF(AE41=10,AF41*$AS$58)+IF(AE41=11,AF41*$AS$59,0)</f>
        <v>0</v>
      </c>
      <c r="DK41" s="654" t="n">
        <f aca="false">IF(AG41=1,AH41*$AS$49,0)+IF(AG41=2,AH41*$AS$50,0)+IF(AG41=3,AH41*$AS$51,0)+IF(AG41=4,AH41*$AS$52,0)+IF(AG41=5,AH41*$AS$53,0)+IF(AG41=6,AH41*$AS$54)+IF(AG41=7,AH41*$AS$55)+IF(AG41=8,AH41*$AS$56)+IF(AG41=9,AH41*$AS$57)+IF(AG41=10,AH41*$AS$58)+IF(AG41=11,AH41*$AS$59,0)</f>
        <v>0</v>
      </c>
      <c r="DL41" s="654" t="n">
        <f aca="false">IF(AI41=1,AJ41*$AS$49,0)+IF(AI41=2,AJ41*$AS$50,0)+IF(AI41=3,AJ41*$AS$51,0)+IF(AI41=4,AJ41*$AS$52,0)+IF(AI41=5,AJ41*$AS$53,0)+IF(AI41=6,AJ41*$AS$54)+IF(AI41=7,AJ41*$AS$55)+IF(AI41=8,AJ41*$AS$56)+IF(AI41=9,AJ41*$AS$57)+IF(AI41=10,AJ41*$AS$58)+IF(AI41=11,AJ41*$AS$59,0)</f>
        <v>0</v>
      </c>
      <c r="DM41" s="654" t="n">
        <f aca="false">IF(AK41=1,AL41*$AS$49,0)+IF(AK41=2,AL41*$AS$50,0)+IF(AK41=3,AL41*$AS$51,0)+IF(AK41=4,AL41*$AS$52,0)+IF(AK41=5,AL41*$AS$53,0)+IF(AK41=6,AL41*$AS$54)+IF(AK41=7,AL41*$AS$55)+IF(AK41=8,AL41*$AS$56)+IF(AK41=9,AL41*$AS$57)+IF(AK41=10,AL41*$AS$58)+IF(AK41=11,AL41*$AS$59,0)</f>
        <v>0</v>
      </c>
      <c r="DN41" s="654" t="n">
        <f aca="false">IF(AM41=1,AN41*$AS$49,0)+IF(AM41=2,AN41*$AS$50,0)+IF(AM41=3,AN41*$AS$51,0)+IF(AM41=4,AN41*$AS$52,0)+IF(AM41=5,AN41*$AS$53,0)+IF(AM41=6,AN41*$AS$54)+IF(AM41=7,AN41*$AS$55)+IF(AM41=8,AN41*$AS$56)+IF(AM41=9,AN41*$AS$57)+IF(AM41=10,AN41*$AS$58)+IF(AM41=11,AN41*$AS$59,0)</f>
        <v>0</v>
      </c>
      <c r="DO41" s="654" t="n">
        <f aca="false">IF(AO41=1,AP41*$AS$49,0)+IF(AO41=2,AP41*$AS$50,0)+IF(AO41=3,AP41*$AS$51,0)+IF(AO41=4,AP41*$AS$52,0)+IF(AO41=5,AP41*$AS$53,0)+IF(AO41=6,AP41*$AS$54)+IF(AO41=7,AP41*$AS$55)+IF(AO41=8,AP41*$AS$56)+IF(AO41=9,AP41*$AS$57)+IF(AO41=10,AP41*$AS$58)+IF(AO41=11,AP41*$AS$59,0)</f>
        <v>0</v>
      </c>
      <c r="DP41" s="1569" t="n">
        <f aca="false">D41</f>
        <v>0</v>
      </c>
    </row>
    <row r="42" customFormat="false" ht="34.5" hidden="false" customHeight="true" outlineLevel="0" collapsed="false">
      <c r="B42" s="905" t="n">
        <f aca="false">(C45-9.95)*D42</f>
        <v>-0</v>
      </c>
      <c r="C42" s="5" t="s">
        <v>1587</v>
      </c>
      <c r="D42" s="1623" t="n">
        <f aca="false">SUM(CI42)</f>
        <v>0</v>
      </c>
      <c r="E42" s="1623"/>
      <c r="G42" s="405" t="n">
        <f aca="false">SUM(G10:G41)</f>
        <v>0</v>
      </c>
      <c r="H42" s="654"/>
      <c r="I42" s="654"/>
      <c r="J42" s="654"/>
      <c r="K42" s="1624" t="n">
        <f aca="false">SUM(K10:K41)</f>
        <v>0</v>
      </c>
      <c r="L42" s="654"/>
      <c r="M42" s="654"/>
      <c r="N42" s="654"/>
      <c r="O42" s="654"/>
      <c r="P42" s="654"/>
      <c r="Q42" s="1625" t="n">
        <f aca="false">SUM(Q10:Q41)</f>
        <v>0</v>
      </c>
      <c r="R42" s="1626" t="e">
        <f aca="false">S42-E45</f>
        <v>#DIV/0!</v>
      </c>
      <c r="S42" s="656" t="e">
        <f aca="false">SUM(S10:S41)</f>
        <v>#DIV/0!</v>
      </c>
      <c r="T42" s="656"/>
      <c r="U42" s="1627" t="n">
        <f aca="false">SUM(U10:U41)</f>
        <v>0</v>
      </c>
      <c r="V42" s="656"/>
      <c r="W42" s="1414"/>
      <c r="X42" s="1628" t="s">
        <v>1588</v>
      </c>
      <c r="Y42" s="1629"/>
      <c r="Z42" s="1537"/>
      <c r="AA42" s="1414"/>
      <c r="AB42" s="1414"/>
      <c r="AC42" s="1465"/>
      <c r="AD42" s="1630"/>
      <c r="AE42" s="246"/>
      <c r="AF42" s="246"/>
      <c r="AG42" s="1058"/>
      <c r="AH42" s="1058"/>
      <c r="AI42" s="1058"/>
      <c r="AJ42" s="1058"/>
      <c r="AK42" s="1058"/>
      <c r="AL42" s="726"/>
      <c r="AM42" s="1258"/>
      <c r="AN42" s="654"/>
      <c r="AO42" s="654"/>
      <c r="AP42" s="654"/>
      <c r="AQ42" s="654"/>
      <c r="AR42" s="654"/>
      <c r="AS42" s="654"/>
      <c r="AT42" s="654"/>
      <c r="AU42" s="654"/>
      <c r="AV42" s="654"/>
      <c r="AW42" s="654"/>
      <c r="AX42" s="654"/>
      <c r="AY42" s="654"/>
      <c r="AZ42" s="654"/>
      <c r="BA42" s="654"/>
      <c r="BB42" s="1536" t="n">
        <f aca="false">SUM(BB10:BB41)</f>
        <v>0</v>
      </c>
      <c r="BC42" s="654"/>
      <c r="BD42" s="654"/>
      <c r="BE42" s="654"/>
      <c r="BF42" s="654"/>
      <c r="BG42" s="654"/>
      <c r="BH42" s="654"/>
      <c r="BI42" s="654"/>
      <c r="BJ42" s="654"/>
      <c r="BK42" s="654"/>
      <c r="BL42" s="654"/>
      <c r="BM42" s="1536" t="n">
        <f aca="false">SUM(BM10:BM41)</f>
        <v>0</v>
      </c>
      <c r="BN42" s="1537" t="n">
        <f aca="false">SUM(BN10:BN41)</f>
        <v>0</v>
      </c>
      <c r="BO42" s="1536" t="n">
        <f aca="false">SUM(BO10:BO41)</f>
        <v>0</v>
      </c>
      <c r="BP42" s="654" t="n">
        <f aca="false">SUM(BP10:BP41)</f>
        <v>0</v>
      </c>
      <c r="BQ42" s="1538" t="n">
        <f aca="false">SUM(BQ10:BQ41)/2</f>
        <v>0</v>
      </c>
      <c r="BR42" s="1538" t="n">
        <f aca="false">SUM(BR10:BR41)</f>
        <v>0</v>
      </c>
      <c r="BS42" s="1430" t="n">
        <f aca="false">SUM(BS10:BS41)</f>
        <v>0</v>
      </c>
      <c r="BT42" s="1430" t="n">
        <f aca="false">SUM(BT10:BT41)</f>
        <v>0</v>
      </c>
      <c r="BU42" s="1430" t="n">
        <f aca="false">SUM(BU10:BU41)</f>
        <v>0</v>
      </c>
      <c r="BV42" s="1430" t="n">
        <f aca="false">SUM(BV10:BV41)</f>
        <v>0</v>
      </c>
      <c r="BW42" s="1430" t="n">
        <f aca="false">SUM(BW10:BW41)</f>
        <v>0</v>
      </c>
      <c r="BX42" s="1430" t="n">
        <f aca="false">SUM(BX10:BX41)</f>
        <v>0</v>
      </c>
      <c r="BY42" s="1430" t="n">
        <f aca="false">SUM(BY10:BY41)</f>
        <v>0</v>
      </c>
      <c r="BZ42" s="1430" t="n">
        <f aca="false">SUM(BZ10:BZ41)</f>
        <v>0</v>
      </c>
      <c r="CA42" s="1430" t="n">
        <f aca="false">SUM(CA10:CA41)</f>
        <v>0</v>
      </c>
      <c r="CB42" s="1430" t="n">
        <f aca="false">SUM(CB10:CB41)</f>
        <v>0</v>
      </c>
      <c r="CC42" s="1430" t="n">
        <f aca="false">SUM(CC10:CC41)</f>
        <v>0</v>
      </c>
      <c r="CD42" s="1430" t="n">
        <f aca="false">SUM(CD10:CD41)</f>
        <v>0</v>
      </c>
      <c r="CE42" s="1430" t="n">
        <f aca="false">SUM(CE10:CE41)</f>
        <v>0</v>
      </c>
      <c r="CF42" s="1430" t="n">
        <f aca="false">SUM(CF10:CF41)</f>
        <v>0</v>
      </c>
      <c r="CG42" s="1430" t="n">
        <f aca="false">SUM(CG10:CG41)</f>
        <v>0</v>
      </c>
      <c r="CH42" s="1537" t="n">
        <f aca="false">SUM(CH10:CH41)</f>
        <v>0</v>
      </c>
      <c r="CI42" s="1537" t="n">
        <f aca="false">SUM(CI10:CI41)</f>
        <v>0</v>
      </c>
      <c r="CJ42" s="1537" t="n">
        <f aca="false">SUM(CJ10:CJ41)</f>
        <v>0</v>
      </c>
      <c r="CK42" s="1537" t="n">
        <f aca="false">SUM(CK10:CK41)</f>
        <v>0</v>
      </c>
      <c r="CL42" s="1537" t="n">
        <f aca="false">SUM(CL10:CL41)</f>
        <v>0</v>
      </c>
      <c r="CM42" s="1631" t="n">
        <f aca="false">SUM(CM10:CM41)</f>
        <v>0</v>
      </c>
      <c r="CN42" s="1632" t="n">
        <f aca="false">SUM(CN10:CN41)</f>
        <v>0</v>
      </c>
      <c r="CO42" s="1632" t="n">
        <f aca="false">SUM(CO10:CO41)</f>
        <v>0</v>
      </c>
      <c r="CP42" s="1633" t="n">
        <f aca="false">SUM(CP10:CP41)</f>
        <v>0</v>
      </c>
      <c r="CQ42" s="1634" t="n">
        <f aca="false">SUM(CQ10:CQ41)</f>
        <v>0</v>
      </c>
      <c r="CR42" s="1634" t="n">
        <f aca="false">SUM(CR10:CR41)</f>
        <v>0</v>
      </c>
      <c r="CS42" s="1634" t="n">
        <f aca="false">SUM(CS10:CS41)</f>
        <v>0</v>
      </c>
      <c r="CT42" s="1635" t="n">
        <f aca="false">SUM(CT10:CT41)</f>
        <v>0</v>
      </c>
      <c r="CU42" s="1635" t="n">
        <f aca="false">SUM(CU10:CU41)</f>
        <v>0</v>
      </c>
      <c r="CV42" s="1632" t="n">
        <f aca="false">SUM(CV10:CV41)</f>
        <v>0</v>
      </c>
      <c r="CW42" s="1632" t="n">
        <f aca="false">SUM(CW10:CW41)</f>
        <v>0</v>
      </c>
      <c r="CX42" s="1632" t="n">
        <f aca="false">SUM(CX10:CX41)</f>
        <v>0</v>
      </c>
      <c r="CY42" s="1632" t="n">
        <f aca="false">SUM(CY10:CY41)</f>
        <v>0</v>
      </c>
      <c r="CZ42" s="1632" t="n">
        <f aca="false">SUM(CZ10:CZ41)</f>
        <v>0</v>
      </c>
      <c r="DA42" s="1632" t="n">
        <f aca="false">SUM(DA10:DA41)</f>
        <v>0</v>
      </c>
      <c r="DB42" s="1632" t="n">
        <f aca="false">SUM(DB10:DB41)</f>
        <v>0</v>
      </c>
      <c r="DC42" s="1632" t="n">
        <f aca="false">SUM(DC10:DC41)</f>
        <v>0</v>
      </c>
      <c r="DD42" s="1632" t="n">
        <f aca="false">SUM(DC10:DD41)</f>
        <v>0</v>
      </c>
      <c r="DE42" s="1636" t="e">
        <f aca="false">SUM(DE10:DE41)</f>
        <v>#DIV/0!</v>
      </c>
      <c r="DF42" s="1637" t="n">
        <f aca="false">SUM(DF10:DF41)</f>
        <v>0</v>
      </c>
      <c r="DG42" s="1637" t="n">
        <f aca="false">SUM(DG10:DG41)</f>
        <v>0</v>
      </c>
      <c r="DH42" s="1637"/>
      <c r="DI42" s="1637" t="n">
        <f aca="false">SUM(DI10:DI41)</f>
        <v>0</v>
      </c>
      <c r="DJ42" s="1637" t="n">
        <f aca="false">SUM(DJ10:DJ41)</f>
        <v>0</v>
      </c>
      <c r="DK42" s="1637" t="n">
        <f aca="false">SUM(DK10:DK41)</f>
        <v>0</v>
      </c>
      <c r="DL42" s="1637" t="n">
        <f aca="false">SUM(DL10:DL41)</f>
        <v>0</v>
      </c>
      <c r="DM42" s="1637" t="n">
        <f aca="false">SUM(DM10:DM41)</f>
        <v>0</v>
      </c>
      <c r="DN42" s="1637" t="n">
        <f aca="false">SUM(DN10:DN41)</f>
        <v>0</v>
      </c>
      <c r="DO42" s="1637" t="n">
        <f aca="false">SUM(DO10:DO41)</f>
        <v>0</v>
      </c>
      <c r="DP42" s="1638" t="n">
        <f aca="false">SUM(DP10:DP41)</f>
        <v>0</v>
      </c>
    </row>
    <row r="43" customFormat="false" ht="19.5" hidden="false" customHeight="true" outlineLevel="0" collapsed="false">
      <c r="B43" s="949"/>
      <c r="C43" s="950"/>
      <c r="D43" s="951" t="s">
        <v>1261</v>
      </c>
      <c r="E43" s="1639"/>
      <c r="F43" s="1639"/>
      <c r="G43" s="950"/>
      <c r="H43" s="950"/>
      <c r="I43" s="950"/>
      <c r="J43" s="950"/>
      <c r="K43" s="950"/>
      <c r="L43" s="954"/>
      <c r="M43" s="950"/>
      <c r="N43" s="950"/>
      <c r="O43" s="950"/>
      <c r="P43" s="950"/>
      <c r="Q43" s="1640"/>
      <c r="R43" s="1640"/>
      <c r="S43" s="950"/>
      <c r="T43" s="950"/>
      <c r="U43" s="950"/>
      <c r="V43" s="950"/>
      <c r="W43" s="950"/>
      <c r="X43" s="950"/>
      <c r="Y43" s="950"/>
      <c r="Z43" s="1641"/>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03" t="n">
        <f aca="false">SUM(CN43:DE43)</f>
        <v>0</v>
      </c>
      <c r="CN43" s="1003" t="n">
        <f aca="false">O65+O66+O69</f>
        <v>0</v>
      </c>
      <c r="CO43" s="1003" t="n">
        <f aca="false">O70</f>
        <v>0</v>
      </c>
      <c r="CP43" s="1003" t="n">
        <f aca="false">O84</f>
        <v>0</v>
      </c>
      <c r="CQ43" s="1003" t="n">
        <f aca="false">SUM(O79:P85)-O83-O84+O88</f>
        <v>0</v>
      </c>
      <c r="CR43" s="1003" t="n">
        <f aca="false">O83</f>
        <v>0</v>
      </c>
      <c r="CS43" s="1003"/>
      <c r="CT43" s="1003" t="n">
        <f aca="false">O87</f>
        <v>0</v>
      </c>
      <c r="CU43" s="1003"/>
      <c r="CV43" s="1003" t="n">
        <f aca="false">M92+O94</f>
        <v>0</v>
      </c>
      <c r="CW43" s="1003" t="n">
        <f aca="false">SUM(Z66:Z97)</f>
        <v>0</v>
      </c>
      <c r="CX43" s="1003" t="n">
        <f aca="false">SUM(O96:P101)</f>
        <v>0</v>
      </c>
      <c r="CY43" s="1003" t="n">
        <f aca="false">SUM(O103:P109)</f>
        <v>0</v>
      </c>
      <c r="CZ43" s="1003" t="n">
        <f aca="false">Z98+Z99+Z100+Z105+Z109</f>
        <v>0</v>
      </c>
      <c r="DA43" s="1003" t="n">
        <f aca="false">O72</f>
        <v>0</v>
      </c>
      <c r="DB43" s="1003" t="n">
        <f aca="false">O86</f>
        <v>0</v>
      </c>
      <c r="DC43" s="1003" t="n">
        <f aca="false">O71</f>
        <v>0</v>
      </c>
      <c r="DD43" s="1003" t="n">
        <f aca="false">O73</f>
        <v>0</v>
      </c>
      <c r="DE43" s="1003" t="n">
        <f aca="false">O110</f>
        <v>0</v>
      </c>
      <c r="DF43" s="654" t="n">
        <f aca="false">AB69</f>
        <v>0</v>
      </c>
      <c r="DG43" s="654"/>
      <c r="DH43" s="654"/>
      <c r="DI43" s="654"/>
      <c r="DJ43" s="654"/>
      <c r="DK43" s="654"/>
      <c r="DL43" s="654"/>
      <c r="DM43" s="654"/>
      <c r="DN43" s="654"/>
      <c r="DO43" s="654"/>
    </row>
    <row r="44" customFormat="false" ht="18" hidden="false" customHeight="true" outlineLevel="0" collapsed="false">
      <c r="B44" s="1642" t="s">
        <v>1262</v>
      </c>
      <c r="C44" s="1643"/>
      <c r="D44" s="1643"/>
      <c r="E44" s="1642" t="s">
        <v>982</v>
      </c>
      <c r="F44" s="1644"/>
      <c r="G44" s="1643" t="s">
        <v>1263</v>
      </c>
      <c r="H44" s="1643"/>
      <c r="I44" s="1644"/>
      <c r="J44" s="1167" t="s">
        <v>1264</v>
      </c>
      <c r="K44" s="1168"/>
      <c r="L44" s="1169"/>
      <c r="M44" s="1170" t="s">
        <v>1265</v>
      </c>
      <c r="N44" s="1171"/>
      <c r="O44" s="1171"/>
      <c r="P44" s="1172"/>
      <c r="Q44" s="1645"/>
      <c r="R44" s="1645"/>
      <c r="S44" s="961"/>
      <c r="T44" s="599" t="s">
        <v>1266</v>
      </c>
      <c r="V44" s="16" t="s">
        <v>1267</v>
      </c>
      <c r="W44" s="962" t="str">
        <f aca="false">Summary!P62</f>
        <v>N</v>
      </c>
      <c r="X44" s="833" t="s">
        <v>1268</v>
      </c>
      <c r="Y44" s="963" t="n">
        <f aca="false">Summary!R62</f>
        <v>0.0825</v>
      </c>
      <c r="Z44" s="964"/>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648" t="n">
        <f aca="false">CM42-CM43</f>
        <v>0</v>
      </c>
      <c r="CN44" s="1648" t="n">
        <f aca="false">CN42-CN43</f>
        <v>0</v>
      </c>
      <c r="CO44" s="1648" t="n">
        <f aca="false">CO42-CO43</f>
        <v>0</v>
      </c>
      <c r="CP44" s="1648" t="n">
        <f aca="false">CP42-CP43</f>
        <v>0</v>
      </c>
      <c r="CQ44" s="1648" t="n">
        <f aca="false">CQ42-CQ43</f>
        <v>0</v>
      </c>
      <c r="CR44" s="1648" t="n">
        <f aca="false">CR42-CR43</f>
        <v>0</v>
      </c>
      <c r="CS44" s="1648" t="n">
        <f aca="false">CS42-CS43</f>
        <v>0</v>
      </c>
      <c r="CT44" s="1648" t="n">
        <f aca="false">CT42-CT43</f>
        <v>0</v>
      </c>
      <c r="CU44" s="1648"/>
      <c r="CV44" s="1648" t="n">
        <f aca="false">CV42-CV43</f>
        <v>0</v>
      </c>
      <c r="CW44" s="1648" t="n">
        <f aca="false">CW42-CW43</f>
        <v>0</v>
      </c>
      <c r="CX44" s="1648" t="n">
        <f aca="false">CX42-CX43</f>
        <v>0</v>
      </c>
      <c r="CY44" s="1648" t="n">
        <f aca="false">CY42-CY43</f>
        <v>0</v>
      </c>
      <c r="CZ44" s="1648" t="n">
        <f aca="false">CZ42-CZ43</f>
        <v>0</v>
      </c>
      <c r="DA44" s="1648" t="n">
        <f aca="false">DA42-DA43</f>
        <v>0</v>
      </c>
      <c r="DB44" s="1648" t="n">
        <f aca="false">DB42-DB43</f>
        <v>0</v>
      </c>
      <c r="DC44" s="1648" t="n">
        <f aca="false">DC42-DC43</f>
        <v>0</v>
      </c>
      <c r="DD44" s="1648" t="n">
        <f aca="false">DD42-DD43</f>
        <v>0</v>
      </c>
      <c r="DE44" s="1648" t="e">
        <f aca="false">DE42-DE43</f>
        <v>#DIV/0!</v>
      </c>
      <c r="DF44" s="654"/>
      <c r="DG44" s="654"/>
      <c r="DH44" s="654"/>
      <c r="DI44" s="654"/>
      <c r="DJ44" s="654"/>
      <c r="DK44" s="654"/>
      <c r="DL44" s="654"/>
      <c r="DM44" s="654"/>
      <c r="DN44" s="654"/>
      <c r="DO44" s="654"/>
    </row>
    <row r="45" customFormat="false" ht="18" hidden="false" customHeight="true" outlineLevel="0" collapsed="false">
      <c r="B45" s="965" t="s">
        <v>1269</v>
      </c>
      <c r="C45" s="1649" t="n">
        <f aca="false">IF(I79=0,0,E45/I79)</f>
        <v>0</v>
      </c>
      <c r="D45" s="1649"/>
      <c r="E45" s="967" t="n">
        <f aca="false">(V45-O110)*(1+M45)</f>
        <v>0</v>
      </c>
      <c r="F45" s="967"/>
      <c r="G45" s="1650" t="n">
        <f aca="false">IF(H45=0,0,H45/E45)</f>
        <v>0</v>
      </c>
      <c r="H45" s="736" t="n">
        <f aca="false">(E45-V45)</f>
        <v>0</v>
      </c>
      <c r="I45" s="736"/>
      <c r="J45" s="1651" t="n">
        <f aca="false">IF(D42=0,0,V45/D42)</f>
        <v>0</v>
      </c>
      <c r="K45" s="1652"/>
      <c r="L45" s="1653"/>
      <c r="M45" s="1654" t="n">
        <f aca="false">Summary!P59</f>
        <v>0.18</v>
      </c>
      <c r="N45" s="1655"/>
      <c r="O45" s="1655"/>
      <c r="P45" s="1656"/>
      <c r="Q45" s="1645"/>
      <c r="R45" s="1646"/>
      <c r="S45" s="961"/>
      <c r="T45" s="970" t="s">
        <v>980</v>
      </c>
      <c r="V45" s="1658" t="n">
        <f aca="false">SUM(O65:P77)+SUM(O79:P88)+SUM(L79:M88)+SUM(O91:P93)+SUM(O96:P101)+SUM(O103:P110)+Z110+O94</f>
        <v>0</v>
      </c>
      <c r="W45" s="1658"/>
      <c r="X45" s="1659"/>
      <c r="Y45" s="16"/>
      <c r="Z45" s="964"/>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1003" t="n">
        <f aca="false">CM42*(1+M45)</f>
        <v>0</v>
      </c>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c r="DO45" s="654"/>
    </row>
    <row r="46" customFormat="false" ht="18" hidden="false" customHeight="true" outlineLevel="0" collapsed="false">
      <c r="B46" s="1660"/>
      <c r="C46" s="955"/>
      <c r="D46" s="1661" t="str">
        <f aca="false">IF(ROUND(E46,0)=0,"BINGO!!",IF(ROUND(E46,0)&lt;0,"To Low","T0 High"))</f>
        <v>BINGO!!</v>
      </c>
      <c r="E46" s="1662" t="n">
        <f aca="false">E45-E43</f>
        <v>0</v>
      </c>
      <c r="F46" s="1662"/>
      <c r="G46" s="1663"/>
      <c r="H46" s="1663"/>
      <c r="I46" s="976" t="s">
        <v>1270</v>
      </c>
      <c r="J46" s="977"/>
      <c r="K46" s="1664"/>
      <c r="L46" s="1664"/>
      <c r="M46" s="979"/>
      <c r="N46" s="980" t="n">
        <f aca="false">IF(K46&gt;0,(K46-E45)/(1+M45),0)</f>
        <v>0</v>
      </c>
      <c r="O46" s="1665"/>
      <c r="P46" s="961"/>
      <c r="Q46" s="1645"/>
      <c r="R46" s="1645"/>
      <c r="S46" s="1265"/>
      <c r="T46" s="1666"/>
      <c r="U46" s="961"/>
      <c r="V46" s="1667" t="n">
        <f aca="false">D119</f>
        <v>0</v>
      </c>
      <c r="W46" s="1667"/>
      <c r="X46" s="1668" t="n">
        <f aca="false">V45-V46</f>
        <v>0</v>
      </c>
      <c r="Y46" s="961"/>
      <c r="Z46" s="964"/>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c r="DO46" s="654"/>
    </row>
    <row r="47" customFormat="false" ht="29.25" hidden="false" customHeight="true" outlineLevel="0" collapsed="false">
      <c r="B47" s="1669"/>
      <c r="C47" s="1068" t="s">
        <v>1356</v>
      </c>
      <c r="D47" s="1068"/>
      <c r="E47" s="1670" t="s">
        <v>1357</v>
      </c>
      <c r="F47" s="1671"/>
      <c r="G47" s="1670" t="s">
        <v>1590</v>
      </c>
      <c r="H47" s="1671"/>
      <c r="I47" s="1670" t="s">
        <v>1359</v>
      </c>
      <c r="J47" s="1671"/>
      <c r="K47" s="1670" t="s">
        <v>1360</v>
      </c>
      <c r="L47" s="1671"/>
      <c r="M47" s="1670" t="s">
        <v>1361</v>
      </c>
      <c r="N47" s="1202"/>
      <c r="O47" s="865"/>
      <c r="P47" s="1452" t="s">
        <v>1591</v>
      </c>
      <c r="Q47" s="1672"/>
      <c r="R47" s="1452" t="s">
        <v>1592</v>
      </c>
      <c r="S47" s="1673"/>
      <c r="U47" s="1674" t="n">
        <f aca="false">IF(I79=0,0,I79/SUM(L65:L69))</f>
        <v>0</v>
      </c>
      <c r="V47" s="1675" t="s">
        <v>1593</v>
      </c>
      <c r="W47" s="1435" t="n">
        <f aca="false">SUM(Z49:Z58)*(1+K70)</f>
        <v>0</v>
      </c>
      <c r="X47" s="654" t="s">
        <v>612</v>
      </c>
      <c r="Y47" s="1414"/>
      <c r="Z47" s="1414"/>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430"/>
      <c r="CU47" s="1430"/>
      <c r="CV47" s="1430"/>
      <c r="CW47" s="1430"/>
      <c r="CX47" s="1430"/>
      <c r="CY47" s="1676"/>
      <c r="CZ47" s="1469"/>
      <c r="DA47" s="1469"/>
      <c r="DB47" s="1469" t="s">
        <v>1594</v>
      </c>
      <c r="DC47" s="1677" t="n">
        <f aca="false">SUM(DF42:DP42)</f>
        <v>0</v>
      </c>
      <c r="DD47" s="1469" t="s">
        <v>1418</v>
      </c>
      <c r="DE47" s="1469"/>
      <c r="DF47" s="1469"/>
      <c r="DG47" s="1469"/>
      <c r="DH47" s="1470"/>
      <c r="DI47" s="654"/>
      <c r="DJ47" s="654"/>
      <c r="DK47" s="654"/>
      <c r="DL47" s="654"/>
      <c r="DM47" s="654"/>
      <c r="DN47" s="654"/>
      <c r="DO47" s="654"/>
    </row>
    <row r="48" customFormat="false" ht="42.75" hidden="false" customHeight="true" outlineLevel="0" collapsed="false">
      <c r="B48" s="1678" t="s">
        <v>1595</v>
      </c>
      <c r="C48" s="1226" t="s">
        <v>1367</v>
      </c>
      <c r="D48" s="1225" t="s">
        <v>1596</v>
      </c>
      <c r="E48" s="1226" t="s">
        <v>1369</v>
      </c>
      <c r="F48" s="1225" t="s">
        <v>1215</v>
      </c>
      <c r="G48" s="1226" t="s">
        <v>1369</v>
      </c>
      <c r="H48" s="1225" t="s">
        <v>1215</v>
      </c>
      <c r="I48" s="1226" t="s">
        <v>1369</v>
      </c>
      <c r="J48" s="1225" t="s">
        <v>1215</v>
      </c>
      <c r="K48" s="1226" t="s">
        <v>1215</v>
      </c>
      <c r="L48" s="1679" t="s">
        <v>1216</v>
      </c>
      <c r="M48" s="1226" t="s">
        <v>1215</v>
      </c>
      <c r="N48" s="1227" t="s">
        <v>1597</v>
      </c>
      <c r="O48" s="1680" t="s">
        <v>1598</v>
      </c>
      <c r="P48" s="1480" t="s">
        <v>1599</v>
      </c>
      <c r="Q48" s="1681"/>
      <c r="R48" s="1480" t="s">
        <v>998</v>
      </c>
      <c r="S48" s="1682"/>
      <c r="U48" s="1684" t="s">
        <v>1602</v>
      </c>
      <c r="V48" s="1684"/>
      <c r="W48" s="1301" t="s">
        <v>1259</v>
      </c>
      <c r="X48" s="1302" t="s">
        <v>1215</v>
      </c>
      <c r="Y48" s="1303" t="s">
        <v>1369</v>
      </c>
      <c r="Z48" s="1304" t="s">
        <v>1414</v>
      </c>
      <c r="AS48" s="16" t="s">
        <v>1603</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411"/>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536"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c r="DP48" s="654"/>
    </row>
    <row r="49" customFormat="false" ht="19.5" hidden="false" customHeight="true" outlineLevel="0" collapsed="false">
      <c r="B49" s="1685" t="n">
        <v>1</v>
      </c>
      <c r="C49" s="1866"/>
      <c r="D49" s="1867"/>
      <c r="E49" s="528"/>
      <c r="F49" s="1582"/>
      <c r="G49" s="1686"/>
      <c r="H49" s="1867"/>
      <c r="I49" s="528"/>
      <c r="J49" s="1867"/>
      <c r="K49" s="528"/>
      <c r="L49" s="1867"/>
      <c r="M49" s="1686"/>
      <c r="N49" s="528"/>
      <c r="O49" s="1575"/>
      <c r="P49" s="1687" t="n">
        <f aca="false">IF(C49=0,0,(E49*F49/16*F49/16*10.680159)+((G49*H49/16*H49/16*10.680159)+(I49*2*J49/16*J49/16*10.680159)+IF(L49=0,0,((K49/16*K49/16)*3.145*0.2836*((((C49*2))+(D49*2))*12/L49))))+(M49/16*M49/16*10.680159*(12/IF(N49=0,1,N49))*O49))*(1+K$70)</f>
        <v>0</v>
      </c>
      <c r="Q49" s="1688"/>
      <c r="R49" s="1689" t="n">
        <f aca="false">(C49/12*D49/324)*(1+K$65)</f>
        <v>0</v>
      </c>
      <c r="S49" s="1690"/>
      <c r="U49" s="1691" t="n">
        <f aca="false">IF(I79=0,0,L70/I79)</f>
        <v>0</v>
      </c>
      <c r="V49" s="1691"/>
      <c r="W49" s="149"/>
      <c r="X49" s="150"/>
      <c r="Y49" s="151"/>
      <c r="Z49" s="152" t="n">
        <f aca="false">W49*(X49*X49*0.04180884375)*Y49</f>
        <v>0</v>
      </c>
      <c r="AA49" s="360" t="n">
        <f aca="false">SUM(Z49:Z58)*1.1</f>
        <v>0</v>
      </c>
      <c r="AS49" s="16" t="n">
        <f aca="false">D49*2/12</f>
        <v>0</v>
      </c>
    </row>
    <row r="50" customFormat="false" ht="19.5" hidden="false" customHeight="true" outlineLevel="0" collapsed="false">
      <c r="B50" s="1692" t="n">
        <v>2</v>
      </c>
      <c r="C50" s="1686"/>
      <c r="D50" s="895"/>
      <c r="E50" s="528"/>
      <c r="F50" s="1582"/>
      <c r="G50" s="528"/>
      <c r="H50" s="895"/>
      <c r="I50" s="528"/>
      <c r="J50" s="895"/>
      <c r="K50" s="528"/>
      <c r="L50" s="895"/>
      <c r="M50" s="1686"/>
      <c r="N50" s="528"/>
      <c r="O50" s="1574"/>
      <c r="P50" s="1687" t="n">
        <f aca="false">IF(C50=0,0,(E50*F50/16*F50/16*10.680159)+((G50*H50/16*H50/16*10.680159)+(I50*2*J50/16*J50/16*10.680159)+IF(L50=0,0,((K50/16*K50/16)*3.145*0.2836*((((C50*2))+(D50*2))*12/L50))))+(M50/16*M50/16*10.680159*(12/IF(N50=0,1,N50))*O50))*(1+K$70)</f>
        <v>0</v>
      </c>
      <c r="Q50" s="1688"/>
      <c r="R50" s="1693" t="n">
        <f aca="false">(C50/12*D50/324)*(1+K$65)</f>
        <v>0</v>
      </c>
      <c r="S50" s="1690"/>
      <c r="U50" s="1691"/>
      <c r="V50" s="1691"/>
      <c r="W50" s="149"/>
      <c r="X50" s="150"/>
      <c r="Y50" s="151"/>
      <c r="Z50" s="152" t="n">
        <f aca="false">W50*(X50*X50*0.04180884375)*Y50</f>
        <v>0</v>
      </c>
      <c r="AS50" s="16" t="n">
        <f aca="false">D50*2/12</f>
        <v>0</v>
      </c>
    </row>
    <row r="51" customFormat="false" ht="19.5" hidden="false" customHeight="true" outlineLevel="0" collapsed="false">
      <c r="B51" s="1685" t="n">
        <v>3</v>
      </c>
      <c r="C51" s="1686"/>
      <c r="D51" s="895"/>
      <c r="E51" s="528"/>
      <c r="F51" s="895"/>
      <c r="G51" s="528"/>
      <c r="H51" s="895"/>
      <c r="I51" s="528"/>
      <c r="J51" s="895"/>
      <c r="K51" s="528"/>
      <c r="L51" s="895"/>
      <c r="M51" s="1686"/>
      <c r="N51" s="528"/>
      <c r="O51" s="1574"/>
      <c r="P51" s="1687" t="n">
        <f aca="false">IF(C51=0,0,(E51*F51/16*F51/16*10.680159)+((G51*H51/16*H51/16*10.680159)+(I51*2*J51/16*J51/16*10.680159)+IF(L51=0,0,((K51/16*K51/16)*3.145*0.2836*((((C51*2))+(D51*2))*12/L51))))+(M51/16*M51/16*10.680159*(12/IF(N51=0,1,N51))*O51))*(1+K$70)</f>
        <v>0</v>
      </c>
      <c r="Q51" s="1688"/>
      <c r="R51" s="1693" t="n">
        <f aca="false">(C51/12*D51/324)*(1+K$65)</f>
        <v>0</v>
      </c>
      <c r="S51" s="1690"/>
      <c r="U51" s="1694" t="s">
        <v>1604</v>
      </c>
      <c r="V51" s="1694"/>
      <c r="W51" s="149"/>
      <c r="X51" s="150"/>
      <c r="Y51" s="151"/>
      <c r="Z51" s="152" t="n">
        <f aca="false">W51*(X51*X51*0.04180884375)*Y51</f>
        <v>0</v>
      </c>
      <c r="AS51" s="16" t="n">
        <f aca="false">D51*2/12</f>
        <v>0</v>
      </c>
    </row>
    <row r="52" customFormat="false" ht="19.5" hidden="false" customHeight="true" outlineLevel="0" collapsed="false">
      <c r="B52" s="1685" t="n">
        <v>4</v>
      </c>
      <c r="C52" s="1686"/>
      <c r="D52" s="895"/>
      <c r="E52" s="528"/>
      <c r="F52" s="895"/>
      <c r="G52" s="528"/>
      <c r="H52" s="895"/>
      <c r="I52" s="528"/>
      <c r="J52" s="895"/>
      <c r="K52" s="528"/>
      <c r="L52" s="895"/>
      <c r="M52" s="1686" t="n">
        <v>5</v>
      </c>
      <c r="N52" s="528" t="n">
        <v>18</v>
      </c>
      <c r="O52" s="1574" t="n">
        <v>5</v>
      </c>
      <c r="P52" s="1687" t="n">
        <f aca="false">IF(C52=0,0,(E52*F52/16*F52/16*10.680159)+((G52*H52/16*H52/16*10.680159)+(I52*2*J52/16*J52/16*10.680159)+IF(L52=0,0,((K52/16*K52/16)*3.145*0.2836*((((C52*2))+(D52*2))*12/L52))))+(M52/16*M52/16*10.680159*(12/IF(N52=0,1,N52))*O52))*(1+K$70)</f>
        <v>0</v>
      </c>
      <c r="Q52" s="1688"/>
      <c r="R52" s="1693" t="n">
        <f aca="false">(C52/12*D52/324)*(1+K$65)</f>
        <v>0</v>
      </c>
      <c r="S52" s="1690"/>
      <c r="U52" s="1695" t="n">
        <f aca="false">Summary!M16</f>
        <v>5.09979889484197</v>
      </c>
      <c r="V52" s="1695"/>
      <c r="W52" s="149"/>
      <c r="X52" s="150"/>
      <c r="Y52" s="151"/>
      <c r="Z52" s="152" t="n">
        <f aca="false">W52*(X52*X52*0.04180884375)*Y52</f>
        <v>0</v>
      </c>
      <c r="AS52" s="16" t="n">
        <f aca="false">D52*2/12</f>
        <v>0</v>
      </c>
    </row>
    <row r="53" customFormat="false" ht="19.5" hidden="false" customHeight="true" outlineLevel="0" collapsed="false">
      <c r="B53" s="1685" t="n">
        <v>5</v>
      </c>
      <c r="C53" s="1686"/>
      <c r="D53" s="895"/>
      <c r="E53" s="528"/>
      <c r="F53" s="895"/>
      <c r="G53" s="528"/>
      <c r="H53" s="895"/>
      <c r="I53" s="528"/>
      <c r="J53" s="895"/>
      <c r="K53" s="528"/>
      <c r="L53" s="895"/>
      <c r="M53" s="1686"/>
      <c r="N53" s="528"/>
      <c r="O53" s="1574"/>
      <c r="P53" s="1687" t="n">
        <f aca="false">IF(C53=0,0,(E53*F53/16*F53/16*10.680159)+((G53*H53/16*H53/16*10.680159)+(I53*2*J53/16*J53/16*10.680159)+IF(L53=0,0,((K53/16*K53/16)*3.145*0.2836*((((C53*2))+(D53*2))*12/L53))))+(M53/16*M53/16*10.680159*(12/IF(N53=0,1,N53))*O53))*(1+K$70)</f>
        <v>0</v>
      </c>
      <c r="Q53" s="1688"/>
      <c r="R53" s="1693" t="n">
        <f aca="false">(C53/12*D53/324)*(1+K$65)</f>
        <v>0</v>
      </c>
      <c r="S53" s="1690"/>
      <c r="U53" s="1695"/>
      <c r="V53" s="1695"/>
      <c r="W53" s="1322"/>
      <c r="X53" s="1323"/>
      <c r="Y53" s="1324"/>
      <c r="Z53" s="1325" t="n">
        <f aca="false">W53*(X53*X53*0.04180884375)*Y53</f>
        <v>0</v>
      </c>
      <c r="AS53" s="16" t="n">
        <f aca="false">D53*2/12</f>
        <v>0</v>
      </c>
    </row>
    <row r="54" customFormat="false" ht="19.5" hidden="false" customHeight="true" outlineLevel="0" collapsed="false">
      <c r="B54" s="1685" t="n">
        <v>6</v>
      </c>
      <c r="C54" s="1686"/>
      <c r="D54" s="895"/>
      <c r="E54" s="528"/>
      <c r="F54" s="1582"/>
      <c r="G54" s="1686"/>
      <c r="H54" s="895"/>
      <c r="I54" s="528"/>
      <c r="J54" s="895"/>
      <c r="K54" s="528"/>
      <c r="L54" s="895"/>
      <c r="M54" s="1686"/>
      <c r="N54" s="1696"/>
      <c r="O54" s="1574"/>
      <c r="P54" s="1687" t="n">
        <f aca="false">IF(C54=0,0,(E54*F54/16*F54/16*10.680159)+((G54*H54/16*H54/16*10.680159)+(I54*2*J54/16*J54/16*10.680159)+IF(L54=0,0,((K54/16*K54/16)*3.145*0.2836*((((C54*2))+(D54*2))*12/L54))))+(M54/16*M54/16*10.680159*(12/IF(N54=0,1,N54))*O54))*(1+K$70)</f>
        <v>0</v>
      </c>
      <c r="Q54" s="1688"/>
      <c r="R54" s="1693" t="n">
        <f aca="false">(C54/12*D54/324)*(1+K$65)</f>
        <v>0</v>
      </c>
      <c r="S54" s="1690"/>
      <c r="W54" s="149"/>
      <c r="X54" s="150"/>
      <c r="Y54" s="151"/>
      <c r="Z54" s="152" t="n">
        <f aca="false">W54*(X54*X54*0.04180884375)*Y54</f>
        <v>0</v>
      </c>
      <c r="AS54" s="16" t="n">
        <f aca="false">D54*2/12</f>
        <v>0</v>
      </c>
    </row>
    <row r="55" customFormat="false" ht="19.5" hidden="false" customHeight="true" outlineLevel="0" collapsed="false">
      <c r="B55" s="1685" t="n">
        <v>7</v>
      </c>
      <c r="C55" s="1686"/>
      <c r="D55" s="895"/>
      <c r="E55" s="528"/>
      <c r="F55" s="1582"/>
      <c r="G55" s="528"/>
      <c r="H55" s="895"/>
      <c r="I55" s="528"/>
      <c r="J55" s="895"/>
      <c r="K55" s="528"/>
      <c r="L55" s="895"/>
      <c r="M55" s="1686"/>
      <c r="N55" s="1696"/>
      <c r="O55" s="1574"/>
      <c r="P55" s="1687" t="n">
        <f aca="false">IF(C55=0,0,(E55*F55/16*F55/16*10.680159)+((G55*H55/16*H55/16*10.680159)+(I55*2*J55/16*J55/16*10.680159)+IF(L55=0,0,((K55/16*K55/16)*3.145*0.2836*((((C55*2))+(D55*2))*12/L55))))+(M55/16*M55/16*10.680159*(12/IF(N55=0,1,N55))*O55))*(1+K$70)</f>
        <v>0</v>
      </c>
      <c r="Q55" s="1688"/>
      <c r="R55" s="1693" t="n">
        <f aca="false">(C55/12*D55/324)*(1+K$65)</f>
        <v>0</v>
      </c>
      <c r="S55" s="1690"/>
      <c r="W55" s="149"/>
      <c r="X55" s="150"/>
      <c r="Y55" s="151"/>
      <c r="Z55" s="152" t="n">
        <f aca="false">W55*(X55*X55*0.04180884375)*Y55</f>
        <v>0</v>
      </c>
      <c r="AS55" s="16" t="n">
        <f aca="false">D55*2/12</f>
        <v>0</v>
      </c>
    </row>
    <row r="56" customFormat="false" ht="19.5" hidden="false" customHeight="true" outlineLevel="0" collapsed="false">
      <c r="B56" s="1685" t="n">
        <v>8</v>
      </c>
      <c r="C56" s="1686"/>
      <c r="D56" s="895"/>
      <c r="E56" s="528"/>
      <c r="F56" s="895"/>
      <c r="G56" s="528"/>
      <c r="H56" s="895"/>
      <c r="I56" s="528"/>
      <c r="J56" s="895"/>
      <c r="K56" s="528"/>
      <c r="L56" s="895"/>
      <c r="M56" s="1686"/>
      <c r="N56" s="528"/>
      <c r="O56" s="1574"/>
      <c r="P56" s="1687" t="n">
        <f aca="false">IF(C56=0,0,(E56*F56/16*F56/16*10.680159)+((G56*H56/16*H56/16*10.680159)+(I56*2*J56/16*J56/16*10.680159)+IF(L56=0,0,((K56/16*K56/16)*3.145*0.2836*((((C56*2))+(D56*2))*12/L56))))+(M56/16*M56/16*10.680159*(12/IF(N56=0,1,N56))*O56))*(1+K$70)</f>
        <v>0</v>
      </c>
      <c r="Q56" s="1688"/>
      <c r="R56" s="1693" t="n">
        <f aca="false">(C56/12*D56/324)*(1+K$65)</f>
        <v>0</v>
      </c>
      <c r="S56" s="1690"/>
      <c r="U56" s="16" t="n">
        <f aca="false">1718/60</f>
        <v>28.6333333333333</v>
      </c>
      <c r="W56" s="149"/>
      <c r="X56" s="150"/>
      <c r="Y56" s="151"/>
      <c r="Z56" s="152" t="n">
        <f aca="false">W56*(X56*X56*0.04180884375)*Y56</f>
        <v>0</v>
      </c>
      <c r="AS56" s="16" t="n">
        <f aca="false">D56*2/12</f>
        <v>0</v>
      </c>
    </row>
    <row r="57" customFormat="false" ht="19.5" hidden="false" customHeight="true" outlineLevel="0" collapsed="false">
      <c r="B57" s="1685" t="n">
        <v>9</v>
      </c>
      <c r="C57" s="1686"/>
      <c r="D57" s="895"/>
      <c r="E57" s="528"/>
      <c r="F57" s="895"/>
      <c r="G57" s="528"/>
      <c r="H57" s="895"/>
      <c r="I57" s="528"/>
      <c r="J57" s="895"/>
      <c r="K57" s="528"/>
      <c r="L57" s="895"/>
      <c r="M57" s="1686"/>
      <c r="N57" s="528"/>
      <c r="O57" s="1574"/>
      <c r="P57" s="1687" t="n">
        <f aca="false">IF(C57=0,0,(E57*F57/16*F57/16*10.680159)+((G57*H57/16*H57/16*10.680159)+(I57*2*J57/16*J57/16*10.680159)+IF(L57=0,0,((K57/16*K57/16)*3.145*0.2836*((((C57*2))+(D57*2))*12/L57))))+(M57/16*M57/16*10.680159*(12/IF(N57=0,1,N57))*O57))*(1+K$70)</f>
        <v>0</v>
      </c>
      <c r="Q57" s="1688"/>
      <c r="R57" s="1693" t="n">
        <f aca="false">(C57/12*D57/324)*(1+K$65)</f>
        <v>0</v>
      </c>
      <c r="S57" s="1690"/>
      <c r="W57" s="1335"/>
      <c r="X57" s="150"/>
      <c r="Y57" s="151"/>
      <c r="Z57" s="152" t="n">
        <f aca="false">W57*(X57*X57*0.04180884375)*Y57</f>
        <v>0</v>
      </c>
      <c r="AS57" s="16" t="n">
        <f aca="false">D57*2/12</f>
        <v>0</v>
      </c>
    </row>
    <row r="58" customFormat="false" ht="19.5" hidden="false" customHeight="true" outlineLevel="0" collapsed="false">
      <c r="B58" s="1685" t="n">
        <v>10</v>
      </c>
      <c r="C58" s="1686"/>
      <c r="D58" s="895"/>
      <c r="E58" s="528"/>
      <c r="F58" s="895"/>
      <c r="G58" s="528"/>
      <c r="H58" s="895"/>
      <c r="I58" s="528"/>
      <c r="J58" s="895"/>
      <c r="K58" s="528"/>
      <c r="L58" s="895"/>
      <c r="M58" s="1686"/>
      <c r="N58" s="528"/>
      <c r="O58" s="1574"/>
      <c r="P58" s="1687" t="n">
        <f aca="false">IF(C58=0,0,(E58*F58/16*F58/16*10.680159)+((G58*H58/16*H58/16*10.680159)+(I58*2*J58/16*J58/16*10.680159)+IF(L58=0,0,((K58/16*K58/16)*3.145*0.2836*((((C58*2))+(D58*2))*12/L58))))+(M58/16*M58/16*10.680159*(12/IF(N58=0,1,N58))*O58))*(1+K$70)</f>
        <v>0</v>
      </c>
      <c r="Q58" s="1688"/>
      <c r="R58" s="1693" t="n">
        <f aca="false">(C58/12*D58/324)*(1+K$65)</f>
        <v>0</v>
      </c>
      <c r="S58" s="1690"/>
      <c r="W58" s="1322"/>
      <c r="X58" s="1323"/>
      <c r="Y58" s="1324"/>
      <c r="Z58" s="1325" t="n">
        <f aca="false">W58*(X58*X58*0.04180884375)*Y58</f>
        <v>0</v>
      </c>
      <c r="AS58" s="16" t="n">
        <f aca="false">D58*2/12</f>
        <v>0</v>
      </c>
    </row>
    <row r="59" customFormat="false" ht="19.5" hidden="false" customHeight="true" outlineLevel="0" collapsed="false">
      <c r="B59" s="1697" t="n">
        <v>11</v>
      </c>
      <c r="C59" s="1555"/>
      <c r="D59" s="1556"/>
      <c r="E59" s="1559"/>
      <c r="F59" s="1556"/>
      <c r="G59" s="1559"/>
      <c r="H59" s="1556"/>
      <c r="I59" s="1559"/>
      <c r="J59" s="1556"/>
      <c r="K59" s="1559"/>
      <c r="L59" s="1556"/>
      <c r="M59" s="1555"/>
      <c r="N59" s="1559"/>
      <c r="O59" s="1561"/>
      <c r="P59" s="1698" t="n">
        <f aca="false">IF(C59=0,0,(E59*F59/16*F59/16*10.680159)+((G59*H59/16*H59/16*10.680159)+(I59*2*J59/16*J59/16*10.680159)+IF(L59=0,0,((K59/16*K59/16)*3.145*0.2836*((((C59*2))+(D59*2))*12/L59))))+(M59/16*M59/16*10.680159*(12/IF(N59=0,1,N59))*O59))*(1+K$70)</f>
        <v>0</v>
      </c>
      <c r="Q59" s="1699"/>
      <c r="R59" s="1700" t="n">
        <f aca="false">(C59/12*D59/324)*(1+K$65)</f>
        <v>0</v>
      </c>
      <c r="S59" s="1868"/>
      <c r="U59" s="1703" t="n">
        <f aca="false">SUM(CN42:DD42)</f>
        <v>0</v>
      </c>
      <c r="V59" s="1703"/>
      <c r="W59" s="1703"/>
      <c r="X59" s="1704" t="n">
        <f aca="false">V45-U59</f>
        <v>0</v>
      </c>
      <c r="Y59" s="1705"/>
      <c r="Z59" s="1705"/>
      <c r="AS59" s="16" t="n">
        <f aca="false">D59*2/12</f>
        <v>0</v>
      </c>
    </row>
    <row r="60" customFormat="false" ht="21.75" hidden="false" customHeight="true" outlineLevel="0" collapsed="false">
      <c r="B60" s="1869" t="s">
        <v>1271</v>
      </c>
      <c r="C60" s="1710"/>
      <c r="D60" s="1710"/>
      <c r="E60" s="1708"/>
      <c r="F60" s="1709"/>
      <c r="G60" s="1710"/>
      <c r="H60" s="1271"/>
      <c r="I60" s="1271"/>
      <c r="J60" s="1271"/>
      <c r="K60" s="1271"/>
      <c r="L60" s="1271"/>
      <c r="M60" s="1271"/>
      <c r="N60" s="1271"/>
      <c r="O60" s="990" t="s">
        <v>721</v>
      </c>
      <c r="P60" s="990"/>
      <c r="Q60" s="1274" t="s">
        <v>1272</v>
      </c>
      <c r="R60" s="373"/>
      <c r="AA60" s="16"/>
    </row>
    <row r="61" customFormat="false" ht="21.75" hidden="false" customHeight="true" outlineLevel="0" collapsed="false">
      <c r="B61" s="421"/>
      <c r="C61" s="1712"/>
      <c r="D61" s="1713"/>
      <c r="E61" s="1714"/>
      <c r="F61" s="1715"/>
      <c r="G61" s="1709"/>
      <c r="H61" s="1271"/>
      <c r="I61" s="1271"/>
      <c r="J61" s="1271"/>
      <c r="K61" s="1271"/>
      <c r="L61" s="1271"/>
      <c r="M61" s="1716"/>
      <c r="N61" s="1271"/>
      <c r="O61" s="1000" t="s">
        <v>1274</v>
      </c>
      <c r="P61" s="1001"/>
      <c r="Q61" s="1002"/>
      <c r="AA61" s="16"/>
    </row>
    <row r="62" customFormat="false" ht="21.75" hidden="false" customHeight="true" outlineLevel="0" collapsed="false">
      <c r="B62" s="421"/>
      <c r="C62" s="1712"/>
      <c r="D62" s="1713"/>
      <c r="E62" s="1717"/>
      <c r="F62" s="1718"/>
      <c r="G62" s="1713"/>
      <c r="H62" s="1271"/>
      <c r="I62" s="1271"/>
      <c r="J62" s="1271"/>
      <c r="K62" s="1271"/>
      <c r="L62" s="1271"/>
      <c r="M62" s="1271"/>
      <c r="N62" s="1271"/>
      <c r="O62" s="1008" t="s">
        <v>1276</v>
      </c>
      <c r="P62" s="1009" t="n">
        <f aca="false">L70</f>
        <v>0</v>
      </c>
      <c r="Q62" s="1010" t="n">
        <f aca="false">O70</f>
        <v>0</v>
      </c>
      <c r="AA62" s="16"/>
    </row>
    <row r="63" customFormat="false" ht="21.75" hidden="false" customHeight="true" outlineLevel="0" collapsed="false">
      <c r="B63" s="421"/>
      <c r="C63" s="1721"/>
      <c r="D63" s="1713"/>
      <c r="E63" s="1713"/>
      <c r="F63" s="1710"/>
      <c r="G63" s="1713"/>
      <c r="H63" s="1271"/>
      <c r="I63" s="1271"/>
      <c r="J63" s="1271"/>
      <c r="K63" s="1271"/>
      <c r="L63" s="1271"/>
      <c r="M63" s="1271"/>
      <c r="N63" s="1271"/>
      <c r="O63" s="1271"/>
      <c r="P63" s="1722"/>
      <c r="AA63" s="16"/>
    </row>
    <row r="64" customFormat="false" ht="31.5" hidden="false" customHeight="true" outlineLevel="0" collapsed="false">
      <c r="B64" s="1723" t="s">
        <v>1280</v>
      </c>
      <c r="C64" s="1296" t="s">
        <v>1281</v>
      </c>
      <c r="D64" s="1019"/>
      <c r="E64" s="1019"/>
      <c r="F64" s="1019"/>
      <c r="G64" s="1019"/>
      <c r="H64" s="1019"/>
      <c r="I64" s="1019"/>
      <c r="J64" s="1019"/>
      <c r="K64" s="1019" t="s">
        <v>1282</v>
      </c>
      <c r="L64" s="1020" t="str">
        <f aca="false">IF(SUM(L65:L69)=Q42,"Good","Missing Concrete!!!")</f>
        <v>Good</v>
      </c>
      <c r="M64" s="1020"/>
      <c r="N64" s="1019"/>
      <c r="O64" s="1019"/>
      <c r="P64" s="1021"/>
      <c r="R64" s="1039" t="s">
        <v>1284</v>
      </c>
      <c r="S64" s="1022" t="s">
        <v>1283</v>
      </c>
      <c r="T64" s="1223"/>
      <c r="U64" s="879" t="s">
        <v>835</v>
      </c>
      <c r="V64" s="1023"/>
      <c r="W64" s="1024" t="s">
        <v>518</v>
      </c>
      <c r="X64" s="1023"/>
      <c r="Y64" s="1025"/>
      <c r="Z64" s="1299"/>
    </row>
    <row r="65" customFormat="false" ht="21.75" hidden="false" customHeight="true" outlineLevel="0" collapsed="false">
      <c r="B65" s="1725" t="n">
        <v>1</v>
      </c>
      <c r="C65" s="16" t="str">
        <f aca="false">IF(B65=1,Pricing!F$2,IF(B65=2,Pricing!G$2,IF(B65=3,Pricing!H$2,IF(B65=4,Pricing!I$2,IF(B65=5,Pricing!J$2,IF(B65=6,Pricing!K$2,IF(B65=7,Pricing!L$2,IF(B65=8,Pricing!M$2,IF(B65=9,Pricing!N$2,IF(B65=10,Pricing!O$2,0))))))))))</f>
        <v>3,000 PSI 5sk /Ash and Air</v>
      </c>
      <c r="D65" s="1726"/>
      <c r="E65" s="1726"/>
      <c r="F65" s="1726"/>
      <c r="G65" s="1727" t="n">
        <f aca="false">IF(B65=1,Pricing!F$3,IF(B65=2,Pricing!G$3,IF(B65=3,Pricing!H$3,IF(B65=4,Pricing!I$3,IF(B65=5,Pricing!J$3,IF(B65=6,Pricing!K$3,IF(B65=7,Pricing!L$3,IF(B65=8,Pricing!M$3,IF(B65=9,Pricing!N$3,IF(B65=10,Pricing!O$3,0))))))))))</f>
        <v>134</v>
      </c>
      <c r="H65" s="1726" t="s">
        <v>1285</v>
      </c>
      <c r="I65" s="1728"/>
      <c r="J65" s="1729"/>
      <c r="K65" s="1334" t="n">
        <v>0.06</v>
      </c>
      <c r="L65" s="1051" t="n">
        <f aca="false">IF(B65=1,BS$42,IF(B65=2,BT$42,IF(B65=3,BU$42,IF(B65=4,BV$42,IF(B65=5,BW$42,IF(B65=6,BX$42,IF(B65=7,BY$42,IF(B65=8,BZ$42,IF(B65=9,CA$42,IF(B65=10,CB$42))))))))))</f>
        <v>0</v>
      </c>
      <c r="M65" s="1051"/>
      <c r="N65" s="1034" t="s">
        <v>1286</v>
      </c>
      <c r="O65" s="1052" t="n">
        <f aca="false">L65*G65*(IF(W$44="N",1+Y$44,1))</f>
        <v>0</v>
      </c>
      <c r="P65" s="1052"/>
      <c r="R65" s="1147"/>
      <c r="S65" s="920"/>
      <c r="T65" s="1311"/>
      <c r="U65" s="78" t="s">
        <v>1415</v>
      </c>
      <c r="W65" s="1730" t="n">
        <v>1</v>
      </c>
      <c r="X65" s="1308" t="s">
        <v>1605</v>
      </c>
      <c r="Y65" s="1731" t="n">
        <f aca="false">IF(I79=0,0,Z110/I79)</f>
        <v>0</v>
      </c>
      <c r="Z65" s="1732"/>
      <c r="AT65" s="654"/>
      <c r="AU65" s="654"/>
    </row>
    <row r="66" customFormat="false" ht="21.75" hidden="false" customHeight="true" outlineLevel="0" collapsed="false">
      <c r="B66" s="1733" t="n">
        <v>3</v>
      </c>
      <c r="C66" s="16" t="str">
        <f aca="false">IF(B66=1,Pricing!F$2,IF(B66=2,Pricing!G$2,IF(B66=3,Pricing!H$2,IF(B66=4,Pricing!I$2,IF(B66=5,Pricing!J$2,IF(B66=6,Pricing!K$2,IF(B66=7,Pricing!L$2,IF(B66=8,Pricing!M$2,IF(B66=9,Pricing!N$2,IF(B66=10,Pricing!O$2,0))))))))))</f>
        <v>3,500 PSI 5.5sk /Ash and Air</v>
      </c>
      <c r="G66" s="1319" t="n">
        <f aca="false">IF(B66=1,Pricing!F$3,IF(B66=2,Pricing!G$3,IF(B66=3,Pricing!H$3,IF(B66=4,Pricing!I$3,IF(B66=5,Pricing!J$3,IF(B66=6,Pricing!K$3,IF(B66=7,Pricing!L$3,IF(B66=8,Pricing!M$3,IF(B66=9,Pricing!N$3,IF(B66=10,Pricing!O$3,0))))))))))</f>
        <v>140</v>
      </c>
      <c r="H66" s="16" t="s">
        <v>1285</v>
      </c>
      <c r="I66" s="1734"/>
      <c r="J66" s="1735"/>
      <c r="K66" s="1334"/>
      <c r="L66" s="1310" t="n">
        <f aca="false">IF(B66=1,BS$42,IF(B66=2,BT$42,IF(B66=3,BU$42,IF(B66=4,BV$42,IF(B66=5,BW$42,IF(B66=6,BX$42,IF(B66=7,BY$42,IF(B66=8,BZ$42,IF(B66=9,CA$42,IF(B66=10,CB$42))))))))))</f>
        <v>0</v>
      </c>
      <c r="M66" s="1310"/>
      <c r="N66" s="15" t="s">
        <v>1286</v>
      </c>
      <c r="O66" s="1035" t="n">
        <f aca="false">L66*G66*(IF(W$44="N",1+Y$44,1))</f>
        <v>0</v>
      </c>
      <c r="P66" s="1035"/>
      <c r="R66" s="1039" t="s">
        <v>1069</v>
      </c>
      <c r="S66" s="920" t="s">
        <v>526</v>
      </c>
      <c r="T66" s="78"/>
      <c r="V66" s="1311" t="n">
        <f aca="false">(V69*3+I83)*W65</f>
        <v>0</v>
      </c>
      <c r="W66" s="78" t="s">
        <v>1259</v>
      </c>
      <c r="X66" s="1308" t="n">
        <f aca="false">Pricing!Q4</f>
        <v>0.859375</v>
      </c>
      <c r="Y66" s="78" t="s">
        <v>527</v>
      </c>
      <c r="Z66" s="1736" t="n">
        <f aca="false">IF(W$44="Y",V66*X66,V66*X66*(1+Y$44))</f>
        <v>0</v>
      </c>
      <c r="AA66" s="373"/>
      <c r="AT66" s="654"/>
      <c r="AU66" s="654"/>
    </row>
    <row r="67" customFormat="false" ht="21.75" hidden="false" customHeight="true" outlineLevel="0" collapsed="false">
      <c r="B67" s="1737" t="n">
        <v>4</v>
      </c>
      <c r="C67" s="16" t="str">
        <f aca="false">IF(B67=1,Pricing!F$2,IF(B67=2,Pricing!G$2,IF(B67=3,Pricing!H$2,IF(B67=4,Pricing!I$2,IF(B67=5,Pricing!J$2,IF(B67=6,Pricing!K$2,IF(B67=7,Pricing!L$2,IF(B67=8,Pricing!M$2,IF(B67=9,Pricing!N$2,IF(B67=10,Pricing!O$2,0))))))))))</f>
        <v>3,500 PSI /Ash No Air</v>
      </c>
      <c r="G67" s="1319" t="n">
        <f aca="false">IF(B67=1,Pricing!F$3,IF(B67=2,Pricing!G$3,IF(B67=3,Pricing!H$3,IF(B67=4,Pricing!I$3,IF(B67=5,Pricing!J$3,IF(B67=6,Pricing!K$3,IF(B67=7,Pricing!L$3,IF(B67=8,Pricing!M$3,IF(B67=9,Pricing!N$3,IF(B67=10,Pricing!O$3,0))))))))))</f>
        <v>140</v>
      </c>
      <c r="I67" s="1734"/>
      <c r="J67" s="1735"/>
      <c r="K67" s="1334"/>
      <c r="L67" s="1310" t="n">
        <f aca="false">IF(B67=1,BS$42,IF(B67=2,BT$42,IF(B67=3,BU$42,IF(B67=4,BV$42,IF(B67=5,BW$42,IF(B67=6,BX$42,IF(B67=7,BY$42,IF(B67=8,BZ$42,IF(B67=9,CA$42,IF(B67=10,CB$42))))))))))</f>
        <v>0</v>
      </c>
      <c r="M67" s="1310"/>
      <c r="N67" s="15" t="s">
        <v>1286</v>
      </c>
      <c r="O67" s="1035" t="n">
        <f aca="false">L67*G67*(IF(W$44="N",1+Y$44,1))</f>
        <v>0</v>
      </c>
      <c r="P67" s="1035"/>
      <c r="R67" s="1039"/>
      <c r="S67" s="920"/>
      <c r="T67" s="78"/>
      <c r="V67" s="1311"/>
      <c r="W67" s="78"/>
      <c r="X67" s="1308"/>
      <c r="Y67" s="78"/>
      <c r="Z67" s="1736" t="n">
        <f aca="false">IF(W$44="Y",V67*X67,V67*X67*(1+Y$44))</f>
        <v>0</v>
      </c>
      <c r="AA67" s="373"/>
      <c r="AT67" s="654"/>
      <c r="AU67" s="654"/>
    </row>
    <row r="68" customFormat="false" ht="21.75" hidden="false" customHeight="true" outlineLevel="0" collapsed="false">
      <c r="B68" s="1737" t="n">
        <v>7</v>
      </c>
      <c r="C68" s="16" t="str">
        <f aca="false">IF(B68=1,Pricing!F$2,IF(B68=2,Pricing!G$2,IF(B68=3,Pricing!H$2,IF(B68=4,Pricing!I$2,IF(B68=5,Pricing!J$2,IF(B68=6,Pricing!K$2,IF(B68=7,Pricing!L$2,IF(B68=8,Pricing!M$2,IF(B68=9,Pricing!N$2,IF(B68=10,Pricing!O$2,0))))))))))</f>
        <v>4,500 PSI / Ash and Air</v>
      </c>
      <c r="G68" s="1319" t="n">
        <f aca="false">IF(B68=1,Pricing!F$3,IF(B68=2,Pricing!G$3,IF(B68=3,Pricing!H$3,IF(B68=4,Pricing!I$3,IF(B68=5,Pricing!J$3,IF(B68=6,Pricing!K$3,IF(B68=7,Pricing!L$3,IF(B68=8,Pricing!M$3,IF(B68=9,Pricing!N$3,IF(B68=10,Pricing!O$3,0))))))))))</f>
        <v>158</v>
      </c>
      <c r="I68" s="1734"/>
      <c r="J68" s="1735"/>
      <c r="K68" s="1334"/>
      <c r="L68" s="1310" t="n">
        <f aca="false">IF(B68=1,BS$42,IF(B68=2,BT$42,IF(B68=3,BU$42,IF(B68=4,BV$42,IF(B68=5,BW$42,IF(B68=6,BX$42,IF(B68=7,BY$42,IF(B68=8,BZ$42,IF(B68=9,CA$42,IF(B68=10,CB$42))))))))))</f>
        <v>0</v>
      </c>
      <c r="M68" s="1310"/>
      <c r="N68" s="15" t="s">
        <v>1286</v>
      </c>
      <c r="O68" s="1035" t="n">
        <f aca="false">L68*G68*(IF(W$44="N",1+Y$44,1))</f>
        <v>0</v>
      </c>
      <c r="P68" s="1035"/>
      <c r="R68" s="1039"/>
      <c r="S68" s="920"/>
      <c r="T68" s="78"/>
      <c r="V68" s="1311"/>
      <c r="W68" s="78"/>
      <c r="X68" s="1308"/>
      <c r="Y68" s="78"/>
      <c r="Z68" s="1736" t="n">
        <f aca="false">IF(W$44="Y",V68*X68,V68*X68*(1+Y$44))</f>
        <v>0</v>
      </c>
      <c r="AA68" s="373"/>
      <c r="AT68" s="654"/>
      <c r="AU68" s="654"/>
    </row>
    <row r="69" customFormat="false" ht="21.75" hidden="false" customHeight="true" outlineLevel="0" collapsed="false">
      <c r="B69" s="1738" t="n">
        <v>8</v>
      </c>
      <c r="C69" s="1044" t="str">
        <f aca="false">IF(B69=1,Pricing!F$2,IF(B69=2,Pricing!G$2,IF(B69=3,Pricing!H$2,IF(B69=4,Pricing!I$2,IF(B69=5,Pricing!J$2,IF(B69=6,Pricing!K$2,IF(B69=7,Pricing!L$2,IF(B69=8,Pricing!M$2,IF(B69=9,Pricing!N$2,IF(B69=10,Pricing!O$2,0))))))))))</f>
        <v>5,000 PSI / Ash no Air</v>
      </c>
      <c r="D69" s="397"/>
      <c r="E69" s="397"/>
      <c r="F69" s="397"/>
      <c r="G69" s="1315" t="n">
        <f aca="false">IF(B69=1,Pricing!F$3,IF(B69=2,Pricing!G$3,IF(B69=3,Pricing!H$3,IF(B69=4,Pricing!I$3,IF(B69=5,Pricing!J$3,IF(B69=6,Pricing!K$3,IF(B69=7,Pricing!L$3,IF(B69=8,Pricing!M$3,IF(B69=9,Pricing!N$3,IF(B69=10,Pricing!O$3,0))))))))))</f>
        <v>170</v>
      </c>
      <c r="H69" s="397" t="s">
        <v>1285</v>
      </c>
      <c r="I69" s="1739"/>
      <c r="J69" s="1030"/>
      <c r="K69" s="1334"/>
      <c r="L69" s="1310" t="n">
        <f aca="false">IF(B69=1,BS$42,IF(B69=2,BT$42,IF(B69=3,BU$42,IF(B69=4,BV$42,IF(B69=5,BW$42,IF(B69=6,BX$42,IF(B69=7,BY$42,IF(B69=8,BZ$42,IF(B69=9,CA$42,IF(B69=10,CB$42))))))))))</f>
        <v>0</v>
      </c>
      <c r="M69" s="1310"/>
      <c r="N69" s="1046" t="s">
        <v>1286</v>
      </c>
      <c r="O69" s="1740" t="n">
        <f aca="false">L69*G69*(IF(W$44="N",1+Y$44,1))</f>
        <v>0</v>
      </c>
      <c r="P69" s="1740"/>
      <c r="R69" s="1147" t="s">
        <v>1069</v>
      </c>
      <c r="S69" s="920" t="s">
        <v>534</v>
      </c>
      <c r="T69" s="78"/>
      <c r="V69" s="1311" t="n">
        <f aca="false">K42*W65</f>
        <v>0</v>
      </c>
      <c r="W69" s="78" t="s">
        <v>1259</v>
      </c>
      <c r="X69" s="1308" t="n">
        <f aca="false">Pricing!Q5</f>
        <v>1.4453125</v>
      </c>
      <c r="Y69" s="78" t="s">
        <v>527</v>
      </c>
      <c r="Z69" s="1732" t="n">
        <f aca="false">IF(W$44="Y",V69*X69,V69*X69*(1+Y$44))</f>
        <v>0</v>
      </c>
      <c r="AT69" s="654"/>
      <c r="AU69" s="654"/>
    </row>
    <row r="70" customFormat="false" ht="21.75" hidden="false" customHeight="true" outlineLevel="0" collapsed="false">
      <c r="B70" s="1741" t="str">
        <f aca="false">Summary!V60</f>
        <v>Import</v>
      </c>
      <c r="C70" s="1312" t="s">
        <v>1287</v>
      </c>
      <c r="D70" s="1312"/>
      <c r="E70" s="1312"/>
      <c r="F70" s="1312"/>
      <c r="G70" s="1048" t="n">
        <f aca="false">Pricing!D23</f>
        <v>0.55</v>
      </c>
      <c r="H70" s="16" t="s">
        <v>555</v>
      </c>
      <c r="I70" s="833"/>
      <c r="J70" s="1742"/>
      <c r="K70" s="1743" t="n">
        <v>0.1</v>
      </c>
      <c r="L70" s="1051" t="n">
        <f aca="false">SUM(BM10:BM41)+SUM(BO10:BO41)</f>
        <v>0</v>
      </c>
      <c r="M70" s="1051"/>
      <c r="N70" s="16" t="s">
        <v>1288</v>
      </c>
      <c r="O70" s="1052" t="n">
        <f aca="false">G70*L70*(IF(W44="N",1+Y44,1))</f>
        <v>0</v>
      </c>
      <c r="P70" s="1052"/>
      <c r="R70" s="1147" t="s">
        <v>1069</v>
      </c>
      <c r="S70" s="920" t="s">
        <v>1606</v>
      </c>
      <c r="T70" s="78"/>
      <c r="V70" s="1311" t="n">
        <f aca="false">SUM(W10:X41)*3</f>
        <v>0</v>
      </c>
      <c r="W70" s="78" t="s">
        <v>1259</v>
      </c>
      <c r="X70" s="1308" t="n">
        <f aca="false">X66*0.65</f>
        <v>0.55859375</v>
      </c>
      <c r="Y70" s="78" t="s">
        <v>527</v>
      </c>
      <c r="Z70" s="1732" t="n">
        <f aca="false">IF(W$44="Y",V70*X70,V70*X70*(1+Y$44))</f>
        <v>0</v>
      </c>
      <c r="AP70" s="654"/>
      <c r="AQ70" s="654"/>
      <c r="AR70" s="654"/>
      <c r="AS70" s="654"/>
      <c r="AT70" s="654"/>
      <c r="AU70" s="654"/>
    </row>
    <row r="71" customFormat="false" ht="21.75" hidden="false" customHeight="true" outlineLevel="0" collapsed="false">
      <c r="B71" s="507" t="s">
        <v>598</v>
      </c>
      <c r="C71" s="1312"/>
      <c r="D71" s="1312"/>
      <c r="E71" s="1312"/>
      <c r="F71" s="1312"/>
      <c r="G71" s="1319" t="n">
        <v>0.26</v>
      </c>
      <c r="H71" s="16" t="s">
        <v>600</v>
      </c>
      <c r="I71" s="833"/>
      <c r="J71" s="1742"/>
      <c r="K71" s="1321" t="n">
        <v>0.1</v>
      </c>
      <c r="L71" s="1744" t="n">
        <f aca="false">BR42*(1*1+K71)</f>
        <v>0</v>
      </c>
      <c r="M71" s="1744"/>
      <c r="N71" s="16" t="s">
        <v>1418</v>
      </c>
      <c r="O71" s="1035" t="n">
        <f aca="false">G71*L71*(IF(W$44="N",1+Y$44,1))</f>
        <v>0</v>
      </c>
      <c r="P71" s="1035"/>
      <c r="R71" s="1147" t="s">
        <v>1069</v>
      </c>
      <c r="S71" s="920" t="s">
        <v>538</v>
      </c>
      <c r="T71" s="78"/>
      <c r="V71" s="1311" t="n">
        <f aca="false">CE42*W65</f>
        <v>0</v>
      </c>
      <c r="W71" s="78" t="s">
        <v>1259</v>
      </c>
      <c r="X71" s="1308" t="n">
        <f aca="false">Pricing!Q7</f>
        <v>1.09375</v>
      </c>
      <c r="Y71" s="78" t="s">
        <v>527</v>
      </c>
      <c r="Z71" s="1732" t="n">
        <f aca="false">IF(W$44="Y",V71*X71,V71*X71*(1+Y$44))</f>
        <v>0</v>
      </c>
      <c r="AP71" s="654"/>
      <c r="AQ71" s="654"/>
      <c r="AR71" s="654"/>
      <c r="AS71" s="654"/>
      <c r="AT71" s="654"/>
      <c r="AU71" s="654"/>
    </row>
    <row r="72" customFormat="false" ht="21.75" hidden="false" customHeight="true" outlineLevel="0" collapsed="false">
      <c r="B72" s="507" t="s">
        <v>1419</v>
      </c>
      <c r="C72" s="1074" t="s">
        <v>1607</v>
      </c>
      <c r="D72" s="1074"/>
      <c r="E72" s="1074" t="s">
        <v>1608</v>
      </c>
      <c r="F72" s="1074"/>
      <c r="G72" s="1319" t="n">
        <v>0.7</v>
      </c>
      <c r="H72" s="1142" t="s">
        <v>600</v>
      </c>
      <c r="I72" s="782" t="s">
        <v>1291</v>
      </c>
      <c r="J72" s="1745"/>
      <c r="K72" s="1745"/>
      <c r="L72" s="1746" t="n">
        <f aca="false">CD42*0.4</f>
        <v>0</v>
      </c>
      <c r="M72" s="1746"/>
      <c r="N72" s="16" t="s">
        <v>1288</v>
      </c>
      <c r="O72" s="1038" t="n">
        <f aca="false">IF(J72=0,CD42*G72*IF(W44="n",(1+Y44),1),J72)</f>
        <v>0</v>
      </c>
      <c r="P72" s="1038"/>
      <c r="R72" s="1147" t="s">
        <v>1069</v>
      </c>
      <c r="S72" s="920" t="s">
        <v>1292</v>
      </c>
      <c r="T72" s="78"/>
      <c r="V72" s="1311" t="n">
        <f aca="false">ROUNDUP(SUM(K10:K41)*0.03/16,0)</f>
        <v>0</v>
      </c>
      <c r="W72" s="78" t="s">
        <v>1609</v>
      </c>
      <c r="X72" s="1308" t="n">
        <f aca="false">Pricing!Q9</f>
        <v>20</v>
      </c>
      <c r="Y72" s="78" t="s">
        <v>1610</v>
      </c>
      <c r="Z72" s="1732" t="n">
        <f aca="false">IF(W$44="Y",V72*X72,V72*X72*(1+Y$44))</f>
        <v>0</v>
      </c>
      <c r="AP72" s="654"/>
      <c r="AQ72" s="654"/>
      <c r="AR72" s="654"/>
      <c r="AS72" s="654"/>
      <c r="AT72" s="654"/>
      <c r="AU72" s="654"/>
    </row>
    <row r="73" customFormat="false" ht="21.75" hidden="false" customHeight="true" outlineLevel="0" collapsed="false">
      <c r="B73" s="1747" t="s">
        <v>1611</v>
      </c>
      <c r="C73" s="1748"/>
      <c r="D73" s="1748"/>
      <c r="E73" s="1748"/>
      <c r="F73" s="1748"/>
      <c r="G73" s="1315" t="n">
        <v>14</v>
      </c>
      <c r="H73" s="397" t="s">
        <v>1285</v>
      </c>
      <c r="I73" s="1749"/>
      <c r="J73" s="1750"/>
      <c r="K73" s="1751"/>
      <c r="L73" s="1752" t="n">
        <f aca="false">CJ42</f>
        <v>0</v>
      </c>
      <c r="M73" s="1752"/>
      <c r="N73" s="397" t="s">
        <v>1286</v>
      </c>
      <c r="O73" s="1740" t="n">
        <f aca="false">G73*L73*(IF(W$44="N",1+Y$44,1))</f>
        <v>0</v>
      </c>
      <c r="P73" s="1740"/>
      <c r="R73" s="1147" t="s">
        <v>1069</v>
      </c>
      <c r="S73" s="920" t="s">
        <v>540</v>
      </c>
      <c r="T73" s="78"/>
      <c r="V73" s="1311" t="n">
        <f aca="false">I83/32*W65*1.1</f>
        <v>0</v>
      </c>
      <c r="W73" s="78" t="s">
        <v>1420</v>
      </c>
      <c r="X73" s="1308" t="n">
        <f aca="false">Pricing!Q8</f>
        <v>74.75</v>
      </c>
      <c r="Y73" s="78" t="s">
        <v>541</v>
      </c>
      <c r="Z73" s="1732" t="n">
        <f aca="false">IF(W$44="Y",V73*X73,V73*X73*(1+Y$44))</f>
        <v>0</v>
      </c>
      <c r="AP73" s="654"/>
      <c r="AQ73" s="654"/>
      <c r="AR73" s="654"/>
      <c r="AS73" s="654"/>
      <c r="AT73" s="654"/>
      <c r="AU73" s="654"/>
    </row>
    <row r="74" customFormat="false" ht="21.75" hidden="false" customHeight="true" outlineLevel="0" collapsed="false">
      <c r="B74" s="599" t="s">
        <v>1612</v>
      </c>
      <c r="E74" s="1753" t="s">
        <v>1613</v>
      </c>
      <c r="F74" s="1754"/>
      <c r="G74" s="1755" t="n">
        <v>1</v>
      </c>
      <c r="H74" s="16" t="s">
        <v>1259</v>
      </c>
      <c r="I74" s="833"/>
      <c r="J74" s="1742"/>
      <c r="K74" s="1756" t="n">
        <v>0.1</v>
      </c>
      <c r="L74" s="1757"/>
      <c r="M74" s="1757"/>
      <c r="N74" s="16" t="s">
        <v>1418</v>
      </c>
      <c r="O74" s="1052" t="n">
        <f aca="false">L74*G74*(IF(W$44="N",1+Y$44,1))</f>
        <v>0</v>
      </c>
      <c r="P74" s="1052"/>
      <c r="R74" s="1147" t="s">
        <v>1069</v>
      </c>
      <c r="S74" s="920" t="s">
        <v>1298</v>
      </c>
      <c r="T74" s="78"/>
      <c r="V74" s="1311" t="n">
        <f aca="false">ROUND(V71/25,0)</f>
        <v>0</v>
      </c>
      <c r="W74" s="78" t="s">
        <v>1299</v>
      </c>
      <c r="X74" s="1308" t="n">
        <f aca="false">Pricing!Q15</f>
        <v>24</v>
      </c>
      <c r="Y74" s="78" t="s">
        <v>1300</v>
      </c>
      <c r="Z74" s="1732" t="n">
        <f aca="false">IF(W$44="Y",V74*X74,V74*X74*(1+Y$44))</f>
        <v>0</v>
      </c>
      <c r="AP74" s="654"/>
      <c r="AQ74" s="654"/>
      <c r="AR74" s="654"/>
      <c r="AS74" s="654"/>
      <c r="AT74" s="654"/>
      <c r="AU74" s="654"/>
    </row>
    <row r="75" customFormat="false" ht="23.25" hidden="false" customHeight="true" outlineLevel="0" collapsed="false">
      <c r="B75" s="599" t="s">
        <v>1614</v>
      </c>
      <c r="E75" s="1753"/>
      <c r="F75" s="1173" t="s">
        <v>1047</v>
      </c>
      <c r="G75" s="1755" t="n">
        <v>1.35</v>
      </c>
      <c r="H75" s="16" t="s">
        <v>600</v>
      </c>
      <c r="K75" s="1758" t="n">
        <v>0.1</v>
      </c>
      <c r="L75" s="1759" t="n">
        <f aca="false">IF(F75="Y",SUM(D$42)*(1+K$75),0)</f>
        <v>0</v>
      </c>
      <c r="M75" s="1759"/>
      <c r="N75" s="16" t="s">
        <v>1418</v>
      </c>
      <c r="O75" s="1035" t="n">
        <f aca="false">L75*G75*(IF(W$44="N",1+Y$44,1))</f>
        <v>0</v>
      </c>
      <c r="P75" s="1035"/>
      <c r="R75" s="1147" t="s">
        <v>1069</v>
      </c>
      <c r="S75" s="920" t="s">
        <v>561</v>
      </c>
      <c r="T75" s="78"/>
      <c r="V75" s="1311" t="n">
        <f aca="false">ROUNDUP((SUM(K10:K41))*1.25/500,0)</f>
        <v>0</v>
      </c>
      <c r="W75" s="78" t="s">
        <v>1303</v>
      </c>
      <c r="X75" s="1308" t="n">
        <f aca="false">Pricing!Q16</f>
        <v>68.2</v>
      </c>
      <c r="Y75" s="78" t="s">
        <v>562</v>
      </c>
      <c r="Z75" s="1732" t="n">
        <f aca="false">IF(W$44="Y",V75*X75,V75*X75*(1+Y$44))</f>
        <v>0</v>
      </c>
      <c r="AP75" s="654"/>
      <c r="AQ75" s="654"/>
      <c r="AR75" s="654"/>
      <c r="AS75" s="654"/>
      <c r="AT75" s="654"/>
      <c r="AU75" s="654" t="s">
        <v>860</v>
      </c>
    </row>
    <row r="76" customFormat="false" ht="21.75" hidden="false" customHeight="true" outlineLevel="0" collapsed="false">
      <c r="B76" s="599" t="s">
        <v>1615</v>
      </c>
      <c r="E76" s="1753"/>
      <c r="F76" s="1173" t="s">
        <v>1047</v>
      </c>
      <c r="G76" s="1337" t="n">
        <v>0.35</v>
      </c>
      <c r="H76" s="16" t="s">
        <v>600</v>
      </c>
      <c r="I76" s="405"/>
      <c r="J76" s="1320"/>
      <c r="K76" s="1758"/>
      <c r="L76" s="1759" t="n">
        <f aca="false">IF(F76="Y",SUM(D$42)*(1+K$75),0)</f>
        <v>0</v>
      </c>
      <c r="M76" s="1759"/>
      <c r="N76" s="16" t="s">
        <v>1418</v>
      </c>
      <c r="O76" s="1035" t="n">
        <f aca="false">L76*G76*(IF(W$44="N",1+Y$44,1))</f>
        <v>0</v>
      </c>
      <c r="P76" s="1035"/>
      <c r="R76" s="1147" t="s">
        <v>1069</v>
      </c>
      <c r="S76" s="920" t="s">
        <v>563</v>
      </c>
      <c r="T76" s="78"/>
      <c r="V76" s="1311" t="n">
        <f aca="false">ROUNDUP((SUM(K11:K42))*1.25/500,0)</f>
        <v>0</v>
      </c>
      <c r="W76" s="78" t="s">
        <v>1303</v>
      </c>
      <c r="X76" s="1308" t="n">
        <f aca="false">Pricing!Q17</f>
        <v>68.2</v>
      </c>
      <c r="Y76" s="78" t="s">
        <v>562</v>
      </c>
      <c r="Z76" s="1732" t="n">
        <f aca="false">IF(W$44="Y",V76*X76,V76*X76*(1+Y$44))</f>
        <v>0</v>
      </c>
      <c r="AP76" s="654"/>
      <c r="AQ76" s="654"/>
      <c r="AR76" s="654"/>
      <c r="AS76" s="654"/>
      <c r="AT76" s="654"/>
      <c r="AU76" s="654"/>
    </row>
    <row r="77" customFormat="false" ht="21.75" hidden="false" customHeight="true" outlineLevel="0" collapsed="false">
      <c r="B77" s="1109" t="s">
        <v>1067</v>
      </c>
      <c r="C77" s="855"/>
      <c r="D77" s="855"/>
      <c r="E77" s="855"/>
      <c r="F77" s="1760"/>
      <c r="G77" s="1371" t="n">
        <v>20</v>
      </c>
      <c r="H77" s="1058" t="s">
        <v>1616</v>
      </c>
      <c r="I77" s="855"/>
      <c r="J77" s="855"/>
      <c r="K77" s="1761" t="n">
        <v>0.1</v>
      </c>
      <c r="L77" s="1762" t="n">
        <v>0</v>
      </c>
      <c r="M77" s="1762"/>
      <c r="N77" s="1058" t="s">
        <v>1463</v>
      </c>
      <c r="O77" s="1763" t="n">
        <f aca="false">L77*G77*(IF(W$44="N",1+Y$44,1))</f>
        <v>0</v>
      </c>
      <c r="P77" s="1763"/>
      <c r="R77" s="1147" t="s">
        <v>1069</v>
      </c>
      <c r="S77" s="920" t="s">
        <v>1617</v>
      </c>
      <c r="T77" s="78"/>
      <c r="V77" s="1311" t="n">
        <f aca="false">ROUNDUP((SUM(K12:K47))*1.25/500,0)</f>
        <v>0</v>
      </c>
      <c r="W77" s="78" t="s">
        <v>1303</v>
      </c>
      <c r="X77" s="1308" t="n">
        <f aca="false">Pricing!Q16</f>
        <v>68.2</v>
      </c>
      <c r="Y77" s="78" t="s">
        <v>562</v>
      </c>
      <c r="Z77" s="1732" t="n">
        <f aca="false">IF(W$44="Y",V77*X77,V77*X77*(1+Y$44))</f>
        <v>0</v>
      </c>
      <c r="AP77" s="654"/>
      <c r="AQ77" s="654"/>
      <c r="AR77" s="654"/>
      <c r="AS77" s="654"/>
      <c r="AT77" s="654"/>
      <c r="AU77" s="654"/>
    </row>
    <row r="78" customFormat="false" ht="21.75" hidden="false" customHeight="true" outlineLevel="0" collapsed="false">
      <c r="B78" s="1764" t="s">
        <v>1434</v>
      </c>
      <c r="C78" s="1765"/>
      <c r="D78" s="1765" t="s">
        <v>1296</v>
      </c>
      <c r="E78" s="1765"/>
      <c r="F78" s="1765"/>
      <c r="G78" s="1765"/>
      <c r="H78" s="1345"/>
      <c r="I78" s="1765"/>
      <c r="J78" s="1765"/>
      <c r="K78" s="1765"/>
      <c r="L78" s="1765" t="s">
        <v>973</v>
      </c>
      <c r="M78" s="1765"/>
      <c r="N78" s="1765" t="s">
        <v>1297</v>
      </c>
      <c r="O78" s="1765"/>
      <c r="P78" s="1766"/>
      <c r="R78" s="1147" t="s">
        <v>1069</v>
      </c>
      <c r="S78" s="920" t="s">
        <v>1310</v>
      </c>
      <c r="T78" s="78"/>
      <c r="V78" s="1311" t="n">
        <f aca="false">CE42/150</f>
        <v>0</v>
      </c>
      <c r="W78" s="78" t="s">
        <v>1303</v>
      </c>
      <c r="X78" s="1308" t="n">
        <f aca="false">Pricing!Q34</f>
        <v>45.24</v>
      </c>
      <c r="Y78" s="78" t="s">
        <v>562</v>
      </c>
      <c r="Z78" s="1732" t="n">
        <f aca="false">IF(W$44="Y",V78*X78,V78*X78*(1+Y$44))</f>
        <v>0</v>
      </c>
      <c r="AP78" s="654"/>
      <c r="AQ78" s="654"/>
      <c r="AR78" s="654"/>
      <c r="AS78" s="654"/>
      <c r="AT78" s="654"/>
      <c r="AU78" s="654"/>
    </row>
    <row r="79" customFormat="false" ht="21.75" hidden="false" customHeight="true" outlineLevel="0" collapsed="false">
      <c r="B79" s="1347" t="s">
        <v>1437</v>
      </c>
      <c r="C79" s="695"/>
      <c r="D79" s="1066" t="s">
        <v>1302</v>
      </c>
      <c r="E79" s="1767" t="n">
        <v>0.25</v>
      </c>
      <c r="F79" s="1767"/>
      <c r="G79" s="1068" t="s">
        <v>1618</v>
      </c>
      <c r="H79" s="1768" t="n">
        <f aca="false">SUM(E79:F82)</f>
        <v>1.45</v>
      </c>
      <c r="I79" s="1769" t="n">
        <f aca="false">D42</f>
        <v>0</v>
      </c>
      <c r="J79" s="1769"/>
      <c r="K79" s="1068" t="s">
        <v>1418</v>
      </c>
      <c r="L79" s="1770" t="n">
        <f aca="false">IF(D79="N",E79*I$79,0)</f>
        <v>0</v>
      </c>
      <c r="M79" s="1770"/>
      <c r="N79" s="175"/>
      <c r="O79" s="1102" t="n">
        <f aca="false">IF(D79="y",I$79*E79,0)</f>
        <v>0</v>
      </c>
      <c r="P79" s="1102"/>
      <c r="R79" s="1147" t="s">
        <v>1069</v>
      </c>
      <c r="S79" s="920" t="s">
        <v>571</v>
      </c>
      <c r="T79" s="78"/>
      <c r="V79" s="1311"/>
      <c r="W79" s="78" t="s">
        <v>1259</v>
      </c>
      <c r="X79" s="1308" t="n">
        <f aca="false">Pricing!Q19</f>
        <v>0.95</v>
      </c>
      <c r="Y79" s="78" t="s">
        <v>527</v>
      </c>
      <c r="Z79" s="1732" t="n">
        <f aca="false">IF(W$44="Y",V79*X79,V79*X79*(1+Y$44))</f>
        <v>0</v>
      </c>
      <c r="AP79" s="654"/>
      <c r="AQ79" s="654"/>
      <c r="AR79" s="654"/>
      <c r="AS79" s="654"/>
      <c r="AT79" s="654"/>
      <c r="AU79" s="656"/>
    </row>
    <row r="80" customFormat="false" ht="21.75" hidden="false" customHeight="true" outlineLevel="0" collapsed="false">
      <c r="B80" s="507" t="s">
        <v>1619</v>
      </c>
      <c r="C80" s="1771"/>
      <c r="D80" s="1074" t="s">
        <v>1302</v>
      </c>
      <c r="E80" s="1772" t="n">
        <v>0.5</v>
      </c>
      <c r="F80" s="1772"/>
      <c r="G80" s="16" t="s">
        <v>600</v>
      </c>
      <c r="H80" s="1768"/>
      <c r="I80" s="1769"/>
      <c r="J80" s="1769"/>
      <c r="K80" s="1771" t="s">
        <v>1418</v>
      </c>
      <c r="L80" s="1773" t="n">
        <f aca="false">IF(D80="N",E80*I$79,0)</f>
        <v>0</v>
      </c>
      <c r="M80" s="1773"/>
      <c r="O80" s="1038" t="n">
        <f aca="false">IF(D80="y",I$79*E80,0)</f>
        <v>0</v>
      </c>
      <c r="P80" s="1038"/>
      <c r="R80" s="1147" t="s">
        <v>1069</v>
      </c>
      <c r="S80" s="920" t="s">
        <v>576</v>
      </c>
      <c r="T80" s="78"/>
      <c r="V80" s="1311" t="n">
        <v>0</v>
      </c>
      <c r="W80" s="78" t="s">
        <v>1259</v>
      </c>
      <c r="X80" s="1308" t="n">
        <f aca="false">Pricing!Q20</f>
        <v>0.25</v>
      </c>
      <c r="Y80" s="78" t="s">
        <v>527</v>
      </c>
      <c r="Z80" s="1732" t="n">
        <f aca="false">IF(W$44="Y",V80*X80,V80*X80*(1+Y$44))</f>
        <v>0</v>
      </c>
      <c r="AP80" s="654"/>
      <c r="AQ80" s="654"/>
      <c r="AR80" s="654"/>
      <c r="AS80" s="654"/>
      <c r="AT80" s="654"/>
      <c r="AU80" s="656"/>
    </row>
    <row r="81" customFormat="false" ht="21.75" hidden="false" customHeight="true" outlineLevel="0" collapsed="false">
      <c r="B81" s="507" t="s">
        <v>1442</v>
      </c>
      <c r="C81" s="405"/>
      <c r="D81" s="1074" t="s">
        <v>1302</v>
      </c>
      <c r="E81" s="1774" t="n">
        <v>0.5</v>
      </c>
      <c r="F81" s="1774"/>
      <c r="G81" s="16" t="s">
        <v>1618</v>
      </c>
      <c r="H81" s="1768"/>
      <c r="I81" s="1769"/>
      <c r="J81" s="1769"/>
      <c r="K81" s="16" t="s">
        <v>1418</v>
      </c>
      <c r="L81" s="1773" t="n">
        <f aca="false">IF(D81="N",E81*I$79,0)</f>
        <v>0</v>
      </c>
      <c r="M81" s="1773"/>
      <c r="O81" s="1038" t="n">
        <f aca="false">IF(D81="y",I$79*E81,0)</f>
        <v>0</v>
      </c>
      <c r="P81" s="1038"/>
      <c r="R81" s="1147" t="s">
        <v>1069</v>
      </c>
      <c r="S81" s="920" t="s">
        <v>551</v>
      </c>
      <c r="T81" s="78"/>
      <c r="V81" s="1311" t="n">
        <v>0</v>
      </c>
      <c r="W81" s="78" t="s">
        <v>1259</v>
      </c>
      <c r="X81" s="1308" t="n">
        <f aca="false">Pricing!Q12</f>
        <v>1.063125</v>
      </c>
      <c r="Y81" s="78" t="s">
        <v>527</v>
      </c>
      <c r="Z81" s="1732" t="n">
        <f aca="false">IF(W$44="Y",V81*X81,V81*X81*(1+Y$44))</f>
        <v>0</v>
      </c>
    </row>
    <row r="82" customFormat="false" ht="21.75" hidden="false" customHeight="true" outlineLevel="0" collapsed="false">
      <c r="B82" s="507" t="s">
        <v>1443</v>
      </c>
      <c r="C82" s="405"/>
      <c r="D82" s="1074" t="s">
        <v>1302</v>
      </c>
      <c r="E82" s="1775" t="n">
        <v>0.2</v>
      </c>
      <c r="F82" s="1775"/>
      <c r="G82" s="16" t="s">
        <v>1618</v>
      </c>
      <c r="H82" s="1768"/>
      <c r="I82" s="1769"/>
      <c r="J82" s="1769"/>
      <c r="K82" s="16" t="s">
        <v>1418</v>
      </c>
      <c r="L82" s="1773" t="n">
        <f aca="false">IF(D82="N",E82*I$79,0)</f>
        <v>0</v>
      </c>
      <c r="M82" s="1773"/>
      <c r="O82" s="1038" t="n">
        <f aca="false">IF(D82="y",I$79*E82,0)</f>
        <v>0</v>
      </c>
      <c r="P82" s="1038"/>
      <c r="R82" s="1147" t="s">
        <v>1069</v>
      </c>
      <c r="S82" s="920" t="s">
        <v>552</v>
      </c>
      <c r="T82" s="78"/>
      <c r="V82" s="1311" t="n">
        <v>0</v>
      </c>
      <c r="W82" s="78" t="s">
        <v>1259</v>
      </c>
      <c r="X82" s="1308" t="n">
        <f aca="false">Pricing!Q13</f>
        <v>1.494375</v>
      </c>
      <c r="Y82" s="78" t="s">
        <v>527</v>
      </c>
      <c r="Z82" s="1732" t="n">
        <f aca="false">IF(W$44="Y",V82*X82,V82*X82*(1+Y$44))</f>
        <v>0</v>
      </c>
    </row>
    <row r="83" customFormat="false" ht="21.75" hidden="false" customHeight="true" outlineLevel="0" collapsed="false">
      <c r="B83" s="507" t="s">
        <v>1488</v>
      </c>
      <c r="C83" s="405"/>
      <c r="D83" s="1074" t="s">
        <v>1302</v>
      </c>
      <c r="E83" s="1776" t="n">
        <v>8</v>
      </c>
      <c r="F83" s="1776"/>
      <c r="G83" s="16" t="s">
        <v>1620</v>
      </c>
      <c r="I83" s="1777" t="n">
        <f aca="false">SUM(T10:T41)</f>
        <v>0</v>
      </c>
      <c r="J83" s="1777"/>
      <c r="K83" s="16" t="s">
        <v>1621</v>
      </c>
      <c r="L83" s="1773" t="n">
        <f aca="false">IF(D83="N",E83*I$83,0)</f>
        <v>0</v>
      </c>
      <c r="M83" s="1773"/>
      <c r="O83" s="1038" t="n">
        <f aca="false">IF(D83="y",I$83*E83,0)</f>
        <v>0</v>
      </c>
      <c r="P83" s="1038"/>
      <c r="R83" s="1147" t="s">
        <v>1069</v>
      </c>
      <c r="S83" s="920" t="s">
        <v>1319</v>
      </c>
      <c r="T83" s="78"/>
      <c r="V83" s="1311" t="n">
        <f aca="false">SUM(V81:V82)</f>
        <v>0</v>
      </c>
      <c r="W83" s="78" t="s">
        <v>1259</v>
      </c>
      <c r="X83" s="1308" t="n">
        <f aca="false">Pricing!Q10</f>
        <v>0.70875</v>
      </c>
      <c r="Y83" s="78" t="s">
        <v>527</v>
      </c>
      <c r="Z83" s="1732" t="n">
        <f aca="false">IF(W$44="Y",V83*X83,V83*X83*(1+Y$44))</f>
        <v>0</v>
      </c>
    </row>
    <row r="84" customFormat="false" ht="21.75" hidden="false" customHeight="true" outlineLevel="0" collapsed="false">
      <c r="B84" s="507" t="s">
        <v>1473</v>
      </c>
      <c r="C84" s="405"/>
      <c r="D84" s="1074" t="s">
        <v>1302</v>
      </c>
      <c r="E84" s="1778"/>
      <c r="F84" s="1779"/>
      <c r="G84" s="1780"/>
      <c r="H84" s="1781"/>
      <c r="I84" s="1782"/>
      <c r="J84" s="1782"/>
      <c r="K84" s="1780"/>
      <c r="L84" s="1783"/>
      <c r="M84" s="1783"/>
      <c r="N84" s="1781"/>
      <c r="O84" s="1038" t="n">
        <f aca="false">SUM(CP10:CP41)</f>
        <v>0</v>
      </c>
      <c r="P84" s="1038"/>
      <c r="R84" s="1147" t="s">
        <v>1069</v>
      </c>
      <c r="S84" s="920"/>
      <c r="T84" s="78"/>
      <c r="V84" s="1311"/>
      <c r="W84" s="78"/>
      <c r="X84" s="1308"/>
      <c r="Y84" s="78"/>
      <c r="Z84" s="1732" t="n">
        <f aca="false">IF(W$44="Y",V84*X84,V84*X84*(1+Y$44))</f>
        <v>0</v>
      </c>
    </row>
    <row r="85" customFormat="false" ht="21.75" hidden="false" customHeight="true" outlineLevel="0" collapsed="false">
      <c r="B85" s="507" t="s">
        <v>1626</v>
      </c>
      <c r="C85" s="405"/>
      <c r="D85" s="1074" t="s">
        <v>1302</v>
      </c>
      <c r="E85" s="1776" t="n">
        <v>12</v>
      </c>
      <c r="F85" s="1776"/>
      <c r="G85" s="16" t="s">
        <v>1285</v>
      </c>
      <c r="I85" s="1777" t="n">
        <f aca="false">IF((SUM(L65:M69)-I79/30)&lt;0,0,SUM(L65:M69)-I79/30)</f>
        <v>0</v>
      </c>
      <c r="J85" s="1777"/>
      <c r="K85" s="16" t="s">
        <v>998</v>
      </c>
      <c r="L85" s="1773" t="n">
        <f aca="false">IF(D85="N",E85*I$85,0)</f>
        <v>0</v>
      </c>
      <c r="M85" s="1773"/>
      <c r="O85" s="1038" t="n">
        <f aca="false">IF(D85="y",I$85*E85,0)</f>
        <v>0</v>
      </c>
      <c r="P85" s="1038"/>
      <c r="R85" s="1147" t="s">
        <v>1069</v>
      </c>
      <c r="S85" s="920"/>
      <c r="T85" s="78"/>
      <c r="V85" s="1311"/>
      <c r="W85" s="78"/>
      <c r="X85" s="1308"/>
      <c r="Y85" s="78"/>
      <c r="Z85" s="1732" t="n">
        <f aca="false">IF(W$44="Y",V85*X85,V85*X85*(1+Y$44))</f>
        <v>0</v>
      </c>
    </row>
    <row r="86" customFormat="false" ht="21.75" hidden="false" customHeight="true" outlineLevel="0" collapsed="false">
      <c r="B86" s="507" t="s">
        <v>1628</v>
      </c>
      <c r="C86" s="405"/>
      <c r="D86" s="1074" t="s">
        <v>1302</v>
      </c>
      <c r="E86" s="1776" t="n">
        <v>85</v>
      </c>
      <c r="F86" s="1776"/>
      <c r="G86" s="16" t="s">
        <v>1624</v>
      </c>
      <c r="I86" s="1784" t="n">
        <f aca="false">CK42</f>
        <v>0</v>
      </c>
      <c r="J86" s="1784"/>
      <c r="K86" s="16" t="s">
        <v>1000</v>
      </c>
      <c r="L86" s="1773" t="n">
        <f aca="false">IF(D86="N",E86*I$86,0)</f>
        <v>0</v>
      </c>
      <c r="M86" s="1773"/>
      <c r="O86" s="1038" t="n">
        <f aca="false">IF(D86="y",I$86*E86,0)</f>
        <v>0</v>
      </c>
      <c r="P86" s="1038"/>
      <c r="R86" s="1147" t="s">
        <v>1069</v>
      </c>
      <c r="S86" s="1357"/>
      <c r="T86" s="1358"/>
      <c r="U86" s="265"/>
      <c r="V86" s="1359"/>
      <c r="W86" s="1358"/>
      <c r="X86" s="1360"/>
      <c r="Y86" s="1358"/>
      <c r="Z86" s="1785" t="n">
        <f aca="false">IF(W$44="Y",V86*X86,V86*X86*(1+Y$44))</f>
        <v>0</v>
      </c>
    </row>
    <row r="87" customFormat="false" ht="21.75" hidden="false" customHeight="true" outlineLevel="0" collapsed="false">
      <c r="B87" s="507" t="s">
        <v>1307</v>
      </c>
      <c r="C87" s="405"/>
      <c r="D87" s="1074" t="s">
        <v>1302</v>
      </c>
      <c r="E87" s="1786" t="n">
        <v>350</v>
      </c>
      <c r="F87" s="1786"/>
      <c r="G87" s="16" t="s">
        <v>1308</v>
      </c>
      <c r="I87" s="1784" t="n">
        <f aca="false">U42/2000</f>
        <v>0</v>
      </c>
      <c r="J87" s="1784"/>
      <c r="K87" s="16" t="s">
        <v>1309</v>
      </c>
      <c r="L87" s="1773" t="n">
        <f aca="false">IF(D87="N",E87*I$87,0)</f>
        <v>0</v>
      </c>
      <c r="M87" s="1773"/>
      <c r="O87" s="1038" t="n">
        <f aca="false">IF(D87="y",I87*E87,0)</f>
        <v>0</v>
      </c>
      <c r="P87" s="1038"/>
      <c r="R87" s="1039" t="s">
        <v>1077</v>
      </c>
      <c r="S87" s="920" t="s">
        <v>1629</v>
      </c>
      <c r="T87" s="78" t="s">
        <v>1630</v>
      </c>
      <c r="U87" s="54" t="s">
        <v>1047</v>
      </c>
      <c r="V87" s="1311" t="n">
        <f aca="false">IF(U87="Y",DC47/1900,0)</f>
        <v>0</v>
      </c>
      <c r="W87" s="78" t="s">
        <v>1454</v>
      </c>
      <c r="X87" s="1308" t="n">
        <f aca="false">82+25</f>
        <v>107</v>
      </c>
      <c r="Y87" s="78" t="s">
        <v>1631</v>
      </c>
      <c r="Z87" s="1732" t="n">
        <f aca="false">IF(W$44="Y",V87*X87,V87*X87*(1+Y$44))</f>
        <v>0</v>
      </c>
    </row>
    <row r="88" customFormat="false" ht="21.75" hidden="false" customHeight="true" outlineLevel="0" collapsed="false">
      <c r="B88" s="1747" t="s">
        <v>1313</v>
      </c>
      <c r="C88" s="1082"/>
      <c r="D88" s="1083" t="s">
        <v>1302</v>
      </c>
      <c r="E88" s="1787"/>
      <c r="F88" s="1787"/>
      <c r="G88" s="397"/>
      <c r="H88" s="397"/>
      <c r="I88" s="1788"/>
      <c r="J88" s="1788"/>
      <c r="K88" s="397"/>
      <c r="L88" s="1789" t="n">
        <f aca="false">IF(D88="N",E88,0)</f>
        <v>0</v>
      </c>
      <c r="M88" s="1789"/>
      <c r="N88" s="265"/>
      <c r="O88" s="1056" t="n">
        <f aca="false">IF(D88="y",E88,0)</f>
        <v>0</v>
      </c>
      <c r="P88" s="1056"/>
      <c r="R88" s="1039" t="s">
        <v>1077</v>
      </c>
      <c r="S88" s="920" t="s">
        <v>1632</v>
      </c>
      <c r="T88" s="78" t="s">
        <v>1633</v>
      </c>
      <c r="U88" s="54" t="s">
        <v>1306</v>
      </c>
      <c r="V88" s="1311" t="n">
        <f aca="false">IF(U88="Y",DC$47/2940,0)</f>
        <v>0</v>
      </c>
      <c r="W88" s="78" t="s">
        <v>1454</v>
      </c>
      <c r="X88" s="1308" t="n">
        <f aca="false">305+25</f>
        <v>330</v>
      </c>
      <c r="Y88" s="78" t="s">
        <v>1631</v>
      </c>
      <c r="Z88" s="1732" t="n">
        <f aca="false">IF(W$44="Y",V88*X88,V88*X88*(1+Y$44))</f>
        <v>0</v>
      </c>
    </row>
    <row r="89" customFormat="false" ht="21.75" hidden="false" customHeight="true" outlineLevel="0" collapsed="false">
      <c r="B89" s="1087" t="s">
        <v>1447</v>
      </c>
      <c r="C89" s="1088"/>
      <c r="D89" s="1089"/>
      <c r="E89" s="1090" t="n">
        <f aca="false">IF(I79=0,0,(O89-E88+L89)/I79)</f>
        <v>0</v>
      </c>
      <c r="F89" s="1790"/>
      <c r="G89" s="855"/>
      <c r="H89" s="1058"/>
      <c r="I89" s="1088" t="s">
        <v>980</v>
      </c>
      <c r="J89" s="1088"/>
      <c r="K89" s="1088"/>
      <c r="L89" s="1791" t="n">
        <f aca="false">SUM(L79:M88)</f>
        <v>0</v>
      </c>
      <c r="M89" s="1791"/>
      <c r="N89" s="246"/>
      <c r="O89" s="736" t="n">
        <f aca="false">SUM(O79:P88)</f>
        <v>0</v>
      </c>
      <c r="P89" s="736"/>
      <c r="R89" s="1039" t="s">
        <v>1077</v>
      </c>
      <c r="S89" s="920" t="s">
        <v>1634</v>
      </c>
      <c r="T89" s="78" t="s">
        <v>1635</v>
      </c>
      <c r="U89" s="54" t="s">
        <v>1047</v>
      </c>
      <c r="V89" s="1311" t="n">
        <f aca="false">IF(U89="Y",DC$47/1760,0)</f>
        <v>0</v>
      </c>
      <c r="W89" s="78" t="s">
        <v>1454</v>
      </c>
      <c r="X89" s="1308" t="n">
        <f aca="false">325+30</f>
        <v>355</v>
      </c>
      <c r="Y89" s="78" t="s">
        <v>1631</v>
      </c>
      <c r="Z89" s="1732" t="n">
        <f aca="false">IF(W$44="Y",V89*X89,V89*X89*(1+Y$44))</f>
        <v>0</v>
      </c>
    </row>
    <row r="90" customFormat="false" ht="21.75" hidden="false" customHeight="true" outlineLevel="0" collapsed="false">
      <c r="B90" s="1344" t="s">
        <v>1449</v>
      </c>
      <c r="C90" s="1792"/>
      <c r="D90" s="1792"/>
      <c r="E90" s="1792"/>
      <c r="F90" s="1792"/>
      <c r="G90" s="1792"/>
      <c r="H90" s="1792"/>
      <c r="I90" s="1792"/>
      <c r="J90" s="1792"/>
      <c r="K90" s="1792"/>
      <c r="L90" s="1792"/>
      <c r="M90" s="1792"/>
      <c r="N90" s="1792"/>
      <c r="O90" s="1792"/>
      <c r="P90" s="1793"/>
      <c r="R90" s="1039" t="s">
        <v>1077</v>
      </c>
      <c r="S90" s="1357" t="s">
        <v>1636</v>
      </c>
      <c r="T90" s="1358" t="s">
        <v>1637</v>
      </c>
      <c r="U90" s="495" t="s">
        <v>1047</v>
      </c>
      <c r="V90" s="1359" t="n">
        <f aca="false">IF(U90="y",DC47/2360,0)</f>
        <v>0</v>
      </c>
      <c r="W90" s="1358" t="s">
        <v>1454</v>
      </c>
      <c r="X90" s="1360"/>
      <c r="Y90" s="1358" t="s">
        <v>1631</v>
      </c>
      <c r="Z90" s="1785" t="n">
        <f aca="false">IF(W$44="Y",V90*X90,V90*X90*(1+Y$44))</f>
        <v>0</v>
      </c>
    </row>
    <row r="91" customFormat="false" ht="21.75" hidden="false" customHeight="true" outlineLevel="0" collapsed="false">
      <c r="B91" s="1794" t="s">
        <v>1316</v>
      </c>
      <c r="C91" s="1068"/>
      <c r="D91" s="1097"/>
      <c r="E91" s="1098"/>
      <c r="F91" s="1068" t="s">
        <v>1317</v>
      </c>
      <c r="G91" s="1099" t="n">
        <v>425</v>
      </c>
      <c r="H91" s="1100" t="s">
        <v>620</v>
      </c>
      <c r="I91" s="1068"/>
      <c r="J91" s="1068"/>
      <c r="K91" s="1068"/>
      <c r="L91" s="1068"/>
      <c r="M91" s="1795" t="n">
        <f aca="false">IF(E45=0,0,(SUM(O91:P93))/E45)</f>
        <v>0</v>
      </c>
      <c r="N91" s="1795"/>
      <c r="O91" s="1102" t="n">
        <f aca="false">E91*G91</f>
        <v>0</v>
      </c>
      <c r="P91" s="1102"/>
      <c r="R91" s="1147"/>
      <c r="S91" s="920"/>
      <c r="T91" s="78"/>
      <c r="V91" s="1311"/>
      <c r="W91" s="1361"/>
      <c r="X91" s="1308"/>
      <c r="Y91" s="78"/>
      <c r="Z91" s="1732" t="n">
        <f aca="false">IF(W$44="Y",V91*X91,V91*X91*(1+Y$44))</f>
        <v>0</v>
      </c>
    </row>
    <row r="92" customFormat="false" ht="21.75" hidden="false" customHeight="true" outlineLevel="0" collapsed="false">
      <c r="B92" s="507" t="s">
        <v>1640</v>
      </c>
      <c r="E92" s="1103" t="n">
        <f aca="false">E91</f>
        <v>0</v>
      </c>
      <c r="F92" s="1104" t="s">
        <v>1317</v>
      </c>
      <c r="G92" s="1105" t="n">
        <v>250</v>
      </c>
      <c r="H92" s="1142" t="s">
        <v>620</v>
      </c>
      <c r="M92" s="1797" t="n">
        <f aca="false">SUM(O91:P93)</f>
        <v>0</v>
      </c>
      <c r="N92" s="1797"/>
      <c r="O92" s="1038" t="n">
        <f aca="false">E92*G92</f>
        <v>0</v>
      </c>
      <c r="P92" s="1038"/>
      <c r="R92" s="1147"/>
      <c r="S92" s="920"/>
      <c r="T92" s="78"/>
      <c r="V92" s="1311"/>
      <c r="W92" s="1361"/>
      <c r="X92" s="1308"/>
      <c r="Y92" s="78"/>
      <c r="Z92" s="1732" t="n">
        <f aca="false">IF(W$44="Y",V92*X92,V92*X92*(1+Y$44))</f>
        <v>0</v>
      </c>
    </row>
    <row r="93" customFormat="false" ht="21.75" hidden="false" customHeight="true" outlineLevel="0" collapsed="false">
      <c r="B93" s="507" t="s">
        <v>1320</v>
      </c>
      <c r="E93" s="1103" t="n">
        <f aca="false">E91</f>
        <v>0</v>
      </c>
      <c r="F93" s="16" t="s">
        <v>1317</v>
      </c>
      <c r="G93" s="1105" t="n">
        <v>100</v>
      </c>
      <c r="H93" s="16" t="s">
        <v>620</v>
      </c>
      <c r="O93" s="1038" t="n">
        <f aca="false">E93*G93</f>
        <v>0</v>
      </c>
      <c r="P93" s="1038"/>
      <c r="R93" s="1306"/>
      <c r="S93" s="920"/>
      <c r="T93" s="78"/>
      <c r="V93" s="1311"/>
      <c r="W93" s="78"/>
      <c r="X93" s="1308"/>
      <c r="Y93" s="78"/>
      <c r="Z93" s="1732" t="n">
        <f aca="false">IF(W$44="Y",V93*X93,V93*X93*(1+Y$44))</f>
        <v>0</v>
      </c>
    </row>
    <row r="94" customFormat="false" ht="21.75" hidden="false" customHeight="true" outlineLevel="0" collapsed="false">
      <c r="B94" s="1798" t="s">
        <v>1321</v>
      </c>
      <c r="C94" s="1058"/>
      <c r="D94" s="1058"/>
      <c r="E94" s="1110" t="n">
        <f aca="false">E91</f>
        <v>0</v>
      </c>
      <c r="F94" s="1058"/>
      <c r="G94" s="1126" t="n">
        <v>200</v>
      </c>
      <c r="H94" s="1058"/>
      <c r="I94" s="1058"/>
      <c r="J94" s="1058"/>
      <c r="K94" s="1058"/>
      <c r="L94" s="1058"/>
      <c r="M94" s="1372" t="n">
        <f aca="false">IF(E45=0,0,O94/E45)</f>
        <v>0</v>
      </c>
      <c r="N94" s="1372"/>
      <c r="O94" s="1038" t="n">
        <f aca="false">E94*G94</f>
        <v>0</v>
      </c>
      <c r="P94" s="1038"/>
      <c r="R94" s="1306"/>
      <c r="S94" s="920"/>
      <c r="T94" s="78"/>
      <c r="V94" s="1311"/>
      <c r="W94" s="78"/>
      <c r="X94" s="1308"/>
      <c r="Y94" s="78"/>
      <c r="Z94" s="1732" t="n">
        <f aca="false">IF(W$44="Y",V94*X94,V94*X94*(1+Y$44))</f>
        <v>0</v>
      </c>
    </row>
    <row r="95" customFormat="false" ht="21.75" hidden="false" customHeight="true" outlineLevel="0" collapsed="false">
      <c r="B95" s="1344" t="s">
        <v>1325</v>
      </c>
      <c r="C95" s="1792"/>
      <c r="D95" s="1792"/>
      <c r="E95" s="1792"/>
      <c r="F95" s="1792"/>
      <c r="G95" s="1792"/>
      <c r="H95" s="1792"/>
      <c r="I95" s="1792"/>
      <c r="J95" s="1792"/>
      <c r="K95" s="1792"/>
      <c r="L95" s="1792"/>
      <c r="M95" s="1792"/>
      <c r="N95" s="1792"/>
      <c r="O95" s="1792"/>
      <c r="P95" s="1793"/>
      <c r="R95" s="1039" t="s">
        <v>1451</v>
      </c>
      <c r="S95" s="920" t="s">
        <v>1657</v>
      </c>
      <c r="T95" s="78"/>
      <c r="V95" s="1311"/>
      <c r="W95" s="78" t="s">
        <v>1658</v>
      </c>
      <c r="X95" s="1308" t="n">
        <v>25</v>
      </c>
      <c r="Y95" s="78"/>
      <c r="Z95" s="1732" t="n">
        <f aca="false">IF(W$44="Y",V95*X95,V95*X95*(1+Y$44))</f>
        <v>0</v>
      </c>
    </row>
    <row r="96" customFormat="false" ht="21.75" hidden="false" customHeight="true" outlineLevel="0" collapsed="false">
      <c r="B96" s="1794" t="s">
        <v>1326</v>
      </c>
      <c r="C96" s="1799"/>
      <c r="D96" s="1800"/>
      <c r="E96" s="1115"/>
      <c r="F96" s="1068" t="s">
        <v>1327</v>
      </c>
      <c r="G96" s="1099" t="n">
        <f aca="false">Pricing!D32</f>
        <v>425</v>
      </c>
      <c r="H96" s="1068" t="s">
        <v>620</v>
      </c>
      <c r="I96" s="1068"/>
      <c r="J96" s="1068"/>
      <c r="K96" s="1068"/>
      <c r="L96" s="1068"/>
      <c r="M96" s="1068"/>
      <c r="N96" s="1068"/>
      <c r="O96" s="1102" t="n">
        <f aca="false">((IF(AND(E96&gt;0,E96&lt;4),E96*G96,0)+IF(AND(E96&gt;3,E96&lt;8),G96*3,0)+IF(AND(E96&gt;7,E96&lt;21),E96/7*G96*3,0)+IF(AND(E96&gt;20,E96&lt;30),G96*9,0)+IF(E96&gt;29,E96/30*G96*9,0)))*(1+$Y$44+J$98)</f>
        <v>0</v>
      </c>
      <c r="P96" s="1102"/>
      <c r="R96" s="1147"/>
      <c r="S96" s="920"/>
      <c r="T96" s="78"/>
      <c r="V96" s="1311"/>
      <c r="W96" s="78"/>
      <c r="X96" s="1308"/>
      <c r="Y96" s="78"/>
      <c r="Z96" s="1732" t="n">
        <f aca="false">IF(W$44="Y",V96*X96,V96*X96*(1+Y$44))</f>
        <v>0</v>
      </c>
    </row>
    <row r="97" customFormat="false" ht="21.75" hidden="false" customHeight="true" outlineLevel="0" collapsed="false">
      <c r="B97" s="507" t="s">
        <v>622</v>
      </c>
      <c r="C97" s="1312"/>
      <c r="D97" s="1801"/>
      <c r="E97"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97" s="16" t="s">
        <v>1327</v>
      </c>
      <c r="G97" s="1105" t="n">
        <f aca="false">Pricing!D33</f>
        <v>475</v>
      </c>
      <c r="H97" s="16" t="s">
        <v>620</v>
      </c>
      <c r="J97" s="1118" t="s">
        <v>1329</v>
      </c>
      <c r="K97" s="1118"/>
      <c r="M97" s="1119" t="n">
        <f aca="false">IF(E45=0,0,(SUM(O96:P101))/E45)</f>
        <v>0</v>
      </c>
      <c r="N97" s="1119"/>
      <c r="O97" s="1802" t="n">
        <f aca="false">((IF(AND(E97&gt;0,E97&lt;4),E97*G97,0)+IF(AND(E97&gt;3,E97&lt;8),G97*3,0)+IF(AND(E97&gt;7,E97&lt;21),E97/7*G97*3,0)+IF(AND(E97&gt;20,E97&lt;30),G97*9,0)+IF(E97&gt;29,E97/30*G97*9,0)))*(1+$Y$44+J$98)</f>
        <v>0</v>
      </c>
      <c r="P97" s="1802"/>
      <c r="R97" s="1147"/>
      <c r="S97" s="1357" t="s">
        <v>1659</v>
      </c>
      <c r="T97" s="1358"/>
      <c r="U97" s="265"/>
      <c r="V97" s="1359" t="n">
        <f aca="false">SUM(L65:M69)/300</f>
        <v>0</v>
      </c>
      <c r="W97" s="1358" t="s">
        <v>1323</v>
      </c>
      <c r="X97" s="1360" t="n">
        <v>250</v>
      </c>
      <c r="Y97" s="1358" t="s">
        <v>1324</v>
      </c>
      <c r="Z97" s="1785" t="n">
        <f aca="false">IF(W$44="Y",V97*X97,V97*X97*(1+Y$44))</f>
        <v>0</v>
      </c>
    </row>
    <row r="98" customFormat="false" ht="21.75" hidden="false" customHeight="true" outlineLevel="0" collapsed="false">
      <c r="B98" s="507" t="s">
        <v>624</v>
      </c>
      <c r="C98" s="1312"/>
      <c r="D98" s="1801"/>
      <c r="E98" s="1115" t="n">
        <v>0</v>
      </c>
      <c r="F98" s="78" t="s">
        <v>1327</v>
      </c>
      <c r="G98" s="1105" t="n">
        <f aca="false">Pricing!D34</f>
        <v>325</v>
      </c>
      <c r="H98" s="16" t="s">
        <v>620</v>
      </c>
      <c r="J98" s="1803" t="n">
        <v>0.5</v>
      </c>
      <c r="K98" s="1803"/>
      <c r="M98" s="1106" t="n">
        <f aca="false">SUM(O96:P101)</f>
        <v>0</v>
      </c>
      <c r="N98" s="1106"/>
      <c r="O98" s="1802" t="n">
        <f aca="false">((IF(AND(E98&gt;0,E98&lt;4),E98*G98,0)+IF(AND(E98&gt;3,E98&lt;8),G98*3,0)+IF(AND(E98&gt;7,E98&lt;21),E98/7*G98*3,0)+IF(AND(E98&gt;20,E98&lt;30),G98*9,0)+IF(E98&gt;29,E98/30*G98*9,0)))*(1+$Y$44+J$98)</f>
        <v>0</v>
      </c>
      <c r="P98" s="1802"/>
      <c r="R98" s="1039" t="s">
        <v>1073</v>
      </c>
      <c r="S98" s="920" t="s">
        <v>618</v>
      </c>
      <c r="T98" s="78"/>
      <c r="V98" s="1311" t="n">
        <f aca="false">ROUNDUP(D42/15000,0)</f>
        <v>0</v>
      </c>
      <c r="W98" s="16" t="s">
        <v>1452</v>
      </c>
      <c r="X98" s="1308" t="n">
        <f aca="false">Pricing!Q31</f>
        <v>27</v>
      </c>
      <c r="Y98" s="16" t="s">
        <v>607</v>
      </c>
      <c r="Z98" s="1732" t="n">
        <f aca="false">IF(W$44="Y",V98*X98,V98*X98*(1+Y$44))</f>
        <v>0</v>
      </c>
    </row>
    <row r="99" customFormat="false" ht="21.75" hidden="false" customHeight="true" outlineLevel="0" collapsed="false">
      <c r="B99" s="507" t="s">
        <v>626</v>
      </c>
      <c r="C99" s="1312"/>
      <c r="D99" s="1801"/>
      <c r="E99" s="1115"/>
      <c r="F99" s="16" t="s">
        <v>1327</v>
      </c>
      <c r="G99" s="1105" t="n">
        <v>225</v>
      </c>
      <c r="H99" s="16" t="s">
        <v>620</v>
      </c>
      <c r="J99" s="1803"/>
      <c r="K99" s="1803"/>
      <c r="O99" s="1038" t="n">
        <f aca="false">((IF(AND(E99&gt;0,E99&lt;4),E99*G99,0)+IF(AND(E99&gt;3,E99&lt;8),G99*3,0)+IF(AND(E99&gt;7,E99&lt;21),E99/7*G99*3,0)+IF(AND(E99&gt;20,E99&lt;30),G99*9,0)+IF(E99&gt;29,E99/30*G99*9,0)))*(1+$Y$44+J$98)</f>
        <v>0</v>
      </c>
      <c r="P99" s="1038"/>
      <c r="R99" s="1039" t="s">
        <v>1073</v>
      </c>
      <c r="S99" s="920" t="s">
        <v>629</v>
      </c>
      <c r="T99" s="78"/>
      <c r="V99" s="1311" t="n">
        <f aca="false">I79/15000</f>
        <v>0</v>
      </c>
      <c r="W99" s="16" t="s">
        <v>1644</v>
      </c>
      <c r="X99" s="1308" t="n">
        <f aca="false">Pricing!Q36</f>
        <v>37.8</v>
      </c>
      <c r="Y99" s="16" t="s">
        <v>630</v>
      </c>
      <c r="Z99" s="1732" t="n">
        <f aca="false">IF(W$44="Y",V99*X99,V99*X99*(1+Y$44))</f>
        <v>0</v>
      </c>
    </row>
    <row r="100" customFormat="false" ht="21.75" hidden="false" customHeight="true" outlineLevel="0" collapsed="false">
      <c r="B100" s="507" t="s">
        <v>1333</v>
      </c>
      <c r="C100" s="1312"/>
      <c r="D100" s="1801"/>
      <c r="E100"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100" s="16" t="s">
        <v>1327</v>
      </c>
      <c r="G100" s="1105" t="n">
        <v>25</v>
      </c>
      <c r="H100" s="16" t="s">
        <v>620</v>
      </c>
      <c r="O100" s="1038" t="n">
        <f aca="false">((IF(AND(E100&gt;0,E100&lt;4),E100*G100,0)+IF(AND(E100&gt;3,E100&lt;8),G100*3,0)+IF(AND(E100&gt;7,E100&lt;21),E100/7*G100*3,0)+IF(AND(E100&gt;20,E100&lt;30),G100*9,0)+IF(E100&gt;29,E100/30*G100*9,0)))*(1+$Y$44+J$98)</f>
        <v>0</v>
      </c>
      <c r="P100" s="1038"/>
      <c r="R100" s="1039" t="s">
        <v>1073</v>
      </c>
      <c r="S100" s="1357" t="s">
        <v>554</v>
      </c>
      <c r="T100" s="1358"/>
      <c r="U100" s="265"/>
      <c r="V100" s="1359" t="n">
        <f aca="false">L70+(L71*0.75)</f>
        <v>0</v>
      </c>
      <c r="W100" s="397" t="s">
        <v>1288</v>
      </c>
      <c r="X100" s="1360" t="n">
        <v>0.02</v>
      </c>
      <c r="Y100" s="397" t="s">
        <v>555</v>
      </c>
      <c r="Z100" s="1785" t="n">
        <f aca="false">IF(W$44="Y",V100*X100,V100*X100*(1+Y$44))</f>
        <v>0</v>
      </c>
    </row>
    <row r="101" customFormat="false" ht="21.75" hidden="false" customHeight="true" outlineLevel="0" collapsed="false">
      <c r="B101" s="1798" t="s">
        <v>1067</v>
      </c>
      <c r="C101" s="1804"/>
      <c r="D101" s="1805"/>
      <c r="E101" s="1115" t="n">
        <f aca="false">IF(E$91&gt;0,IF(E$91&lt;=3,E$91,7),0)+IF(E$91&gt;5,IF(E$91&lt;=10,7,0),0)+IF(E$91&gt;10,IF(E$91&lt;=15,14,0),0)+IF(E$91&gt;15,IF(E$91&lt;=20,23,0),0)+IF(E$91&gt;20,IF(E$91&lt;=40,53,0),0)+IF(E$91&gt;40,IF(E$91&lt;=60,83,0),0)+IF(E$91&gt;60,IF(E$91&lt;=80,113,0),0)+IF(E$91&gt;80,IF(E$91&lt;=100,143,0),0)+IF(E$91&gt;100,IF(E$91&lt;=120,163,0),0)+IF(E$91&gt;120,IF(E$91&lt;=140,193,0),0)+IF(E$91&gt;140,IF(E$91&lt;=160,223,0),0)</f>
        <v>0</v>
      </c>
      <c r="F101" s="1058" t="s">
        <v>1645</v>
      </c>
      <c r="G101" s="1126" t="n">
        <v>55</v>
      </c>
      <c r="H101" s="1058" t="s">
        <v>620</v>
      </c>
      <c r="I101" s="1058"/>
      <c r="J101" s="1058"/>
      <c r="K101" s="1058"/>
      <c r="L101" s="1058"/>
      <c r="M101" s="1127"/>
      <c r="N101" s="1058"/>
      <c r="O101" s="736" t="n">
        <f aca="false">((IF(AND(E101&gt;0,E101&lt;4),E101*G101,0)+IF(AND(E101&gt;3,E101&lt;8),G101*3,0)+IF(AND(E101&gt;7,E101&lt;21),E101/7*G101*3,0)+IF(AND(E101&gt;20,E101&lt;30),G101*9,0)+IF(E101&gt;29,E101/30*G101*9,0)))</f>
        <v>0</v>
      </c>
      <c r="P101" s="736"/>
      <c r="R101" s="1039" t="s">
        <v>1078</v>
      </c>
      <c r="S101" s="920" t="s">
        <v>1105</v>
      </c>
      <c r="T101" s="78"/>
      <c r="V101" s="78"/>
      <c r="X101" s="1308"/>
      <c r="Y101" s="16"/>
      <c r="Z101" s="1732" t="n">
        <f aca="false">IF(W$44="Y",V101*X101,V101*X101*(1+Y$44))</f>
        <v>0</v>
      </c>
    </row>
    <row r="102" customFormat="false" ht="21.75" hidden="false" customHeight="true" outlineLevel="0" collapsed="false">
      <c r="B102" s="1344" t="s">
        <v>1336</v>
      </c>
      <c r="C102" s="1792"/>
      <c r="D102" s="1792"/>
      <c r="E102" s="1792"/>
      <c r="F102" s="1792"/>
      <c r="G102" s="1792"/>
      <c r="H102" s="1792"/>
      <c r="I102" s="1792"/>
      <c r="J102" s="1792"/>
      <c r="K102" s="1792"/>
      <c r="L102" s="1792"/>
      <c r="M102" s="1792"/>
      <c r="N102" s="1792"/>
      <c r="O102" s="1792"/>
      <c r="P102" s="1793"/>
      <c r="R102" s="1039" t="s">
        <v>1328</v>
      </c>
      <c r="S102" s="920" t="s">
        <v>1105</v>
      </c>
      <c r="T102" s="78"/>
      <c r="V102" s="78"/>
      <c r="X102" s="1308"/>
      <c r="Y102" s="16"/>
      <c r="Z102" s="1732" t="n">
        <f aca="false">IF(W$44="Y",V102*X102,V102*X102*(1+Y$44))</f>
        <v>0</v>
      </c>
    </row>
    <row r="103" customFormat="false" ht="21.75" hidden="false" customHeight="true" outlineLevel="0" collapsed="false">
      <c r="B103" s="1794" t="s">
        <v>1646</v>
      </c>
      <c r="C103" s="1799"/>
      <c r="D103" s="1800"/>
      <c r="E103" s="1381"/>
      <c r="F103" s="1133" t="s">
        <v>1510</v>
      </c>
      <c r="G103" s="1806" t="n">
        <v>0.2</v>
      </c>
      <c r="H103" s="1807"/>
      <c r="I103" s="1068" t="s">
        <v>600</v>
      </c>
      <c r="J103" s="1068"/>
      <c r="K103" s="1068"/>
      <c r="L103" s="1068"/>
      <c r="M103" s="1068"/>
      <c r="N103" s="1068"/>
      <c r="O103" s="1102" t="n">
        <f aca="false">E103*G103</f>
        <v>0</v>
      </c>
      <c r="P103" s="1102"/>
      <c r="R103" s="1039" t="s">
        <v>1330</v>
      </c>
      <c r="S103" s="1357" t="s">
        <v>1108</v>
      </c>
      <c r="T103" s="1358"/>
      <c r="U103" s="265"/>
      <c r="V103" s="1358"/>
      <c r="W103" s="397"/>
      <c r="X103" s="1360"/>
      <c r="Y103" s="397"/>
      <c r="Z103" s="1785" t="n">
        <f aca="false">IF(W$44="Y",V103*X103,V103*X103*(1+Y$44))</f>
        <v>0</v>
      </c>
    </row>
    <row r="104" customFormat="false" ht="21.75" hidden="false" customHeight="true" outlineLevel="0" collapsed="false">
      <c r="B104" s="507" t="s">
        <v>1647</v>
      </c>
      <c r="C104" s="1312"/>
      <c r="D104" s="1870" t="s">
        <v>1029</v>
      </c>
      <c r="E104" s="1809" t="n">
        <f aca="false">IF(D104="Y",I$79*2/L104,0)</f>
        <v>0</v>
      </c>
      <c r="F104" s="16" t="s">
        <v>1259</v>
      </c>
      <c r="G104" s="1810" t="n">
        <v>0.65</v>
      </c>
      <c r="H104" s="1811"/>
      <c r="I104" s="16" t="s">
        <v>600</v>
      </c>
      <c r="J104" s="1812" t="s">
        <v>1648</v>
      </c>
      <c r="K104" s="1813"/>
      <c r="L104" s="1814" t="n">
        <v>20</v>
      </c>
      <c r="N104" s="525"/>
      <c r="O104" s="1038" t="n">
        <f aca="false">IF(E104=0,0,E104*G104)</f>
        <v>0</v>
      </c>
      <c r="P104" s="1038"/>
      <c r="R104" s="1147"/>
      <c r="S104" s="920"/>
      <c r="T104" s="78"/>
      <c r="V104" s="78"/>
      <c r="X104" s="1308"/>
      <c r="Y104" s="16"/>
      <c r="Z104" s="1732" t="n">
        <f aca="false">IF(W$44="Y",V104*X104,V104*X104*(1+Y$44))</f>
        <v>0</v>
      </c>
    </row>
    <row r="105" customFormat="false" ht="21.75" hidden="false" customHeight="true" outlineLevel="0" collapsed="false">
      <c r="B105" s="507" t="s">
        <v>1462</v>
      </c>
      <c r="C105" s="1312"/>
      <c r="D105" s="1870" t="s">
        <v>1302</v>
      </c>
      <c r="E105" s="1809" t="n">
        <f aca="false">IF(D105="Y",I$79*2/L105,0)</f>
        <v>0</v>
      </c>
      <c r="F105" s="16" t="s">
        <v>1259</v>
      </c>
      <c r="G105" s="1810" t="n">
        <v>0.55</v>
      </c>
      <c r="H105" s="1816"/>
      <c r="I105" s="16" t="s">
        <v>1341</v>
      </c>
      <c r="J105" s="1817"/>
      <c r="K105" s="1813"/>
      <c r="L105" s="1814" t="n">
        <v>20</v>
      </c>
      <c r="O105" s="1038" t="n">
        <f aca="false">E105*G105</f>
        <v>0</v>
      </c>
      <c r="P105" s="1038"/>
      <c r="R105" s="1039" t="s">
        <v>1342</v>
      </c>
      <c r="S105" s="920" t="s">
        <v>646</v>
      </c>
      <c r="T105" s="78"/>
      <c r="V105" s="1311" t="n">
        <f aca="false">ROUNDUP(I79/300/55,0)</f>
        <v>0</v>
      </c>
      <c r="W105" s="16" t="s">
        <v>1649</v>
      </c>
      <c r="X105" s="1308" t="n">
        <f aca="false">Pricing!Q44</f>
        <v>567.5</v>
      </c>
      <c r="Y105" s="16" t="s">
        <v>647</v>
      </c>
      <c r="Z105" s="1732" t="n">
        <f aca="false">IF(W$44="Y",V105*X105,V105*X105*(1+Y$44))</f>
        <v>0</v>
      </c>
    </row>
    <row r="106" customFormat="false" ht="21.75" hidden="false" customHeight="true" outlineLevel="0" collapsed="false">
      <c r="B106" s="507" t="s">
        <v>1343</v>
      </c>
      <c r="C106" s="1312"/>
      <c r="D106" s="1801"/>
      <c r="E106" s="1389" t="n">
        <f aca="false">SUM(L65:M69)</f>
        <v>0</v>
      </c>
      <c r="F106" s="1142" t="s">
        <v>998</v>
      </c>
      <c r="G106" s="1810" t="n">
        <v>10</v>
      </c>
      <c r="H106" s="1816"/>
      <c r="I106" s="16" t="s">
        <v>1285</v>
      </c>
      <c r="O106" s="1038" t="n">
        <f aca="false">E106*G106</f>
        <v>0</v>
      </c>
      <c r="P106" s="1038"/>
      <c r="R106" s="1039" t="s">
        <v>1342</v>
      </c>
      <c r="S106" s="1357" t="s">
        <v>649</v>
      </c>
      <c r="T106" s="1358"/>
      <c r="U106" s="265"/>
      <c r="V106" s="1359" t="n">
        <v>0</v>
      </c>
      <c r="W106" s="397" t="s">
        <v>1649</v>
      </c>
      <c r="X106" s="1360" t="n">
        <f aca="false">Pricing!Q45</f>
        <v>542</v>
      </c>
      <c r="Y106" s="397" t="s">
        <v>647</v>
      </c>
      <c r="Z106" s="1785" t="n">
        <f aca="false">IF(W$44="Y",V106*X106,V106*X106*(1+Y$44))</f>
        <v>0</v>
      </c>
    </row>
    <row r="107" customFormat="false" ht="21.75" hidden="false" customHeight="true" outlineLevel="0" collapsed="false">
      <c r="B107" s="507" t="s">
        <v>1234</v>
      </c>
      <c r="C107" s="1312"/>
      <c r="D107" s="1312"/>
      <c r="E107" s="1815"/>
      <c r="F107" s="1142" t="s">
        <v>998</v>
      </c>
      <c r="G107" s="1818" t="n">
        <v>12</v>
      </c>
      <c r="H107" s="1819"/>
      <c r="I107" s="16" t="s">
        <v>1285</v>
      </c>
      <c r="O107" s="1038" t="n">
        <f aca="false">E107*G107</f>
        <v>0</v>
      </c>
      <c r="P107" s="1038"/>
      <c r="R107" s="1147"/>
      <c r="S107" s="920"/>
      <c r="T107" s="78"/>
      <c r="U107" s="78"/>
      <c r="W107" s="78"/>
      <c r="Z107" s="1820"/>
    </row>
    <row r="108" customFormat="false" ht="21.75" hidden="false" customHeight="true" outlineLevel="0" collapsed="false">
      <c r="B108" s="507" t="s">
        <v>1346</v>
      </c>
      <c r="C108" s="1312"/>
      <c r="D108" s="1312"/>
      <c r="E108" s="1144"/>
      <c r="F108" s="922" t="s">
        <v>1347</v>
      </c>
      <c r="G108" s="1810" t="n">
        <v>200</v>
      </c>
      <c r="H108" s="1821"/>
      <c r="I108" s="16" t="s">
        <v>620</v>
      </c>
      <c r="O108" s="1038" t="n">
        <f aca="false">E108*G108</f>
        <v>0</v>
      </c>
      <c r="P108" s="1038"/>
      <c r="R108" s="1147"/>
      <c r="S108" s="1822" t="s">
        <v>1349</v>
      </c>
      <c r="T108" s="1823"/>
      <c r="U108" s="1271" t="n">
        <v>18</v>
      </c>
      <c r="V108" s="16" t="s">
        <v>1350</v>
      </c>
      <c r="W108" s="78"/>
      <c r="Z108" s="1820"/>
    </row>
    <row r="109" customFormat="false" ht="21.75" hidden="false" customHeight="true" outlineLevel="0" collapsed="false">
      <c r="B109" s="1798" t="s">
        <v>1067</v>
      </c>
      <c r="C109" s="1804"/>
      <c r="D109" s="1804"/>
      <c r="E109" s="1110"/>
      <c r="F109" s="1058"/>
      <c r="G109" s="1824" t="n">
        <v>1000</v>
      </c>
      <c r="H109" s="1825"/>
      <c r="I109" s="1058" t="s">
        <v>1348</v>
      </c>
      <c r="J109" s="1058"/>
      <c r="K109" s="1058"/>
      <c r="L109" s="1058"/>
      <c r="M109" s="1058"/>
      <c r="N109" s="1058"/>
      <c r="O109" s="736" t="n">
        <f aca="false">E109*G109</f>
        <v>0</v>
      </c>
      <c r="P109" s="736"/>
      <c r="R109" s="1039" t="s">
        <v>1072</v>
      </c>
      <c r="S109" s="1599" t="s">
        <v>1650</v>
      </c>
      <c r="T109" s="1826"/>
      <c r="U109" s="1826" t="n">
        <f aca="false">ROUNDUP((V79+V81+V82)*12/U108,0)</f>
        <v>0</v>
      </c>
      <c r="V109" s="1058" t="s">
        <v>1354</v>
      </c>
      <c r="W109" s="1827" t="n">
        <v>1.65</v>
      </c>
      <c r="X109" s="1827"/>
      <c r="Y109" s="246"/>
      <c r="Z109" s="1732" t="n">
        <f aca="false">IF(W$44="Y",U109*W109,U109*W109*(1+Y$44))</f>
        <v>0</v>
      </c>
    </row>
    <row r="110" customFormat="false" ht="21.75" hidden="false" customHeight="true" outlineLevel="0" collapsed="false">
      <c r="B110" s="1394" t="s">
        <v>1191</v>
      </c>
      <c r="C110" s="1394"/>
      <c r="D110" s="1394"/>
      <c r="E110" s="1395" t="n">
        <f aca="false">Summary!P60</f>
        <v>0</v>
      </c>
      <c r="F110" s="1396" t="s">
        <v>1465</v>
      </c>
      <c r="G110" s="1828" t="n">
        <f aca="false">(SUM(O65:P77)+SUM(L79:M88)+SUM(O79:P88)+SUM(O91:P93)+SUM(O96:P101)+SUM(O103:P109))*E110</f>
        <v>0</v>
      </c>
      <c r="H110" s="1828"/>
      <c r="I110" s="1398" t="s">
        <v>1039</v>
      </c>
      <c r="J110" s="1398"/>
      <c r="K110" s="1398"/>
      <c r="L110" s="1398"/>
      <c r="M110" s="1398"/>
      <c r="N110" s="1398"/>
      <c r="O110" s="1399" t="n">
        <f aca="false">G110</f>
        <v>0</v>
      </c>
      <c r="P110" s="1399"/>
      <c r="Y110" s="16"/>
      <c r="Z110" s="1393"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826"/>
      <c r="R111" s="1826"/>
      <c r="S111" s="1826"/>
      <c r="T111" s="1826"/>
      <c r="U111" s="1058"/>
      <c r="V111" s="1827"/>
      <c r="W111" s="1827"/>
      <c r="X111" s="246"/>
      <c r="Y111" s="246"/>
      <c r="Z111" s="246"/>
    </row>
    <row r="113" customFormat="false" ht="28.55" hidden="false" customHeight="false" outlineLevel="0" collapsed="false">
      <c r="B113" s="1642" t="s">
        <v>1262</v>
      </c>
      <c r="C113" s="1643"/>
      <c r="D113" s="1644"/>
      <c r="E113" s="1642" t="s">
        <v>982</v>
      </c>
      <c r="F113" s="1644"/>
      <c r="G113" s="1642" t="s">
        <v>1263</v>
      </c>
      <c r="H113" s="1643"/>
      <c r="I113" s="1644"/>
      <c r="J113" s="1167" t="s">
        <v>1264</v>
      </c>
      <c r="K113" s="1168"/>
      <c r="L113" s="1169"/>
      <c r="M113" s="1170" t="s">
        <v>1265</v>
      </c>
      <c r="N113" s="1171"/>
      <c r="O113" s="1171"/>
      <c r="P113" s="1172"/>
      <c r="Q113" s="1645"/>
      <c r="R113" s="1645"/>
      <c r="S113" s="961"/>
      <c r="T113" s="599" t="s">
        <v>1266</v>
      </c>
      <c r="V113" s="16" t="s">
        <v>1267</v>
      </c>
      <c r="W113" s="1173" t="str">
        <f aca="false">W44</f>
        <v>N</v>
      </c>
      <c r="X113" s="833" t="s">
        <v>1268</v>
      </c>
      <c r="Y113" s="1401" t="n">
        <f aca="false">Y44</f>
        <v>0.0825</v>
      </c>
      <c r="Z113" s="964"/>
    </row>
    <row r="114" customFormat="false" ht="15" hidden="false" customHeight="false" outlineLevel="0" collapsed="false">
      <c r="B114" s="965" t="s">
        <v>1269</v>
      </c>
      <c r="C114" s="1649" t="n">
        <f aca="false">C45</f>
        <v>0</v>
      </c>
      <c r="D114" s="966"/>
      <c r="E114" s="967" t="n">
        <f aca="false">E45</f>
        <v>0</v>
      </c>
      <c r="F114" s="967"/>
      <c r="G114" s="968" t="n">
        <f aca="false">G45</f>
        <v>0</v>
      </c>
      <c r="H114" s="736" t="n">
        <f aca="false">H45</f>
        <v>0</v>
      </c>
      <c r="I114" s="736"/>
      <c r="J114" s="1651" t="n">
        <f aca="false">J45</f>
        <v>0</v>
      </c>
      <c r="K114" s="1652"/>
      <c r="L114" s="1653"/>
      <c r="M114" s="1829" t="n">
        <f aca="false">M45</f>
        <v>0.18</v>
      </c>
      <c r="N114" s="1655"/>
      <c r="O114" s="1655"/>
      <c r="P114" s="1656"/>
      <c r="Q114" s="1645"/>
      <c r="R114" s="1645"/>
      <c r="S114" s="1265"/>
      <c r="T114" s="970" t="s">
        <v>980</v>
      </c>
      <c r="V114" s="971" t="n">
        <f aca="false">V45</f>
        <v>0</v>
      </c>
      <c r="W114" s="971"/>
      <c r="X114" s="1659"/>
      <c r="Y114" s="16"/>
      <c r="Z114" s="964"/>
    </row>
    <row r="115" customFormat="false" ht="21.75" hidden="false" customHeight="true" outlineLevel="0" collapsed="false">
      <c r="B115" s="1660"/>
      <c r="C115" s="961"/>
      <c r="D115" s="961"/>
      <c r="E115" s="961"/>
      <c r="F115" s="961"/>
      <c r="G115" s="961"/>
      <c r="H115" s="961"/>
      <c r="I115" s="961"/>
      <c r="J115" s="961"/>
      <c r="K115" s="961"/>
      <c r="L115" s="961"/>
      <c r="M115" s="961"/>
      <c r="N115" s="961"/>
      <c r="O115" s="961"/>
      <c r="P115" s="961"/>
      <c r="Q115" s="1645"/>
      <c r="R115" s="1645"/>
      <c r="S115" s="961"/>
      <c r="T115" s="961"/>
      <c r="U115" s="961"/>
      <c r="V115" s="961"/>
      <c r="W115" s="961"/>
      <c r="X115" s="961"/>
      <c r="Y115" s="961"/>
      <c r="Z115" s="964"/>
    </row>
    <row r="116" customFormat="false" ht="15" hidden="false" customHeight="true" outlineLevel="0" collapsed="false">
      <c r="A116" s="0"/>
      <c r="B116" s="0"/>
      <c r="C116" s="0"/>
      <c r="D116" s="0"/>
      <c r="E116" s="0"/>
      <c r="F116" s="0"/>
      <c r="G116" s="0"/>
      <c r="H116" s="0"/>
      <c r="I116" s="0"/>
      <c r="J116" s="0"/>
      <c r="K116" s="0"/>
      <c r="L116" s="0"/>
      <c r="M116" s="0"/>
      <c r="N116" s="0"/>
      <c r="O116" s="0"/>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A117" s="0"/>
      <c r="B117" s="0"/>
      <c r="C117" s="0"/>
      <c r="D117" s="0"/>
      <c r="E117" s="0"/>
      <c r="F117" s="0"/>
      <c r="G117" s="1830"/>
      <c r="H117" s="1831" t="s">
        <v>1651</v>
      </c>
      <c r="I117" s="1832" t="n">
        <f aca="false">SUM(I120:I222)</f>
        <v>0</v>
      </c>
      <c r="J117" s="1833" t="s">
        <v>1093</v>
      </c>
      <c r="K117" s="1832" t="n">
        <f aca="false">SUM(K120:K222)</f>
        <v>0</v>
      </c>
      <c r="L117" s="1834" t="s">
        <v>1652</v>
      </c>
      <c r="M117" s="1832" t="n">
        <f aca="false">SUM(M120:M222)</f>
        <v>0</v>
      </c>
      <c r="N117" s="1833" t="s">
        <v>1653</v>
      </c>
      <c r="O117" s="1832" t="n">
        <f aca="false">SUM(O120:O222)</f>
        <v>0</v>
      </c>
      <c r="P117" s="0"/>
      <c r="Q117" s="0"/>
      <c r="R117" s="0"/>
      <c r="S117" s="0"/>
      <c r="T117" s="0"/>
      <c r="U117" s="0"/>
      <c r="V117" s="0"/>
      <c r="W117" s="0"/>
      <c r="X117" s="0"/>
      <c r="AB117" s="0"/>
      <c r="AC117" s="0"/>
      <c r="AD117" s="0"/>
      <c r="AE117" s="0"/>
      <c r="AF117" s="0"/>
      <c r="AG117" s="0"/>
      <c r="AH117" s="0"/>
      <c r="AI117" s="0"/>
      <c r="AJ117" s="0"/>
      <c r="AK117" s="0"/>
      <c r="AL117" s="0"/>
      <c r="AM117" s="0"/>
      <c r="AN117" s="0"/>
      <c r="AO117" s="0"/>
      <c r="AP117" s="0"/>
      <c r="AQ117" s="0"/>
      <c r="AR117" s="0"/>
      <c r="AS117" s="0"/>
      <c r="AT117" s="0"/>
      <c r="AU117" s="0"/>
      <c r="AV117" s="0"/>
      <c r="AW117" s="0"/>
      <c r="AX117" s="0"/>
      <c r="AY117" s="0"/>
      <c r="AZ117" s="0"/>
      <c r="BA117" s="0"/>
      <c r="BB117" s="0"/>
      <c r="BC117" s="0"/>
      <c r="BD117" s="0"/>
      <c r="BE117" s="0"/>
      <c r="BF117" s="0"/>
      <c r="BG117" s="0"/>
      <c r="BH117" s="0"/>
      <c r="BI117" s="0"/>
      <c r="BJ117" s="0"/>
      <c r="BK117" s="0"/>
      <c r="BL117" s="0"/>
      <c r="BM117" s="0"/>
      <c r="BN117" s="0"/>
      <c r="BO117" s="0"/>
      <c r="BP117" s="0"/>
      <c r="BQ117" s="0"/>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c r="AMK117" s="0"/>
      <c r="AML117" s="0"/>
      <c r="AMM117" s="0"/>
      <c r="AMN117" s="0"/>
      <c r="AMO117" s="0"/>
      <c r="AMP117" s="0"/>
      <c r="AMQ117" s="0"/>
      <c r="AMR117" s="0"/>
      <c r="AMS117" s="0"/>
      <c r="AMT117" s="0"/>
      <c r="AMU117" s="0"/>
      <c r="AMV117" s="0"/>
      <c r="AMW117" s="0"/>
      <c r="AMX117" s="0"/>
      <c r="AMY117" s="0"/>
      <c r="AMZ117" s="0"/>
      <c r="ANA117" s="0"/>
      <c r="ANB117" s="0"/>
      <c r="ANC117" s="0"/>
      <c r="AND117" s="0"/>
      <c r="ANE117" s="0"/>
      <c r="ANF117" s="0"/>
      <c r="ANG117" s="0"/>
      <c r="ANH117" s="0"/>
      <c r="ANI117" s="0"/>
      <c r="ANJ117" s="0"/>
      <c r="ANK117" s="0"/>
      <c r="ANL117" s="0"/>
      <c r="ANM117" s="0"/>
      <c r="ANN117" s="0"/>
      <c r="ANO117" s="0"/>
      <c r="ANP117" s="0"/>
      <c r="ANQ117" s="0"/>
      <c r="ANR117" s="0"/>
      <c r="ANS117" s="0"/>
      <c r="ANT117" s="0"/>
      <c r="ANU117" s="0"/>
      <c r="ANV117" s="0"/>
      <c r="ANW117" s="0"/>
      <c r="ANX117" s="0"/>
      <c r="ANY117" s="0"/>
      <c r="ANZ117" s="0"/>
      <c r="AOA117" s="0"/>
      <c r="AOB117" s="0"/>
      <c r="AOC117" s="0"/>
      <c r="AOD117" s="0"/>
      <c r="AOE117" s="0"/>
      <c r="AOF117" s="0"/>
      <c r="AOG117" s="0"/>
      <c r="AOH117" s="0"/>
      <c r="AOI117" s="0"/>
      <c r="AOJ117" s="0"/>
      <c r="AOK117" s="0"/>
      <c r="AOL117" s="0"/>
      <c r="AOM117" s="0"/>
      <c r="AON117" s="0"/>
      <c r="AOO117" s="0"/>
      <c r="AOP117" s="0"/>
      <c r="AOQ117" s="0"/>
      <c r="AOR117" s="0"/>
      <c r="AOS117" s="0"/>
      <c r="AOT117" s="0"/>
      <c r="AOU117" s="0"/>
      <c r="AOV117" s="0"/>
      <c r="AOW117" s="0"/>
      <c r="AOX117" s="0"/>
      <c r="AOY117" s="0"/>
      <c r="AOZ117" s="0"/>
      <c r="APA117" s="0"/>
      <c r="APB117" s="0"/>
      <c r="APC117" s="0"/>
      <c r="APD117" s="0"/>
      <c r="APE117" s="0"/>
      <c r="APF117" s="0"/>
      <c r="APG117" s="0"/>
      <c r="APH117" s="0"/>
      <c r="API117" s="0"/>
      <c r="APJ117" s="0"/>
      <c r="APK117" s="0"/>
      <c r="APL117" s="0"/>
      <c r="APM117" s="0"/>
      <c r="APN117" s="0"/>
      <c r="APO117" s="0"/>
      <c r="APP117" s="0"/>
      <c r="APQ117" s="0"/>
      <c r="APR117" s="0"/>
      <c r="APS117" s="0"/>
      <c r="APT117" s="0"/>
      <c r="APU117" s="0"/>
      <c r="APV117" s="0"/>
      <c r="APW117" s="0"/>
      <c r="APX117" s="0"/>
      <c r="APY117" s="0"/>
      <c r="APZ117" s="0"/>
      <c r="AQA117" s="0"/>
      <c r="AQB117" s="0"/>
      <c r="AQC117" s="0"/>
      <c r="AQD117" s="0"/>
      <c r="AQE117" s="0"/>
      <c r="AQF117" s="0"/>
      <c r="AQG117" s="0"/>
      <c r="AQH117" s="0"/>
      <c r="AQI117" s="0"/>
      <c r="AQJ117" s="0"/>
      <c r="AQK117" s="0"/>
      <c r="AQL117" s="0"/>
      <c r="AQM117" s="0"/>
      <c r="AQN117" s="0"/>
      <c r="AQO117" s="0"/>
      <c r="AQP117" s="0"/>
      <c r="AQQ117" s="0"/>
      <c r="AQR117" s="0"/>
      <c r="AQS117" s="0"/>
      <c r="AQT117" s="0"/>
      <c r="AQU117" s="0"/>
      <c r="AQV117" s="0"/>
      <c r="AQW117" s="0"/>
      <c r="AQX117" s="0"/>
      <c r="AQY117" s="0"/>
      <c r="AQZ117" s="0"/>
      <c r="ARA117" s="0"/>
      <c r="ARB117" s="0"/>
      <c r="ARC117" s="0"/>
      <c r="ARD117" s="0"/>
      <c r="ARE117" s="0"/>
      <c r="ARF117" s="0"/>
      <c r="ARG117" s="0"/>
      <c r="ARH117" s="0"/>
      <c r="ARI117" s="0"/>
      <c r="ARJ117" s="0"/>
      <c r="ARK117" s="0"/>
      <c r="ARL117" s="0"/>
      <c r="ARM117" s="0"/>
      <c r="ARN117" s="0"/>
      <c r="ARO117" s="0"/>
      <c r="ARP117" s="0"/>
      <c r="ARQ117" s="0"/>
      <c r="ARR117" s="0"/>
      <c r="ARS117" s="0"/>
      <c r="ART117" s="0"/>
      <c r="ARU117" s="0"/>
      <c r="ARV117" s="0"/>
      <c r="ARW117" s="0"/>
      <c r="ARX117" s="0"/>
      <c r="ARY117" s="0"/>
      <c r="ARZ117" s="0"/>
      <c r="ASA117" s="0"/>
      <c r="ASB117" s="0"/>
      <c r="ASC117" s="0"/>
      <c r="ASD117" s="0"/>
      <c r="ASE117" s="0"/>
      <c r="ASF117" s="0"/>
      <c r="ASG117" s="0"/>
      <c r="ASH117" s="0"/>
      <c r="ASI117" s="0"/>
      <c r="ASJ117" s="0"/>
      <c r="ASK117" s="0"/>
      <c r="ASL117" s="0"/>
      <c r="ASM117" s="0"/>
      <c r="ASN117" s="0"/>
      <c r="ASO117" s="0"/>
      <c r="ASP117" s="0"/>
      <c r="ASQ117" s="0"/>
      <c r="ASR117" s="0"/>
      <c r="ASS117" s="0"/>
      <c r="AST117" s="0"/>
      <c r="ASU117" s="0"/>
      <c r="ASV117" s="0"/>
      <c r="ASW117" s="0"/>
      <c r="ASX117" s="0"/>
      <c r="ASY117" s="0"/>
      <c r="ASZ117" s="0"/>
      <c r="ATA117" s="0"/>
      <c r="ATB117" s="0"/>
      <c r="ATC117" s="0"/>
      <c r="ATD117" s="0"/>
      <c r="ATE117" s="0"/>
      <c r="ATF117" s="0"/>
      <c r="ATG117" s="0"/>
      <c r="ATH117" s="0"/>
      <c r="ATI117" s="0"/>
      <c r="ATJ117" s="0"/>
      <c r="ATK117" s="0"/>
      <c r="ATL117" s="0"/>
      <c r="ATM117" s="0"/>
      <c r="ATN117" s="0"/>
      <c r="ATO117" s="0"/>
      <c r="ATP117" s="0"/>
      <c r="ATQ117" s="0"/>
      <c r="ATR117" s="0"/>
      <c r="ATS117" s="0"/>
      <c r="ATT117" s="0"/>
      <c r="ATU117" s="0"/>
      <c r="ATV117" s="0"/>
      <c r="ATW117" s="0"/>
      <c r="ATX117" s="0"/>
      <c r="ATY117" s="0"/>
      <c r="ATZ117" s="0"/>
      <c r="AUA117" s="0"/>
      <c r="AUB117" s="0"/>
      <c r="AUC117" s="0"/>
      <c r="AUD117" s="0"/>
      <c r="AUE117" s="0"/>
      <c r="AUF117" s="0"/>
      <c r="AUG117" s="0"/>
      <c r="AUH117" s="0"/>
      <c r="AUI117" s="0"/>
      <c r="AUJ117" s="0"/>
      <c r="AUK117" s="0"/>
      <c r="AUL117" s="0"/>
      <c r="AUM117" s="0"/>
      <c r="AUN117" s="0"/>
      <c r="AUO117" s="0"/>
      <c r="AUP117" s="0"/>
      <c r="AUQ117" s="0"/>
      <c r="AUR117" s="0"/>
      <c r="AUS117" s="0"/>
      <c r="AUT117" s="0"/>
      <c r="AUU117" s="0"/>
      <c r="AUV117" s="0"/>
      <c r="AUW117" s="0"/>
      <c r="AUX117" s="0"/>
      <c r="AUY117" s="0"/>
      <c r="AUZ117" s="0"/>
      <c r="AVA117" s="0"/>
      <c r="AVB117" s="0"/>
      <c r="AVC117" s="0"/>
      <c r="AVD117" s="0"/>
      <c r="AVE117" s="0"/>
      <c r="AVF117" s="0"/>
      <c r="AVG117" s="0"/>
      <c r="AVH117" s="0"/>
      <c r="AVI117" s="0"/>
      <c r="AVJ117" s="0"/>
      <c r="AVK117" s="0"/>
      <c r="AVL117" s="0"/>
      <c r="AVM117" s="0"/>
      <c r="AVN117" s="0"/>
      <c r="AVO117" s="0"/>
      <c r="AVP117" s="0"/>
      <c r="AVQ117" s="0"/>
      <c r="AVR117" s="0"/>
      <c r="AVS117" s="0"/>
      <c r="AVT117" s="0"/>
      <c r="AVU117" s="0"/>
      <c r="AVV117" s="0"/>
      <c r="AVW117" s="0"/>
      <c r="AVX117" s="0"/>
      <c r="AVY117" s="0"/>
      <c r="AVZ117" s="0"/>
      <c r="AWA117" s="0"/>
      <c r="AWB117" s="0"/>
      <c r="AWC117" s="0"/>
      <c r="AWD117" s="0"/>
      <c r="AWE117" s="0"/>
      <c r="AWF117" s="0"/>
      <c r="AWG117" s="0"/>
      <c r="AWH117" s="0"/>
      <c r="AWI117" s="0"/>
      <c r="AWJ117" s="0"/>
      <c r="AWK117" s="0"/>
      <c r="AWL117" s="0"/>
      <c r="AWM117" s="0"/>
      <c r="AWN117" s="0"/>
      <c r="AWO117" s="0"/>
      <c r="AWP117" s="0"/>
      <c r="AWQ117" s="0"/>
      <c r="AWR117" s="0"/>
      <c r="AWS117" s="0"/>
      <c r="AWT117" s="0"/>
      <c r="AWU117" s="0"/>
      <c r="AWV117" s="0"/>
      <c r="AWW117" s="0"/>
      <c r="AWX117" s="0"/>
      <c r="AWY117" s="0"/>
      <c r="AWZ117" s="0"/>
      <c r="AXA117" s="0"/>
      <c r="AXB117" s="0"/>
      <c r="AXC117" s="0"/>
      <c r="AXD117" s="0"/>
      <c r="AXE117" s="0"/>
      <c r="AXF117" s="0"/>
      <c r="AXG117" s="0"/>
      <c r="AXH117" s="0"/>
      <c r="AXI117" s="0"/>
      <c r="AXJ117" s="0"/>
      <c r="AXK117" s="0"/>
      <c r="AXL117" s="0"/>
      <c r="AXM117" s="0"/>
      <c r="AXN117" s="0"/>
      <c r="AXO117" s="0"/>
      <c r="AXP117" s="0"/>
      <c r="AXQ117" s="0"/>
      <c r="AXR117" s="0"/>
      <c r="AXS117" s="0"/>
      <c r="AXT117" s="0"/>
      <c r="AXU117" s="0"/>
      <c r="AXV117" s="0"/>
      <c r="AXW117" s="0"/>
      <c r="AXX117" s="0"/>
      <c r="AXY117" s="0"/>
      <c r="AXZ117" s="0"/>
      <c r="AYA117" s="0"/>
      <c r="AYB117" s="0"/>
      <c r="AYC117" s="0"/>
      <c r="AYD117" s="0"/>
      <c r="AYE117" s="0"/>
      <c r="AYF117" s="0"/>
      <c r="AYG117" s="0"/>
      <c r="AYH117" s="0"/>
      <c r="AYI117" s="0"/>
      <c r="AYJ117" s="0"/>
      <c r="AYK117" s="0"/>
      <c r="AYL117" s="0"/>
      <c r="AYM117" s="0"/>
      <c r="AYN117" s="0"/>
      <c r="AYO117" s="0"/>
      <c r="AYP117" s="0"/>
      <c r="AYQ117" s="0"/>
      <c r="AYR117" s="0"/>
      <c r="AYS117" s="0"/>
      <c r="AYT117" s="0"/>
      <c r="AYU117" s="0"/>
      <c r="AYV117" s="0"/>
      <c r="AYW117" s="0"/>
      <c r="AYX117" s="0"/>
      <c r="AYY117" s="0"/>
      <c r="AYZ117" s="0"/>
      <c r="AZA117" s="0"/>
      <c r="AZB117" s="0"/>
      <c r="AZC117" s="0"/>
      <c r="AZD117" s="0"/>
      <c r="AZE117" s="0"/>
      <c r="AZF117" s="0"/>
      <c r="AZG117" s="0"/>
      <c r="AZH117" s="0"/>
      <c r="AZI117" s="0"/>
      <c r="AZJ117" s="0"/>
      <c r="AZK117" s="0"/>
      <c r="AZL117" s="0"/>
      <c r="AZM117" s="0"/>
      <c r="AZN117" s="0"/>
      <c r="AZO117" s="0"/>
      <c r="AZP117" s="0"/>
      <c r="AZQ117" s="0"/>
      <c r="AZR117" s="0"/>
      <c r="AZS117" s="0"/>
      <c r="AZT117" s="0"/>
      <c r="AZU117" s="0"/>
      <c r="AZV117" s="0"/>
      <c r="AZW117" s="0"/>
      <c r="AZX117" s="0"/>
      <c r="AZY117" s="0"/>
      <c r="AZZ117" s="0"/>
      <c r="BAA117" s="0"/>
      <c r="BAB117" s="0"/>
      <c r="BAC117" s="0"/>
      <c r="BAD117" s="0"/>
      <c r="BAE117" s="0"/>
      <c r="BAF117" s="0"/>
      <c r="BAG117" s="0"/>
      <c r="BAH117" s="0"/>
      <c r="BAI117" s="0"/>
      <c r="BAJ117" s="0"/>
      <c r="BAK117" s="0"/>
      <c r="BAL117" s="0"/>
      <c r="BAM117" s="0"/>
      <c r="BAN117" s="0"/>
      <c r="BAO117" s="0"/>
      <c r="BAP117" s="0"/>
      <c r="BAQ117" s="0"/>
      <c r="BAR117" s="0"/>
      <c r="BAS117" s="0"/>
      <c r="BAT117" s="0"/>
      <c r="BAU117" s="0"/>
      <c r="BAV117" s="0"/>
      <c r="BAW117" s="0"/>
      <c r="BAX117" s="0"/>
      <c r="BAY117" s="0"/>
      <c r="BAZ117" s="0"/>
      <c r="BBA117" s="0"/>
      <c r="BBB117" s="0"/>
      <c r="BBC117" s="0"/>
      <c r="BBD117" s="0"/>
      <c r="BBE117" s="0"/>
      <c r="BBF117" s="0"/>
      <c r="BBG117" s="0"/>
      <c r="BBH117" s="0"/>
      <c r="BBI117" s="0"/>
      <c r="BBJ117" s="0"/>
      <c r="BBK117" s="0"/>
      <c r="BBL117" s="0"/>
      <c r="BBM117" s="0"/>
      <c r="BBN117" s="0"/>
      <c r="BBO117" s="0"/>
      <c r="BBP117" s="0"/>
      <c r="BBQ117" s="0"/>
      <c r="BBR117" s="0"/>
      <c r="BBS117" s="0"/>
      <c r="BBT117" s="0"/>
      <c r="BBU117" s="0"/>
      <c r="BBV117" s="0"/>
      <c r="BBW117" s="0"/>
      <c r="BBX117" s="0"/>
      <c r="BBY117" s="0"/>
      <c r="BBZ117" s="0"/>
      <c r="BCA117" s="0"/>
      <c r="BCB117" s="0"/>
      <c r="BCC117" s="0"/>
      <c r="BCD117" s="0"/>
      <c r="BCE117" s="0"/>
      <c r="BCF117" s="0"/>
      <c r="BCG117" s="0"/>
      <c r="BCH117" s="0"/>
      <c r="BCI117" s="0"/>
      <c r="BCJ117" s="0"/>
      <c r="BCK117" s="0"/>
      <c r="BCL117" s="0"/>
      <c r="BCM117" s="0"/>
      <c r="BCN117" s="0"/>
      <c r="BCO117" s="0"/>
      <c r="BCP117" s="0"/>
      <c r="BCQ117" s="0"/>
      <c r="BCR117" s="0"/>
      <c r="BCS117" s="0"/>
      <c r="BCT117" s="0"/>
      <c r="BCU117" s="0"/>
      <c r="BCV117" s="0"/>
      <c r="BCW117" s="0"/>
      <c r="BCX117" s="0"/>
      <c r="BCY117" s="0"/>
      <c r="BCZ117" s="0"/>
      <c r="BDA117" s="0"/>
      <c r="BDB117" s="0"/>
      <c r="BDC117" s="0"/>
      <c r="BDD117" s="0"/>
      <c r="BDE117" s="0"/>
      <c r="BDF117" s="0"/>
      <c r="BDG117" s="0"/>
      <c r="BDH117" s="0"/>
      <c r="BDI117" s="0"/>
      <c r="BDJ117" s="0"/>
      <c r="BDK117" s="0"/>
      <c r="BDL117" s="0"/>
      <c r="BDM117" s="0"/>
      <c r="BDN117" s="0"/>
      <c r="BDO117" s="0"/>
      <c r="BDP117" s="0"/>
      <c r="BDQ117" s="0"/>
      <c r="BDR117" s="0"/>
      <c r="BDS117" s="0"/>
      <c r="BDT117" s="0"/>
      <c r="BDU117" s="0"/>
      <c r="BDV117" s="0"/>
      <c r="BDW117" s="0"/>
      <c r="BDX117" s="0"/>
      <c r="BDY117" s="0"/>
      <c r="BDZ117" s="0"/>
      <c r="BEA117" s="0"/>
      <c r="BEB117" s="0"/>
      <c r="BEC117" s="0"/>
      <c r="BED117" s="0"/>
      <c r="BEE117" s="0"/>
      <c r="BEF117" s="0"/>
      <c r="BEG117" s="0"/>
      <c r="BEH117" s="0"/>
      <c r="BEI117" s="0"/>
      <c r="BEJ117" s="0"/>
      <c r="BEK117" s="0"/>
      <c r="BEL117" s="0"/>
      <c r="BEM117" s="0"/>
      <c r="BEN117" s="0"/>
      <c r="BEO117" s="0"/>
      <c r="BEP117" s="0"/>
      <c r="BEQ117" s="0"/>
      <c r="BER117" s="0"/>
      <c r="BES117" s="0"/>
      <c r="BET117" s="0"/>
      <c r="BEU117" s="0"/>
      <c r="BEV117" s="0"/>
      <c r="BEW117" s="0"/>
      <c r="BEX117" s="0"/>
      <c r="BEY117" s="0"/>
      <c r="BEZ117" s="0"/>
      <c r="BFA117" s="0"/>
      <c r="BFB117" s="0"/>
      <c r="BFC117" s="0"/>
      <c r="BFD117" s="0"/>
      <c r="BFE117" s="0"/>
      <c r="BFF117" s="0"/>
      <c r="BFG117" s="0"/>
      <c r="BFH117" s="0"/>
      <c r="BFI117" s="0"/>
      <c r="BFJ117" s="0"/>
      <c r="BFK117" s="0"/>
      <c r="BFL117" s="0"/>
      <c r="BFM117" s="0"/>
      <c r="BFN117" s="0"/>
      <c r="BFO117" s="0"/>
      <c r="BFP117" s="0"/>
      <c r="BFQ117" s="0"/>
      <c r="BFR117" s="0"/>
      <c r="BFS117" s="0"/>
      <c r="BFT117" s="0"/>
      <c r="BFU117" s="0"/>
      <c r="BFV117" s="0"/>
      <c r="BFW117" s="0"/>
      <c r="BFX117" s="0"/>
      <c r="BFY117" s="0"/>
      <c r="BFZ117" s="0"/>
      <c r="BGA117" s="0"/>
      <c r="BGB117" s="0"/>
      <c r="BGC117" s="0"/>
      <c r="BGD117" s="0"/>
      <c r="BGE117" s="0"/>
      <c r="BGF117" s="0"/>
      <c r="BGG117" s="0"/>
      <c r="BGH117" s="0"/>
      <c r="BGI117" s="0"/>
      <c r="BGJ117" s="0"/>
      <c r="BGK117" s="0"/>
      <c r="BGL117" s="0"/>
      <c r="BGM117" s="0"/>
      <c r="BGN117" s="0"/>
      <c r="BGO117" s="0"/>
      <c r="BGP117" s="0"/>
      <c r="BGQ117" s="0"/>
      <c r="BGR117" s="0"/>
      <c r="BGS117" s="0"/>
      <c r="BGT117" s="0"/>
      <c r="BGU117" s="0"/>
      <c r="BGV117" s="0"/>
      <c r="BGW117" s="0"/>
      <c r="BGX117" s="0"/>
      <c r="BGY117" s="0"/>
      <c r="BGZ117" s="0"/>
      <c r="BHA117" s="0"/>
      <c r="BHB117" s="0"/>
      <c r="BHC117" s="0"/>
      <c r="BHD117" s="0"/>
      <c r="BHE117" s="0"/>
      <c r="BHF117" s="0"/>
      <c r="BHG117" s="0"/>
      <c r="BHH117" s="0"/>
      <c r="BHI117" s="0"/>
      <c r="BHJ117" s="0"/>
      <c r="BHK117" s="0"/>
      <c r="BHL117" s="0"/>
      <c r="BHM117" s="0"/>
      <c r="BHN117" s="0"/>
      <c r="BHO117" s="0"/>
      <c r="BHP117" s="0"/>
      <c r="BHQ117" s="0"/>
      <c r="BHR117" s="0"/>
      <c r="BHS117" s="0"/>
      <c r="BHT117" s="0"/>
      <c r="BHU117" s="0"/>
      <c r="BHV117" s="0"/>
      <c r="BHW117" s="0"/>
      <c r="BHX117" s="0"/>
      <c r="BHY117" s="0"/>
      <c r="BHZ117" s="0"/>
      <c r="BIA117" s="0"/>
      <c r="BIB117" s="0"/>
      <c r="BIC117" s="0"/>
      <c r="BID117" s="0"/>
      <c r="BIE117" s="0"/>
      <c r="BIF117" s="0"/>
      <c r="BIG117" s="0"/>
      <c r="BIH117" s="0"/>
      <c r="BII117" s="0"/>
      <c r="BIJ117" s="0"/>
      <c r="BIK117" s="0"/>
      <c r="BIL117" s="0"/>
      <c r="BIM117" s="0"/>
      <c r="BIN117" s="0"/>
      <c r="BIO117" s="0"/>
      <c r="BIP117" s="0"/>
      <c r="BIQ117" s="0"/>
      <c r="BIR117" s="0"/>
      <c r="BIS117" s="0"/>
      <c r="BIT117" s="0"/>
      <c r="BIU117" s="0"/>
      <c r="BIV117" s="0"/>
      <c r="BIW117" s="0"/>
      <c r="BIX117" s="0"/>
      <c r="BIY117" s="0"/>
      <c r="BIZ117" s="0"/>
      <c r="BJA117" s="0"/>
      <c r="BJB117" s="0"/>
      <c r="BJC117" s="0"/>
      <c r="BJD117" s="0"/>
      <c r="BJE117" s="0"/>
      <c r="BJF117" s="0"/>
      <c r="BJG117" s="0"/>
      <c r="BJH117" s="0"/>
      <c r="BJI117" s="0"/>
      <c r="BJJ117" s="0"/>
      <c r="BJK117" s="0"/>
      <c r="BJL117" s="0"/>
      <c r="BJM117" s="0"/>
      <c r="BJN117" s="0"/>
      <c r="BJO117" s="0"/>
      <c r="BJP117" s="0"/>
      <c r="BJQ117" s="0"/>
      <c r="BJR117" s="0"/>
      <c r="BJS117" s="0"/>
      <c r="BJT117" s="0"/>
      <c r="BJU117" s="0"/>
      <c r="BJV117" s="0"/>
      <c r="BJW117" s="0"/>
      <c r="BJX117" s="0"/>
      <c r="BJY117" s="0"/>
      <c r="BJZ117" s="0"/>
      <c r="BKA117" s="0"/>
      <c r="BKB117" s="0"/>
      <c r="BKC117" s="0"/>
      <c r="BKD117" s="0"/>
      <c r="BKE117" s="0"/>
      <c r="BKF117" s="0"/>
      <c r="BKG117" s="0"/>
      <c r="BKH117" s="0"/>
      <c r="BKI117" s="0"/>
      <c r="BKJ117" s="0"/>
      <c r="BKK117" s="0"/>
      <c r="BKL117" s="0"/>
      <c r="BKM117" s="0"/>
      <c r="BKN117" s="0"/>
      <c r="BKO117" s="0"/>
      <c r="BKP117" s="0"/>
      <c r="BKQ117" s="0"/>
      <c r="BKR117" s="0"/>
      <c r="BKS117" s="0"/>
      <c r="BKT117" s="0"/>
      <c r="BKU117" s="0"/>
      <c r="BKV117" s="0"/>
      <c r="BKW117" s="0"/>
      <c r="BKX117" s="0"/>
      <c r="BKY117" s="0"/>
      <c r="BKZ117" s="0"/>
      <c r="BLA117" s="0"/>
      <c r="BLB117" s="0"/>
      <c r="BLC117" s="0"/>
      <c r="BLD117" s="0"/>
      <c r="BLE117" s="0"/>
      <c r="BLF117" s="0"/>
      <c r="BLG117" s="0"/>
      <c r="BLH117" s="0"/>
      <c r="BLI117" s="0"/>
      <c r="BLJ117" s="0"/>
      <c r="BLK117" s="0"/>
      <c r="BLL117" s="0"/>
      <c r="BLM117" s="0"/>
      <c r="BLN117" s="0"/>
      <c r="BLO117" s="0"/>
      <c r="BLP117" s="0"/>
      <c r="BLQ117" s="0"/>
      <c r="BLR117" s="0"/>
      <c r="BLS117" s="0"/>
      <c r="BLT117" s="0"/>
      <c r="BLU117" s="0"/>
      <c r="BLV117" s="0"/>
      <c r="BLW117" s="0"/>
      <c r="BLX117" s="0"/>
      <c r="BLY117" s="0"/>
      <c r="BLZ117" s="0"/>
      <c r="BMA117" s="0"/>
      <c r="BMB117" s="0"/>
      <c r="BMC117" s="0"/>
      <c r="BMD117" s="0"/>
      <c r="BME117" s="0"/>
      <c r="BMF117" s="0"/>
      <c r="BMG117" s="0"/>
      <c r="BMH117" s="0"/>
      <c r="BMI117" s="0"/>
      <c r="BMJ117" s="0"/>
      <c r="BMK117" s="0"/>
      <c r="BML117" s="0"/>
      <c r="BMM117" s="0"/>
      <c r="BMN117" s="0"/>
      <c r="BMO117" s="0"/>
      <c r="BMP117" s="0"/>
      <c r="BMQ117" s="0"/>
      <c r="BMR117" s="0"/>
      <c r="BMS117" s="0"/>
      <c r="BMT117" s="0"/>
      <c r="BMU117" s="0"/>
      <c r="BMV117" s="0"/>
      <c r="BMW117" s="0"/>
      <c r="BMX117" s="0"/>
      <c r="BMY117" s="0"/>
      <c r="BMZ117" s="0"/>
      <c r="BNA117" s="0"/>
      <c r="BNB117" s="0"/>
      <c r="BNC117" s="0"/>
      <c r="BND117" s="0"/>
      <c r="BNE117" s="0"/>
      <c r="BNF117" s="0"/>
      <c r="BNG117" s="0"/>
      <c r="BNH117" s="0"/>
      <c r="BNI117" s="0"/>
      <c r="BNJ117" s="0"/>
      <c r="BNK117" s="0"/>
      <c r="BNL117" s="0"/>
      <c r="BNM117" s="0"/>
      <c r="BNN117" s="0"/>
      <c r="BNO117" s="0"/>
      <c r="BNP117" s="0"/>
      <c r="BNQ117" s="0"/>
      <c r="BNR117" s="0"/>
      <c r="BNS117" s="0"/>
      <c r="BNT117" s="0"/>
      <c r="BNU117" s="0"/>
      <c r="BNV117" s="0"/>
      <c r="BNW117" s="0"/>
      <c r="BNX117" s="0"/>
      <c r="BNY117" s="0"/>
      <c r="BNZ117" s="0"/>
      <c r="BOA117" s="0"/>
      <c r="BOB117" s="0"/>
      <c r="BOC117" s="0"/>
      <c r="BOD117" s="0"/>
      <c r="BOE117" s="0"/>
      <c r="BOF117" s="0"/>
      <c r="BOG117" s="0"/>
      <c r="BOH117" s="0"/>
      <c r="BOI117" s="0"/>
      <c r="BOJ117" s="0"/>
      <c r="BOK117" s="0"/>
      <c r="BOL117" s="0"/>
      <c r="BOM117" s="0"/>
      <c r="BON117" s="0"/>
      <c r="BOO117" s="0"/>
      <c r="BOP117" s="0"/>
      <c r="BOQ117" s="0"/>
      <c r="BOR117" s="0"/>
      <c r="BOS117" s="0"/>
      <c r="BOT117" s="0"/>
      <c r="BOU117" s="0"/>
      <c r="BOV117" s="0"/>
      <c r="BOW117" s="0"/>
      <c r="BOX117" s="0"/>
      <c r="BOY117" s="0"/>
      <c r="BOZ117" s="0"/>
      <c r="BPA117" s="0"/>
      <c r="BPB117" s="0"/>
      <c r="BPC117" s="0"/>
      <c r="BPD117" s="0"/>
      <c r="BPE117" s="0"/>
      <c r="BPF117" s="0"/>
      <c r="BPG117" s="0"/>
      <c r="BPH117" s="0"/>
      <c r="BPI117" s="0"/>
      <c r="BPJ117" s="0"/>
      <c r="BPK117" s="0"/>
      <c r="BPL117" s="0"/>
      <c r="BPM117" s="0"/>
      <c r="BPN117" s="0"/>
      <c r="BPO117" s="0"/>
      <c r="BPP117" s="0"/>
      <c r="BPQ117" s="0"/>
      <c r="BPR117" s="0"/>
      <c r="BPS117" s="0"/>
      <c r="BPT117" s="0"/>
      <c r="BPU117" s="0"/>
      <c r="BPV117" s="0"/>
      <c r="BPW117" s="0"/>
      <c r="BPX117" s="0"/>
      <c r="BPY117" s="0"/>
      <c r="BPZ117" s="0"/>
      <c r="BQA117" s="0"/>
      <c r="BQB117" s="0"/>
      <c r="BQC117" s="0"/>
      <c r="BQD117" s="0"/>
      <c r="BQE117" s="0"/>
      <c r="BQF117" s="0"/>
      <c r="BQG117" s="0"/>
      <c r="BQH117" s="0"/>
      <c r="BQI117" s="0"/>
      <c r="BQJ117" s="0"/>
      <c r="BQK117" s="0"/>
      <c r="BQL117" s="0"/>
      <c r="BQM117" s="0"/>
      <c r="BQN117" s="0"/>
      <c r="BQO117" s="0"/>
      <c r="BQP117" s="0"/>
      <c r="BQQ117" s="0"/>
      <c r="BQR117" s="0"/>
      <c r="BQS117" s="0"/>
      <c r="BQT117" s="0"/>
      <c r="BQU117" s="0"/>
      <c r="BQV117" s="0"/>
      <c r="BQW117" s="0"/>
      <c r="BQX117" s="0"/>
      <c r="BQY117" s="0"/>
      <c r="BQZ117" s="0"/>
      <c r="BRA117" s="0"/>
      <c r="BRB117" s="0"/>
      <c r="BRC117" s="0"/>
      <c r="BRD117" s="0"/>
      <c r="BRE117" s="0"/>
      <c r="BRF117" s="0"/>
      <c r="BRG117" s="0"/>
      <c r="BRH117" s="0"/>
      <c r="BRI117" s="0"/>
      <c r="BRJ117" s="0"/>
      <c r="BRK117" s="0"/>
      <c r="BRL117" s="0"/>
      <c r="BRM117" s="0"/>
      <c r="BRN117" s="0"/>
      <c r="BRO117" s="0"/>
      <c r="BRP117" s="0"/>
      <c r="BRQ117" s="0"/>
      <c r="BRR117" s="0"/>
      <c r="BRS117" s="0"/>
      <c r="BRT117" s="0"/>
      <c r="BRU117" s="0"/>
      <c r="BRV117" s="0"/>
      <c r="BRW117" s="0"/>
      <c r="BRX117" s="0"/>
      <c r="BRY117" s="0"/>
      <c r="BRZ117" s="0"/>
      <c r="BSA117" s="0"/>
      <c r="BSB117" s="0"/>
      <c r="BSC117" s="0"/>
      <c r="BSD117" s="0"/>
      <c r="BSE117" s="0"/>
      <c r="BSF117" s="0"/>
      <c r="BSG117" s="0"/>
      <c r="BSH117" s="0"/>
      <c r="BSI117" s="0"/>
      <c r="BSJ117" s="0"/>
      <c r="BSK117" s="0"/>
      <c r="BSL117" s="0"/>
      <c r="BSM117" s="0"/>
      <c r="BSN117" s="0"/>
      <c r="BSO117" s="0"/>
      <c r="BSP117" s="0"/>
      <c r="BSQ117" s="0"/>
      <c r="BSR117" s="0"/>
      <c r="BSS117" s="0"/>
      <c r="BST117" s="0"/>
      <c r="BSU117" s="0"/>
      <c r="BSV117" s="0"/>
      <c r="BSW117" s="0"/>
      <c r="BSX117" s="0"/>
      <c r="BSY117" s="0"/>
      <c r="BSZ117" s="0"/>
      <c r="BTA117" s="0"/>
      <c r="BTB117" s="0"/>
      <c r="BTC117" s="0"/>
      <c r="BTD117" s="0"/>
      <c r="BTE117" s="0"/>
      <c r="BTF117" s="0"/>
      <c r="BTG117" s="0"/>
      <c r="BTH117" s="0"/>
      <c r="BTI117" s="0"/>
      <c r="BTJ117" s="0"/>
      <c r="BTK117" s="0"/>
      <c r="BTL117" s="0"/>
      <c r="BTM117" s="0"/>
      <c r="BTN117" s="0"/>
      <c r="BTO117" s="0"/>
      <c r="BTP117" s="0"/>
      <c r="BTQ117" s="0"/>
      <c r="BTR117" s="0"/>
      <c r="BTS117" s="0"/>
      <c r="BTT117" s="0"/>
      <c r="BTU117" s="0"/>
      <c r="BTV117" s="0"/>
      <c r="BTW117" s="0"/>
      <c r="BTX117" s="0"/>
      <c r="BTY117" s="0"/>
      <c r="BTZ117" s="0"/>
      <c r="BUA117" s="0"/>
      <c r="BUB117" s="0"/>
      <c r="BUC117" s="0"/>
      <c r="BUD117" s="0"/>
      <c r="BUE117" s="0"/>
      <c r="BUF117" s="0"/>
      <c r="BUG117" s="0"/>
      <c r="BUH117" s="0"/>
      <c r="BUI117" s="0"/>
      <c r="BUJ117" s="0"/>
      <c r="BUK117" s="0"/>
      <c r="BUL117" s="0"/>
      <c r="BUM117" s="0"/>
      <c r="BUN117" s="0"/>
      <c r="BUO117" s="0"/>
      <c r="BUP117" s="0"/>
      <c r="BUQ117" s="0"/>
      <c r="BUR117" s="0"/>
      <c r="BUS117" s="0"/>
      <c r="BUT117" s="0"/>
      <c r="BUU117" s="0"/>
      <c r="BUV117" s="0"/>
      <c r="BUW117" s="0"/>
      <c r="BUX117" s="0"/>
      <c r="BUY117" s="0"/>
      <c r="BUZ117" s="0"/>
      <c r="BVA117" s="0"/>
      <c r="BVB117" s="0"/>
      <c r="BVC117" s="0"/>
      <c r="BVD117" s="0"/>
      <c r="BVE117" s="0"/>
      <c r="BVF117" s="0"/>
      <c r="BVG117" s="0"/>
      <c r="BVH117" s="0"/>
      <c r="BVI117" s="0"/>
      <c r="BVJ117" s="0"/>
      <c r="BVK117" s="0"/>
      <c r="BVL117" s="0"/>
      <c r="BVM117" s="0"/>
      <c r="BVN117" s="0"/>
      <c r="BVO117" s="0"/>
      <c r="BVP117" s="0"/>
      <c r="BVQ117" s="0"/>
      <c r="BVR117" s="0"/>
      <c r="BVS117" s="0"/>
      <c r="BVT117" s="0"/>
      <c r="BVU117" s="0"/>
      <c r="BVV117" s="0"/>
      <c r="BVW117" s="0"/>
      <c r="BVX117" s="0"/>
      <c r="BVY117" s="0"/>
      <c r="BVZ117" s="0"/>
      <c r="BWA117" s="0"/>
      <c r="BWB117" s="0"/>
      <c r="BWC117" s="0"/>
      <c r="BWD117" s="0"/>
      <c r="BWE117" s="0"/>
      <c r="BWF117" s="0"/>
      <c r="BWG117" s="0"/>
      <c r="BWH117" s="0"/>
      <c r="BWI117" s="0"/>
      <c r="BWJ117" s="0"/>
      <c r="BWK117" s="0"/>
      <c r="BWL117" s="0"/>
      <c r="BWM117" s="0"/>
      <c r="BWN117" s="0"/>
      <c r="BWO117" s="0"/>
      <c r="BWP117" s="0"/>
      <c r="BWQ117" s="0"/>
      <c r="BWR117" s="0"/>
      <c r="BWS117" s="0"/>
      <c r="BWT117" s="0"/>
      <c r="BWU117" s="0"/>
      <c r="BWV117" s="0"/>
      <c r="BWW117" s="0"/>
      <c r="BWX117" s="0"/>
      <c r="BWY117" s="0"/>
      <c r="BWZ117" s="0"/>
      <c r="BXA117" s="0"/>
      <c r="BXB117" s="0"/>
      <c r="BXC117" s="0"/>
      <c r="BXD117" s="0"/>
      <c r="BXE117" s="0"/>
      <c r="BXF117" s="0"/>
      <c r="BXG117" s="0"/>
      <c r="BXH117" s="0"/>
      <c r="BXI117" s="0"/>
      <c r="BXJ117" s="0"/>
      <c r="BXK117" s="0"/>
      <c r="BXL117" s="0"/>
      <c r="BXM117" s="0"/>
      <c r="BXN117" s="0"/>
      <c r="BXO117" s="0"/>
      <c r="BXP117" s="0"/>
      <c r="BXQ117" s="0"/>
      <c r="BXR117" s="0"/>
      <c r="BXS117" s="0"/>
      <c r="BXT117" s="0"/>
      <c r="BXU117" s="0"/>
      <c r="BXV117" s="0"/>
      <c r="BXW117" s="0"/>
      <c r="BXX117" s="0"/>
      <c r="BXY117" s="0"/>
      <c r="BXZ117" s="0"/>
      <c r="BYA117" s="0"/>
      <c r="BYB117" s="0"/>
      <c r="BYC117" s="0"/>
      <c r="BYD117" s="0"/>
      <c r="BYE117" s="0"/>
      <c r="BYF117" s="0"/>
      <c r="BYG117" s="0"/>
      <c r="BYH117" s="0"/>
      <c r="BYI117" s="0"/>
      <c r="BYJ117" s="0"/>
      <c r="BYK117" s="0"/>
      <c r="BYL117" s="0"/>
      <c r="BYM117" s="0"/>
      <c r="BYN117" s="0"/>
      <c r="BYO117" s="0"/>
      <c r="BYP117" s="0"/>
      <c r="BYQ117" s="0"/>
      <c r="BYR117" s="0"/>
      <c r="BYS117" s="0"/>
      <c r="BYT117" s="0"/>
      <c r="BYU117" s="0"/>
      <c r="BYV117" s="0"/>
      <c r="BYW117" s="0"/>
      <c r="BYX117" s="0"/>
      <c r="BYY117" s="0"/>
      <c r="BYZ117" s="0"/>
      <c r="BZA117" s="0"/>
      <c r="BZB117" s="0"/>
      <c r="BZC117" s="0"/>
      <c r="BZD117" s="0"/>
      <c r="BZE117" s="0"/>
      <c r="BZF117" s="0"/>
      <c r="BZG117" s="0"/>
      <c r="BZH117" s="0"/>
      <c r="BZI117" s="0"/>
      <c r="BZJ117" s="0"/>
      <c r="BZK117" s="0"/>
      <c r="BZL117" s="0"/>
      <c r="BZM117" s="0"/>
      <c r="BZN117" s="0"/>
      <c r="BZO117" s="0"/>
      <c r="BZP117" s="0"/>
      <c r="BZQ117" s="0"/>
      <c r="BZR117" s="0"/>
      <c r="BZS117" s="0"/>
      <c r="BZT117" s="0"/>
      <c r="BZU117" s="0"/>
      <c r="BZV117" s="0"/>
      <c r="BZW117" s="0"/>
      <c r="BZX117" s="0"/>
      <c r="BZY117" s="0"/>
      <c r="BZZ117" s="0"/>
      <c r="CAA117" s="0"/>
      <c r="CAB117" s="0"/>
      <c r="CAC117" s="0"/>
      <c r="CAD117" s="0"/>
      <c r="CAE117" s="0"/>
      <c r="CAF117" s="0"/>
      <c r="CAG117" s="0"/>
      <c r="CAH117" s="0"/>
      <c r="CAI117" s="0"/>
      <c r="CAJ117" s="0"/>
      <c r="CAK117" s="0"/>
      <c r="CAL117" s="0"/>
      <c r="CAM117" s="0"/>
      <c r="CAN117" s="0"/>
      <c r="CAO117" s="0"/>
      <c r="CAP117" s="0"/>
      <c r="CAQ117" s="0"/>
      <c r="CAR117" s="0"/>
      <c r="CAS117" s="0"/>
      <c r="CAT117" s="0"/>
      <c r="CAU117" s="0"/>
      <c r="CAV117" s="0"/>
      <c r="CAW117" s="0"/>
      <c r="CAX117" s="0"/>
      <c r="CAY117" s="0"/>
      <c r="CAZ117" s="0"/>
      <c r="CBA117" s="0"/>
      <c r="CBB117" s="0"/>
      <c r="CBC117" s="0"/>
      <c r="CBD117" s="0"/>
      <c r="CBE117" s="0"/>
      <c r="CBF117" s="0"/>
      <c r="CBG117" s="0"/>
      <c r="CBH117" s="0"/>
      <c r="CBI117" s="0"/>
      <c r="CBJ117" s="0"/>
      <c r="CBK117" s="0"/>
      <c r="CBL117" s="0"/>
      <c r="CBM117" s="0"/>
      <c r="CBN117" s="0"/>
      <c r="CBO117" s="0"/>
      <c r="CBP117" s="0"/>
      <c r="CBQ117" s="0"/>
      <c r="CBR117" s="0"/>
      <c r="CBS117" s="0"/>
      <c r="CBT117" s="0"/>
      <c r="CBU117" s="0"/>
      <c r="CBV117" s="0"/>
      <c r="CBW117" s="0"/>
      <c r="CBX117" s="0"/>
      <c r="CBY117" s="0"/>
      <c r="CBZ117" s="0"/>
      <c r="CCA117" s="0"/>
      <c r="CCB117" s="0"/>
      <c r="CCC117" s="0"/>
      <c r="CCD117" s="0"/>
      <c r="CCE117" s="0"/>
      <c r="CCF117" s="0"/>
      <c r="CCG117" s="0"/>
      <c r="CCH117" s="0"/>
      <c r="CCI117" s="0"/>
      <c r="CCJ117" s="0"/>
      <c r="CCK117" s="0"/>
      <c r="CCL117" s="0"/>
      <c r="CCM117" s="0"/>
      <c r="CCN117" s="0"/>
      <c r="CCO117" s="0"/>
      <c r="CCP117" s="0"/>
      <c r="CCQ117" s="0"/>
      <c r="CCR117" s="0"/>
      <c r="CCS117" s="0"/>
      <c r="CCT117" s="0"/>
      <c r="CCU117" s="0"/>
      <c r="CCV117" s="0"/>
      <c r="CCW117" s="0"/>
      <c r="CCX117" s="0"/>
      <c r="CCY117" s="0"/>
      <c r="CCZ117" s="0"/>
      <c r="CDA117" s="0"/>
      <c r="CDB117" s="0"/>
      <c r="CDC117" s="0"/>
      <c r="CDD117" s="0"/>
      <c r="CDE117" s="0"/>
      <c r="CDF117" s="0"/>
      <c r="CDG117" s="0"/>
      <c r="CDH117" s="0"/>
      <c r="CDI117" s="0"/>
      <c r="CDJ117" s="0"/>
      <c r="CDK117" s="0"/>
      <c r="CDL117" s="0"/>
      <c r="CDM117" s="0"/>
      <c r="CDN117" s="0"/>
      <c r="CDO117" s="0"/>
      <c r="CDP117" s="0"/>
      <c r="CDQ117" s="0"/>
      <c r="CDR117" s="0"/>
      <c r="CDS117" s="0"/>
      <c r="CDT117" s="0"/>
      <c r="CDU117" s="0"/>
      <c r="CDV117" s="0"/>
      <c r="CDW117" s="0"/>
      <c r="CDX117" s="0"/>
      <c r="CDY117" s="0"/>
      <c r="CDZ117" s="0"/>
      <c r="CEA117" s="0"/>
      <c r="CEB117" s="0"/>
      <c r="CEC117" s="0"/>
      <c r="CED117" s="0"/>
      <c r="CEE117" s="0"/>
      <c r="CEF117" s="0"/>
      <c r="CEG117" s="0"/>
      <c r="CEH117" s="0"/>
      <c r="CEI117" s="0"/>
      <c r="CEJ117" s="0"/>
      <c r="CEK117" s="0"/>
      <c r="CEL117" s="0"/>
      <c r="CEM117" s="0"/>
      <c r="CEN117" s="0"/>
      <c r="CEO117" s="0"/>
      <c r="CEP117" s="0"/>
      <c r="CEQ117" s="0"/>
      <c r="CER117" s="0"/>
      <c r="CES117" s="0"/>
      <c r="CET117" s="0"/>
      <c r="CEU117" s="0"/>
      <c r="CEV117" s="0"/>
      <c r="CEW117" s="0"/>
      <c r="CEX117" s="0"/>
      <c r="CEY117" s="0"/>
      <c r="CEZ117" s="0"/>
      <c r="CFA117" s="0"/>
      <c r="CFB117" s="0"/>
      <c r="CFC117" s="0"/>
      <c r="CFD117" s="0"/>
      <c r="CFE117" s="0"/>
      <c r="CFF117" s="0"/>
      <c r="CFG117" s="0"/>
      <c r="CFH117" s="0"/>
      <c r="CFI117" s="0"/>
      <c r="CFJ117" s="0"/>
      <c r="CFK117" s="0"/>
      <c r="CFL117" s="0"/>
      <c r="CFM117" s="0"/>
      <c r="CFN117" s="0"/>
      <c r="CFO117" s="0"/>
      <c r="CFP117" s="0"/>
      <c r="CFQ117" s="0"/>
      <c r="CFR117" s="0"/>
      <c r="CFS117" s="0"/>
      <c r="CFT117" s="0"/>
      <c r="CFU117" s="0"/>
      <c r="CFV117" s="0"/>
      <c r="CFW117" s="0"/>
      <c r="CFX117" s="0"/>
      <c r="CFY117" s="0"/>
      <c r="CFZ117" s="0"/>
      <c r="CGA117" s="0"/>
      <c r="CGB117" s="0"/>
      <c r="CGC117" s="0"/>
      <c r="CGD117" s="0"/>
      <c r="CGE117" s="0"/>
      <c r="CGF117" s="0"/>
      <c r="CGG117" s="0"/>
      <c r="CGH117" s="0"/>
      <c r="CGI117" s="0"/>
      <c r="CGJ117" s="0"/>
      <c r="CGK117" s="0"/>
      <c r="CGL117" s="0"/>
      <c r="CGM117" s="0"/>
      <c r="CGN117" s="0"/>
      <c r="CGO117" s="0"/>
      <c r="CGP117" s="0"/>
      <c r="CGQ117" s="0"/>
      <c r="CGR117" s="0"/>
      <c r="CGS117" s="0"/>
      <c r="CGT117" s="0"/>
      <c r="CGU117" s="0"/>
      <c r="CGV117" s="0"/>
      <c r="CGW117" s="0"/>
      <c r="CGX117" s="0"/>
      <c r="CGY117" s="0"/>
      <c r="CGZ117" s="0"/>
      <c r="CHA117" s="0"/>
      <c r="CHB117" s="0"/>
      <c r="CHC117" s="0"/>
      <c r="CHD117" s="0"/>
      <c r="CHE117" s="0"/>
      <c r="CHF117" s="0"/>
      <c r="CHG117" s="0"/>
      <c r="CHH117" s="0"/>
      <c r="CHI117" s="0"/>
      <c r="CHJ117" s="0"/>
      <c r="CHK117" s="0"/>
      <c r="CHL117" s="0"/>
      <c r="CHM117" s="0"/>
      <c r="CHN117" s="0"/>
      <c r="CHO117" s="0"/>
      <c r="CHP117" s="0"/>
      <c r="CHQ117" s="0"/>
      <c r="CHR117" s="0"/>
      <c r="CHS117" s="0"/>
      <c r="CHT117" s="0"/>
      <c r="CHU117" s="0"/>
      <c r="CHV117" s="0"/>
      <c r="CHW117" s="0"/>
      <c r="CHX117" s="0"/>
      <c r="CHY117" s="0"/>
      <c r="CHZ117" s="0"/>
      <c r="CIA117" s="0"/>
      <c r="CIB117" s="0"/>
      <c r="CIC117" s="0"/>
      <c r="CID117" s="0"/>
      <c r="CIE117" s="0"/>
      <c r="CIF117" s="0"/>
      <c r="CIG117" s="0"/>
      <c r="CIH117" s="0"/>
      <c r="CII117" s="0"/>
      <c r="CIJ117" s="0"/>
      <c r="CIK117" s="0"/>
      <c r="CIL117" s="0"/>
      <c r="CIM117" s="0"/>
      <c r="CIN117" s="0"/>
      <c r="CIO117" s="0"/>
      <c r="CIP117" s="0"/>
      <c r="CIQ117" s="0"/>
      <c r="CIR117" s="0"/>
      <c r="CIS117" s="0"/>
      <c r="CIT117" s="0"/>
      <c r="CIU117" s="0"/>
      <c r="CIV117" s="0"/>
      <c r="CIW117" s="0"/>
      <c r="CIX117" s="0"/>
      <c r="CIY117" s="0"/>
      <c r="CIZ117" s="0"/>
      <c r="CJA117" s="0"/>
      <c r="CJB117" s="0"/>
      <c r="CJC117" s="0"/>
      <c r="CJD117" s="0"/>
      <c r="CJE117" s="0"/>
      <c r="CJF117" s="0"/>
      <c r="CJG117" s="0"/>
      <c r="CJH117" s="0"/>
      <c r="CJI117" s="0"/>
      <c r="CJJ117" s="0"/>
      <c r="CJK117" s="0"/>
      <c r="CJL117" s="0"/>
      <c r="CJM117" s="0"/>
      <c r="CJN117" s="0"/>
      <c r="CJO117" s="0"/>
      <c r="CJP117" s="0"/>
      <c r="CJQ117" s="0"/>
      <c r="CJR117" s="0"/>
      <c r="CJS117" s="0"/>
      <c r="CJT117" s="0"/>
      <c r="CJU117" s="0"/>
      <c r="CJV117" s="0"/>
      <c r="CJW117" s="0"/>
      <c r="CJX117" s="0"/>
      <c r="CJY117" s="0"/>
      <c r="CJZ117" s="0"/>
      <c r="CKA117" s="0"/>
      <c r="CKB117" s="0"/>
      <c r="CKC117" s="0"/>
      <c r="CKD117" s="0"/>
      <c r="CKE117" s="0"/>
      <c r="CKF117" s="0"/>
      <c r="CKG117" s="0"/>
      <c r="CKH117" s="0"/>
      <c r="CKI117" s="0"/>
      <c r="CKJ117" s="0"/>
      <c r="CKK117" s="0"/>
      <c r="CKL117" s="0"/>
      <c r="CKM117" s="0"/>
      <c r="CKN117" s="0"/>
      <c r="CKO117" s="0"/>
      <c r="CKP117" s="0"/>
      <c r="CKQ117" s="0"/>
      <c r="CKR117" s="0"/>
      <c r="CKS117" s="0"/>
      <c r="CKT117" s="0"/>
      <c r="CKU117" s="0"/>
      <c r="CKV117" s="0"/>
      <c r="CKW117" s="0"/>
      <c r="CKX117" s="0"/>
      <c r="CKY117" s="0"/>
      <c r="CKZ117" s="0"/>
      <c r="CLA117" s="0"/>
      <c r="CLB117" s="0"/>
      <c r="CLC117" s="0"/>
      <c r="CLD117" s="0"/>
      <c r="CLE117" s="0"/>
      <c r="CLF117" s="0"/>
      <c r="CLG117" s="0"/>
      <c r="CLH117" s="0"/>
      <c r="CLI117" s="0"/>
      <c r="CLJ117" s="0"/>
      <c r="CLK117" s="0"/>
      <c r="CLL117" s="0"/>
      <c r="CLM117" s="0"/>
      <c r="CLN117" s="0"/>
      <c r="CLO117" s="0"/>
      <c r="CLP117" s="0"/>
      <c r="CLQ117" s="0"/>
      <c r="CLR117" s="0"/>
      <c r="CLS117" s="0"/>
      <c r="CLT117" s="0"/>
      <c r="CLU117" s="0"/>
      <c r="CLV117" s="0"/>
      <c r="CLW117" s="0"/>
      <c r="CLX117" s="0"/>
      <c r="CLY117" s="0"/>
      <c r="CLZ117" s="0"/>
      <c r="CMA117" s="0"/>
      <c r="CMB117" s="0"/>
      <c r="CMC117" s="0"/>
      <c r="CMD117" s="0"/>
      <c r="CME117" s="0"/>
      <c r="CMF117" s="0"/>
      <c r="CMG117" s="0"/>
      <c r="CMH117" s="0"/>
      <c r="CMI117" s="0"/>
      <c r="CMJ117" s="0"/>
      <c r="CMK117" s="0"/>
      <c r="CML117" s="0"/>
      <c r="CMM117" s="0"/>
      <c r="CMN117" s="0"/>
      <c r="CMO117" s="0"/>
      <c r="CMP117" s="0"/>
      <c r="CMQ117" s="0"/>
      <c r="CMR117" s="0"/>
      <c r="CMS117" s="0"/>
      <c r="CMT117" s="0"/>
      <c r="CMU117" s="0"/>
      <c r="CMV117" s="0"/>
      <c r="CMW117" s="0"/>
      <c r="CMX117" s="0"/>
      <c r="CMY117" s="0"/>
      <c r="CMZ117" s="0"/>
      <c r="CNA117" s="0"/>
      <c r="CNB117" s="0"/>
      <c r="CNC117" s="0"/>
      <c r="CND117" s="0"/>
      <c r="CNE117" s="0"/>
      <c r="CNF117" s="0"/>
      <c r="CNG117" s="0"/>
      <c r="CNH117" s="0"/>
      <c r="CNI117" s="0"/>
      <c r="CNJ117" s="0"/>
      <c r="CNK117" s="0"/>
      <c r="CNL117" s="0"/>
      <c r="CNM117" s="0"/>
      <c r="CNN117" s="0"/>
      <c r="CNO117" s="0"/>
      <c r="CNP117" s="0"/>
      <c r="CNQ117" s="0"/>
      <c r="CNR117" s="0"/>
      <c r="CNS117" s="0"/>
      <c r="CNT117" s="0"/>
      <c r="CNU117" s="0"/>
      <c r="CNV117" s="0"/>
      <c r="CNW117" s="0"/>
      <c r="CNX117" s="0"/>
      <c r="CNY117" s="0"/>
      <c r="CNZ117" s="0"/>
      <c r="COA117" s="0"/>
      <c r="COB117" s="0"/>
      <c r="COC117" s="0"/>
      <c r="COD117" s="0"/>
      <c r="COE117" s="0"/>
      <c r="COF117" s="0"/>
      <c r="COG117" s="0"/>
      <c r="COH117" s="0"/>
      <c r="COI117" s="0"/>
      <c r="COJ117" s="0"/>
      <c r="COK117" s="0"/>
      <c r="COL117" s="0"/>
      <c r="COM117" s="0"/>
      <c r="CON117" s="0"/>
      <c r="COO117" s="0"/>
      <c r="COP117" s="0"/>
      <c r="COQ117" s="0"/>
      <c r="COR117" s="0"/>
      <c r="COS117" s="0"/>
      <c r="COT117" s="0"/>
      <c r="COU117" s="0"/>
      <c r="COV117" s="0"/>
      <c r="COW117" s="0"/>
      <c r="COX117" s="0"/>
      <c r="COY117" s="0"/>
      <c r="COZ117" s="0"/>
      <c r="CPA117" s="0"/>
      <c r="CPB117" s="0"/>
      <c r="CPC117" s="0"/>
      <c r="CPD117" s="0"/>
      <c r="CPE117" s="0"/>
      <c r="CPF117" s="0"/>
      <c r="CPG117" s="0"/>
      <c r="CPH117" s="0"/>
      <c r="CPI117" s="0"/>
      <c r="CPJ117" s="0"/>
      <c r="CPK117" s="0"/>
      <c r="CPL117" s="0"/>
      <c r="CPM117" s="0"/>
      <c r="CPN117" s="0"/>
      <c r="CPO117" s="0"/>
      <c r="CPP117" s="0"/>
      <c r="CPQ117" s="0"/>
      <c r="CPR117" s="0"/>
      <c r="CPS117" s="0"/>
      <c r="CPT117" s="0"/>
      <c r="CPU117" s="0"/>
      <c r="CPV117" s="0"/>
      <c r="CPW117" s="0"/>
      <c r="CPX117" s="0"/>
      <c r="CPY117" s="0"/>
      <c r="CPZ117" s="0"/>
      <c r="CQA117" s="0"/>
      <c r="CQB117" s="0"/>
      <c r="CQC117" s="0"/>
      <c r="CQD117" s="0"/>
      <c r="CQE117" s="0"/>
      <c r="CQF117" s="0"/>
      <c r="CQG117" s="0"/>
      <c r="CQH117" s="0"/>
      <c r="CQI117" s="0"/>
      <c r="CQJ117" s="0"/>
      <c r="CQK117" s="0"/>
      <c r="CQL117" s="0"/>
      <c r="CQM117" s="0"/>
      <c r="CQN117" s="0"/>
      <c r="CQO117" s="0"/>
      <c r="CQP117" s="0"/>
      <c r="CQQ117" s="0"/>
      <c r="CQR117" s="0"/>
      <c r="CQS117" s="0"/>
      <c r="CQT117" s="0"/>
      <c r="CQU117" s="0"/>
      <c r="CQV117" s="0"/>
      <c r="CQW117" s="0"/>
      <c r="CQX117" s="0"/>
      <c r="CQY117" s="0"/>
      <c r="CQZ117" s="0"/>
      <c r="CRA117" s="0"/>
      <c r="CRB117" s="0"/>
      <c r="CRC117" s="0"/>
      <c r="CRD117" s="0"/>
      <c r="CRE117" s="0"/>
      <c r="CRF117" s="0"/>
      <c r="CRG117" s="0"/>
      <c r="CRH117" s="0"/>
      <c r="CRI117" s="0"/>
      <c r="CRJ117" s="0"/>
      <c r="CRK117" s="0"/>
      <c r="CRL117" s="0"/>
      <c r="CRM117" s="0"/>
      <c r="CRN117" s="0"/>
      <c r="CRO117" s="0"/>
      <c r="CRP117" s="0"/>
      <c r="CRQ117" s="0"/>
      <c r="CRR117" s="0"/>
      <c r="CRS117" s="0"/>
      <c r="CRT117" s="0"/>
      <c r="CRU117" s="0"/>
      <c r="CRV117" s="0"/>
      <c r="CRW117" s="0"/>
      <c r="CRX117" s="0"/>
      <c r="CRY117" s="0"/>
      <c r="CRZ117" s="0"/>
      <c r="CSA117" s="0"/>
      <c r="CSB117" s="0"/>
      <c r="CSC117" s="0"/>
      <c r="CSD117" s="0"/>
      <c r="CSE117" s="0"/>
      <c r="CSF117" s="0"/>
      <c r="CSG117" s="0"/>
      <c r="CSH117" s="0"/>
      <c r="CSI117" s="0"/>
      <c r="CSJ117" s="0"/>
      <c r="CSK117" s="0"/>
      <c r="CSL117" s="0"/>
      <c r="CSM117" s="0"/>
      <c r="CSN117" s="0"/>
      <c r="CSO117" s="0"/>
      <c r="CSP117" s="0"/>
      <c r="CSQ117" s="0"/>
      <c r="CSR117" s="0"/>
      <c r="CSS117" s="0"/>
      <c r="CST117" s="0"/>
      <c r="CSU117" s="0"/>
      <c r="CSV117" s="0"/>
      <c r="CSW117" s="0"/>
      <c r="CSX117" s="0"/>
      <c r="CSY117" s="0"/>
      <c r="CSZ117" s="0"/>
      <c r="CTA117" s="0"/>
      <c r="CTB117" s="0"/>
      <c r="CTC117" s="0"/>
      <c r="CTD117" s="0"/>
      <c r="CTE117" s="0"/>
      <c r="CTF117" s="0"/>
      <c r="CTG117" s="0"/>
      <c r="CTH117" s="0"/>
      <c r="CTI117" s="0"/>
      <c r="CTJ117" s="0"/>
      <c r="CTK117" s="0"/>
      <c r="CTL117" s="0"/>
      <c r="CTM117" s="0"/>
      <c r="CTN117" s="0"/>
      <c r="CTO117" s="0"/>
      <c r="CTP117" s="0"/>
      <c r="CTQ117" s="0"/>
      <c r="CTR117" s="0"/>
      <c r="CTS117" s="0"/>
      <c r="CTT117" s="0"/>
      <c r="CTU117" s="0"/>
      <c r="CTV117" s="0"/>
      <c r="CTW117" s="0"/>
      <c r="CTX117" s="0"/>
      <c r="CTY117" s="0"/>
      <c r="CTZ117" s="0"/>
      <c r="CUA117" s="0"/>
      <c r="CUB117" s="0"/>
      <c r="CUC117" s="0"/>
      <c r="CUD117" s="0"/>
      <c r="CUE117" s="0"/>
      <c r="CUF117" s="0"/>
      <c r="CUG117" s="0"/>
      <c r="CUH117" s="0"/>
      <c r="CUI117" s="0"/>
      <c r="CUJ117" s="0"/>
      <c r="CUK117" s="0"/>
      <c r="CUL117" s="0"/>
      <c r="CUM117" s="0"/>
      <c r="CUN117" s="0"/>
      <c r="CUO117" s="0"/>
      <c r="CUP117" s="0"/>
      <c r="CUQ117" s="0"/>
      <c r="CUR117" s="0"/>
      <c r="CUS117" s="0"/>
      <c r="CUT117" s="0"/>
      <c r="CUU117" s="0"/>
      <c r="CUV117" s="0"/>
      <c r="CUW117" s="0"/>
      <c r="CUX117" s="0"/>
      <c r="CUY117" s="0"/>
      <c r="CUZ117" s="0"/>
      <c r="CVA117" s="0"/>
      <c r="CVB117" s="0"/>
      <c r="CVC117" s="0"/>
      <c r="CVD117" s="0"/>
      <c r="CVE117" s="0"/>
      <c r="CVF117" s="0"/>
      <c r="CVG117" s="0"/>
      <c r="CVH117" s="0"/>
      <c r="CVI117" s="0"/>
      <c r="CVJ117" s="0"/>
      <c r="CVK117" s="0"/>
      <c r="CVL117" s="0"/>
      <c r="CVM117" s="0"/>
      <c r="CVN117" s="0"/>
      <c r="CVO117" s="0"/>
      <c r="CVP117" s="0"/>
      <c r="CVQ117" s="0"/>
      <c r="CVR117" s="0"/>
      <c r="CVS117" s="0"/>
      <c r="CVT117" s="0"/>
      <c r="CVU117" s="0"/>
      <c r="CVV117" s="0"/>
      <c r="CVW117" s="0"/>
      <c r="CVX117" s="0"/>
      <c r="CVY117" s="0"/>
      <c r="CVZ117" s="0"/>
      <c r="CWA117" s="0"/>
      <c r="CWB117" s="0"/>
      <c r="CWC117" s="0"/>
      <c r="CWD117" s="0"/>
      <c r="CWE117" s="0"/>
      <c r="CWF117" s="0"/>
      <c r="CWG117" s="0"/>
      <c r="CWH117" s="0"/>
      <c r="CWI117" s="0"/>
      <c r="CWJ117" s="0"/>
      <c r="CWK117" s="0"/>
      <c r="CWL117" s="0"/>
      <c r="CWM117" s="0"/>
      <c r="CWN117" s="0"/>
      <c r="CWO117" s="0"/>
      <c r="CWP117" s="0"/>
      <c r="CWQ117" s="0"/>
      <c r="CWR117" s="0"/>
      <c r="CWS117" s="0"/>
      <c r="CWT117" s="0"/>
      <c r="CWU117" s="0"/>
      <c r="CWV117" s="0"/>
      <c r="CWW117" s="0"/>
      <c r="CWX117" s="0"/>
      <c r="CWY117" s="0"/>
      <c r="CWZ117" s="0"/>
      <c r="CXA117" s="0"/>
      <c r="CXB117" s="0"/>
      <c r="CXC117" s="0"/>
      <c r="CXD117" s="0"/>
      <c r="CXE117" s="0"/>
      <c r="CXF117" s="0"/>
      <c r="CXG117" s="0"/>
      <c r="CXH117" s="0"/>
      <c r="CXI117" s="0"/>
      <c r="CXJ117" s="0"/>
      <c r="CXK117" s="0"/>
      <c r="CXL117" s="0"/>
      <c r="CXM117" s="0"/>
      <c r="CXN117" s="0"/>
      <c r="CXO117" s="0"/>
      <c r="CXP117" s="0"/>
      <c r="CXQ117" s="0"/>
      <c r="CXR117" s="0"/>
      <c r="CXS117" s="0"/>
      <c r="CXT117" s="0"/>
      <c r="CXU117" s="0"/>
      <c r="CXV117" s="0"/>
      <c r="CXW117" s="0"/>
      <c r="CXX117" s="0"/>
      <c r="CXY117" s="0"/>
      <c r="CXZ117" s="0"/>
      <c r="CYA117" s="0"/>
      <c r="CYB117" s="0"/>
      <c r="CYC117" s="0"/>
      <c r="CYD117" s="0"/>
      <c r="CYE117" s="0"/>
      <c r="CYF117" s="0"/>
      <c r="CYG117" s="0"/>
      <c r="CYH117" s="0"/>
      <c r="CYI117" s="0"/>
      <c r="CYJ117" s="0"/>
      <c r="CYK117" s="0"/>
      <c r="CYL117" s="0"/>
      <c r="CYM117" s="0"/>
      <c r="CYN117" s="0"/>
      <c r="CYO117" s="0"/>
      <c r="CYP117" s="0"/>
      <c r="CYQ117" s="0"/>
      <c r="CYR117" s="0"/>
      <c r="CYS117" s="0"/>
      <c r="CYT117" s="0"/>
      <c r="CYU117" s="0"/>
      <c r="CYV117" s="0"/>
      <c r="CYW117" s="0"/>
      <c r="CYX117" s="0"/>
      <c r="CYY117" s="0"/>
      <c r="CYZ117" s="0"/>
      <c r="CZA117" s="0"/>
      <c r="CZB117" s="0"/>
      <c r="CZC117" s="0"/>
      <c r="CZD117" s="0"/>
      <c r="CZE117" s="0"/>
      <c r="CZF117" s="0"/>
      <c r="CZG117" s="0"/>
      <c r="CZH117" s="0"/>
      <c r="CZI117" s="0"/>
      <c r="CZJ117" s="0"/>
      <c r="CZK117" s="0"/>
      <c r="CZL117" s="0"/>
      <c r="CZM117" s="0"/>
      <c r="CZN117" s="0"/>
      <c r="CZO117" s="0"/>
      <c r="CZP117" s="0"/>
      <c r="CZQ117" s="0"/>
      <c r="CZR117" s="0"/>
      <c r="CZS117" s="0"/>
      <c r="CZT117" s="0"/>
      <c r="CZU117" s="0"/>
      <c r="CZV117" s="0"/>
      <c r="CZW117" s="0"/>
      <c r="CZX117" s="0"/>
      <c r="CZY117" s="0"/>
      <c r="CZZ117" s="0"/>
      <c r="DAA117" s="0"/>
      <c r="DAB117" s="0"/>
      <c r="DAC117" s="0"/>
      <c r="DAD117" s="0"/>
      <c r="DAE117" s="0"/>
      <c r="DAF117" s="0"/>
      <c r="DAG117" s="0"/>
      <c r="DAH117" s="0"/>
      <c r="DAI117" s="0"/>
      <c r="DAJ117" s="0"/>
      <c r="DAK117" s="0"/>
      <c r="DAL117" s="0"/>
      <c r="DAM117" s="0"/>
      <c r="DAN117" s="0"/>
      <c r="DAO117" s="0"/>
      <c r="DAP117" s="0"/>
      <c r="DAQ117" s="0"/>
      <c r="DAR117" s="0"/>
      <c r="DAS117" s="0"/>
      <c r="DAT117" s="0"/>
      <c r="DAU117" s="0"/>
      <c r="DAV117" s="0"/>
      <c r="DAW117" s="0"/>
      <c r="DAX117" s="0"/>
      <c r="DAY117" s="0"/>
      <c r="DAZ117" s="0"/>
      <c r="DBA117" s="0"/>
      <c r="DBB117" s="0"/>
      <c r="DBC117" s="0"/>
      <c r="DBD117" s="0"/>
      <c r="DBE117" s="0"/>
      <c r="DBF117" s="0"/>
      <c r="DBG117" s="0"/>
      <c r="DBH117" s="0"/>
      <c r="DBI117" s="0"/>
      <c r="DBJ117" s="0"/>
      <c r="DBK117" s="0"/>
      <c r="DBL117" s="0"/>
      <c r="DBM117" s="0"/>
      <c r="DBN117" s="0"/>
      <c r="DBO117" s="0"/>
      <c r="DBP117" s="0"/>
      <c r="DBQ117" s="0"/>
      <c r="DBR117" s="0"/>
      <c r="DBS117" s="0"/>
      <c r="DBT117" s="0"/>
      <c r="DBU117" s="0"/>
      <c r="DBV117" s="0"/>
      <c r="DBW117" s="0"/>
      <c r="DBX117" s="0"/>
      <c r="DBY117" s="0"/>
      <c r="DBZ117" s="0"/>
      <c r="DCA117" s="0"/>
      <c r="DCB117" s="0"/>
      <c r="DCC117" s="0"/>
      <c r="DCD117" s="0"/>
      <c r="DCE117" s="0"/>
      <c r="DCF117" s="0"/>
      <c r="DCG117" s="0"/>
      <c r="DCH117" s="0"/>
      <c r="DCI117" s="0"/>
      <c r="DCJ117" s="0"/>
      <c r="DCK117" s="0"/>
      <c r="DCL117" s="0"/>
      <c r="DCM117" s="0"/>
      <c r="DCN117" s="0"/>
      <c r="DCO117" s="0"/>
      <c r="DCP117" s="0"/>
      <c r="DCQ117" s="0"/>
      <c r="DCR117" s="0"/>
      <c r="DCS117" s="0"/>
      <c r="DCT117" s="0"/>
      <c r="DCU117" s="0"/>
      <c r="DCV117" s="0"/>
      <c r="DCW117" s="0"/>
      <c r="DCX117" s="0"/>
      <c r="DCY117" s="0"/>
      <c r="DCZ117" s="0"/>
      <c r="DDA117" s="0"/>
      <c r="DDB117" s="0"/>
      <c r="DDC117" s="0"/>
      <c r="DDD117" s="0"/>
      <c r="DDE117" s="0"/>
      <c r="DDF117" s="0"/>
      <c r="DDG117" s="0"/>
      <c r="DDH117" s="0"/>
      <c r="DDI117" s="0"/>
      <c r="DDJ117" s="0"/>
      <c r="DDK117" s="0"/>
      <c r="DDL117" s="0"/>
      <c r="DDM117" s="0"/>
      <c r="DDN117" s="0"/>
      <c r="DDO117" s="0"/>
      <c r="DDP117" s="0"/>
      <c r="DDQ117" s="0"/>
      <c r="DDR117" s="0"/>
      <c r="DDS117" s="0"/>
      <c r="DDT117" s="0"/>
      <c r="DDU117" s="0"/>
      <c r="DDV117" s="0"/>
      <c r="DDW117" s="0"/>
      <c r="DDX117" s="0"/>
      <c r="DDY117" s="0"/>
      <c r="DDZ117" s="0"/>
      <c r="DEA117" s="0"/>
      <c r="DEB117" s="0"/>
      <c r="DEC117" s="0"/>
      <c r="DED117" s="0"/>
      <c r="DEE117" s="0"/>
      <c r="DEF117" s="0"/>
      <c r="DEG117" s="0"/>
      <c r="DEH117" s="0"/>
      <c r="DEI117" s="0"/>
      <c r="DEJ117" s="0"/>
      <c r="DEK117" s="0"/>
      <c r="DEL117" s="0"/>
      <c r="DEM117" s="0"/>
      <c r="DEN117" s="0"/>
      <c r="DEO117" s="0"/>
      <c r="DEP117" s="0"/>
      <c r="DEQ117" s="0"/>
      <c r="DER117" s="0"/>
      <c r="DES117" s="0"/>
      <c r="DET117" s="0"/>
      <c r="DEU117" s="0"/>
      <c r="DEV117" s="0"/>
      <c r="DEW117" s="0"/>
      <c r="DEX117" s="0"/>
      <c r="DEY117" s="0"/>
      <c r="DEZ117" s="0"/>
      <c r="DFA117" s="0"/>
      <c r="DFB117" s="0"/>
      <c r="DFC117" s="0"/>
      <c r="DFD117" s="0"/>
      <c r="DFE117" s="0"/>
      <c r="DFF117" s="0"/>
      <c r="DFG117" s="0"/>
      <c r="DFH117" s="0"/>
      <c r="DFI117" s="0"/>
      <c r="DFJ117" s="0"/>
      <c r="DFK117" s="0"/>
      <c r="DFL117" s="0"/>
      <c r="DFM117" s="0"/>
      <c r="DFN117" s="0"/>
      <c r="DFO117" s="0"/>
      <c r="DFP117" s="0"/>
      <c r="DFQ117" s="0"/>
      <c r="DFR117" s="0"/>
      <c r="DFS117" s="0"/>
      <c r="DFT117" s="0"/>
      <c r="DFU117" s="0"/>
      <c r="DFV117" s="0"/>
      <c r="DFW117" s="0"/>
      <c r="DFX117" s="0"/>
      <c r="DFY117" s="0"/>
      <c r="DFZ117" s="0"/>
      <c r="DGA117" s="0"/>
      <c r="DGB117" s="0"/>
      <c r="DGC117" s="0"/>
      <c r="DGD117" s="0"/>
      <c r="DGE117" s="0"/>
      <c r="DGF117" s="0"/>
      <c r="DGG117" s="0"/>
      <c r="DGH117" s="0"/>
      <c r="DGI117" s="0"/>
      <c r="DGJ117" s="0"/>
      <c r="DGK117" s="0"/>
      <c r="DGL117" s="0"/>
      <c r="DGM117" s="0"/>
      <c r="DGN117" s="0"/>
      <c r="DGO117" s="0"/>
      <c r="DGP117" s="0"/>
      <c r="DGQ117" s="0"/>
      <c r="DGR117" s="0"/>
      <c r="DGS117" s="0"/>
      <c r="DGT117" s="0"/>
      <c r="DGU117" s="0"/>
      <c r="DGV117" s="0"/>
      <c r="DGW117" s="0"/>
      <c r="DGX117" s="0"/>
      <c r="DGY117" s="0"/>
      <c r="DGZ117" s="0"/>
      <c r="DHA117" s="0"/>
      <c r="DHB117" s="0"/>
      <c r="DHC117" s="0"/>
      <c r="DHD117" s="0"/>
      <c r="DHE117" s="0"/>
      <c r="DHF117" s="0"/>
      <c r="DHG117" s="0"/>
      <c r="DHH117" s="0"/>
      <c r="DHI117" s="0"/>
      <c r="DHJ117" s="0"/>
      <c r="DHK117" s="0"/>
      <c r="DHL117" s="0"/>
      <c r="DHM117" s="0"/>
      <c r="DHN117" s="0"/>
      <c r="DHO117" s="0"/>
      <c r="DHP117" s="0"/>
      <c r="DHQ117" s="0"/>
      <c r="DHR117" s="0"/>
      <c r="DHS117" s="0"/>
      <c r="DHT117" s="0"/>
      <c r="DHU117" s="0"/>
      <c r="DHV117" s="0"/>
      <c r="DHW117" s="0"/>
      <c r="DHX117" s="0"/>
      <c r="DHY117" s="0"/>
      <c r="DHZ117" s="0"/>
      <c r="DIA117" s="0"/>
      <c r="DIB117" s="0"/>
      <c r="DIC117" s="0"/>
      <c r="DID117" s="0"/>
      <c r="DIE117" s="0"/>
      <c r="DIF117" s="0"/>
      <c r="DIG117" s="0"/>
      <c r="DIH117" s="0"/>
      <c r="DII117" s="0"/>
      <c r="DIJ117" s="0"/>
      <c r="DIK117" s="0"/>
      <c r="DIL117" s="0"/>
      <c r="DIM117" s="0"/>
      <c r="DIN117" s="0"/>
      <c r="DIO117" s="0"/>
      <c r="DIP117" s="0"/>
      <c r="DIQ117" s="0"/>
      <c r="DIR117" s="0"/>
      <c r="DIS117" s="0"/>
      <c r="DIT117" s="0"/>
      <c r="DIU117" s="0"/>
      <c r="DIV117" s="0"/>
      <c r="DIW117" s="0"/>
      <c r="DIX117" s="0"/>
      <c r="DIY117" s="0"/>
      <c r="DIZ117" s="0"/>
      <c r="DJA117" s="0"/>
      <c r="DJB117" s="0"/>
      <c r="DJC117" s="0"/>
      <c r="DJD117" s="0"/>
      <c r="DJE117" s="0"/>
      <c r="DJF117" s="0"/>
      <c r="DJG117" s="0"/>
      <c r="DJH117" s="0"/>
      <c r="DJI117" s="0"/>
      <c r="DJJ117" s="0"/>
      <c r="DJK117" s="0"/>
      <c r="DJL117" s="0"/>
      <c r="DJM117" s="0"/>
      <c r="DJN117" s="0"/>
      <c r="DJO117" s="0"/>
      <c r="DJP117" s="0"/>
      <c r="DJQ117" s="0"/>
      <c r="DJR117" s="0"/>
      <c r="DJS117" s="0"/>
      <c r="DJT117" s="0"/>
      <c r="DJU117" s="0"/>
      <c r="DJV117" s="0"/>
      <c r="DJW117" s="0"/>
      <c r="DJX117" s="0"/>
      <c r="DJY117" s="0"/>
      <c r="DJZ117" s="0"/>
      <c r="DKA117" s="0"/>
      <c r="DKB117" s="0"/>
      <c r="DKC117" s="0"/>
      <c r="DKD117" s="0"/>
      <c r="DKE117" s="0"/>
      <c r="DKF117" s="0"/>
      <c r="DKG117" s="0"/>
      <c r="DKH117" s="0"/>
      <c r="DKI117" s="0"/>
      <c r="DKJ117" s="0"/>
      <c r="DKK117" s="0"/>
      <c r="DKL117" s="0"/>
      <c r="DKM117" s="0"/>
      <c r="DKN117" s="0"/>
      <c r="DKO117" s="0"/>
      <c r="DKP117" s="0"/>
      <c r="DKQ117" s="0"/>
      <c r="DKR117" s="0"/>
      <c r="DKS117" s="0"/>
      <c r="DKT117" s="0"/>
      <c r="DKU117" s="0"/>
      <c r="DKV117" s="0"/>
      <c r="DKW117" s="0"/>
      <c r="DKX117" s="0"/>
      <c r="DKY117" s="0"/>
      <c r="DKZ117" s="0"/>
      <c r="DLA117" s="0"/>
      <c r="DLB117" s="0"/>
      <c r="DLC117" s="0"/>
      <c r="DLD117" s="0"/>
      <c r="DLE117" s="0"/>
      <c r="DLF117" s="0"/>
      <c r="DLG117" s="0"/>
      <c r="DLH117" s="0"/>
      <c r="DLI117" s="0"/>
      <c r="DLJ117" s="0"/>
      <c r="DLK117" s="0"/>
      <c r="DLL117" s="0"/>
      <c r="DLM117" s="0"/>
      <c r="DLN117" s="0"/>
      <c r="DLO117" s="0"/>
      <c r="DLP117" s="0"/>
      <c r="DLQ117" s="0"/>
      <c r="DLR117" s="0"/>
      <c r="DLS117" s="0"/>
      <c r="DLT117" s="0"/>
      <c r="DLU117" s="0"/>
      <c r="DLV117" s="0"/>
      <c r="DLW117" s="0"/>
      <c r="DLX117" s="0"/>
      <c r="DLY117" s="0"/>
      <c r="DLZ117" s="0"/>
      <c r="DMA117" s="0"/>
      <c r="DMB117" s="0"/>
      <c r="DMC117" s="0"/>
      <c r="DMD117" s="0"/>
      <c r="DME117" s="0"/>
      <c r="DMF117" s="0"/>
      <c r="DMG117" s="0"/>
      <c r="DMH117" s="0"/>
      <c r="DMI117" s="0"/>
      <c r="DMJ117" s="0"/>
      <c r="DMK117" s="0"/>
      <c r="DML117" s="0"/>
      <c r="DMM117" s="0"/>
      <c r="DMN117" s="0"/>
      <c r="DMO117" s="0"/>
      <c r="DMP117" s="0"/>
      <c r="DMQ117" s="0"/>
      <c r="DMR117" s="0"/>
      <c r="DMS117" s="0"/>
      <c r="DMT117" s="0"/>
      <c r="DMU117" s="0"/>
      <c r="DMV117" s="0"/>
      <c r="DMW117" s="0"/>
      <c r="DMX117" s="0"/>
      <c r="DMY117" s="0"/>
      <c r="DMZ117" s="0"/>
      <c r="DNA117" s="0"/>
      <c r="DNB117" s="0"/>
      <c r="DNC117" s="0"/>
      <c r="DND117" s="0"/>
      <c r="DNE117" s="0"/>
      <c r="DNF117" s="0"/>
      <c r="DNG117" s="0"/>
      <c r="DNH117" s="0"/>
      <c r="DNI117" s="0"/>
      <c r="DNJ117" s="0"/>
      <c r="DNK117" s="0"/>
      <c r="DNL117" s="0"/>
      <c r="DNM117" s="0"/>
      <c r="DNN117" s="0"/>
      <c r="DNO117" s="0"/>
      <c r="DNP117" s="0"/>
      <c r="DNQ117" s="0"/>
      <c r="DNR117" s="0"/>
      <c r="DNS117" s="0"/>
      <c r="DNT117" s="0"/>
      <c r="DNU117" s="0"/>
      <c r="DNV117" s="0"/>
      <c r="DNW117" s="0"/>
      <c r="DNX117" s="0"/>
      <c r="DNY117" s="0"/>
      <c r="DNZ117" s="0"/>
      <c r="DOA117" s="0"/>
      <c r="DOB117" s="0"/>
      <c r="DOC117" s="0"/>
      <c r="DOD117" s="0"/>
      <c r="DOE117" s="0"/>
      <c r="DOF117" s="0"/>
      <c r="DOG117" s="0"/>
      <c r="DOH117" s="0"/>
      <c r="DOI117" s="0"/>
      <c r="DOJ117" s="0"/>
      <c r="DOK117" s="0"/>
      <c r="DOL117" s="0"/>
      <c r="DOM117" s="0"/>
      <c r="DON117" s="0"/>
      <c r="DOO117" s="0"/>
      <c r="DOP117" s="0"/>
      <c r="DOQ117" s="0"/>
      <c r="DOR117" s="0"/>
      <c r="DOS117" s="0"/>
      <c r="DOT117" s="0"/>
      <c r="DOU117" s="0"/>
      <c r="DOV117" s="0"/>
      <c r="DOW117" s="0"/>
      <c r="DOX117" s="0"/>
      <c r="DOY117" s="0"/>
      <c r="DOZ117" s="0"/>
      <c r="DPA117" s="0"/>
      <c r="DPB117" s="0"/>
      <c r="DPC117" s="0"/>
      <c r="DPD117" s="0"/>
      <c r="DPE117" s="0"/>
      <c r="DPF117" s="0"/>
      <c r="DPG117" s="0"/>
      <c r="DPH117" s="0"/>
      <c r="DPI117" s="0"/>
      <c r="DPJ117" s="0"/>
      <c r="DPK117" s="0"/>
      <c r="DPL117" s="0"/>
      <c r="DPM117" s="0"/>
      <c r="DPN117" s="0"/>
      <c r="DPO117" s="0"/>
      <c r="DPP117" s="0"/>
      <c r="DPQ117" s="0"/>
      <c r="DPR117" s="0"/>
      <c r="DPS117" s="0"/>
      <c r="DPT117" s="0"/>
      <c r="DPU117" s="0"/>
      <c r="DPV117" s="0"/>
      <c r="DPW117" s="0"/>
      <c r="DPX117" s="0"/>
      <c r="DPY117" s="0"/>
      <c r="DPZ117" s="0"/>
      <c r="DQA117" s="0"/>
      <c r="DQB117" s="0"/>
      <c r="DQC117" s="0"/>
      <c r="DQD117" s="0"/>
      <c r="DQE117" s="0"/>
      <c r="DQF117" s="0"/>
      <c r="DQG117" s="0"/>
      <c r="DQH117" s="0"/>
      <c r="DQI117" s="0"/>
      <c r="DQJ117" s="0"/>
      <c r="DQK117" s="0"/>
      <c r="DQL117" s="0"/>
      <c r="DQM117" s="0"/>
      <c r="DQN117" s="0"/>
      <c r="DQO117" s="0"/>
      <c r="DQP117" s="0"/>
      <c r="DQQ117" s="0"/>
      <c r="DQR117" s="0"/>
      <c r="DQS117" s="0"/>
      <c r="DQT117" s="0"/>
      <c r="DQU117" s="0"/>
      <c r="DQV117" s="0"/>
      <c r="DQW117" s="0"/>
      <c r="DQX117" s="0"/>
      <c r="DQY117" s="0"/>
      <c r="DQZ117" s="0"/>
      <c r="DRA117" s="0"/>
      <c r="DRB117" s="0"/>
      <c r="DRC117" s="0"/>
      <c r="DRD117" s="0"/>
      <c r="DRE117" s="0"/>
      <c r="DRF117" s="0"/>
      <c r="DRG117" s="0"/>
      <c r="DRH117" s="0"/>
      <c r="DRI117" s="0"/>
      <c r="DRJ117" s="0"/>
      <c r="DRK117" s="0"/>
      <c r="DRL117" s="0"/>
      <c r="DRM117" s="0"/>
      <c r="DRN117" s="0"/>
      <c r="DRO117" s="0"/>
      <c r="DRP117" s="0"/>
      <c r="DRQ117" s="0"/>
      <c r="DRR117" s="0"/>
      <c r="DRS117" s="0"/>
      <c r="DRT117" s="0"/>
      <c r="DRU117" s="0"/>
      <c r="DRV117" s="0"/>
      <c r="DRW117" s="0"/>
      <c r="DRX117" s="0"/>
      <c r="DRY117" s="0"/>
      <c r="DRZ117" s="0"/>
      <c r="DSA117" s="0"/>
      <c r="DSB117" s="0"/>
      <c r="DSC117" s="0"/>
      <c r="DSD117" s="0"/>
      <c r="DSE117" s="0"/>
      <c r="DSF117" s="0"/>
      <c r="DSG117" s="0"/>
      <c r="DSH117" s="0"/>
      <c r="DSI117" s="0"/>
      <c r="DSJ117" s="0"/>
      <c r="DSK117" s="0"/>
      <c r="DSL117" s="0"/>
      <c r="DSM117" s="0"/>
      <c r="DSN117" s="0"/>
      <c r="DSO117" s="0"/>
      <c r="DSP117" s="0"/>
      <c r="DSQ117" s="0"/>
      <c r="DSR117" s="0"/>
      <c r="DSS117" s="0"/>
      <c r="DST117" s="0"/>
      <c r="DSU117" s="0"/>
      <c r="DSV117" s="0"/>
      <c r="DSW117" s="0"/>
      <c r="DSX117" s="0"/>
      <c r="DSY117" s="0"/>
      <c r="DSZ117" s="0"/>
      <c r="DTA117" s="0"/>
      <c r="DTB117" s="0"/>
      <c r="DTC117" s="0"/>
      <c r="DTD117" s="0"/>
      <c r="DTE117" s="0"/>
      <c r="DTF117" s="0"/>
      <c r="DTG117" s="0"/>
      <c r="DTH117" s="0"/>
      <c r="DTI117" s="0"/>
      <c r="DTJ117" s="0"/>
      <c r="DTK117" s="0"/>
      <c r="DTL117" s="0"/>
      <c r="DTM117" s="0"/>
      <c r="DTN117" s="0"/>
      <c r="DTO117" s="0"/>
      <c r="DTP117" s="0"/>
      <c r="DTQ117" s="0"/>
      <c r="DTR117" s="0"/>
      <c r="DTS117" s="0"/>
      <c r="DTT117" s="0"/>
      <c r="DTU117" s="0"/>
      <c r="DTV117" s="0"/>
      <c r="DTW117" s="0"/>
      <c r="DTX117" s="0"/>
      <c r="DTY117" s="0"/>
      <c r="DTZ117" s="0"/>
      <c r="DUA117" s="0"/>
      <c r="DUB117" s="0"/>
      <c r="DUC117" s="0"/>
      <c r="DUD117" s="0"/>
      <c r="DUE117" s="0"/>
      <c r="DUF117" s="0"/>
      <c r="DUG117" s="0"/>
      <c r="DUH117" s="0"/>
      <c r="DUI117" s="0"/>
      <c r="DUJ117" s="0"/>
      <c r="DUK117" s="0"/>
      <c r="DUL117" s="0"/>
      <c r="DUM117" s="0"/>
      <c r="DUN117" s="0"/>
      <c r="DUO117" s="0"/>
      <c r="DUP117" s="0"/>
      <c r="DUQ117" s="0"/>
      <c r="DUR117" s="0"/>
      <c r="DUS117" s="0"/>
      <c r="DUT117" s="0"/>
      <c r="DUU117" s="0"/>
      <c r="DUV117" s="0"/>
      <c r="DUW117" s="0"/>
      <c r="DUX117" s="0"/>
      <c r="DUY117" s="0"/>
      <c r="DUZ117" s="0"/>
      <c r="DVA117" s="0"/>
      <c r="DVB117" s="0"/>
      <c r="DVC117" s="0"/>
      <c r="DVD117" s="0"/>
      <c r="DVE117" s="0"/>
      <c r="DVF117" s="0"/>
      <c r="DVG117" s="0"/>
      <c r="DVH117" s="0"/>
      <c r="DVI117" s="0"/>
      <c r="DVJ117" s="0"/>
      <c r="DVK117" s="0"/>
      <c r="DVL117" s="0"/>
      <c r="DVM117" s="0"/>
      <c r="DVN117" s="0"/>
      <c r="DVO117" s="0"/>
      <c r="DVP117" s="0"/>
      <c r="DVQ117" s="0"/>
      <c r="DVR117" s="0"/>
      <c r="DVS117" s="0"/>
      <c r="DVT117" s="0"/>
      <c r="DVU117" s="0"/>
      <c r="DVV117" s="0"/>
      <c r="DVW117" s="0"/>
      <c r="DVX117" s="0"/>
      <c r="DVY117" s="0"/>
      <c r="DVZ117" s="0"/>
      <c r="DWA117" s="0"/>
      <c r="DWB117" s="0"/>
      <c r="DWC117" s="0"/>
      <c r="DWD117" s="0"/>
      <c r="DWE117" s="0"/>
      <c r="DWF117" s="0"/>
      <c r="DWG117" s="0"/>
      <c r="DWH117" s="0"/>
      <c r="DWI117" s="0"/>
      <c r="DWJ117" s="0"/>
      <c r="DWK117" s="0"/>
      <c r="DWL117" s="0"/>
      <c r="DWM117" s="0"/>
      <c r="DWN117" s="0"/>
      <c r="DWO117" s="0"/>
      <c r="DWP117" s="0"/>
      <c r="DWQ117" s="0"/>
      <c r="DWR117" s="0"/>
      <c r="DWS117" s="0"/>
      <c r="DWT117" s="0"/>
      <c r="DWU117" s="0"/>
      <c r="DWV117" s="0"/>
      <c r="DWW117" s="0"/>
      <c r="DWX117" s="0"/>
      <c r="DWY117" s="0"/>
      <c r="DWZ117" s="0"/>
      <c r="DXA117" s="0"/>
      <c r="DXB117" s="0"/>
      <c r="DXC117" s="0"/>
      <c r="DXD117" s="0"/>
      <c r="DXE117" s="0"/>
      <c r="DXF117" s="0"/>
      <c r="DXG117" s="0"/>
      <c r="DXH117" s="0"/>
      <c r="DXI117" s="0"/>
      <c r="DXJ117" s="0"/>
      <c r="DXK117" s="0"/>
      <c r="DXL117" s="0"/>
      <c r="DXM117" s="0"/>
      <c r="DXN117" s="0"/>
      <c r="DXO117" s="0"/>
      <c r="DXP117" s="0"/>
      <c r="DXQ117" s="0"/>
      <c r="DXR117" s="0"/>
      <c r="DXS117" s="0"/>
      <c r="DXT117" s="0"/>
      <c r="DXU117" s="0"/>
      <c r="DXV117" s="0"/>
      <c r="DXW117" s="0"/>
      <c r="DXX117" s="0"/>
      <c r="DXY117" s="0"/>
      <c r="DXZ117" s="0"/>
      <c r="DYA117" s="0"/>
      <c r="DYB117" s="0"/>
      <c r="DYC117" s="0"/>
      <c r="DYD117" s="0"/>
      <c r="DYE117" s="0"/>
      <c r="DYF117" s="0"/>
      <c r="DYG117" s="0"/>
      <c r="DYH117" s="0"/>
      <c r="DYI117" s="0"/>
      <c r="DYJ117" s="0"/>
      <c r="DYK117" s="0"/>
      <c r="DYL117" s="0"/>
      <c r="DYM117" s="0"/>
      <c r="DYN117" s="0"/>
      <c r="DYO117" s="0"/>
      <c r="DYP117" s="0"/>
      <c r="DYQ117" s="0"/>
      <c r="DYR117" s="0"/>
      <c r="DYS117" s="0"/>
      <c r="DYT117" s="0"/>
      <c r="DYU117" s="0"/>
      <c r="DYV117" s="0"/>
      <c r="DYW117" s="0"/>
      <c r="DYX117" s="0"/>
      <c r="DYY117" s="0"/>
      <c r="DYZ117" s="0"/>
      <c r="DZA117" s="0"/>
      <c r="DZB117" s="0"/>
      <c r="DZC117" s="0"/>
      <c r="DZD117" s="0"/>
      <c r="DZE117" s="0"/>
      <c r="DZF117" s="0"/>
      <c r="DZG117" s="0"/>
      <c r="DZH117" s="0"/>
      <c r="DZI117" s="0"/>
      <c r="DZJ117" s="0"/>
      <c r="DZK117" s="0"/>
      <c r="DZL117" s="0"/>
      <c r="DZM117" s="0"/>
      <c r="DZN117" s="0"/>
      <c r="DZO117" s="0"/>
      <c r="DZP117" s="0"/>
      <c r="DZQ117" s="0"/>
      <c r="DZR117" s="0"/>
      <c r="DZS117" s="0"/>
      <c r="DZT117" s="0"/>
      <c r="DZU117" s="0"/>
      <c r="DZV117" s="0"/>
      <c r="DZW117" s="0"/>
      <c r="DZX117" s="0"/>
      <c r="DZY117" s="0"/>
      <c r="DZZ117" s="0"/>
      <c r="EAA117" s="0"/>
      <c r="EAB117" s="0"/>
      <c r="EAC117" s="0"/>
      <c r="EAD117" s="0"/>
      <c r="EAE117" s="0"/>
      <c r="EAF117" s="0"/>
      <c r="EAG117" s="0"/>
      <c r="EAH117" s="0"/>
      <c r="EAI117" s="0"/>
      <c r="EAJ117" s="0"/>
      <c r="EAK117" s="0"/>
      <c r="EAL117" s="0"/>
      <c r="EAM117" s="0"/>
      <c r="EAN117" s="0"/>
      <c r="EAO117" s="0"/>
      <c r="EAP117" s="0"/>
      <c r="EAQ117" s="0"/>
      <c r="EAR117" s="0"/>
      <c r="EAS117" s="0"/>
      <c r="EAT117" s="0"/>
      <c r="EAU117" s="0"/>
      <c r="EAV117" s="0"/>
      <c r="EAW117" s="0"/>
      <c r="EAX117" s="0"/>
      <c r="EAY117" s="0"/>
      <c r="EAZ117" s="0"/>
      <c r="EBA117" s="0"/>
      <c r="EBB117" s="0"/>
      <c r="EBC117" s="0"/>
      <c r="EBD117" s="0"/>
      <c r="EBE117" s="0"/>
      <c r="EBF117" s="0"/>
      <c r="EBG117" s="0"/>
      <c r="EBH117" s="0"/>
      <c r="EBI117" s="0"/>
      <c r="EBJ117" s="0"/>
      <c r="EBK117" s="0"/>
      <c r="EBL117" s="0"/>
      <c r="EBM117" s="0"/>
      <c r="EBN117" s="0"/>
      <c r="EBO117" s="0"/>
      <c r="EBP117" s="0"/>
      <c r="EBQ117" s="0"/>
      <c r="EBR117" s="0"/>
      <c r="EBS117" s="0"/>
      <c r="EBT117" s="0"/>
      <c r="EBU117" s="0"/>
      <c r="EBV117" s="0"/>
      <c r="EBW117" s="0"/>
      <c r="EBX117" s="0"/>
      <c r="EBY117" s="0"/>
      <c r="EBZ117" s="0"/>
      <c r="ECA117" s="0"/>
      <c r="ECB117" s="0"/>
      <c r="ECC117" s="0"/>
      <c r="ECD117" s="0"/>
      <c r="ECE117" s="0"/>
      <c r="ECF117" s="0"/>
      <c r="ECG117" s="0"/>
      <c r="ECH117" s="0"/>
      <c r="ECI117" s="0"/>
      <c r="ECJ117" s="0"/>
      <c r="ECK117" s="0"/>
      <c r="ECL117" s="0"/>
      <c r="ECM117" s="0"/>
      <c r="ECN117" s="0"/>
      <c r="ECO117" s="0"/>
      <c r="ECP117" s="0"/>
      <c r="ECQ117" s="0"/>
      <c r="ECR117" s="0"/>
      <c r="ECS117" s="0"/>
      <c r="ECT117" s="0"/>
      <c r="ECU117" s="0"/>
      <c r="ECV117" s="0"/>
      <c r="ECW117" s="0"/>
      <c r="ECX117" s="0"/>
      <c r="ECY117" s="0"/>
      <c r="ECZ117" s="0"/>
      <c r="EDA117" s="0"/>
      <c r="EDB117" s="0"/>
      <c r="EDC117" s="0"/>
      <c r="EDD117" s="0"/>
      <c r="EDE117" s="0"/>
      <c r="EDF117" s="0"/>
      <c r="EDG117" s="0"/>
      <c r="EDH117" s="0"/>
      <c r="EDI117" s="0"/>
      <c r="EDJ117" s="0"/>
      <c r="EDK117" s="0"/>
      <c r="EDL117" s="0"/>
      <c r="EDM117" s="0"/>
      <c r="EDN117" s="0"/>
      <c r="EDO117" s="0"/>
      <c r="EDP117" s="0"/>
      <c r="EDQ117" s="0"/>
      <c r="EDR117" s="0"/>
      <c r="EDS117" s="0"/>
      <c r="EDT117" s="0"/>
      <c r="EDU117" s="0"/>
      <c r="EDV117" s="0"/>
      <c r="EDW117" s="0"/>
      <c r="EDX117" s="0"/>
      <c r="EDY117" s="0"/>
      <c r="EDZ117" s="0"/>
      <c r="EEA117" s="0"/>
      <c r="EEB117" s="0"/>
      <c r="EEC117" s="0"/>
      <c r="EED117" s="0"/>
      <c r="EEE117" s="0"/>
      <c r="EEF117" s="0"/>
      <c r="EEG117" s="0"/>
      <c r="EEH117" s="0"/>
      <c r="EEI117" s="0"/>
      <c r="EEJ117" s="0"/>
      <c r="EEK117" s="0"/>
      <c r="EEL117" s="0"/>
      <c r="EEM117" s="0"/>
      <c r="EEN117" s="0"/>
      <c r="EEO117" s="0"/>
      <c r="EEP117" s="0"/>
      <c r="EEQ117" s="0"/>
      <c r="EER117" s="0"/>
      <c r="EES117" s="0"/>
      <c r="EET117" s="0"/>
      <c r="EEU117" s="0"/>
      <c r="EEV117" s="0"/>
      <c r="EEW117" s="0"/>
      <c r="EEX117" s="0"/>
      <c r="EEY117" s="0"/>
      <c r="EEZ117" s="0"/>
      <c r="EFA117" s="0"/>
      <c r="EFB117" s="0"/>
      <c r="EFC117" s="0"/>
      <c r="EFD117" s="0"/>
      <c r="EFE117" s="0"/>
      <c r="EFF117" s="0"/>
      <c r="EFG117" s="0"/>
      <c r="EFH117" s="0"/>
      <c r="EFI117" s="0"/>
      <c r="EFJ117" s="0"/>
      <c r="EFK117" s="0"/>
      <c r="EFL117" s="0"/>
      <c r="EFM117" s="0"/>
      <c r="EFN117" s="0"/>
      <c r="EFO117" s="0"/>
      <c r="EFP117" s="0"/>
      <c r="EFQ117" s="0"/>
      <c r="EFR117" s="0"/>
      <c r="EFS117" s="0"/>
      <c r="EFT117" s="0"/>
      <c r="EFU117" s="0"/>
      <c r="EFV117" s="0"/>
      <c r="EFW117" s="0"/>
      <c r="EFX117" s="0"/>
      <c r="EFY117" s="0"/>
      <c r="EFZ117" s="0"/>
      <c r="EGA117" s="0"/>
      <c r="EGB117" s="0"/>
      <c r="EGC117" s="0"/>
      <c r="EGD117" s="0"/>
      <c r="EGE117" s="0"/>
      <c r="EGF117" s="0"/>
      <c r="EGG117" s="0"/>
      <c r="EGH117" s="0"/>
      <c r="EGI117" s="0"/>
      <c r="EGJ117" s="0"/>
      <c r="EGK117" s="0"/>
      <c r="EGL117" s="0"/>
      <c r="EGM117" s="0"/>
      <c r="EGN117" s="0"/>
      <c r="EGO117" s="0"/>
      <c r="EGP117" s="0"/>
      <c r="EGQ117" s="0"/>
      <c r="EGR117" s="0"/>
      <c r="EGS117" s="0"/>
      <c r="EGT117" s="0"/>
      <c r="EGU117" s="0"/>
      <c r="EGV117" s="0"/>
      <c r="EGW117" s="0"/>
      <c r="EGX117" s="0"/>
      <c r="EGY117" s="0"/>
      <c r="EGZ117" s="0"/>
      <c r="EHA117" s="0"/>
      <c r="EHB117" s="0"/>
      <c r="EHC117" s="0"/>
      <c r="EHD117" s="0"/>
      <c r="EHE117" s="0"/>
      <c r="EHF117" s="0"/>
      <c r="EHG117" s="0"/>
      <c r="EHH117" s="0"/>
      <c r="EHI117" s="0"/>
      <c r="EHJ117" s="0"/>
      <c r="EHK117" s="0"/>
      <c r="EHL117" s="0"/>
      <c r="EHM117" s="0"/>
      <c r="EHN117" s="0"/>
      <c r="EHO117" s="0"/>
      <c r="EHP117" s="0"/>
      <c r="EHQ117" s="0"/>
      <c r="EHR117" s="0"/>
      <c r="EHS117" s="0"/>
      <c r="EHT117" s="0"/>
      <c r="EHU117" s="0"/>
      <c r="EHV117" s="0"/>
      <c r="EHW117" s="0"/>
      <c r="EHX117" s="0"/>
      <c r="EHY117" s="0"/>
      <c r="EHZ117" s="0"/>
      <c r="EIA117" s="0"/>
      <c r="EIB117" s="0"/>
      <c r="EIC117" s="0"/>
      <c r="EID117" s="0"/>
      <c r="EIE117" s="0"/>
      <c r="EIF117" s="0"/>
      <c r="EIG117" s="0"/>
      <c r="EIH117" s="0"/>
      <c r="EII117" s="0"/>
      <c r="EIJ117" s="0"/>
      <c r="EIK117" s="0"/>
      <c r="EIL117" s="0"/>
      <c r="EIM117" s="0"/>
      <c r="EIN117" s="0"/>
      <c r="EIO117" s="0"/>
      <c r="EIP117" s="0"/>
      <c r="EIQ117" s="0"/>
      <c r="EIR117" s="0"/>
      <c r="EIS117" s="0"/>
      <c r="EIT117" s="0"/>
      <c r="EIU117" s="0"/>
      <c r="EIV117" s="0"/>
      <c r="EIW117" s="0"/>
      <c r="EIX117" s="0"/>
      <c r="EIY117" s="0"/>
      <c r="EIZ117" s="0"/>
      <c r="EJA117" s="0"/>
      <c r="EJB117" s="0"/>
      <c r="EJC117" s="0"/>
      <c r="EJD117" s="0"/>
      <c r="EJE117" s="0"/>
      <c r="EJF117" s="0"/>
      <c r="EJG117" s="0"/>
      <c r="EJH117" s="0"/>
      <c r="EJI117" s="0"/>
      <c r="EJJ117" s="0"/>
      <c r="EJK117" s="0"/>
      <c r="EJL117" s="0"/>
      <c r="EJM117" s="0"/>
      <c r="EJN117" s="0"/>
      <c r="EJO117" s="0"/>
      <c r="EJP117" s="0"/>
      <c r="EJQ117" s="0"/>
      <c r="EJR117" s="0"/>
      <c r="EJS117" s="0"/>
      <c r="EJT117" s="0"/>
      <c r="EJU117" s="0"/>
      <c r="EJV117" s="0"/>
      <c r="EJW117" s="0"/>
      <c r="EJX117" s="0"/>
      <c r="EJY117" s="0"/>
      <c r="EJZ117" s="0"/>
      <c r="EKA117" s="0"/>
      <c r="EKB117" s="0"/>
      <c r="EKC117" s="0"/>
      <c r="EKD117" s="0"/>
      <c r="EKE117" s="0"/>
      <c r="EKF117" s="0"/>
      <c r="EKG117" s="0"/>
      <c r="EKH117" s="0"/>
      <c r="EKI117" s="0"/>
      <c r="EKJ117" s="0"/>
      <c r="EKK117" s="0"/>
      <c r="EKL117" s="0"/>
      <c r="EKM117" s="0"/>
      <c r="EKN117" s="0"/>
      <c r="EKO117" s="0"/>
      <c r="EKP117" s="0"/>
      <c r="EKQ117" s="0"/>
      <c r="EKR117" s="0"/>
      <c r="EKS117" s="0"/>
      <c r="EKT117" s="0"/>
      <c r="EKU117" s="0"/>
      <c r="EKV117" s="0"/>
      <c r="EKW117" s="0"/>
      <c r="EKX117" s="0"/>
      <c r="EKY117" s="0"/>
      <c r="EKZ117" s="0"/>
      <c r="ELA117" s="0"/>
      <c r="ELB117" s="0"/>
      <c r="ELC117" s="0"/>
      <c r="ELD117" s="0"/>
      <c r="ELE117" s="0"/>
      <c r="ELF117" s="0"/>
      <c r="ELG117" s="0"/>
      <c r="ELH117" s="0"/>
      <c r="ELI117" s="0"/>
      <c r="ELJ117" s="0"/>
      <c r="ELK117" s="0"/>
      <c r="ELL117" s="0"/>
      <c r="ELM117" s="0"/>
      <c r="ELN117" s="0"/>
      <c r="ELO117" s="0"/>
      <c r="ELP117" s="0"/>
      <c r="ELQ117" s="0"/>
      <c r="ELR117" s="0"/>
      <c r="ELS117" s="0"/>
      <c r="ELT117" s="0"/>
      <c r="ELU117" s="0"/>
      <c r="ELV117" s="0"/>
      <c r="ELW117" s="0"/>
      <c r="ELX117" s="0"/>
      <c r="ELY117" s="0"/>
      <c r="ELZ117" s="0"/>
      <c r="EMA117" s="0"/>
      <c r="EMB117" s="0"/>
      <c r="EMC117" s="0"/>
      <c r="EMD117" s="0"/>
      <c r="EME117" s="0"/>
      <c r="EMF117" s="0"/>
      <c r="EMG117" s="0"/>
      <c r="EMH117" s="0"/>
      <c r="EMI117" s="0"/>
      <c r="EMJ117" s="0"/>
      <c r="EMK117" s="0"/>
      <c r="EML117" s="0"/>
      <c r="EMM117" s="0"/>
      <c r="EMN117" s="0"/>
      <c r="EMO117" s="0"/>
      <c r="EMP117" s="0"/>
      <c r="EMQ117" s="0"/>
      <c r="EMR117" s="0"/>
      <c r="EMS117" s="0"/>
      <c r="EMT117" s="0"/>
      <c r="EMU117" s="0"/>
      <c r="EMV117" s="0"/>
      <c r="EMW117" s="0"/>
      <c r="EMX117" s="0"/>
      <c r="EMY117" s="0"/>
      <c r="EMZ117" s="0"/>
      <c r="ENA117" s="0"/>
      <c r="ENB117" s="0"/>
      <c r="ENC117" s="0"/>
      <c r="END117" s="0"/>
      <c r="ENE117" s="0"/>
      <c r="ENF117" s="0"/>
      <c r="ENG117" s="0"/>
      <c r="ENH117" s="0"/>
      <c r="ENI117" s="0"/>
      <c r="ENJ117" s="0"/>
      <c r="ENK117" s="0"/>
      <c r="ENL117" s="0"/>
      <c r="ENM117" s="0"/>
      <c r="ENN117" s="0"/>
      <c r="ENO117" s="0"/>
      <c r="ENP117" s="0"/>
      <c r="ENQ117" s="0"/>
      <c r="ENR117" s="0"/>
      <c r="ENS117" s="0"/>
      <c r="ENT117" s="0"/>
      <c r="ENU117" s="0"/>
      <c r="ENV117" s="0"/>
      <c r="ENW117" s="0"/>
      <c r="ENX117" s="0"/>
      <c r="ENY117" s="0"/>
      <c r="ENZ117" s="0"/>
      <c r="EOA117" s="0"/>
      <c r="EOB117" s="0"/>
      <c r="EOC117" s="0"/>
      <c r="EOD117" s="0"/>
      <c r="EOE117" s="0"/>
      <c r="EOF117" s="0"/>
      <c r="EOG117" s="0"/>
      <c r="EOH117" s="0"/>
      <c r="EOI117" s="0"/>
      <c r="EOJ117" s="0"/>
      <c r="EOK117" s="0"/>
      <c r="EOL117" s="0"/>
      <c r="EOM117" s="0"/>
      <c r="EON117" s="0"/>
      <c r="EOO117" s="0"/>
      <c r="EOP117" s="0"/>
      <c r="EOQ117" s="0"/>
      <c r="EOR117" s="0"/>
      <c r="EOS117" s="0"/>
      <c r="EOT117" s="0"/>
      <c r="EOU117" s="0"/>
      <c r="EOV117" s="0"/>
      <c r="EOW117" s="0"/>
      <c r="EOX117" s="0"/>
      <c r="EOY117" s="0"/>
      <c r="EOZ117" s="0"/>
      <c r="EPA117" s="0"/>
      <c r="EPB117" s="0"/>
      <c r="EPC117" s="0"/>
      <c r="EPD117" s="0"/>
      <c r="EPE117" s="0"/>
      <c r="EPF117" s="0"/>
      <c r="EPG117" s="0"/>
      <c r="EPH117" s="0"/>
      <c r="EPI117" s="0"/>
      <c r="EPJ117" s="0"/>
      <c r="EPK117" s="0"/>
      <c r="EPL117" s="0"/>
      <c r="EPM117" s="0"/>
      <c r="EPN117" s="0"/>
      <c r="EPO117" s="0"/>
      <c r="EPP117" s="0"/>
      <c r="EPQ117" s="0"/>
      <c r="EPR117" s="0"/>
      <c r="EPS117" s="0"/>
      <c r="EPT117" s="0"/>
      <c r="EPU117" s="0"/>
      <c r="EPV117" s="0"/>
      <c r="EPW117" s="0"/>
      <c r="EPX117" s="0"/>
      <c r="EPY117" s="0"/>
      <c r="EPZ117" s="0"/>
      <c r="EQA117" s="0"/>
      <c r="EQB117" s="0"/>
      <c r="EQC117" s="0"/>
      <c r="EQD117" s="0"/>
      <c r="EQE117" s="0"/>
      <c r="EQF117" s="0"/>
      <c r="EQG117" s="0"/>
      <c r="EQH117" s="0"/>
      <c r="EQI117" s="0"/>
      <c r="EQJ117" s="0"/>
      <c r="EQK117" s="0"/>
      <c r="EQL117" s="0"/>
      <c r="EQM117" s="0"/>
      <c r="EQN117" s="0"/>
      <c r="EQO117" s="0"/>
      <c r="EQP117" s="0"/>
      <c r="EQQ117" s="0"/>
      <c r="EQR117" s="0"/>
      <c r="EQS117" s="0"/>
      <c r="EQT117" s="0"/>
      <c r="EQU117" s="0"/>
      <c r="EQV117" s="0"/>
      <c r="EQW117" s="0"/>
      <c r="EQX117" s="0"/>
      <c r="EQY117" s="0"/>
      <c r="EQZ117" s="0"/>
      <c r="ERA117" s="0"/>
      <c r="ERB117" s="0"/>
      <c r="ERC117" s="0"/>
      <c r="ERD117" s="0"/>
      <c r="ERE117" s="0"/>
      <c r="ERF117" s="0"/>
      <c r="ERG117" s="0"/>
      <c r="ERH117" s="0"/>
      <c r="ERI117" s="0"/>
      <c r="ERJ117" s="0"/>
      <c r="ERK117" s="0"/>
      <c r="ERL117" s="0"/>
      <c r="ERM117" s="0"/>
      <c r="ERN117" s="0"/>
      <c r="ERO117" s="0"/>
      <c r="ERP117" s="0"/>
      <c r="ERQ117" s="0"/>
      <c r="ERR117" s="0"/>
      <c r="ERS117" s="0"/>
      <c r="ERT117" s="0"/>
      <c r="ERU117" s="0"/>
      <c r="ERV117" s="0"/>
      <c r="ERW117" s="0"/>
      <c r="ERX117" s="0"/>
      <c r="ERY117" s="0"/>
      <c r="ERZ117" s="0"/>
      <c r="ESA117" s="0"/>
      <c r="ESB117" s="0"/>
      <c r="ESC117" s="0"/>
      <c r="ESD117" s="0"/>
      <c r="ESE117" s="0"/>
      <c r="ESF117" s="0"/>
      <c r="ESG117" s="0"/>
      <c r="ESH117" s="0"/>
      <c r="ESI117" s="0"/>
      <c r="ESJ117" s="0"/>
      <c r="ESK117" s="0"/>
      <c r="ESL117" s="0"/>
      <c r="ESM117" s="0"/>
      <c r="ESN117" s="0"/>
      <c r="ESO117" s="0"/>
      <c r="ESP117" s="0"/>
      <c r="ESQ117" s="0"/>
      <c r="ESR117" s="0"/>
      <c r="ESS117" s="0"/>
      <c r="EST117" s="0"/>
      <c r="ESU117" s="0"/>
      <c r="ESV117" s="0"/>
      <c r="ESW117" s="0"/>
      <c r="ESX117" s="0"/>
      <c r="ESY117" s="0"/>
      <c r="ESZ117" s="0"/>
      <c r="ETA117" s="0"/>
      <c r="ETB117" s="0"/>
      <c r="ETC117" s="0"/>
      <c r="ETD117" s="0"/>
      <c r="ETE117" s="0"/>
      <c r="ETF117" s="0"/>
      <c r="ETG117" s="0"/>
      <c r="ETH117" s="0"/>
      <c r="ETI117" s="0"/>
      <c r="ETJ117" s="0"/>
      <c r="ETK117" s="0"/>
      <c r="ETL117" s="0"/>
      <c r="ETM117" s="0"/>
      <c r="ETN117" s="0"/>
      <c r="ETO117" s="0"/>
      <c r="ETP117" s="0"/>
      <c r="ETQ117" s="0"/>
      <c r="ETR117" s="0"/>
      <c r="ETS117" s="0"/>
      <c r="ETT117" s="0"/>
      <c r="ETU117" s="0"/>
      <c r="ETV117" s="0"/>
      <c r="ETW117" s="0"/>
      <c r="ETX117" s="0"/>
      <c r="ETY117" s="0"/>
      <c r="ETZ117" s="0"/>
      <c r="EUA117" s="0"/>
      <c r="EUB117" s="0"/>
      <c r="EUC117" s="0"/>
      <c r="EUD117" s="0"/>
      <c r="EUE117" s="0"/>
      <c r="EUF117" s="0"/>
      <c r="EUG117" s="0"/>
      <c r="EUH117" s="0"/>
      <c r="EUI117" s="0"/>
      <c r="EUJ117" s="0"/>
      <c r="EUK117" s="0"/>
      <c r="EUL117" s="0"/>
      <c r="EUM117" s="0"/>
      <c r="EUN117" s="0"/>
      <c r="EUO117" s="0"/>
      <c r="EUP117" s="0"/>
      <c r="EUQ117" s="0"/>
      <c r="EUR117" s="0"/>
      <c r="EUS117" s="0"/>
      <c r="EUT117" s="0"/>
      <c r="EUU117" s="0"/>
      <c r="EUV117" s="0"/>
      <c r="EUW117" s="0"/>
      <c r="EUX117" s="0"/>
      <c r="EUY117" s="0"/>
      <c r="EUZ117" s="0"/>
      <c r="EVA117" s="0"/>
      <c r="EVB117" s="0"/>
      <c r="EVC117" s="0"/>
      <c r="EVD117" s="0"/>
      <c r="EVE117" s="0"/>
      <c r="EVF117" s="0"/>
      <c r="EVG117" s="0"/>
      <c r="EVH117" s="0"/>
      <c r="EVI117" s="0"/>
      <c r="EVJ117" s="0"/>
      <c r="EVK117" s="0"/>
      <c r="EVL117" s="0"/>
      <c r="EVM117" s="0"/>
      <c r="EVN117" s="0"/>
      <c r="EVO117" s="0"/>
      <c r="EVP117" s="0"/>
      <c r="EVQ117" s="0"/>
      <c r="EVR117" s="0"/>
      <c r="EVS117" s="0"/>
      <c r="EVT117" s="0"/>
      <c r="EVU117" s="0"/>
      <c r="EVV117" s="0"/>
      <c r="EVW117" s="0"/>
      <c r="EVX117" s="0"/>
      <c r="EVY117" s="0"/>
      <c r="EVZ117" s="0"/>
      <c r="EWA117" s="0"/>
      <c r="EWB117" s="0"/>
      <c r="EWC117" s="0"/>
      <c r="EWD117" s="0"/>
      <c r="EWE117" s="0"/>
      <c r="EWF117" s="0"/>
      <c r="EWG117" s="0"/>
      <c r="EWH117" s="0"/>
      <c r="EWI117" s="0"/>
      <c r="EWJ117" s="0"/>
      <c r="EWK117" s="0"/>
      <c r="EWL117" s="0"/>
      <c r="EWM117" s="0"/>
      <c r="EWN117" s="0"/>
      <c r="EWO117" s="0"/>
      <c r="EWP117" s="0"/>
      <c r="EWQ117" s="0"/>
      <c r="EWR117" s="0"/>
      <c r="EWS117" s="0"/>
      <c r="EWT117" s="0"/>
      <c r="EWU117" s="0"/>
      <c r="EWV117" s="0"/>
      <c r="EWW117" s="0"/>
      <c r="EWX117" s="0"/>
      <c r="EWY117" s="0"/>
      <c r="EWZ117" s="0"/>
      <c r="EXA117" s="0"/>
      <c r="EXB117" s="0"/>
      <c r="EXC117" s="0"/>
      <c r="EXD117" s="0"/>
      <c r="EXE117" s="0"/>
      <c r="EXF117" s="0"/>
      <c r="EXG117" s="0"/>
      <c r="EXH117" s="0"/>
      <c r="EXI117" s="0"/>
      <c r="EXJ117" s="0"/>
      <c r="EXK117" s="0"/>
      <c r="EXL117" s="0"/>
      <c r="EXM117" s="0"/>
      <c r="EXN117" s="0"/>
      <c r="EXO117" s="0"/>
      <c r="EXP117" s="0"/>
      <c r="EXQ117" s="0"/>
      <c r="EXR117" s="0"/>
      <c r="EXS117" s="0"/>
      <c r="EXT117" s="0"/>
      <c r="EXU117" s="0"/>
      <c r="EXV117" s="0"/>
      <c r="EXW117" s="0"/>
      <c r="EXX117" s="0"/>
      <c r="EXY117" s="0"/>
      <c r="EXZ117" s="0"/>
      <c r="EYA117" s="0"/>
      <c r="EYB117" s="0"/>
      <c r="EYC117" s="0"/>
      <c r="EYD117" s="0"/>
      <c r="EYE117" s="0"/>
      <c r="EYF117" s="0"/>
      <c r="EYG117" s="0"/>
      <c r="EYH117" s="0"/>
      <c r="EYI117" s="0"/>
      <c r="EYJ117" s="0"/>
      <c r="EYK117" s="0"/>
      <c r="EYL117" s="0"/>
      <c r="EYM117" s="0"/>
      <c r="EYN117" s="0"/>
      <c r="EYO117" s="0"/>
      <c r="EYP117" s="0"/>
      <c r="EYQ117" s="0"/>
      <c r="EYR117" s="0"/>
      <c r="EYS117" s="0"/>
      <c r="EYT117" s="0"/>
      <c r="EYU117" s="0"/>
      <c r="EYV117" s="0"/>
      <c r="EYW117" s="0"/>
      <c r="EYX117" s="0"/>
      <c r="EYY117" s="0"/>
      <c r="EYZ117" s="0"/>
      <c r="EZA117" s="0"/>
      <c r="EZB117" s="0"/>
      <c r="EZC117" s="0"/>
      <c r="EZD117" s="0"/>
      <c r="EZE117" s="0"/>
      <c r="EZF117" s="0"/>
      <c r="EZG117" s="0"/>
      <c r="EZH117" s="0"/>
      <c r="EZI117" s="0"/>
      <c r="EZJ117" s="0"/>
      <c r="EZK117" s="0"/>
      <c r="EZL117" s="0"/>
      <c r="EZM117" s="0"/>
      <c r="EZN117" s="0"/>
      <c r="EZO117" s="0"/>
      <c r="EZP117" s="0"/>
      <c r="EZQ117" s="0"/>
      <c r="EZR117" s="0"/>
      <c r="EZS117" s="0"/>
      <c r="EZT117" s="0"/>
      <c r="EZU117" s="0"/>
      <c r="EZV117" s="0"/>
      <c r="EZW117" s="0"/>
      <c r="EZX117" s="0"/>
      <c r="EZY117" s="0"/>
      <c r="EZZ117" s="0"/>
      <c r="FAA117" s="0"/>
      <c r="FAB117" s="0"/>
      <c r="FAC117" s="0"/>
      <c r="FAD117" s="0"/>
      <c r="FAE117" s="0"/>
      <c r="FAF117" s="0"/>
      <c r="FAG117" s="0"/>
      <c r="FAH117" s="0"/>
      <c r="FAI117" s="0"/>
      <c r="FAJ117" s="0"/>
      <c r="FAK117" s="0"/>
      <c r="FAL117" s="0"/>
      <c r="FAM117" s="0"/>
      <c r="FAN117" s="0"/>
      <c r="FAO117" s="0"/>
      <c r="FAP117" s="0"/>
      <c r="FAQ117" s="0"/>
      <c r="FAR117" s="0"/>
      <c r="FAS117" s="0"/>
      <c r="FAT117" s="0"/>
      <c r="FAU117" s="0"/>
      <c r="FAV117" s="0"/>
      <c r="FAW117" s="0"/>
      <c r="FAX117" s="0"/>
      <c r="FAY117" s="0"/>
      <c r="FAZ117" s="0"/>
      <c r="FBA117" s="0"/>
      <c r="FBB117" s="0"/>
      <c r="FBC117" s="0"/>
      <c r="FBD117" s="0"/>
      <c r="FBE117" s="0"/>
      <c r="FBF117" s="0"/>
      <c r="FBG117" s="0"/>
      <c r="FBH117" s="0"/>
      <c r="FBI117" s="0"/>
      <c r="FBJ117" s="0"/>
      <c r="FBK117" s="0"/>
      <c r="FBL117" s="0"/>
      <c r="FBM117" s="0"/>
      <c r="FBN117" s="0"/>
      <c r="FBO117" s="0"/>
      <c r="FBP117" s="0"/>
      <c r="FBQ117" s="0"/>
      <c r="FBR117" s="0"/>
      <c r="FBS117" s="0"/>
      <c r="FBT117" s="0"/>
      <c r="FBU117" s="0"/>
      <c r="FBV117" s="0"/>
      <c r="FBW117" s="0"/>
      <c r="FBX117" s="0"/>
      <c r="FBY117" s="0"/>
      <c r="FBZ117" s="0"/>
      <c r="FCA117" s="0"/>
      <c r="FCB117" s="0"/>
      <c r="FCC117" s="0"/>
      <c r="FCD117" s="0"/>
      <c r="FCE117" s="0"/>
      <c r="FCF117" s="0"/>
      <c r="FCG117" s="0"/>
      <c r="FCH117" s="0"/>
      <c r="FCI117" s="0"/>
      <c r="FCJ117" s="0"/>
      <c r="FCK117" s="0"/>
      <c r="FCL117" s="0"/>
      <c r="FCM117" s="0"/>
      <c r="FCN117" s="0"/>
      <c r="FCO117" s="0"/>
      <c r="FCP117" s="0"/>
      <c r="FCQ117" s="0"/>
      <c r="FCR117" s="0"/>
      <c r="FCS117" s="0"/>
      <c r="FCT117" s="0"/>
      <c r="FCU117" s="0"/>
      <c r="FCV117" s="0"/>
      <c r="FCW117" s="0"/>
      <c r="FCX117" s="0"/>
      <c r="FCY117" s="0"/>
      <c r="FCZ117" s="0"/>
      <c r="FDA117" s="0"/>
      <c r="FDB117" s="0"/>
      <c r="FDC117" s="0"/>
      <c r="FDD117" s="0"/>
      <c r="FDE117" s="0"/>
      <c r="FDF117" s="0"/>
      <c r="FDG117" s="0"/>
      <c r="FDH117" s="0"/>
      <c r="FDI117" s="0"/>
      <c r="FDJ117" s="0"/>
      <c r="FDK117" s="0"/>
      <c r="FDL117" s="0"/>
      <c r="FDM117" s="0"/>
      <c r="FDN117" s="0"/>
      <c r="FDO117" s="0"/>
      <c r="FDP117" s="0"/>
      <c r="FDQ117" s="0"/>
      <c r="FDR117" s="0"/>
      <c r="FDS117" s="0"/>
      <c r="FDT117" s="0"/>
      <c r="FDU117" s="0"/>
      <c r="FDV117" s="0"/>
      <c r="FDW117" s="0"/>
      <c r="FDX117" s="0"/>
      <c r="FDY117" s="0"/>
      <c r="FDZ117" s="0"/>
      <c r="FEA117" s="0"/>
      <c r="FEB117" s="0"/>
      <c r="FEC117" s="0"/>
      <c r="FED117" s="0"/>
      <c r="FEE117" s="0"/>
      <c r="FEF117" s="0"/>
      <c r="FEG117" s="0"/>
      <c r="FEH117" s="0"/>
      <c r="FEI117" s="0"/>
      <c r="FEJ117" s="0"/>
      <c r="FEK117" s="0"/>
      <c r="FEL117" s="0"/>
      <c r="FEM117" s="0"/>
      <c r="FEN117" s="0"/>
      <c r="FEO117" s="0"/>
      <c r="FEP117" s="0"/>
      <c r="FEQ117" s="0"/>
      <c r="FER117" s="0"/>
      <c r="FES117" s="0"/>
      <c r="FET117" s="0"/>
      <c r="FEU117" s="0"/>
      <c r="FEV117" s="0"/>
      <c r="FEW117" s="0"/>
      <c r="FEX117" s="0"/>
      <c r="FEY117" s="0"/>
      <c r="FEZ117" s="0"/>
      <c r="FFA117" s="0"/>
      <c r="FFB117" s="0"/>
      <c r="FFC117" s="0"/>
      <c r="FFD117" s="0"/>
      <c r="FFE117" s="0"/>
      <c r="FFF117" s="0"/>
      <c r="FFG117" s="0"/>
      <c r="FFH117" s="0"/>
      <c r="FFI117" s="0"/>
      <c r="FFJ117" s="0"/>
      <c r="FFK117" s="0"/>
      <c r="FFL117" s="0"/>
      <c r="FFM117" s="0"/>
      <c r="FFN117" s="0"/>
      <c r="FFO117" s="0"/>
      <c r="FFP117" s="0"/>
      <c r="FFQ117" s="0"/>
      <c r="FFR117" s="0"/>
      <c r="FFS117" s="0"/>
      <c r="FFT117" s="0"/>
      <c r="FFU117" s="0"/>
      <c r="FFV117" s="0"/>
      <c r="FFW117" s="0"/>
      <c r="FFX117" s="0"/>
      <c r="FFY117" s="0"/>
      <c r="FFZ117" s="0"/>
      <c r="FGA117" s="0"/>
      <c r="FGB117" s="0"/>
      <c r="FGC117" s="0"/>
      <c r="FGD117" s="0"/>
      <c r="FGE117" s="0"/>
      <c r="FGF117" s="0"/>
      <c r="FGG117" s="0"/>
      <c r="FGH117" s="0"/>
      <c r="FGI117" s="0"/>
      <c r="FGJ117" s="0"/>
      <c r="FGK117" s="0"/>
      <c r="FGL117" s="0"/>
      <c r="FGM117" s="0"/>
      <c r="FGN117" s="0"/>
      <c r="FGO117" s="0"/>
      <c r="FGP117" s="0"/>
      <c r="FGQ117" s="0"/>
      <c r="FGR117" s="0"/>
      <c r="FGS117" s="0"/>
      <c r="FGT117" s="0"/>
      <c r="FGU117" s="0"/>
      <c r="FGV117" s="0"/>
      <c r="FGW117" s="0"/>
      <c r="FGX117" s="0"/>
      <c r="FGY117" s="0"/>
      <c r="FGZ117" s="0"/>
      <c r="FHA117" s="0"/>
      <c r="FHB117" s="0"/>
      <c r="FHC117" s="0"/>
      <c r="FHD117" s="0"/>
      <c r="FHE117" s="0"/>
      <c r="FHF117" s="0"/>
      <c r="FHG117" s="0"/>
      <c r="FHH117" s="0"/>
      <c r="FHI117" s="0"/>
      <c r="FHJ117" s="0"/>
      <c r="FHK117" s="0"/>
      <c r="FHL117" s="0"/>
      <c r="FHM117" s="0"/>
      <c r="FHN117" s="0"/>
      <c r="FHO117" s="0"/>
      <c r="FHP117" s="0"/>
      <c r="FHQ117" s="0"/>
      <c r="FHR117" s="0"/>
      <c r="FHS117" s="0"/>
      <c r="FHT117" s="0"/>
      <c r="FHU117" s="0"/>
      <c r="FHV117" s="0"/>
      <c r="FHW117" s="0"/>
      <c r="FHX117" s="0"/>
      <c r="FHY117" s="0"/>
      <c r="FHZ117" s="0"/>
      <c r="FIA117" s="0"/>
      <c r="FIB117" s="0"/>
      <c r="FIC117" s="0"/>
      <c r="FID117" s="0"/>
      <c r="FIE117" s="0"/>
      <c r="FIF117" s="0"/>
      <c r="FIG117" s="0"/>
      <c r="FIH117" s="0"/>
      <c r="FII117" s="0"/>
      <c r="FIJ117" s="0"/>
      <c r="FIK117" s="0"/>
      <c r="FIL117" s="0"/>
      <c r="FIM117" s="0"/>
      <c r="FIN117" s="0"/>
      <c r="FIO117" s="0"/>
      <c r="FIP117" s="0"/>
      <c r="FIQ117" s="0"/>
      <c r="FIR117" s="0"/>
      <c r="FIS117" s="0"/>
      <c r="FIT117" s="0"/>
      <c r="FIU117" s="0"/>
      <c r="FIV117" s="0"/>
      <c r="FIW117" s="0"/>
      <c r="FIX117" s="0"/>
      <c r="FIY117" s="0"/>
      <c r="FIZ117" s="0"/>
      <c r="FJA117" s="0"/>
      <c r="FJB117" s="0"/>
      <c r="FJC117" s="0"/>
      <c r="FJD117" s="0"/>
      <c r="FJE117" s="0"/>
      <c r="FJF117" s="0"/>
      <c r="FJG117" s="0"/>
      <c r="FJH117" s="0"/>
      <c r="FJI117" s="0"/>
      <c r="FJJ117" s="0"/>
      <c r="FJK117" s="0"/>
      <c r="FJL117" s="0"/>
      <c r="FJM117" s="0"/>
      <c r="FJN117" s="0"/>
      <c r="FJO117" s="0"/>
      <c r="FJP117" s="0"/>
      <c r="FJQ117" s="0"/>
      <c r="FJR117" s="0"/>
      <c r="FJS117" s="0"/>
      <c r="FJT117" s="0"/>
      <c r="FJU117" s="0"/>
      <c r="FJV117" s="0"/>
      <c r="FJW117" s="0"/>
      <c r="FJX117" s="0"/>
      <c r="FJY117" s="0"/>
      <c r="FJZ117" s="0"/>
      <c r="FKA117" s="0"/>
      <c r="FKB117" s="0"/>
      <c r="FKC117" s="0"/>
      <c r="FKD117" s="0"/>
      <c r="FKE117" s="0"/>
      <c r="FKF117" s="0"/>
      <c r="FKG117" s="0"/>
      <c r="FKH117" s="0"/>
      <c r="FKI117" s="0"/>
      <c r="FKJ117" s="0"/>
      <c r="FKK117" s="0"/>
      <c r="FKL117" s="0"/>
      <c r="FKM117" s="0"/>
      <c r="FKN117" s="0"/>
      <c r="FKO117" s="0"/>
      <c r="FKP117" s="0"/>
      <c r="FKQ117" s="0"/>
      <c r="FKR117" s="0"/>
      <c r="FKS117" s="0"/>
      <c r="FKT117" s="0"/>
      <c r="FKU117" s="0"/>
      <c r="FKV117" s="0"/>
      <c r="FKW117" s="0"/>
      <c r="FKX117" s="0"/>
      <c r="FKY117" s="0"/>
      <c r="FKZ117" s="0"/>
      <c r="FLA117" s="0"/>
      <c r="FLB117" s="0"/>
      <c r="FLC117" s="0"/>
      <c r="FLD117" s="0"/>
      <c r="FLE117" s="0"/>
      <c r="FLF117" s="0"/>
      <c r="FLG117" s="0"/>
      <c r="FLH117" s="0"/>
      <c r="FLI117" s="0"/>
      <c r="FLJ117" s="0"/>
      <c r="FLK117" s="0"/>
      <c r="FLL117" s="0"/>
      <c r="FLM117" s="0"/>
      <c r="FLN117" s="0"/>
      <c r="FLO117" s="0"/>
      <c r="FLP117" s="0"/>
      <c r="FLQ117" s="0"/>
      <c r="FLR117" s="0"/>
      <c r="FLS117" s="0"/>
      <c r="FLT117" s="0"/>
      <c r="FLU117" s="0"/>
      <c r="FLV117" s="0"/>
      <c r="FLW117" s="0"/>
      <c r="FLX117" s="0"/>
      <c r="FLY117" s="0"/>
      <c r="FLZ117" s="0"/>
      <c r="FMA117" s="0"/>
      <c r="FMB117" s="0"/>
      <c r="FMC117" s="0"/>
      <c r="FMD117" s="0"/>
      <c r="FME117" s="0"/>
      <c r="FMF117" s="0"/>
      <c r="FMG117" s="0"/>
      <c r="FMH117" s="0"/>
      <c r="FMI117" s="0"/>
      <c r="FMJ117" s="0"/>
      <c r="FMK117" s="0"/>
      <c r="FML117" s="0"/>
      <c r="FMM117" s="0"/>
      <c r="FMN117" s="0"/>
      <c r="FMO117" s="0"/>
      <c r="FMP117" s="0"/>
      <c r="FMQ117" s="0"/>
      <c r="FMR117" s="0"/>
      <c r="FMS117" s="0"/>
      <c r="FMT117" s="0"/>
      <c r="FMU117" s="0"/>
      <c r="FMV117" s="0"/>
      <c r="FMW117" s="0"/>
      <c r="FMX117" s="0"/>
      <c r="FMY117" s="0"/>
      <c r="FMZ117" s="0"/>
      <c r="FNA117" s="0"/>
      <c r="FNB117" s="0"/>
      <c r="FNC117" s="0"/>
      <c r="FND117" s="0"/>
      <c r="FNE117" s="0"/>
      <c r="FNF117" s="0"/>
      <c r="FNG117" s="0"/>
      <c r="FNH117" s="0"/>
      <c r="FNI117" s="0"/>
      <c r="FNJ117" s="0"/>
      <c r="FNK117" s="0"/>
      <c r="FNL117" s="0"/>
      <c r="FNM117" s="0"/>
      <c r="FNN117" s="0"/>
      <c r="FNO117" s="0"/>
      <c r="FNP117" s="0"/>
      <c r="FNQ117" s="0"/>
      <c r="FNR117" s="0"/>
      <c r="FNS117" s="0"/>
      <c r="FNT117" s="0"/>
      <c r="FNU117" s="0"/>
      <c r="FNV117" s="0"/>
      <c r="FNW117" s="0"/>
      <c r="FNX117" s="0"/>
      <c r="FNY117" s="0"/>
      <c r="FNZ117" s="0"/>
      <c r="FOA117" s="0"/>
      <c r="FOB117" s="0"/>
      <c r="FOC117" s="0"/>
      <c r="FOD117" s="0"/>
      <c r="FOE117" s="0"/>
      <c r="FOF117" s="0"/>
      <c r="FOG117" s="0"/>
      <c r="FOH117" s="0"/>
      <c r="FOI117" s="0"/>
      <c r="FOJ117" s="0"/>
      <c r="FOK117" s="0"/>
      <c r="FOL117" s="0"/>
      <c r="FOM117" s="0"/>
      <c r="FON117" s="0"/>
      <c r="FOO117" s="0"/>
      <c r="FOP117" s="0"/>
      <c r="FOQ117" s="0"/>
      <c r="FOR117" s="0"/>
      <c r="FOS117" s="0"/>
      <c r="FOT117" s="0"/>
      <c r="FOU117" s="0"/>
      <c r="FOV117" s="0"/>
      <c r="FOW117" s="0"/>
      <c r="FOX117" s="0"/>
      <c r="FOY117" s="0"/>
      <c r="FOZ117" s="0"/>
      <c r="FPA117" s="0"/>
      <c r="FPB117" s="0"/>
      <c r="FPC117" s="0"/>
      <c r="FPD117" s="0"/>
      <c r="FPE117" s="0"/>
      <c r="FPF117" s="0"/>
      <c r="FPG117" s="0"/>
      <c r="FPH117" s="0"/>
      <c r="FPI117" s="0"/>
      <c r="FPJ117" s="0"/>
      <c r="FPK117" s="0"/>
      <c r="FPL117" s="0"/>
      <c r="FPM117" s="0"/>
      <c r="FPN117" s="0"/>
      <c r="FPO117" s="0"/>
      <c r="FPP117" s="0"/>
      <c r="FPQ117" s="0"/>
      <c r="FPR117" s="0"/>
      <c r="FPS117" s="0"/>
      <c r="FPT117" s="0"/>
      <c r="FPU117" s="0"/>
      <c r="FPV117" s="0"/>
      <c r="FPW117" s="0"/>
      <c r="FPX117" s="0"/>
      <c r="FPY117" s="0"/>
      <c r="FPZ117" s="0"/>
      <c r="FQA117" s="0"/>
      <c r="FQB117" s="0"/>
      <c r="FQC117" s="0"/>
      <c r="FQD117" s="0"/>
      <c r="FQE117" s="0"/>
      <c r="FQF117" s="0"/>
      <c r="FQG117" s="0"/>
      <c r="FQH117" s="0"/>
      <c r="FQI117" s="0"/>
      <c r="FQJ117" s="0"/>
      <c r="FQK117" s="0"/>
      <c r="FQL117" s="0"/>
      <c r="FQM117" s="0"/>
      <c r="FQN117" s="0"/>
      <c r="FQO117" s="0"/>
      <c r="FQP117" s="0"/>
      <c r="FQQ117" s="0"/>
      <c r="FQR117" s="0"/>
      <c r="FQS117" s="0"/>
      <c r="FQT117" s="0"/>
      <c r="FQU117" s="0"/>
      <c r="FQV117" s="0"/>
      <c r="FQW117" s="0"/>
      <c r="FQX117" s="0"/>
      <c r="FQY117" s="0"/>
      <c r="FQZ117" s="0"/>
      <c r="FRA117" s="0"/>
      <c r="FRB117" s="0"/>
      <c r="FRC117" s="0"/>
      <c r="FRD117" s="0"/>
      <c r="FRE117" s="0"/>
      <c r="FRF117" s="0"/>
      <c r="FRG117" s="0"/>
      <c r="FRH117" s="0"/>
      <c r="FRI117" s="0"/>
      <c r="FRJ117" s="0"/>
      <c r="FRK117" s="0"/>
      <c r="FRL117" s="0"/>
      <c r="FRM117" s="0"/>
      <c r="FRN117" s="0"/>
      <c r="FRO117" s="0"/>
      <c r="FRP117" s="0"/>
      <c r="FRQ117" s="0"/>
      <c r="FRR117" s="0"/>
      <c r="FRS117" s="0"/>
      <c r="FRT117" s="0"/>
      <c r="FRU117" s="0"/>
      <c r="FRV117" s="0"/>
      <c r="FRW117" s="0"/>
      <c r="FRX117" s="0"/>
      <c r="FRY117" s="0"/>
      <c r="FRZ117" s="0"/>
      <c r="FSA117" s="0"/>
      <c r="FSB117" s="0"/>
      <c r="FSC117" s="0"/>
      <c r="FSD117" s="0"/>
      <c r="FSE117" s="0"/>
      <c r="FSF117" s="0"/>
      <c r="FSG117" s="0"/>
      <c r="FSH117" s="0"/>
      <c r="FSI117" s="0"/>
      <c r="FSJ117" s="0"/>
      <c r="FSK117" s="0"/>
      <c r="FSL117" s="0"/>
      <c r="FSM117" s="0"/>
      <c r="FSN117" s="0"/>
      <c r="FSO117" s="0"/>
      <c r="FSP117" s="0"/>
      <c r="FSQ117" s="0"/>
      <c r="FSR117" s="0"/>
      <c r="FSS117" s="0"/>
      <c r="FST117" s="0"/>
      <c r="FSU117" s="0"/>
      <c r="FSV117" s="0"/>
      <c r="FSW117" s="0"/>
      <c r="FSX117" s="0"/>
      <c r="FSY117" s="0"/>
      <c r="FSZ117" s="0"/>
      <c r="FTA117" s="0"/>
      <c r="FTB117" s="0"/>
      <c r="FTC117" s="0"/>
      <c r="FTD117" s="0"/>
      <c r="FTE117" s="0"/>
      <c r="FTF117" s="0"/>
      <c r="FTG117" s="0"/>
      <c r="FTH117" s="0"/>
      <c r="FTI117" s="0"/>
      <c r="FTJ117" s="0"/>
      <c r="FTK117" s="0"/>
      <c r="FTL117" s="0"/>
      <c r="FTM117" s="0"/>
      <c r="FTN117" s="0"/>
      <c r="FTO117" s="0"/>
      <c r="FTP117" s="0"/>
      <c r="FTQ117" s="0"/>
      <c r="FTR117" s="0"/>
      <c r="FTS117" s="0"/>
      <c r="FTT117" s="0"/>
      <c r="FTU117" s="0"/>
      <c r="FTV117" s="0"/>
      <c r="FTW117" s="0"/>
      <c r="FTX117" s="0"/>
      <c r="FTY117" s="0"/>
      <c r="FTZ117" s="0"/>
      <c r="FUA117" s="0"/>
      <c r="FUB117" s="0"/>
      <c r="FUC117" s="0"/>
      <c r="FUD117" s="0"/>
      <c r="FUE117" s="0"/>
      <c r="FUF117" s="0"/>
      <c r="FUG117" s="0"/>
      <c r="FUH117" s="0"/>
      <c r="FUI117" s="0"/>
      <c r="FUJ117" s="0"/>
      <c r="FUK117" s="0"/>
      <c r="FUL117" s="0"/>
      <c r="FUM117" s="0"/>
      <c r="FUN117" s="0"/>
      <c r="FUO117" s="0"/>
      <c r="FUP117" s="0"/>
      <c r="FUQ117" s="0"/>
      <c r="FUR117" s="0"/>
      <c r="FUS117" s="0"/>
      <c r="FUT117" s="0"/>
      <c r="FUU117" s="0"/>
      <c r="FUV117" s="0"/>
      <c r="FUW117" s="0"/>
      <c r="FUX117" s="0"/>
      <c r="FUY117" s="0"/>
      <c r="FUZ117" s="0"/>
      <c r="FVA117" s="0"/>
      <c r="FVB117" s="0"/>
      <c r="FVC117" s="0"/>
      <c r="FVD117" s="0"/>
      <c r="FVE117" s="0"/>
      <c r="FVF117" s="0"/>
      <c r="FVG117" s="0"/>
      <c r="FVH117" s="0"/>
      <c r="FVI117" s="0"/>
      <c r="FVJ117" s="0"/>
      <c r="FVK117" s="0"/>
      <c r="FVL117" s="0"/>
      <c r="FVM117" s="0"/>
      <c r="FVN117" s="0"/>
      <c r="FVO117" s="0"/>
      <c r="FVP117" s="0"/>
      <c r="FVQ117" s="0"/>
      <c r="FVR117" s="0"/>
      <c r="FVS117" s="0"/>
      <c r="FVT117" s="0"/>
      <c r="FVU117" s="0"/>
      <c r="FVV117" s="0"/>
      <c r="FVW117" s="0"/>
      <c r="FVX117" s="0"/>
      <c r="FVY117" s="0"/>
      <c r="FVZ117" s="0"/>
      <c r="FWA117" s="0"/>
      <c r="FWB117" s="0"/>
      <c r="FWC117" s="0"/>
      <c r="FWD117" s="0"/>
      <c r="FWE117" s="0"/>
      <c r="FWF117" s="0"/>
      <c r="FWG117" s="0"/>
      <c r="FWH117" s="0"/>
      <c r="FWI117" s="0"/>
      <c r="FWJ117" s="0"/>
      <c r="FWK117" s="0"/>
      <c r="FWL117" s="0"/>
      <c r="FWM117" s="0"/>
      <c r="FWN117" s="0"/>
      <c r="FWO117" s="0"/>
      <c r="FWP117" s="0"/>
      <c r="FWQ117" s="0"/>
      <c r="FWR117" s="0"/>
      <c r="FWS117" s="0"/>
      <c r="FWT117" s="0"/>
      <c r="FWU117" s="0"/>
      <c r="FWV117" s="0"/>
      <c r="FWW117" s="0"/>
      <c r="FWX117" s="0"/>
      <c r="FWY117" s="0"/>
      <c r="FWZ117" s="0"/>
      <c r="FXA117" s="0"/>
      <c r="FXB117" s="0"/>
      <c r="FXC117" s="0"/>
      <c r="FXD117" s="0"/>
      <c r="FXE117" s="0"/>
      <c r="FXF117" s="0"/>
      <c r="FXG117" s="0"/>
      <c r="FXH117" s="0"/>
      <c r="FXI117" s="0"/>
      <c r="FXJ117" s="0"/>
      <c r="FXK117" s="0"/>
      <c r="FXL117" s="0"/>
      <c r="FXM117" s="0"/>
      <c r="FXN117" s="0"/>
      <c r="FXO117" s="0"/>
      <c r="FXP117" s="0"/>
      <c r="FXQ117" s="0"/>
      <c r="FXR117" s="0"/>
      <c r="FXS117" s="0"/>
      <c r="FXT117" s="0"/>
      <c r="FXU117" s="0"/>
      <c r="FXV117" s="0"/>
      <c r="FXW117" s="0"/>
      <c r="FXX117" s="0"/>
      <c r="FXY117" s="0"/>
      <c r="FXZ117" s="0"/>
      <c r="FYA117" s="0"/>
      <c r="FYB117" s="0"/>
      <c r="FYC117" s="0"/>
      <c r="FYD117" s="0"/>
      <c r="FYE117" s="0"/>
      <c r="FYF117" s="0"/>
      <c r="FYG117" s="0"/>
      <c r="FYH117" s="0"/>
      <c r="FYI117" s="0"/>
      <c r="FYJ117" s="0"/>
      <c r="FYK117" s="0"/>
      <c r="FYL117" s="0"/>
      <c r="FYM117" s="0"/>
      <c r="FYN117" s="0"/>
      <c r="FYO117" s="0"/>
      <c r="FYP117" s="0"/>
      <c r="FYQ117" s="0"/>
      <c r="FYR117" s="0"/>
      <c r="FYS117" s="0"/>
      <c r="FYT117" s="0"/>
      <c r="FYU117" s="0"/>
      <c r="FYV117" s="0"/>
      <c r="FYW117" s="0"/>
      <c r="FYX117" s="0"/>
      <c r="FYY117" s="0"/>
      <c r="FYZ117" s="0"/>
      <c r="FZA117" s="0"/>
      <c r="FZB117" s="0"/>
      <c r="FZC117" s="0"/>
      <c r="FZD117" s="0"/>
      <c r="FZE117" s="0"/>
      <c r="FZF117" s="0"/>
      <c r="FZG117" s="0"/>
      <c r="FZH117" s="0"/>
      <c r="FZI117" s="0"/>
      <c r="FZJ117" s="0"/>
      <c r="FZK117" s="0"/>
      <c r="FZL117" s="0"/>
      <c r="FZM117" s="0"/>
      <c r="FZN117" s="0"/>
      <c r="FZO117" s="0"/>
      <c r="FZP117" s="0"/>
      <c r="FZQ117" s="0"/>
      <c r="FZR117" s="0"/>
      <c r="FZS117" s="0"/>
      <c r="FZT117" s="0"/>
      <c r="FZU117" s="0"/>
      <c r="FZV117" s="0"/>
      <c r="FZW117" s="0"/>
      <c r="FZX117" s="0"/>
      <c r="FZY117" s="0"/>
      <c r="FZZ117" s="0"/>
      <c r="GAA117" s="0"/>
      <c r="GAB117" s="0"/>
      <c r="GAC117" s="0"/>
      <c r="GAD117" s="0"/>
      <c r="GAE117" s="0"/>
      <c r="GAF117" s="0"/>
      <c r="GAG117" s="0"/>
      <c r="GAH117" s="0"/>
      <c r="GAI117" s="0"/>
      <c r="GAJ117" s="0"/>
      <c r="GAK117" s="0"/>
      <c r="GAL117" s="0"/>
      <c r="GAM117" s="0"/>
      <c r="GAN117" s="0"/>
      <c r="GAO117" s="0"/>
      <c r="GAP117" s="0"/>
      <c r="GAQ117" s="0"/>
      <c r="GAR117" s="0"/>
      <c r="GAS117" s="0"/>
      <c r="GAT117" s="0"/>
      <c r="GAU117" s="0"/>
      <c r="GAV117" s="0"/>
      <c r="GAW117" s="0"/>
      <c r="GAX117" s="0"/>
      <c r="GAY117" s="0"/>
      <c r="GAZ117" s="0"/>
      <c r="GBA117" s="0"/>
      <c r="GBB117" s="0"/>
      <c r="GBC117" s="0"/>
      <c r="GBD117" s="0"/>
      <c r="GBE117" s="0"/>
      <c r="GBF117" s="0"/>
      <c r="GBG117" s="0"/>
      <c r="GBH117" s="0"/>
      <c r="GBI117" s="0"/>
      <c r="GBJ117" s="0"/>
      <c r="GBK117" s="0"/>
      <c r="GBL117" s="0"/>
      <c r="GBM117" s="0"/>
      <c r="GBN117" s="0"/>
      <c r="GBO117" s="0"/>
      <c r="GBP117" s="0"/>
      <c r="GBQ117" s="0"/>
      <c r="GBR117" s="0"/>
      <c r="GBS117" s="0"/>
      <c r="GBT117" s="0"/>
      <c r="GBU117" s="0"/>
      <c r="GBV117" s="0"/>
      <c r="GBW117" s="0"/>
      <c r="GBX117" s="0"/>
      <c r="GBY117" s="0"/>
      <c r="GBZ117" s="0"/>
      <c r="GCA117" s="0"/>
      <c r="GCB117" s="0"/>
      <c r="GCC117" s="0"/>
      <c r="GCD117" s="0"/>
      <c r="GCE117" s="0"/>
      <c r="GCF117" s="0"/>
      <c r="GCG117" s="0"/>
      <c r="GCH117" s="0"/>
      <c r="GCI117" s="0"/>
      <c r="GCJ117" s="0"/>
      <c r="GCK117" s="0"/>
      <c r="GCL117" s="0"/>
      <c r="GCM117" s="0"/>
      <c r="GCN117" s="0"/>
      <c r="GCO117" s="0"/>
      <c r="GCP117" s="0"/>
      <c r="GCQ117" s="0"/>
      <c r="GCR117" s="0"/>
      <c r="GCS117" s="0"/>
      <c r="GCT117" s="0"/>
      <c r="GCU117" s="0"/>
      <c r="GCV117" s="0"/>
      <c r="GCW117" s="0"/>
      <c r="GCX117" s="0"/>
      <c r="GCY117" s="0"/>
      <c r="GCZ117" s="0"/>
      <c r="GDA117" s="0"/>
      <c r="GDB117" s="0"/>
      <c r="GDC117" s="0"/>
      <c r="GDD117" s="0"/>
      <c r="GDE117" s="0"/>
      <c r="GDF117" s="0"/>
      <c r="GDG117" s="0"/>
      <c r="GDH117" s="0"/>
      <c r="GDI117" s="0"/>
      <c r="GDJ117" s="0"/>
      <c r="GDK117" s="0"/>
      <c r="GDL117" s="0"/>
      <c r="GDM117" s="0"/>
      <c r="GDN117" s="0"/>
      <c r="GDO117" s="0"/>
      <c r="GDP117" s="0"/>
      <c r="GDQ117" s="0"/>
      <c r="GDR117" s="0"/>
      <c r="GDS117" s="0"/>
      <c r="GDT117" s="0"/>
      <c r="GDU117" s="0"/>
      <c r="GDV117" s="0"/>
      <c r="GDW117" s="0"/>
      <c r="GDX117" s="0"/>
      <c r="GDY117" s="0"/>
      <c r="GDZ117" s="0"/>
      <c r="GEA117" s="0"/>
      <c r="GEB117" s="0"/>
      <c r="GEC117" s="0"/>
      <c r="GED117" s="0"/>
      <c r="GEE117" s="0"/>
      <c r="GEF117" s="0"/>
      <c r="GEG117" s="0"/>
      <c r="GEH117" s="0"/>
      <c r="GEI117" s="0"/>
      <c r="GEJ117" s="0"/>
      <c r="GEK117" s="0"/>
      <c r="GEL117" s="0"/>
      <c r="GEM117" s="0"/>
      <c r="GEN117" s="0"/>
      <c r="GEO117" s="0"/>
      <c r="GEP117" s="0"/>
      <c r="GEQ117" s="0"/>
      <c r="GER117" s="0"/>
      <c r="GES117" s="0"/>
      <c r="GET117" s="0"/>
      <c r="GEU117" s="0"/>
      <c r="GEV117" s="0"/>
      <c r="GEW117" s="0"/>
      <c r="GEX117" s="0"/>
      <c r="GEY117" s="0"/>
      <c r="GEZ117" s="0"/>
      <c r="GFA117" s="0"/>
      <c r="GFB117" s="0"/>
      <c r="GFC117" s="0"/>
      <c r="GFD117" s="0"/>
      <c r="GFE117" s="0"/>
      <c r="GFF117" s="0"/>
      <c r="GFG117" s="0"/>
      <c r="GFH117" s="0"/>
      <c r="GFI117" s="0"/>
      <c r="GFJ117" s="0"/>
      <c r="GFK117" s="0"/>
      <c r="GFL117" s="0"/>
      <c r="GFM117" s="0"/>
      <c r="GFN117" s="0"/>
      <c r="GFO117" s="0"/>
      <c r="GFP117" s="0"/>
      <c r="GFQ117" s="0"/>
      <c r="GFR117" s="0"/>
      <c r="GFS117" s="0"/>
      <c r="GFT117" s="0"/>
      <c r="GFU117" s="0"/>
      <c r="GFV117" s="0"/>
      <c r="GFW117" s="0"/>
      <c r="GFX117" s="0"/>
      <c r="GFY117" s="0"/>
      <c r="GFZ117" s="0"/>
      <c r="GGA117" s="0"/>
      <c r="GGB117" s="0"/>
      <c r="GGC117" s="0"/>
      <c r="GGD117" s="0"/>
      <c r="GGE117" s="0"/>
      <c r="GGF117" s="0"/>
      <c r="GGG117" s="0"/>
      <c r="GGH117" s="0"/>
      <c r="GGI117" s="0"/>
      <c r="GGJ117" s="0"/>
      <c r="GGK117" s="0"/>
      <c r="GGL117" s="0"/>
      <c r="GGM117" s="0"/>
      <c r="GGN117" s="0"/>
      <c r="GGO117" s="0"/>
      <c r="GGP117" s="0"/>
      <c r="GGQ117" s="0"/>
      <c r="GGR117" s="0"/>
      <c r="GGS117" s="0"/>
      <c r="GGT117" s="0"/>
      <c r="GGU117" s="0"/>
      <c r="GGV117" s="0"/>
      <c r="GGW117" s="0"/>
      <c r="GGX117" s="0"/>
      <c r="GGY117" s="0"/>
      <c r="GGZ117" s="0"/>
      <c r="GHA117" s="0"/>
      <c r="GHB117" s="0"/>
      <c r="GHC117" s="0"/>
      <c r="GHD117" s="0"/>
      <c r="GHE117" s="0"/>
      <c r="GHF117" s="0"/>
      <c r="GHG117" s="0"/>
      <c r="GHH117" s="0"/>
      <c r="GHI117" s="0"/>
      <c r="GHJ117" s="0"/>
      <c r="GHK117" s="0"/>
      <c r="GHL117" s="0"/>
      <c r="GHM117" s="0"/>
      <c r="GHN117" s="0"/>
      <c r="GHO117" s="0"/>
      <c r="GHP117" s="0"/>
      <c r="GHQ117" s="0"/>
      <c r="GHR117" s="0"/>
      <c r="GHS117" s="0"/>
      <c r="GHT117" s="0"/>
      <c r="GHU117" s="0"/>
      <c r="GHV117" s="0"/>
      <c r="GHW117" s="0"/>
      <c r="GHX117" s="0"/>
      <c r="GHY117" s="0"/>
      <c r="GHZ117" s="0"/>
      <c r="GIA117" s="0"/>
      <c r="GIB117" s="0"/>
      <c r="GIC117" s="0"/>
      <c r="GID117" s="0"/>
      <c r="GIE117" s="0"/>
      <c r="GIF117" s="0"/>
      <c r="GIG117" s="0"/>
      <c r="GIH117" s="0"/>
      <c r="GII117" s="0"/>
      <c r="GIJ117" s="0"/>
      <c r="GIK117" s="0"/>
      <c r="GIL117" s="0"/>
      <c r="GIM117" s="0"/>
      <c r="GIN117" s="0"/>
      <c r="GIO117" s="0"/>
      <c r="GIP117" s="0"/>
      <c r="GIQ117" s="0"/>
      <c r="GIR117" s="0"/>
      <c r="GIS117" s="0"/>
      <c r="GIT117" s="0"/>
      <c r="GIU117" s="0"/>
      <c r="GIV117" s="0"/>
      <c r="GIW117" s="0"/>
      <c r="GIX117" s="0"/>
      <c r="GIY117" s="0"/>
      <c r="GIZ117" s="0"/>
      <c r="GJA117" s="0"/>
      <c r="GJB117" s="0"/>
      <c r="GJC117" s="0"/>
      <c r="GJD117" s="0"/>
      <c r="GJE117" s="0"/>
      <c r="GJF117" s="0"/>
      <c r="GJG117" s="0"/>
      <c r="GJH117" s="0"/>
      <c r="GJI117" s="0"/>
      <c r="GJJ117" s="0"/>
      <c r="GJK117" s="0"/>
      <c r="GJL117" s="0"/>
      <c r="GJM117" s="0"/>
      <c r="GJN117" s="0"/>
      <c r="GJO117" s="0"/>
      <c r="GJP117" s="0"/>
      <c r="GJQ117" s="0"/>
      <c r="GJR117" s="0"/>
      <c r="GJS117" s="0"/>
      <c r="GJT117" s="0"/>
      <c r="GJU117" s="0"/>
      <c r="GJV117" s="0"/>
      <c r="GJW117" s="0"/>
      <c r="GJX117" s="0"/>
      <c r="GJY117" s="0"/>
      <c r="GJZ117" s="0"/>
      <c r="GKA117" s="0"/>
      <c r="GKB117" s="0"/>
      <c r="GKC117" s="0"/>
      <c r="GKD117" s="0"/>
      <c r="GKE117" s="0"/>
      <c r="GKF117" s="0"/>
      <c r="GKG117" s="0"/>
      <c r="GKH117" s="0"/>
      <c r="GKI117" s="0"/>
      <c r="GKJ117" s="0"/>
      <c r="GKK117" s="0"/>
      <c r="GKL117" s="0"/>
      <c r="GKM117" s="0"/>
      <c r="GKN117" s="0"/>
      <c r="GKO117" s="0"/>
      <c r="GKP117" s="0"/>
      <c r="GKQ117" s="0"/>
      <c r="GKR117" s="0"/>
      <c r="GKS117" s="0"/>
      <c r="GKT117" s="0"/>
      <c r="GKU117" s="0"/>
      <c r="GKV117" s="0"/>
      <c r="GKW117" s="0"/>
      <c r="GKX117" s="0"/>
      <c r="GKY117" s="0"/>
      <c r="GKZ117" s="0"/>
      <c r="GLA117" s="0"/>
      <c r="GLB117" s="0"/>
      <c r="GLC117" s="0"/>
      <c r="GLD117" s="0"/>
      <c r="GLE117" s="0"/>
      <c r="GLF117" s="0"/>
      <c r="GLG117" s="0"/>
      <c r="GLH117" s="0"/>
      <c r="GLI117" s="0"/>
      <c r="GLJ117" s="0"/>
      <c r="GLK117" s="0"/>
      <c r="GLL117" s="0"/>
      <c r="GLM117" s="0"/>
      <c r="GLN117" s="0"/>
      <c r="GLO117" s="0"/>
      <c r="GLP117" s="0"/>
      <c r="GLQ117" s="0"/>
      <c r="GLR117" s="0"/>
      <c r="GLS117" s="0"/>
      <c r="GLT117" s="0"/>
      <c r="GLU117" s="0"/>
      <c r="GLV117" s="0"/>
      <c r="GLW117" s="0"/>
      <c r="GLX117" s="0"/>
      <c r="GLY117" s="0"/>
      <c r="GLZ117" s="0"/>
      <c r="GMA117" s="0"/>
      <c r="GMB117" s="0"/>
      <c r="GMC117" s="0"/>
      <c r="GMD117" s="0"/>
      <c r="GME117" s="0"/>
      <c r="GMF117" s="0"/>
      <c r="GMG117" s="0"/>
      <c r="GMH117" s="0"/>
      <c r="GMI117" s="0"/>
      <c r="GMJ117" s="0"/>
      <c r="GMK117" s="0"/>
      <c r="GML117" s="0"/>
      <c r="GMM117" s="0"/>
      <c r="GMN117" s="0"/>
      <c r="GMO117" s="0"/>
      <c r="GMP117" s="0"/>
      <c r="GMQ117" s="0"/>
      <c r="GMR117" s="0"/>
      <c r="GMS117" s="0"/>
      <c r="GMT117" s="0"/>
      <c r="GMU117" s="0"/>
      <c r="GMV117" s="0"/>
      <c r="GMW117" s="0"/>
      <c r="GMX117" s="0"/>
      <c r="GMY117" s="0"/>
      <c r="GMZ117" s="0"/>
      <c r="GNA117" s="0"/>
      <c r="GNB117" s="0"/>
      <c r="GNC117" s="0"/>
      <c r="GND117" s="0"/>
      <c r="GNE117" s="0"/>
      <c r="GNF117" s="0"/>
      <c r="GNG117" s="0"/>
      <c r="GNH117" s="0"/>
      <c r="GNI117" s="0"/>
      <c r="GNJ117" s="0"/>
      <c r="GNK117" s="0"/>
      <c r="GNL117" s="0"/>
      <c r="GNM117" s="0"/>
      <c r="GNN117" s="0"/>
      <c r="GNO117" s="0"/>
      <c r="GNP117" s="0"/>
      <c r="GNQ117" s="0"/>
      <c r="GNR117" s="0"/>
      <c r="GNS117" s="0"/>
      <c r="GNT117" s="0"/>
      <c r="GNU117" s="0"/>
      <c r="GNV117" s="0"/>
      <c r="GNW117" s="0"/>
      <c r="GNX117" s="0"/>
      <c r="GNY117" s="0"/>
      <c r="GNZ117" s="0"/>
      <c r="GOA117" s="0"/>
      <c r="GOB117" s="0"/>
      <c r="GOC117" s="0"/>
      <c r="GOD117" s="0"/>
      <c r="GOE117" s="0"/>
      <c r="GOF117" s="0"/>
      <c r="GOG117" s="0"/>
      <c r="GOH117" s="0"/>
      <c r="GOI117" s="0"/>
      <c r="GOJ117" s="0"/>
      <c r="GOK117" s="0"/>
      <c r="GOL117" s="0"/>
      <c r="GOM117" s="0"/>
      <c r="GON117" s="0"/>
      <c r="GOO117" s="0"/>
      <c r="GOP117" s="0"/>
      <c r="GOQ117" s="0"/>
      <c r="GOR117" s="0"/>
      <c r="GOS117" s="0"/>
      <c r="GOT117" s="0"/>
      <c r="GOU117" s="0"/>
      <c r="GOV117" s="0"/>
      <c r="GOW117" s="0"/>
      <c r="GOX117" s="0"/>
      <c r="GOY117" s="0"/>
      <c r="GOZ117" s="0"/>
      <c r="GPA117" s="0"/>
      <c r="GPB117" s="0"/>
      <c r="GPC117" s="0"/>
      <c r="GPD117" s="0"/>
      <c r="GPE117" s="0"/>
      <c r="GPF117" s="0"/>
      <c r="GPG117" s="0"/>
      <c r="GPH117" s="0"/>
      <c r="GPI117" s="0"/>
      <c r="GPJ117" s="0"/>
      <c r="GPK117" s="0"/>
      <c r="GPL117" s="0"/>
      <c r="GPM117" s="0"/>
      <c r="GPN117" s="0"/>
      <c r="GPO117" s="0"/>
      <c r="GPP117" s="0"/>
      <c r="GPQ117" s="0"/>
      <c r="GPR117" s="0"/>
      <c r="GPS117" s="0"/>
      <c r="GPT117" s="0"/>
      <c r="GPU117" s="0"/>
      <c r="GPV117" s="0"/>
      <c r="GPW117" s="0"/>
      <c r="GPX117" s="0"/>
      <c r="GPY117" s="0"/>
      <c r="GPZ117" s="0"/>
      <c r="GQA117" s="0"/>
      <c r="GQB117" s="0"/>
      <c r="GQC117" s="0"/>
      <c r="GQD117" s="0"/>
      <c r="GQE117" s="0"/>
      <c r="GQF117" s="0"/>
      <c r="GQG117" s="0"/>
      <c r="GQH117" s="0"/>
      <c r="GQI117" s="0"/>
      <c r="GQJ117" s="0"/>
      <c r="GQK117" s="0"/>
      <c r="GQL117" s="0"/>
      <c r="GQM117" s="0"/>
      <c r="GQN117" s="0"/>
      <c r="GQO117" s="0"/>
      <c r="GQP117" s="0"/>
      <c r="GQQ117" s="0"/>
      <c r="GQR117" s="0"/>
      <c r="GQS117" s="0"/>
      <c r="GQT117" s="0"/>
      <c r="GQU117" s="0"/>
      <c r="GQV117" s="0"/>
      <c r="GQW117" s="0"/>
      <c r="GQX117" s="0"/>
      <c r="GQY117" s="0"/>
      <c r="GQZ117" s="0"/>
      <c r="GRA117" s="0"/>
      <c r="GRB117" s="0"/>
      <c r="GRC117" s="0"/>
      <c r="GRD117" s="0"/>
      <c r="GRE117" s="0"/>
      <c r="GRF117" s="0"/>
      <c r="GRG117" s="0"/>
      <c r="GRH117" s="0"/>
      <c r="GRI117" s="0"/>
      <c r="GRJ117" s="0"/>
      <c r="GRK117" s="0"/>
      <c r="GRL117" s="0"/>
      <c r="GRM117" s="0"/>
      <c r="GRN117" s="0"/>
      <c r="GRO117" s="0"/>
      <c r="GRP117" s="0"/>
      <c r="GRQ117" s="0"/>
      <c r="GRR117" s="0"/>
      <c r="GRS117" s="0"/>
      <c r="GRT117" s="0"/>
      <c r="GRU117" s="0"/>
      <c r="GRV117" s="0"/>
      <c r="GRW117" s="0"/>
      <c r="GRX117" s="0"/>
      <c r="GRY117" s="0"/>
      <c r="GRZ117" s="0"/>
      <c r="GSA117" s="0"/>
      <c r="GSB117" s="0"/>
      <c r="GSC117" s="0"/>
      <c r="GSD117" s="0"/>
      <c r="GSE117" s="0"/>
      <c r="GSF117" s="0"/>
      <c r="GSG117" s="0"/>
      <c r="GSH117" s="0"/>
      <c r="GSI117" s="0"/>
      <c r="GSJ117" s="0"/>
      <c r="GSK117" s="0"/>
      <c r="GSL117" s="0"/>
      <c r="GSM117" s="0"/>
      <c r="GSN117" s="0"/>
      <c r="GSO117" s="0"/>
      <c r="GSP117" s="0"/>
      <c r="GSQ117" s="0"/>
      <c r="GSR117" s="0"/>
      <c r="GSS117" s="0"/>
      <c r="GST117" s="0"/>
      <c r="GSU117" s="0"/>
      <c r="GSV117" s="0"/>
      <c r="GSW117" s="0"/>
      <c r="GSX117" s="0"/>
      <c r="GSY117" s="0"/>
      <c r="GSZ117" s="0"/>
      <c r="GTA117" s="0"/>
      <c r="GTB117" s="0"/>
      <c r="GTC117" s="0"/>
      <c r="GTD117" s="0"/>
      <c r="GTE117" s="0"/>
      <c r="GTF117" s="0"/>
      <c r="GTG117" s="0"/>
      <c r="GTH117" s="0"/>
      <c r="GTI117" s="0"/>
      <c r="GTJ117" s="0"/>
      <c r="GTK117" s="0"/>
      <c r="GTL117" s="0"/>
      <c r="GTM117" s="0"/>
      <c r="GTN117" s="0"/>
      <c r="GTO117" s="0"/>
      <c r="GTP117" s="0"/>
      <c r="GTQ117" s="0"/>
      <c r="GTR117" s="0"/>
      <c r="GTS117" s="0"/>
      <c r="GTT117" s="0"/>
      <c r="GTU117" s="0"/>
      <c r="GTV117" s="0"/>
      <c r="GTW117" s="0"/>
      <c r="GTX117" s="0"/>
      <c r="GTY117" s="0"/>
      <c r="GTZ117" s="0"/>
      <c r="GUA117" s="0"/>
      <c r="GUB117" s="0"/>
      <c r="GUC117" s="0"/>
      <c r="GUD117" s="0"/>
      <c r="GUE117" s="0"/>
      <c r="GUF117" s="0"/>
      <c r="GUG117" s="0"/>
      <c r="GUH117" s="0"/>
      <c r="GUI117" s="0"/>
      <c r="GUJ117" s="0"/>
      <c r="GUK117" s="0"/>
      <c r="GUL117" s="0"/>
      <c r="GUM117" s="0"/>
      <c r="GUN117" s="0"/>
      <c r="GUO117" s="0"/>
      <c r="GUP117" s="0"/>
      <c r="GUQ117" s="0"/>
      <c r="GUR117" s="0"/>
      <c r="GUS117" s="0"/>
      <c r="GUT117" s="0"/>
      <c r="GUU117" s="0"/>
      <c r="GUV117" s="0"/>
      <c r="GUW117" s="0"/>
      <c r="GUX117" s="0"/>
      <c r="GUY117" s="0"/>
      <c r="GUZ117" s="0"/>
      <c r="GVA117" s="0"/>
      <c r="GVB117" s="0"/>
      <c r="GVC117" s="0"/>
      <c r="GVD117" s="0"/>
      <c r="GVE117" s="0"/>
      <c r="GVF117" s="0"/>
      <c r="GVG117" s="0"/>
      <c r="GVH117" s="0"/>
      <c r="GVI117" s="0"/>
      <c r="GVJ117" s="0"/>
      <c r="GVK117" s="0"/>
      <c r="GVL117" s="0"/>
      <c r="GVM117" s="0"/>
      <c r="GVN117" s="0"/>
      <c r="GVO117" s="0"/>
      <c r="GVP117" s="0"/>
      <c r="GVQ117" s="0"/>
      <c r="GVR117" s="0"/>
      <c r="GVS117" s="0"/>
      <c r="GVT117" s="0"/>
      <c r="GVU117" s="0"/>
      <c r="GVV117" s="0"/>
      <c r="GVW117" s="0"/>
      <c r="GVX117" s="0"/>
      <c r="GVY117" s="0"/>
      <c r="GVZ117" s="0"/>
      <c r="GWA117" s="0"/>
      <c r="GWB117" s="0"/>
      <c r="GWC117" s="0"/>
      <c r="GWD117" s="0"/>
      <c r="GWE117" s="0"/>
      <c r="GWF117" s="0"/>
      <c r="GWG117" s="0"/>
      <c r="GWH117" s="0"/>
      <c r="GWI117" s="0"/>
      <c r="GWJ117" s="0"/>
      <c r="GWK117" s="0"/>
      <c r="GWL117" s="0"/>
      <c r="GWM117" s="0"/>
      <c r="GWN117" s="0"/>
      <c r="GWO117" s="0"/>
      <c r="GWP117" s="0"/>
      <c r="GWQ117" s="0"/>
      <c r="GWR117" s="0"/>
      <c r="GWS117" s="0"/>
      <c r="GWT117" s="0"/>
      <c r="GWU117" s="0"/>
      <c r="GWV117" s="0"/>
      <c r="GWW117" s="0"/>
      <c r="GWX117" s="0"/>
      <c r="GWY117" s="0"/>
      <c r="GWZ117" s="0"/>
      <c r="GXA117" s="0"/>
      <c r="GXB117" s="0"/>
      <c r="GXC117" s="0"/>
      <c r="GXD117" s="0"/>
      <c r="GXE117" s="0"/>
      <c r="GXF117" s="0"/>
      <c r="GXG117" s="0"/>
      <c r="GXH117" s="0"/>
      <c r="GXI117" s="0"/>
      <c r="GXJ117" s="0"/>
      <c r="GXK117" s="0"/>
      <c r="GXL117" s="0"/>
      <c r="GXM117" s="0"/>
      <c r="GXN117" s="0"/>
      <c r="GXO117" s="0"/>
      <c r="GXP117" s="0"/>
      <c r="GXQ117" s="0"/>
      <c r="GXR117" s="0"/>
      <c r="GXS117" s="0"/>
      <c r="GXT117" s="0"/>
      <c r="GXU117" s="0"/>
      <c r="GXV117" s="0"/>
      <c r="GXW117" s="0"/>
      <c r="GXX117" s="0"/>
      <c r="GXY117" s="0"/>
      <c r="GXZ117" s="0"/>
      <c r="GYA117" s="0"/>
      <c r="GYB117" s="0"/>
      <c r="GYC117" s="0"/>
      <c r="GYD117" s="0"/>
      <c r="GYE117" s="0"/>
      <c r="GYF117" s="0"/>
      <c r="GYG117" s="0"/>
      <c r="GYH117" s="0"/>
      <c r="GYI117" s="0"/>
      <c r="GYJ117" s="0"/>
      <c r="GYK117" s="0"/>
      <c r="GYL117" s="0"/>
      <c r="GYM117" s="0"/>
      <c r="GYN117" s="0"/>
      <c r="GYO117" s="0"/>
      <c r="GYP117" s="0"/>
      <c r="GYQ117" s="0"/>
      <c r="GYR117" s="0"/>
      <c r="GYS117" s="0"/>
      <c r="GYT117" s="0"/>
      <c r="GYU117" s="0"/>
      <c r="GYV117" s="0"/>
      <c r="GYW117" s="0"/>
      <c r="GYX117" s="0"/>
      <c r="GYY117" s="0"/>
      <c r="GYZ117" s="0"/>
      <c r="GZA117" s="0"/>
      <c r="GZB117" s="0"/>
      <c r="GZC117" s="0"/>
      <c r="GZD117" s="0"/>
      <c r="GZE117" s="0"/>
      <c r="GZF117" s="0"/>
      <c r="GZG117" s="0"/>
      <c r="GZH117" s="0"/>
      <c r="GZI117" s="0"/>
      <c r="GZJ117" s="0"/>
      <c r="GZK117" s="0"/>
      <c r="GZL117" s="0"/>
      <c r="GZM117" s="0"/>
      <c r="GZN117" s="0"/>
      <c r="GZO117" s="0"/>
      <c r="GZP117" s="0"/>
      <c r="GZQ117" s="0"/>
      <c r="GZR117" s="0"/>
      <c r="GZS117" s="0"/>
      <c r="GZT117" s="0"/>
      <c r="GZU117" s="0"/>
      <c r="GZV117" s="0"/>
      <c r="GZW117" s="0"/>
      <c r="GZX117" s="0"/>
      <c r="GZY117" s="0"/>
      <c r="GZZ117" s="0"/>
      <c r="HAA117" s="0"/>
      <c r="HAB117" s="0"/>
      <c r="HAC117" s="0"/>
      <c r="HAD117" s="0"/>
      <c r="HAE117" s="0"/>
      <c r="HAF117" s="0"/>
      <c r="HAG117" s="0"/>
      <c r="HAH117" s="0"/>
      <c r="HAI117" s="0"/>
      <c r="HAJ117" s="0"/>
      <c r="HAK117" s="0"/>
      <c r="HAL117" s="0"/>
      <c r="HAM117" s="0"/>
      <c r="HAN117" s="0"/>
      <c r="HAO117" s="0"/>
      <c r="HAP117" s="0"/>
      <c r="HAQ117" s="0"/>
      <c r="HAR117" s="0"/>
      <c r="HAS117" s="0"/>
      <c r="HAT117" s="0"/>
      <c r="HAU117" s="0"/>
      <c r="HAV117" s="0"/>
      <c r="HAW117" s="0"/>
      <c r="HAX117" s="0"/>
      <c r="HAY117" s="0"/>
      <c r="HAZ117" s="0"/>
      <c r="HBA117" s="0"/>
      <c r="HBB117" s="0"/>
      <c r="HBC117" s="0"/>
      <c r="HBD117" s="0"/>
      <c r="HBE117" s="0"/>
      <c r="HBF117" s="0"/>
      <c r="HBG117" s="0"/>
      <c r="HBH117" s="0"/>
      <c r="HBI117" s="0"/>
      <c r="HBJ117" s="0"/>
      <c r="HBK117" s="0"/>
      <c r="HBL117" s="0"/>
      <c r="HBM117" s="0"/>
      <c r="HBN117" s="0"/>
      <c r="HBO117" s="0"/>
      <c r="HBP117" s="0"/>
      <c r="HBQ117" s="0"/>
      <c r="HBR117" s="0"/>
      <c r="HBS117" s="0"/>
      <c r="HBT117" s="0"/>
      <c r="HBU117" s="0"/>
      <c r="HBV117" s="0"/>
      <c r="HBW117" s="0"/>
      <c r="HBX117" s="0"/>
      <c r="HBY117" s="0"/>
      <c r="HBZ117" s="0"/>
      <c r="HCA117" s="0"/>
      <c r="HCB117" s="0"/>
      <c r="HCC117" s="0"/>
      <c r="HCD117" s="0"/>
      <c r="HCE117" s="0"/>
      <c r="HCF117" s="0"/>
      <c r="HCG117" s="0"/>
      <c r="HCH117" s="0"/>
      <c r="HCI117" s="0"/>
      <c r="HCJ117" s="0"/>
      <c r="HCK117" s="0"/>
      <c r="HCL117" s="0"/>
      <c r="HCM117" s="0"/>
      <c r="HCN117" s="0"/>
      <c r="HCO117" s="0"/>
      <c r="HCP117" s="0"/>
      <c r="HCQ117" s="0"/>
      <c r="HCR117" s="0"/>
      <c r="HCS117" s="0"/>
      <c r="HCT117" s="0"/>
      <c r="HCU117" s="0"/>
      <c r="HCV117" s="0"/>
      <c r="HCW117" s="0"/>
      <c r="HCX117" s="0"/>
      <c r="HCY117" s="0"/>
      <c r="HCZ117" s="0"/>
      <c r="HDA117" s="0"/>
      <c r="HDB117" s="0"/>
      <c r="HDC117" s="0"/>
      <c r="HDD117" s="0"/>
      <c r="HDE117" s="0"/>
      <c r="HDF117" s="0"/>
      <c r="HDG117" s="0"/>
      <c r="HDH117" s="0"/>
      <c r="HDI117" s="0"/>
      <c r="HDJ117" s="0"/>
      <c r="HDK117" s="0"/>
      <c r="HDL117" s="0"/>
      <c r="HDM117" s="0"/>
      <c r="HDN117" s="0"/>
      <c r="HDO117" s="0"/>
      <c r="HDP117" s="0"/>
      <c r="HDQ117" s="0"/>
      <c r="HDR117" s="0"/>
      <c r="HDS117" s="0"/>
      <c r="HDT117" s="0"/>
      <c r="HDU117" s="0"/>
      <c r="HDV117" s="0"/>
      <c r="HDW117" s="0"/>
      <c r="HDX117" s="0"/>
      <c r="HDY117" s="0"/>
      <c r="HDZ117" s="0"/>
      <c r="HEA117" s="0"/>
      <c r="HEB117" s="0"/>
      <c r="HEC117" s="0"/>
      <c r="HED117" s="0"/>
      <c r="HEE117" s="0"/>
      <c r="HEF117" s="0"/>
      <c r="HEG117" s="0"/>
      <c r="HEH117" s="0"/>
      <c r="HEI117" s="0"/>
      <c r="HEJ117" s="0"/>
      <c r="HEK117" s="0"/>
      <c r="HEL117" s="0"/>
      <c r="HEM117" s="0"/>
      <c r="HEN117" s="0"/>
      <c r="HEO117" s="0"/>
      <c r="HEP117" s="0"/>
      <c r="HEQ117" s="0"/>
      <c r="HER117" s="0"/>
      <c r="HES117" s="0"/>
      <c r="HET117" s="0"/>
      <c r="HEU117" s="0"/>
      <c r="HEV117" s="0"/>
      <c r="HEW117" s="0"/>
      <c r="HEX117" s="0"/>
      <c r="HEY117" s="0"/>
      <c r="HEZ117" s="0"/>
      <c r="HFA117" s="0"/>
      <c r="HFB117" s="0"/>
      <c r="HFC117" s="0"/>
      <c r="HFD117" s="0"/>
      <c r="HFE117" s="0"/>
      <c r="HFF117" s="0"/>
      <c r="HFG117" s="0"/>
      <c r="HFH117" s="0"/>
      <c r="HFI117" s="0"/>
      <c r="HFJ117" s="0"/>
      <c r="HFK117" s="0"/>
      <c r="HFL117" s="0"/>
      <c r="HFM117" s="0"/>
      <c r="HFN117" s="0"/>
      <c r="HFO117" s="0"/>
      <c r="HFP117" s="0"/>
      <c r="HFQ117" s="0"/>
      <c r="HFR117" s="0"/>
      <c r="HFS117" s="0"/>
      <c r="HFT117" s="0"/>
      <c r="HFU117" s="0"/>
      <c r="HFV117" s="0"/>
      <c r="HFW117" s="0"/>
      <c r="HFX117" s="0"/>
      <c r="HFY117" s="0"/>
      <c r="HFZ117" s="0"/>
      <c r="HGA117" s="0"/>
      <c r="HGB117" s="0"/>
      <c r="HGC117" s="0"/>
      <c r="HGD117" s="0"/>
      <c r="HGE117" s="0"/>
      <c r="HGF117" s="0"/>
      <c r="HGG117" s="0"/>
      <c r="HGH117" s="0"/>
      <c r="HGI117" s="0"/>
      <c r="HGJ117" s="0"/>
      <c r="HGK117" s="0"/>
      <c r="HGL117" s="0"/>
      <c r="HGM117" s="0"/>
      <c r="HGN117" s="0"/>
      <c r="HGO117" s="0"/>
      <c r="HGP117" s="0"/>
      <c r="HGQ117" s="0"/>
      <c r="HGR117" s="0"/>
      <c r="HGS117" s="0"/>
      <c r="HGT117" s="0"/>
      <c r="HGU117" s="0"/>
      <c r="HGV117" s="0"/>
      <c r="HGW117" s="0"/>
      <c r="HGX117" s="0"/>
      <c r="HGY117" s="0"/>
      <c r="HGZ117" s="0"/>
      <c r="HHA117" s="0"/>
      <c r="HHB117" s="0"/>
      <c r="HHC117" s="0"/>
      <c r="HHD117" s="0"/>
      <c r="HHE117" s="0"/>
      <c r="HHF117" s="0"/>
      <c r="HHG117" s="0"/>
      <c r="HHH117" s="0"/>
      <c r="HHI117" s="0"/>
      <c r="HHJ117" s="0"/>
      <c r="HHK117" s="0"/>
      <c r="HHL117" s="0"/>
      <c r="HHM117" s="0"/>
      <c r="HHN117" s="0"/>
      <c r="HHO117" s="0"/>
      <c r="HHP117" s="0"/>
      <c r="HHQ117" s="0"/>
      <c r="HHR117" s="0"/>
      <c r="HHS117" s="0"/>
      <c r="HHT117" s="0"/>
      <c r="HHU117" s="0"/>
      <c r="HHV117" s="0"/>
      <c r="HHW117" s="0"/>
      <c r="HHX117" s="0"/>
      <c r="HHY117" s="0"/>
      <c r="HHZ117" s="0"/>
      <c r="HIA117" s="0"/>
      <c r="HIB117" s="0"/>
      <c r="HIC117" s="0"/>
      <c r="HID117" s="0"/>
      <c r="HIE117" s="0"/>
      <c r="HIF117" s="0"/>
      <c r="HIG117" s="0"/>
      <c r="HIH117" s="0"/>
      <c r="HII117" s="0"/>
      <c r="HIJ117" s="0"/>
      <c r="HIK117" s="0"/>
      <c r="HIL117" s="0"/>
      <c r="HIM117" s="0"/>
      <c r="HIN117" s="0"/>
      <c r="HIO117" s="0"/>
      <c r="HIP117" s="0"/>
      <c r="HIQ117" s="0"/>
      <c r="HIR117" s="0"/>
      <c r="HIS117" s="0"/>
      <c r="HIT117" s="0"/>
      <c r="HIU117" s="0"/>
      <c r="HIV117" s="0"/>
      <c r="HIW117" s="0"/>
      <c r="HIX117" s="0"/>
      <c r="HIY117" s="0"/>
      <c r="HIZ117" s="0"/>
      <c r="HJA117" s="0"/>
      <c r="HJB117" s="0"/>
      <c r="HJC117" s="0"/>
      <c r="HJD117" s="0"/>
      <c r="HJE117" s="0"/>
      <c r="HJF117" s="0"/>
      <c r="HJG117" s="0"/>
      <c r="HJH117" s="0"/>
      <c r="HJI117" s="0"/>
      <c r="HJJ117" s="0"/>
      <c r="HJK117" s="0"/>
      <c r="HJL117" s="0"/>
      <c r="HJM117" s="0"/>
      <c r="HJN117" s="0"/>
      <c r="HJO117" s="0"/>
      <c r="HJP117" s="0"/>
      <c r="HJQ117" s="0"/>
      <c r="HJR117" s="0"/>
      <c r="HJS117" s="0"/>
      <c r="HJT117" s="0"/>
      <c r="HJU117" s="0"/>
      <c r="HJV117" s="0"/>
      <c r="HJW117" s="0"/>
      <c r="HJX117" s="0"/>
      <c r="HJY117" s="0"/>
      <c r="HJZ117" s="0"/>
      <c r="HKA117" s="0"/>
      <c r="HKB117" s="0"/>
      <c r="HKC117" s="0"/>
      <c r="HKD117" s="0"/>
      <c r="HKE117" s="0"/>
      <c r="HKF117" s="0"/>
      <c r="HKG117" s="0"/>
      <c r="HKH117" s="0"/>
      <c r="HKI117" s="0"/>
      <c r="HKJ117" s="0"/>
      <c r="HKK117" s="0"/>
      <c r="HKL117" s="0"/>
      <c r="HKM117" s="0"/>
      <c r="HKN117" s="0"/>
      <c r="HKO117" s="0"/>
      <c r="HKP117" s="0"/>
      <c r="HKQ117" s="0"/>
      <c r="HKR117" s="0"/>
      <c r="HKS117" s="0"/>
      <c r="HKT117" s="0"/>
      <c r="HKU117" s="0"/>
      <c r="HKV117" s="0"/>
      <c r="HKW117" s="0"/>
      <c r="HKX117" s="0"/>
      <c r="HKY117" s="0"/>
      <c r="HKZ117" s="0"/>
      <c r="HLA117" s="0"/>
      <c r="HLB117" s="0"/>
      <c r="HLC117" s="0"/>
      <c r="HLD117" s="0"/>
      <c r="HLE117" s="0"/>
      <c r="HLF117" s="0"/>
      <c r="HLG117" s="0"/>
      <c r="HLH117" s="0"/>
      <c r="HLI117" s="0"/>
      <c r="HLJ117" s="0"/>
      <c r="HLK117" s="0"/>
      <c r="HLL117" s="0"/>
      <c r="HLM117" s="0"/>
      <c r="HLN117" s="0"/>
      <c r="HLO117" s="0"/>
      <c r="HLP117" s="0"/>
      <c r="HLQ117" s="0"/>
      <c r="HLR117" s="0"/>
      <c r="HLS117" s="0"/>
      <c r="HLT117" s="0"/>
      <c r="HLU117" s="0"/>
      <c r="HLV117" s="0"/>
      <c r="HLW117" s="0"/>
      <c r="HLX117" s="0"/>
      <c r="HLY117" s="0"/>
      <c r="HLZ117" s="0"/>
      <c r="HMA117" s="0"/>
      <c r="HMB117" s="0"/>
      <c r="HMC117" s="0"/>
      <c r="HMD117" s="0"/>
      <c r="HME117" s="0"/>
      <c r="HMF117" s="0"/>
      <c r="HMG117" s="0"/>
      <c r="HMH117" s="0"/>
      <c r="HMI117" s="0"/>
      <c r="HMJ117" s="0"/>
      <c r="HMK117" s="0"/>
      <c r="HML117" s="0"/>
      <c r="HMM117" s="0"/>
      <c r="HMN117" s="0"/>
      <c r="HMO117" s="0"/>
      <c r="HMP117" s="0"/>
      <c r="HMQ117" s="0"/>
      <c r="HMR117" s="0"/>
      <c r="HMS117" s="0"/>
      <c r="HMT117" s="0"/>
      <c r="HMU117" s="0"/>
      <c r="HMV117" s="0"/>
      <c r="HMW117" s="0"/>
      <c r="HMX117" s="0"/>
      <c r="HMY117" s="0"/>
      <c r="HMZ117" s="0"/>
      <c r="HNA117" s="0"/>
      <c r="HNB117" s="0"/>
      <c r="HNC117" s="0"/>
      <c r="HND117" s="0"/>
      <c r="HNE117" s="0"/>
      <c r="HNF117" s="0"/>
      <c r="HNG117" s="0"/>
      <c r="HNH117" s="0"/>
      <c r="HNI117" s="0"/>
      <c r="HNJ117" s="0"/>
      <c r="HNK117" s="0"/>
      <c r="HNL117" s="0"/>
      <c r="HNM117" s="0"/>
      <c r="HNN117" s="0"/>
      <c r="HNO117" s="0"/>
      <c r="HNP117" s="0"/>
      <c r="HNQ117" s="0"/>
      <c r="HNR117" s="0"/>
      <c r="HNS117" s="0"/>
      <c r="HNT117" s="0"/>
      <c r="HNU117" s="0"/>
      <c r="HNV117" s="0"/>
      <c r="HNW117" s="0"/>
      <c r="HNX117" s="0"/>
      <c r="HNY117" s="0"/>
      <c r="HNZ117" s="0"/>
      <c r="HOA117" s="0"/>
      <c r="HOB117" s="0"/>
      <c r="HOC117" s="0"/>
      <c r="HOD117" s="0"/>
      <c r="HOE117" s="0"/>
      <c r="HOF117" s="0"/>
      <c r="HOG117" s="0"/>
      <c r="HOH117" s="0"/>
      <c r="HOI117" s="0"/>
      <c r="HOJ117" s="0"/>
      <c r="HOK117" s="0"/>
      <c r="HOL117" s="0"/>
      <c r="HOM117" s="0"/>
      <c r="HON117" s="0"/>
      <c r="HOO117" s="0"/>
      <c r="HOP117" s="0"/>
      <c r="HOQ117" s="0"/>
      <c r="HOR117" s="0"/>
      <c r="HOS117" s="0"/>
      <c r="HOT117" s="0"/>
      <c r="HOU117" s="0"/>
      <c r="HOV117" s="0"/>
      <c r="HOW117" s="0"/>
      <c r="HOX117" s="0"/>
      <c r="HOY117" s="0"/>
      <c r="HOZ117" s="0"/>
      <c r="HPA117" s="0"/>
      <c r="HPB117" s="0"/>
      <c r="HPC117" s="0"/>
      <c r="HPD117" s="0"/>
      <c r="HPE117" s="0"/>
      <c r="HPF117" s="0"/>
      <c r="HPG117" s="0"/>
      <c r="HPH117" s="0"/>
      <c r="HPI117" s="0"/>
      <c r="HPJ117" s="0"/>
      <c r="HPK117" s="0"/>
      <c r="HPL117" s="0"/>
      <c r="HPM117" s="0"/>
      <c r="HPN117" s="0"/>
      <c r="HPO117" s="0"/>
      <c r="HPP117" s="0"/>
      <c r="HPQ117" s="0"/>
      <c r="HPR117" s="0"/>
      <c r="HPS117" s="0"/>
      <c r="HPT117" s="0"/>
      <c r="HPU117" s="0"/>
      <c r="HPV117" s="0"/>
      <c r="HPW117" s="0"/>
      <c r="HPX117" s="0"/>
      <c r="HPY117" s="0"/>
      <c r="HPZ117" s="0"/>
      <c r="HQA117" s="0"/>
      <c r="HQB117" s="0"/>
      <c r="HQC117" s="0"/>
      <c r="HQD117" s="0"/>
      <c r="HQE117" s="0"/>
      <c r="HQF117" s="0"/>
      <c r="HQG117" s="0"/>
      <c r="HQH117" s="0"/>
      <c r="HQI117" s="0"/>
      <c r="HQJ117" s="0"/>
      <c r="HQK117" s="0"/>
      <c r="HQL117" s="0"/>
      <c r="HQM117" s="0"/>
      <c r="HQN117" s="0"/>
      <c r="HQO117" s="0"/>
      <c r="HQP117" s="0"/>
      <c r="HQQ117" s="0"/>
      <c r="HQR117" s="0"/>
      <c r="HQS117" s="0"/>
      <c r="HQT117" s="0"/>
      <c r="HQU117" s="0"/>
      <c r="HQV117" s="0"/>
      <c r="HQW117" s="0"/>
      <c r="HQX117" s="0"/>
      <c r="HQY117" s="0"/>
      <c r="HQZ117" s="0"/>
      <c r="HRA117" s="0"/>
      <c r="HRB117" s="0"/>
      <c r="HRC117" s="0"/>
      <c r="HRD117" s="0"/>
      <c r="HRE117" s="0"/>
      <c r="HRF117" s="0"/>
      <c r="HRG117" s="0"/>
      <c r="HRH117" s="0"/>
      <c r="HRI117" s="0"/>
      <c r="HRJ117" s="0"/>
      <c r="HRK117" s="0"/>
      <c r="HRL117" s="0"/>
      <c r="HRM117" s="0"/>
      <c r="HRN117" s="0"/>
      <c r="HRO117" s="0"/>
      <c r="HRP117" s="0"/>
      <c r="HRQ117" s="0"/>
      <c r="HRR117" s="0"/>
      <c r="HRS117" s="0"/>
      <c r="HRT117" s="0"/>
      <c r="HRU117" s="0"/>
      <c r="HRV117" s="0"/>
      <c r="HRW117" s="0"/>
      <c r="HRX117" s="0"/>
      <c r="HRY117" s="0"/>
      <c r="HRZ117" s="0"/>
      <c r="HSA117" s="0"/>
      <c r="HSB117" s="0"/>
      <c r="HSC117" s="0"/>
      <c r="HSD117" s="0"/>
      <c r="HSE117" s="0"/>
      <c r="HSF117" s="0"/>
      <c r="HSG117" s="0"/>
      <c r="HSH117" s="0"/>
      <c r="HSI117" s="0"/>
      <c r="HSJ117" s="0"/>
      <c r="HSK117" s="0"/>
      <c r="HSL117" s="0"/>
      <c r="HSM117" s="0"/>
      <c r="HSN117" s="0"/>
      <c r="HSO117" s="0"/>
      <c r="HSP117" s="0"/>
      <c r="HSQ117" s="0"/>
      <c r="HSR117" s="0"/>
      <c r="HSS117" s="0"/>
      <c r="HST117" s="0"/>
      <c r="HSU117" s="0"/>
      <c r="HSV117" s="0"/>
      <c r="HSW117" s="0"/>
      <c r="HSX117" s="0"/>
      <c r="HSY117" s="0"/>
      <c r="HSZ117" s="0"/>
      <c r="HTA117" s="0"/>
      <c r="HTB117" s="0"/>
      <c r="HTC117" s="0"/>
      <c r="HTD117" s="0"/>
      <c r="HTE117" s="0"/>
      <c r="HTF117" s="0"/>
      <c r="HTG117" s="0"/>
      <c r="HTH117" s="0"/>
      <c r="HTI117" s="0"/>
      <c r="HTJ117" s="0"/>
      <c r="HTK117" s="0"/>
      <c r="HTL117" s="0"/>
      <c r="HTM117" s="0"/>
      <c r="HTN117" s="0"/>
      <c r="HTO117" s="0"/>
      <c r="HTP117" s="0"/>
      <c r="HTQ117" s="0"/>
      <c r="HTR117" s="0"/>
      <c r="HTS117" s="0"/>
      <c r="HTT117" s="0"/>
      <c r="HTU117" s="0"/>
      <c r="HTV117" s="0"/>
      <c r="HTW117" s="0"/>
      <c r="HTX117" s="0"/>
      <c r="HTY117" s="0"/>
      <c r="HTZ117" s="0"/>
      <c r="HUA117" s="0"/>
      <c r="HUB117" s="0"/>
      <c r="HUC117" s="0"/>
      <c r="HUD117" s="0"/>
      <c r="HUE117" s="0"/>
      <c r="HUF117" s="0"/>
      <c r="HUG117" s="0"/>
      <c r="HUH117" s="0"/>
      <c r="HUI117" s="0"/>
      <c r="HUJ117" s="0"/>
      <c r="HUK117" s="0"/>
      <c r="HUL117" s="0"/>
      <c r="HUM117" s="0"/>
      <c r="HUN117" s="0"/>
      <c r="HUO117" s="0"/>
      <c r="HUP117" s="0"/>
      <c r="HUQ117" s="0"/>
      <c r="HUR117" s="0"/>
      <c r="HUS117" s="0"/>
      <c r="HUT117" s="0"/>
      <c r="HUU117" s="0"/>
      <c r="HUV117" s="0"/>
      <c r="HUW117" s="0"/>
      <c r="HUX117" s="0"/>
      <c r="HUY117" s="0"/>
      <c r="HUZ117" s="0"/>
      <c r="HVA117" s="0"/>
      <c r="HVB117" s="0"/>
      <c r="HVC117" s="0"/>
      <c r="HVD117" s="0"/>
      <c r="HVE117" s="0"/>
      <c r="HVF117" s="0"/>
      <c r="HVG117" s="0"/>
      <c r="HVH117" s="0"/>
      <c r="HVI117" s="0"/>
      <c r="HVJ117" s="0"/>
      <c r="HVK117" s="0"/>
      <c r="HVL117" s="0"/>
      <c r="HVM117" s="0"/>
      <c r="HVN117" s="0"/>
      <c r="HVO117" s="0"/>
      <c r="HVP117" s="0"/>
      <c r="HVQ117" s="0"/>
      <c r="HVR117" s="0"/>
      <c r="HVS117" s="0"/>
      <c r="HVT117" s="0"/>
      <c r="HVU117" s="0"/>
      <c r="HVV117" s="0"/>
      <c r="HVW117" s="0"/>
      <c r="HVX117" s="0"/>
      <c r="HVY117" s="0"/>
      <c r="HVZ117" s="0"/>
      <c r="HWA117" s="0"/>
      <c r="HWB117" s="0"/>
      <c r="HWC117" s="0"/>
      <c r="HWD117" s="0"/>
      <c r="HWE117" s="0"/>
      <c r="HWF117" s="0"/>
      <c r="HWG117" s="0"/>
      <c r="HWH117" s="0"/>
      <c r="HWI117" s="0"/>
      <c r="HWJ117" s="0"/>
      <c r="HWK117" s="0"/>
      <c r="HWL117" s="0"/>
      <c r="HWM117" s="0"/>
      <c r="HWN117" s="0"/>
      <c r="HWO117" s="0"/>
      <c r="HWP117" s="0"/>
      <c r="HWQ117" s="0"/>
      <c r="HWR117" s="0"/>
      <c r="HWS117" s="0"/>
      <c r="HWT117" s="0"/>
      <c r="HWU117" s="0"/>
      <c r="HWV117" s="0"/>
      <c r="HWW117" s="0"/>
      <c r="HWX117" s="0"/>
      <c r="HWY117" s="0"/>
      <c r="HWZ117" s="0"/>
      <c r="HXA117" s="0"/>
      <c r="HXB117" s="0"/>
      <c r="HXC117" s="0"/>
      <c r="HXD117" s="0"/>
      <c r="HXE117" s="0"/>
      <c r="HXF117" s="0"/>
      <c r="HXG117" s="0"/>
      <c r="HXH117" s="0"/>
      <c r="HXI117" s="0"/>
      <c r="HXJ117" s="0"/>
      <c r="HXK117" s="0"/>
      <c r="HXL117" s="0"/>
      <c r="HXM117" s="0"/>
      <c r="HXN117" s="0"/>
      <c r="HXO117" s="0"/>
      <c r="HXP117" s="0"/>
      <c r="HXQ117" s="0"/>
      <c r="HXR117" s="0"/>
      <c r="HXS117" s="0"/>
      <c r="HXT117" s="0"/>
      <c r="HXU117" s="0"/>
      <c r="HXV117" s="0"/>
      <c r="HXW117" s="0"/>
      <c r="HXX117" s="0"/>
      <c r="HXY117" s="0"/>
      <c r="HXZ117" s="0"/>
      <c r="HYA117" s="0"/>
      <c r="HYB117" s="0"/>
      <c r="HYC117" s="0"/>
      <c r="HYD117" s="0"/>
      <c r="HYE117" s="0"/>
      <c r="HYF117" s="0"/>
      <c r="HYG117" s="0"/>
      <c r="HYH117" s="0"/>
      <c r="HYI117" s="0"/>
      <c r="HYJ117" s="0"/>
      <c r="HYK117" s="0"/>
      <c r="HYL117" s="0"/>
      <c r="HYM117" s="0"/>
      <c r="HYN117" s="0"/>
      <c r="HYO117" s="0"/>
      <c r="HYP117" s="0"/>
      <c r="HYQ117" s="0"/>
      <c r="HYR117" s="0"/>
      <c r="HYS117" s="0"/>
      <c r="HYT117" s="0"/>
      <c r="HYU117" s="0"/>
      <c r="HYV117" s="0"/>
      <c r="HYW117" s="0"/>
      <c r="HYX117" s="0"/>
      <c r="HYY117" s="0"/>
      <c r="HYZ117" s="0"/>
      <c r="HZA117" s="0"/>
      <c r="HZB117" s="0"/>
      <c r="HZC117" s="0"/>
      <c r="HZD117" s="0"/>
      <c r="HZE117" s="0"/>
      <c r="HZF117" s="0"/>
      <c r="HZG117" s="0"/>
      <c r="HZH117" s="0"/>
      <c r="HZI117" s="0"/>
      <c r="HZJ117" s="0"/>
      <c r="HZK117" s="0"/>
      <c r="HZL117" s="0"/>
      <c r="HZM117" s="0"/>
      <c r="HZN117" s="0"/>
      <c r="HZO117" s="0"/>
      <c r="HZP117" s="0"/>
      <c r="HZQ117" s="0"/>
      <c r="HZR117" s="0"/>
      <c r="HZS117" s="0"/>
      <c r="HZT117" s="0"/>
      <c r="HZU117" s="0"/>
      <c r="HZV117" s="0"/>
      <c r="HZW117" s="0"/>
      <c r="HZX117" s="0"/>
      <c r="HZY117" s="0"/>
      <c r="HZZ117" s="0"/>
      <c r="IAA117" s="0"/>
      <c r="IAB117" s="0"/>
      <c r="IAC117" s="0"/>
      <c r="IAD117" s="0"/>
      <c r="IAE117" s="0"/>
      <c r="IAF117" s="0"/>
      <c r="IAG117" s="0"/>
      <c r="IAH117" s="0"/>
      <c r="IAI117" s="0"/>
      <c r="IAJ117" s="0"/>
      <c r="IAK117" s="0"/>
      <c r="IAL117" s="0"/>
      <c r="IAM117" s="0"/>
      <c r="IAN117" s="0"/>
      <c r="IAO117" s="0"/>
      <c r="IAP117" s="0"/>
      <c r="IAQ117" s="0"/>
      <c r="IAR117" s="0"/>
      <c r="IAS117" s="0"/>
      <c r="IAT117" s="0"/>
      <c r="IAU117" s="0"/>
      <c r="IAV117" s="0"/>
      <c r="IAW117" s="0"/>
      <c r="IAX117" s="0"/>
      <c r="IAY117" s="0"/>
      <c r="IAZ117" s="0"/>
      <c r="IBA117" s="0"/>
      <c r="IBB117" s="0"/>
      <c r="IBC117" s="0"/>
      <c r="IBD117" s="0"/>
      <c r="IBE117" s="0"/>
      <c r="IBF117" s="0"/>
      <c r="IBG117" s="0"/>
      <c r="IBH117" s="0"/>
      <c r="IBI117" s="0"/>
      <c r="IBJ117" s="0"/>
      <c r="IBK117" s="0"/>
      <c r="IBL117" s="0"/>
      <c r="IBM117" s="0"/>
      <c r="IBN117" s="0"/>
      <c r="IBO117" s="0"/>
      <c r="IBP117" s="0"/>
      <c r="IBQ117" s="0"/>
      <c r="IBR117" s="0"/>
      <c r="IBS117" s="0"/>
      <c r="IBT117" s="0"/>
      <c r="IBU117" s="0"/>
      <c r="IBV117" s="0"/>
      <c r="IBW117" s="0"/>
      <c r="IBX117" s="0"/>
      <c r="IBY117" s="0"/>
      <c r="IBZ117" s="0"/>
      <c r="ICA117" s="0"/>
      <c r="ICB117" s="0"/>
      <c r="ICC117" s="0"/>
      <c r="ICD117" s="0"/>
      <c r="ICE117" s="0"/>
      <c r="ICF117" s="0"/>
      <c r="ICG117" s="0"/>
      <c r="ICH117" s="0"/>
      <c r="ICI117" s="0"/>
      <c r="ICJ117" s="0"/>
      <c r="ICK117" s="0"/>
      <c r="ICL117" s="0"/>
      <c r="ICM117" s="0"/>
      <c r="ICN117" s="0"/>
      <c r="ICO117" s="0"/>
      <c r="ICP117" s="0"/>
      <c r="ICQ117" s="0"/>
      <c r="ICR117" s="0"/>
      <c r="ICS117" s="0"/>
      <c r="ICT117" s="0"/>
      <c r="ICU117" s="0"/>
      <c r="ICV117" s="0"/>
      <c r="ICW117" s="0"/>
      <c r="ICX117" s="0"/>
      <c r="ICY117" s="0"/>
      <c r="ICZ117" s="0"/>
      <c r="IDA117" s="0"/>
      <c r="IDB117" s="0"/>
      <c r="IDC117" s="0"/>
      <c r="IDD117" s="0"/>
      <c r="IDE117" s="0"/>
      <c r="IDF117" s="0"/>
      <c r="IDG117" s="0"/>
      <c r="IDH117" s="0"/>
      <c r="IDI117" s="0"/>
      <c r="IDJ117" s="0"/>
      <c r="IDK117" s="0"/>
      <c r="IDL117" s="0"/>
      <c r="IDM117" s="0"/>
      <c r="IDN117" s="0"/>
      <c r="IDO117" s="0"/>
      <c r="IDP117" s="0"/>
      <c r="IDQ117" s="0"/>
      <c r="IDR117" s="0"/>
      <c r="IDS117" s="0"/>
      <c r="IDT117" s="0"/>
      <c r="IDU117" s="0"/>
      <c r="IDV117" s="0"/>
      <c r="IDW117" s="0"/>
      <c r="IDX117" s="0"/>
      <c r="IDY117" s="0"/>
      <c r="IDZ117" s="0"/>
      <c r="IEA117" s="0"/>
      <c r="IEB117" s="0"/>
      <c r="IEC117" s="0"/>
      <c r="IED117" s="0"/>
      <c r="IEE117" s="0"/>
      <c r="IEF117" s="0"/>
      <c r="IEG117" s="0"/>
      <c r="IEH117" s="0"/>
      <c r="IEI117" s="0"/>
      <c r="IEJ117" s="0"/>
      <c r="IEK117" s="0"/>
      <c r="IEL117" s="0"/>
      <c r="IEM117" s="0"/>
      <c r="IEN117" s="0"/>
      <c r="IEO117" s="0"/>
      <c r="IEP117" s="0"/>
      <c r="IEQ117" s="0"/>
      <c r="IER117" s="0"/>
      <c r="IES117" s="0"/>
      <c r="IET117" s="0"/>
      <c r="IEU117" s="0"/>
      <c r="IEV117" s="0"/>
      <c r="IEW117" s="0"/>
      <c r="IEX117" s="0"/>
      <c r="IEY117" s="0"/>
      <c r="IEZ117" s="0"/>
      <c r="IFA117" s="0"/>
      <c r="IFB117" s="0"/>
      <c r="IFC117" s="0"/>
      <c r="IFD117" s="0"/>
      <c r="IFE117" s="0"/>
      <c r="IFF117" s="0"/>
      <c r="IFG117" s="0"/>
      <c r="IFH117" s="0"/>
      <c r="IFI117" s="0"/>
      <c r="IFJ117" s="0"/>
      <c r="IFK117" s="0"/>
      <c r="IFL117" s="0"/>
      <c r="IFM117" s="0"/>
      <c r="IFN117" s="0"/>
      <c r="IFO117" s="0"/>
      <c r="IFP117" s="0"/>
      <c r="IFQ117" s="0"/>
      <c r="IFR117" s="0"/>
      <c r="IFS117" s="0"/>
      <c r="IFT117" s="0"/>
      <c r="IFU117" s="0"/>
      <c r="IFV117" s="0"/>
      <c r="IFW117" s="0"/>
      <c r="IFX117" s="0"/>
      <c r="IFY117" s="0"/>
      <c r="IFZ117" s="0"/>
      <c r="IGA117" s="0"/>
      <c r="IGB117" s="0"/>
      <c r="IGC117" s="0"/>
      <c r="IGD117" s="0"/>
      <c r="IGE117" s="0"/>
      <c r="IGF117" s="0"/>
      <c r="IGG117" s="0"/>
      <c r="IGH117" s="0"/>
      <c r="IGI117" s="0"/>
      <c r="IGJ117" s="0"/>
      <c r="IGK117" s="0"/>
      <c r="IGL117" s="0"/>
      <c r="IGM117" s="0"/>
      <c r="IGN117" s="0"/>
      <c r="IGO117" s="0"/>
      <c r="IGP117" s="0"/>
      <c r="IGQ117" s="0"/>
      <c r="IGR117" s="0"/>
      <c r="IGS117" s="0"/>
      <c r="IGT117" s="0"/>
      <c r="IGU117" s="0"/>
      <c r="IGV117" s="0"/>
      <c r="IGW117" s="0"/>
      <c r="IGX117" s="0"/>
      <c r="IGY117" s="0"/>
      <c r="IGZ117" s="0"/>
      <c r="IHA117" s="0"/>
      <c r="IHB117" s="0"/>
      <c r="IHC117" s="0"/>
      <c r="IHD117" s="0"/>
      <c r="IHE117" s="0"/>
      <c r="IHF117" s="0"/>
      <c r="IHG117" s="0"/>
      <c r="IHH117" s="0"/>
      <c r="IHI117" s="0"/>
      <c r="IHJ117" s="0"/>
      <c r="IHK117" s="0"/>
      <c r="IHL117" s="0"/>
      <c r="IHM117" s="0"/>
      <c r="IHN117" s="0"/>
      <c r="IHO117" s="0"/>
      <c r="IHP117" s="0"/>
      <c r="IHQ117" s="0"/>
      <c r="IHR117" s="0"/>
      <c r="IHS117" s="0"/>
      <c r="IHT117" s="0"/>
      <c r="IHU117" s="0"/>
      <c r="IHV117" s="0"/>
      <c r="IHW117" s="0"/>
      <c r="IHX117" s="0"/>
      <c r="IHY117" s="0"/>
      <c r="IHZ117" s="0"/>
      <c r="IIA117" s="0"/>
      <c r="IIB117" s="0"/>
      <c r="IIC117" s="0"/>
      <c r="IID117" s="0"/>
      <c r="IIE117" s="0"/>
      <c r="IIF117" s="0"/>
      <c r="IIG117" s="0"/>
      <c r="IIH117" s="0"/>
      <c r="III117" s="0"/>
      <c r="IIJ117" s="0"/>
      <c r="IIK117" s="0"/>
      <c r="IIL117" s="0"/>
      <c r="IIM117" s="0"/>
      <c r="IIN117" s="0"/>
      <c r="IIO117" s="0"/>
      <c r="IIP117" s="0"/>
      <c r="IIQ117" s="0"/>
      <c r="IIR117" s="0"/>
      <c r="IIS117" s="0"/>
      <c r="IIT117" s="0"/>
      <c r="IIU117" s="0"/>
      <c r="IIV117" s="0"/>
      <c r="IIW117" s="0"/>
      <c r="IIX117" s="0"/>
      <c r="IIY117" s="0"/>
      <c r="IIZ117" s="0"/>
      <c r="IJA117" s="0"/>
      <c r="IJB117" s="0"/>
      <c r="IJC117" s="0"/>
      <c r="IJD117" s="0"/>
      <c r="IJE117" s="0"/>
      <c r="IJF117" s="0"/>
      <c r="IJG117" s="0"/>
      <c r="IJH117" s="0"/>
      <c r="IJI117" s="0"/>
      <c r="IJJ117" s="0"/>
      <c r="IJK117" s="0"/>
      <c r="IJL117" s="0"/>
      <c r="IJM117" s="0"/>
      <c r="IJN117" s="0"/>
      <c r="IJO117" s="0"/>
      <c r="IJP117" s="0"/>
      <c r="IJQ117" s="0"/>
      <c r="IJR117" s="0"/>
      <c r="IJS117" s="0"/>
      <c r="IJT117" s="0"/>
      <c r="IJU117" s="0"/>
      <c r="IJV117" s="0"/>
      <c r="IJW117" s="0"/>
      <c r="IJX117" s="0"/>
      <c r="IJY117" s="0"/>
      <c r="IJZ117" s="0"/>
      <c r="IKA117" s="0"/>
      <c r="IKB117" s="0"/>
      <c r="IKC117" s="0"/>
      <c r="IKD117" s="0"/>
      <c r="IKE117" s="0"/>
      <c r="IKF117" s="0"/>
      <c r="IKG117" s="0"/>
      <c r="IKH117" s="0"/>
      <c r="IKI117" s="0"/>
      <c r="IKJ117" s="0"/>
      <c r="IKK117" s="0"/>
      <c r="IKL117" s="0"/>
      <c r="IKM117" s="0"/>
      <c r="IKN117" s="0"/>
      <c r="IKO117" s="0"/>
      <c r="IKP117" s="0"/>
      <c r="IKQ117" s="0"/>
      <c r="IKR117" s="0"/>
      <c r="IKS117" s="0"/>
      <c r="IKT117" s="0"/>
      <c r="IKU117" s="0"/>
      <c r="IKV117" s="0"/>
      <c r="IKW117" s="0"/>
      <c r="IKX117" s="0"/>
      <c r="IKY117" s="0"/>
      <c r="IKZ117" s="0"/>
      <c r="ILA117" s="0"/>
      <c r="ILB117" s="0"/>
      <c r="ILC117" s="0"/>
      <c r="ILD117" s="0"/>
      <c r="ILE117" s="0"/>
      <c r="ILF117" s="0"/>
      <c r="ILG117" s="0"/>
      <c r="ILH117" s="0"/>
      <c r="ILI117" s="0"/>
      <c r="ILJ117" s="0"/>
      <c r="ILK117" s="0"/>
      <c r="ILL117" s="0"/>
      <c r="ILM117" s="0"/>
      <c r="ILN117" s="0"/>
      <c r="ILO117" s="0"/>
      <c r="ILP117" s="0"/>
      <c r="ILQ117" s="0"/>
      <c r="ILR117" s="0"/>
      <c r="ILS117" s="0"/>
      <c r="ILT117" s="0"/>
      <c r="ILU117" s="0"/>
      <c r="ILV117" s="0"/>
      <c r="ILW117" s="0"/>
      <c r="ILX117" s="0"/>
      <c r="ILY117" s="0"/>
      <c r="ILZ117" s="0"/>
      <c r="IMA117" s="0"/>
      <c r="IMB117" s="0"/>
      <c r="IMC117" s="0"/>
      <c r="IMD117" s="0"/>
      <c r="IME117" s="0"/>
      <c r="IMF117" s="0"/>
      <c r="IMG117" s="0"/>
      <c r="IMH117" s="0"/>
      <c r="IMI117" s="0"/>
      <c r="IMJ117" s="0"/>
      <c r="IMK117" s="0"/>
      <c r="IML117" s="0"/>
      <c r="IMM117" s="0"/>
      <c r="IMN117" s="0"/>
      <c r="IMO117" s="0"/>
      <c r="IMP117" s="0"/>
      <c r="IMQ117" s="0"/>
      <c r="IMR117" s="0"/>
      <c r="IMS117" s="0"/>
      <c r="IMT117" s="0"/>
      <c r="IMU117" s="0"/>
      <c r="IMV117" s="0"/>
      <c r="IMW117" s="0"/>
      <c r="IMX117" s="0"/>
      <c r="IMY117" s="0"/>
      <c r="IMZ117" s="0"/>
      <c r="INA117" s="0"/>
      <c r="INB117" s="0"/>
      <c r="INC117" s="0"/>
      <c r="IND117" s="0"/>
      <c r="INE117" s="0"/>
      <c r="INF117" s="0"/>
      <c r="ING117" s="0"/>
      <c r="INH117" s="0"/>
      <c r="INI117" s="0"/>
      <c r="INJ117" s="0"/>
      <c r="INK117" s="0"/>
      <c r="INL117" s="0"/>
      <c r="INM117" s="0"/>
      <c r="INN117" s="0"/>
      <c r="INO117" s="0"/>
      <c r="INP117" s="0"/>
      <c r="INQ117" s="0"/>
      <c r="INR117" s="0"/>
      <c r="INS117" s="0"/>
      <c r="INT117" s="0"/>
      <c r="INU117" s="0"/>
      <c r="INV117" s="0"/>
      <c r="INW117" s="0"/>
      <c r="INX117" s="0"/>
      <c r="INY117" s="0"/>
      <c r="INZ117" s="0"/>
      <c r="IOA117" s="0"/>
      <c r="IOB117" s="0"/>
      <c r="IOC117" s="0"/>
      <c r="IOD117" s="0"/>
      <c r="IOE117" s="0"/>
      <c r="IOF117" s="0"/>
      <c r="IOG117" s="0"/>
      <c r="IOH117" s="0"/>
      <c r="IOI117" s="0"/>
      <c r="IOJ117" s="0"/>
      <c r="IOK117" s="0"/>
      <c r="IOL117" s="0"/>
      <c r="IOM117" s="0"/>
      <c r="ION117" s="0"/>
      <c r="IOO117" s="0"/>
      <c r="IOP117" s="0"/>
      <c r="IOQ117" s="0"/>
      <c r="IOR117" s="0"/>
      <c r="IOS117" s="0"/>
      <c r="IOT117" s="0"/>
      <c r="IOU117" s="0"/>
      <c r="IOV117" s="0"/>
      <c r="IOW117" s="0"/>
      <c r="IOX117" s="0"/>
      <c r="IOY117" s="0"/>
      <c r="IOZ117" s="0"/>
      <c r="IPA117" s="0"/>
      <c r="IPB117" s="0"/>
      <c r="IPC117" s="0"/>
      <c r="IPD117" s="0"/>
      <c r="IPE117" s="0"/>
      <c r="IPF117" s="0"/>
      <c r="IPG117" s="0"/>
      <c r="IPH117" s="0"/>
      <c r="IPI117" s="0"/>
      <c r="IPJ117" s="0"/>
      <c r="IPK117" s="0"/>
      <c r="IPL117" s="0"/>
      <c r="IPM117" s="0"/>
      <c r="IPN117" s="0"/>
      <c r="IPO117" s="0"/>
      <c r="IPP117" s="0"/>
      <c r="IPQ117" s="0"/>
      <c r="IPR117" s="0"/>
      <c r="IPS117" s="0"/>
      <c r="IPT117" s="0"/>
      <c r="IPU117" s="0"/>
      <c r="IPV117" s="0"/>
      <c r="IPW117" s="0"/>
      <c r="IPX117" s="0"/>
      <c r="IPY117" s="0"/>
      <c r="IPZ117" s="0"/>
      <c r="IQA117" s="0"/>
      <c r="IQB117" s="0"/>
      <c r="IQC117" s="0"/>
      <c r="IQD117" s="0"/>
      <c r="IQE117" s="0"/>
      <c r="IQF117" s="0"/>
      <c r="IQG117" s="0"/>
      <c r="IQH117" s="0"/>
      <c r="IQI117" s="0"/>
      <c r="IQJ117" s="0"/>
      <c r="IQK117" s="0"/>
      <c r="IQL117" s="0"/>
      <c r="IQM117" s="0"/>
      <c r="IQN117" s="0"/>
      <c r="IQO117" s="0"/>
      <c r="IQP117" s="0"/>
      <c r="IQQ117" s="0"/>
      <c r="IQR117" s="0"/>
      <c r="IQS117" s="0"/>
      <c r="IQT117" s="0"/>
      <c r="IQU117" s="0"/>
      <c r="IQV117" s="0"/>
      <c r="IQW117" s="0"/>
      <c r="IQX117" s="0"/>
      <c r="IQY117" s="0"/>
      <c r="IQZ117" s="0"/>
      <c r="IRA117" s="0"/>
      <c r="IRB117" s="0"/>
      <c r="IRC117" s="0"/>
      <c r="IRD117" s="0"/>
      <c r="IRE117" s="0"/>
      <c r="IRF117" s="0"/>
      <c r="IRG117" s="0"/>
      <c r="IRH117" s="0"/>
      <c r="IRI117" s="0"/>
      <c r="IRJ117" s="0"/>
      <c r="IRK117" s="0"/>
      <c r="IRL117" s="0"/>
      <c r="IRM117" s="0"/>
      <c r="IRN117" s="0"/>
      <c r="IRO117" s="0"/>
      <c r="IRP117" s="0"/>
      <c r="IRQ117" s="0"/>
      <c r="IRR117" s="0"/>
      <c r="IRS117" s="0"/>
      <c r="IRT117" s="0"/>
      <c r="IRU117" s="0"/>
      <c r="IRV117" s="0"/>
      <c r="IRW117" s="0"/>
      <c r="IRX117" s="0"/>
      <c r="IRY117" s="0"/>
      <c r="IRZ117" s="0"/>
      <c r="ISA117" s="0"/>
      <c r="ISB117" s="0"/>
      <c r="ISC117" s="0"/>
      <c r="ISD117" s="0"/>
      <c r="ISE117" s="0"/>
      <c r="ISF117" s="0"/>
      <c r="ISG117" s="0"/>
      <c r="ISH117" s="0"/>
      <c r="ISI117" s="0"/>
      <c r="ISJ117" s="0"/>
      <c r="ISK117" s="0"/>
      <c r="ISL117" s="0"/>
      <c r="ISM117" s="0"/>
      <c r="ISN117" s="0"/>
      <c r="ISO117" s="0"/>
      <c r="ISP117" s="0"/>
      <c r="ISQ117" s="0"/>
      <c r="ISR117" s="0"/>
      <c r="ISS117" s="0"/>
      <c r="IST117" s="0"/>
      <c r="ISU117" s="0"/>
      <c r="ISV117" s="0"/>
      <c r="ISW117" s="0"/>
      <c r="ISX117" s="0"/>
      <c r="ISY117" s="0"/>
      <c r="ISZ117" s="0"/>
      <c r="ITA117" s="0"/>
      <c r="ITB117" s="0"/>
      <c r="ITC117" s="0"/>
      <c r="ITD117" s="0"/>
      <c r="ITE117" s="0"/>
      <c r="ITF117" s="0"/>
      <c r="ITG117" s="0"/>
      <c r="ITH117" s="0"/>
      <c r="ITI117" s="0"/>
      <c r="ITJ117" s="0"/>
      <c r="ITK117" s="0"/>
      <c r="ITL117" s="0"/>
      <c r="ITM117" s="0"/>
      <c r="ITN117" s="0"/>
      <c r="ITO117" s="0"/>
      <c r="ITP117" s="0"/>
      <c r="ITQ117" s="0"/>
      <c r="ITR117" s="0"/>
      <c r="ITS117" s="0"/>
      <c r="ITT117" s="0"/>
      <c r="ITU117" s="0"/>
      <c r="ITV117" s="0"/>
      <c r="ITW117" s="0"/>
      <c r="ITX117" s="0"/>
      <c r="ITY117" s="0"/>
      <c r="ITZ117" s="0"/>
      <c r="IUA117" s="0"/>
      <c r="IUB117" s="0"/>
      <c r="IUC117" s="0"/>
      <c r="IUD117" s="0"/>
      <c r="IUE117" s="0"/>
      <c r="IUF117" s="0"/>
      <c r="IUG117" s="0"/>
      <c r="IUH117" s="0"/>
      <c r="IUI117" s="0"/>
      <c r="IUJ117" s="0"/>
      <c r="IUK117" s="0"/>
      <c r="IUL117" s="0"/>
      <c r="IUM117" s="0"/>
      <c r="IUN117" s="0"/>
      <c r="IUO117" s="0"/>
      <c r="IUP117" s="0"/>
      <c r="IUQ117" s="0"/>
      <c r="IUR117" s="0"/>
      <c r="IUS117" s="0"/>
      <c r="IUT117" s="0"/>
      <c r="IUU117" s="0"/>
      <c r="IUV117" s="0"/>
      <c r="IUW117" s="0"/>
      <c r="IUX117" s="0"/>
      <c r="IUY117" s="0"/>
      <c r="IUZ117" s="0"/>
      <c r="IVA117" s="0"/>
      <c r="IVB117" s="0"/>
      <c r="IVC117" s="0"/>
      <c r="IVD117" s="0"/>
      <c r="IVE117" s="0"/>
      <c r="IVF117" s="0"/>
      <c r="IVG117" s="0"/>
      <c r="IVH117" s="0"/>
      <c r="IVI117" s="0"/>
      <c r="IVJ117" s="0"/>
      <c r="IVK117" s="0"/>
      <c r="IVL117" s="0"/>
      <c r="IVM117" s="0"/>
      <c r="IVN117" s="0"/>
      <c r="IVO117" s="0"/>
      <c r="IVP117" s="0"/>
      <c r="IVQ117" s="0"/>
      <c r="IVR117" s="0"/>
      <c r="IVS117" s="0"/>
      <c r="IVT117" s="0"/>
      <c r="IVU117" s="0"/>
      <c r="IVV117" s="0"/>
      <c r="IVW117" s="0"/>
      <c r="IVX117" s="0"/>
      <c r="IVY117" s="0"/>
      <c r="IVZ117" s="0"/>
      <c r="IWA117" s="0"/>
      <c r="IWB117" s="0"/>
      <c r="IWC117" s="0"/>
      <c r="IWD117" s="0"/>
      <c r="IWE117" s="0"/>
      <c r="IWF117" s="0"/>
      <c r="IWG117" s="0"/>
      <c r="IWH117" s="0"/>
      <c r="IWI117" s="0"/>
      <c r="IWJ117" s="0"/>
      <c r="IWK117" s="0"/>
      <c r="IWL117" s="0"/>
      <c r="IWM117" s="0"/>
      <c r="IWN117" s="0"/>
      <c r="IWO117" s="0"/>
      <c r="IWP117" s="0"/>
      <c r="IWQ117" s="0"/>
      <c r="IWR117" s="0"/>
      <c r="IWS117" s="0"/>
      <c r="IWT117" s="0"/>
      <c r="IWU117" s="0"/>
      <c r="IWV117" s="0"/>
      <c r="IWW117" s="0"/>
      <c r="IWX117" s="0"/>
      <c r="IWY117" s="0"/>
      <c r="IWZ117" s="0"/>
      <c r="IXA117" s="0"/>
      <c r="IXB117" s="0"/>
      <c r="IXC117" s="0"/>
      <c r="IXD117" s="0"/>
      <c r="IXE117" s="0"/>
      <c r="IXF117" s="0"/>
      <c r="IXG117" s="0"/>
      <c r="IXH117" s="0"/>
      <c r="IXI117" s="0"/>
      <c r="IXJ117" s="0"/>
      <c r="IXK117" s="0"/>
      <c r="IXL117" s="0"/>
      <c r="IXM117" s="0"/>
      <c r="IXN117" s="0"/>
      <c r="IXO117" s="0"/>
      <c r="IXP117" s="0"/>
      <c r="IXQ117" s="0"/>
      <c r="IXR117" s="0"/>
      <c r="IXS117" s="0"/>
      <c r="IXT117" s="0"/>
      <c r="IXU117" s="0"/>
      <c r="IXV117" s="0"/>
      <c r="IXW117" s="0"/>
      <c r="IXX117" s="0"/>
      <c r="IXY117" s="0"/>
      <c r="IXZ117" s="0"/>
      <c r="IYA117" s="0"/>
      <c r="IYB117" s="0"/>
      <c r="IYC117" s="0"/>
      <c r="IYD117" s="0"/>
      <c r="IYE117" s="0"/>
      <c r="IYF117" s="0"/>
      <c r="IYG117" s="0"/>
      <c r="IYH117" s="0"/>
      <c r="IYI117" s="0"/>
      <c r="IYJ117" s="0"/>
      <c r="IYK117" s="0"/>
      <c r="IYL117" s="0"/>
      <c r="IYM117" s="0"/>
      <c r="IYN117" s="0"/>
      <c r="IYO117" s="0"/>
      <c r="IYP117" s="0"/>
      <c r="IYQ117" s="0"/>
      <c r="IYR117" s="0"/>
      <c r="IYS117" s="0"/>
      <c r="IYT117" s="0"/>
      <c r="IYU117" s="0"/>
      <c r="IYV117" s="0"/>
      <c r="IYW117" s="0"/>
      <c r="IYX117" s="0"/>
      <c r="IYY117" s="0"/>
      <c r="IYZ117" s="0"/>
      <c r="IZA117" s="0"/>
      <c r="IZB117" s="0"/>
      <c r="IZC117" s="0"/>
      <c r="IZD117" s="0"/>
      <c r="IZE117" s="0"/>
      <c r="IZF117" s="0"/>
      <c r="IZG117" s="0"/>
      <c r="IZH117" s="0"/>
      <c r="IZI117" s="0"/>
      <c r="IZJ117" s="0"/>
      <c r="IZK117" s="0"/>
      <c r="IZL117" s="0"/>
      <c r="IZM117" s="0"/>
      <c r="IZN117" s="0"/>
      <c r="IZO117" s="0"/>
      <c r="IZP117" s="0"/>
      <c r="IZQ117" s="0"/>
      <c r="IZR117" s="0"/>
      <c r="IZS117" s="0"/>
      <c r="IZT117" s="0"/>
      <c r="IZU117" s="0"/>
      <c r="IZV117" s="0"/>
      <c r="IZW117" s="0"/>
      <c r="IZX117" s="0"/>
      <c r="IZY117" s="0"/>
      <c r="IZZ117" s="0"/>
      <c r="JAA117" s="0"/>
      <c r="JAB117" s="0"/>
      <c r="JAC117" s="0"/>
      <c r="JAD117" s="0"/>
      <c r="JAE117" s="0"/>
      <c r="JAF117" s="0"/>
      <c r="JAG117" s="0"/>
      <c r="JAH117" s="0"/>
      <c r="JAI117" s="0"/>
      <c r="JAJ117" s="0"/>
      <c r="JAK117" s="0"/>
      <c r="JAL117" s="0"/>
      <c r="JAM117" s="0"/>
      <c r="JAN117" s="0"/>
      <c r="JAO117" s="0"/>
      <c r="JAP117" s="0"/>
      <c r="JAQ117" s="0"/>
      <c r="JAR117" s="0"/>
      <c r="JAS117" s="0"/>
      <c r="JAT117" s="0"/>
      <c r="JAU117" s="0"/>
      <c r="JAV117" s="0"/>
      <c r="JAW117" s="0"/>
      <c r="JAX117" s="0"/>
      <c r="JAY117" s="0"/>
      <c r="JAZ117" s="0"/>
      <c r="JBA117" s="0"/>
      <c r="JBB117" s="0"/>
      <c r="JBC117" s="0"/>
      <c r="JBD117" s="0"/>
      <c r="JBE117" s="0"/>
      <c r="JBF117" s="0"/>
      <c r="JBG117" s="0"/>
      <c r="JBH117" s="0"/>
      <c r="JBI117" s="0"/>
      <c r="JBJ117" s="0"/>
      <c r="JBK117" s="0"/>
      <c r="JBL117" s="0"/>
      <c r="JBM117" s="0"/>
      <c r="JBN117" s="0"/>
      <c r="JBO117" s="0"/>
      <c r="JBP117" s="0"/>
      <c r="JBQ117" s="0"/>
      <c r="JBR117" s="0"/>
      <c r="JBS117" s="0"/>
      <c r="JBT117" s="0"/>
      <c r="JBU117" s="0"/>
      <c r="JBV117" s="0"/>
      <c r="JBW117" s="0"/>
      <c r="JBX117" s="0"/>
      <c r="JBY117" s="0"/>
      <c r="JBZ117" s="0"/>
      <c r="JCA117" s="0"/>
      <c r="JCB117" s="0"/>
      <c r="JCC117" s="0"/>
      <c r="JCD117" s="0"/>
      <c r="JCE117" s="0"/>
      <c r="JCF117" s="0"/>
      <c r="JCG117" s="0"/>
      <c r="JCH117" s="0"/>
      <c r="JCI117" s="0"/>
      <c r="JCJ117" s="0"/>
      <c r="JCK117" s="0"/>
      <c r="JCL117" s="0"/>
      <c r="JCM117" s="0"/>
      <c r="JCN117" s="0"/>
      <c r="JCO117" s="0"/>
      <c r="JCP117" s="0"/>
      <c r="JCQ117" s="0"/>
      <c r="JCR117" s="0"/>
      <c r="JCS117" s="0"/>
      <c r="JCT117" s="0"/>
      <c r="JCU117" s="0"/>
      <c r="JCV117" s="0"/>
      <c r="JCW117" s="0"/>
      <c r="JCX117" s="0"/>
      <c r="JCY117" s="0"/>
      <c r="JCZ117" s="0"/>
      <c r="JDA117" s="0"/>
      <c r="JDB117" s="0"/>
      <c r="JDC117" s="0"/>
      <c r="JDD117" s="0"/>
      <c r="JDE117" s="0"/>
      <c r="JDF117" s="0"/>
      <c r="JDG117" s="0"/>
      <c r="JDH117" s="0"/>
      <c r="JDI117" s="0"/>
      <c r="JDJ117" s="0"/>
      <c r="JDK117" s="0"/>
      <c r="JDL117" s="0"/>
      <c r="JDM117" s="0"/>
      <c r="JDN117" s="0"/>
      <c r="JDO117" s="0"/>
      <c r="JDP117" s="0"/>
      <c r="JDQ117" s="0"/>
      <c r="JDR117" s="0"/>
      <c r="JDS117" s="0"/>
      <c r="JDT117" s="0"/>
      <c r="JDU117" s="0"/>
      <c r="JDV117" s="0"/>
      <c r="JDW117" s="0"/>
      <c r="JDX117" s="0"/>
      <c r="JDY117" s="0"/>
      <c r="JDZ117" s="0"/>
      <c r="JEA117" s="0"/>
      <c r="JEB117" s="0"/>
      <c r="JEC117" s="0"/>
      <c r="JED117" s="0"/>
      <c r="JEE117" s="0"/>
      <c r="JEF117" s="0"/>
      <c r="JEG117" s="0"/>
      <c r="JEH117" s="0"/>
      <c r="JEI117" s="0"/>
      <c r="JEJ117" s="0"/>
      <c r="JEK117" s="0"/>
      <c r="JEL117" s="0"/>
      <c r="JEM117" s="0"/>
      <c r="JEN117" s="0"/>
      <c r="JEO117" s="0"/>
      <c r="JEP117" s="0"/>
      <c r="JEQ117" s="0"/>
      <c r="JER117" s="0"/>
      <c r="JES117" s="0"/>
      <c r="JET117" s="0"/>
      <c r="JEU117" s="0"/>
      <c r="JEV117" s="0"/>
      <c r="JEW117" s="0"/>
      <c r="JEX117" s="0"/>
      <c r="JEY117" s="0"/>
      <c r="JEZ117" s="0"/>
      <c r="JFA117" s="0"/>
      <c r="JFB117" s="0"/>
      <c r="JFC117" s="0"/>
      <c r="JFD117" s="0"/>
      <c r="JFE117" s="0"/>
      <c r="JFF117" s="0"/>
      <c r="JFG117" s="0"/>
      <c r="JFH117" s="0"/>
      <c r="JFI117" s="0"/>
      <c r="JFJ117" s="0"/>
      <c r="JFK117" s="0"/>
      <c r="JFL117" s="0"/>
      <c r="JFM117" s="0"/>
      <c r="JFN117" s="0"/>
      <c r="JFO117" s="0"/>
      <c r="JFP117" s="0"/>
      <c r="JFQ117" s="0"/>
      <c r="JFR117" s="0"/>
      <c r="JFS117" s="0"/>
      <c r="JFT117" s="0"/>
      <c r="JFU117" s="0"/>
      <c r="JFV117" s="0"/>
      <c r="JFW117" s="0"/>
      <c r="JFX117" s="0"/>
      <c r="JFY117" s="0"/>
      <c r="JFZ117" s="0"/>
      <c r="JGA117" s="0"/>
      <c r="JGB117" s="0"/>
      <c r="JGC117" s="0"/>
      <c r="JGD117" s="0"/>
      <c r="JGE117" s="0"/>
      <c r="JGF117" s="0"/>
      <c r="JGG117" s="0"/>
      <c r="JGH117" s="0"/>
      <c r="JGI117" s="0"/>
      <c r="JGJ117" s="0"/>
      <c r="JGK117" s="0"/>
      <c r="JGL117" s="0"/>
      <c r="JGM117" s="0"/>
      <c r="JGN117" s="0"/>
      <c r="JGO117" s="0"/>
      <c r="JGP117" s="0"/>
      <c r="JGQ117" s="0"/>
      <c r="JGR117" s="0"/>
      <c r="JGS117" s="0"/>
      <c r="JGT117" s="0"/>
      <c r="JGU117" s="0"/>
      <c r="JGV117" s="0"/>
      <c r="JGW117" s="0"/>
      <c r="JGX117" s="0"/>
      <c r="JGY117" s="0"/>
      <c r="JGZ117" s="0"/>
      <c r="JHA117" s="0"/>
      <c r="JHB117" s="0"/>
      <c r="JHC117" s="0"/>
      <c r="JHD117" s="0"/>
      <c r="JHE117" s="0"/>
      <c r="JHF117" s="0"/>
      <c r="JHG117" s="0"/>
      <c r="JHH117" s="0"/>
      <c r="JHI117" s="0"/>
      <c r="JHJ117" s="0"/>
      <c r="JHK117" s="0"/>
      <c r="JHL117" s="0"/>
      <c r="JHM117" s="0"/>
      <c r="JHN117" s="0"/>
      <c r="JHO117" s="0"/>
      <c r="JHP117" s="0"/>
      <c r="JHQ117" s="0"/>
      <c r="JHR117" s="0"/>
      <c r="JHS117" s="0"/>
      <c r="JHT117" s="0"/>
      <c r="JHU117" s="0"/>
      <c r="JHV117" s="0"/>
      <c r="JHW117" s="0"/>
      <c r="JHX117" s="0"/>
      <c r="JHY117" s="0"/>
      <c r="JHZ117" s="0"/>
      <c r="JIA117" s="0"/>
      <c r="JIB117" s="0"/>
      <c r="JIC117" s="0"/>
      <c r="JID117" s="0"/>
      <c r="JIE117" s="0"/>
      <c r="JIF117" s="0"/>
      <c r="JIG117" s="0"/>
      <c r="JIH117" s="0"/>
      <c r="JII117" s="0"/>
      <c r="JIJ117" s="0"/>
      <c r="JIK117" s="0"/>
      <c r="JIL117" s="0"/>
      <c r="JIM117" s="0"/>
      <c r="JIN117" s="0"/>
      <c r="JIO117" s="0"/>
      <c r="JIP117" s="0"/>
      <c r="JIQ117" s="0"/>
      <c r="JIR117" s="0"/>
      <c r="JIS117" s="0"/>
      <c r="JIT117" s="0"/>
      <c r="JIU117" s="0"/>
      <c r="JIV117" s="0"/>
      <c r="JIW117" s="0"/>
      <c r="JIX117" s="0"/>
      <c r="JIY117" s="0"/>
      <c r="JIZ117" s="0"/>
      <c r="JJA117" s="0"/>
      <c r="JJB117" s="0"/>
      <c r="JJC117" s="0"/>
      <c r="JJD117" s="0"/>
      <c r="JJE117" s="0"/>
      <c r="JJF117" s="0"/>
      <c r="JJG117" s="0"/>
      <c r="JJH117" s="0"/>
      <c r="JJI117" s="0"/>
      <c r="JJJ117" s="0"/>
      <c r="JJK117" s="0"/>
      <c r="JJL117" s="0"/>
      <c r="JJM117" s="0"/>
      <c r="JJN117" s="0"/>
      <c r="JJO117" s="0"/>
      <c r="JJP117" s="0"/>
      <c r="JJQ117" s="0"/>
      <c r="JJR117" s="0"/>
      <c r="JJS117" s="0"/>
      <c r="JJT117" s="0"/>
      <c r="JJU117" s="0"/>
      <c r="JJV117" s="0"/>
      <c r="JJW117" s="0"/>
      <c r="JJX117" s="0"/>
      <c r="JJY117" s="0"/>
      <c r="JJZ117" s="0"/>
      <c r="JKA117" s="0"/>
      <c r="JKB117" s="0"/>
      <c r="JKC117" s="0"/>
      <c r="JKD117" s="0"/>
      <c r="JKE117" s="0"/>
      <c r="JKF117" s="0"/>
      <c r="JKG117" s="0"/>
      <c r="JKH117" s="0"/>
      <c r="JKI117" s="0"/>
      <c r="JKJ117" s="0"/>
      <c r="JKK117" s="0"/>
      <c r="JKL117" s="0"/>
      <c r="JKM117" s="0"/>
      <c r="JKN117" s="0"/>
      <c r="JKO117" s="0"/>
      <c r="JKP117" s="0"/>
      <c r="JKQ117" s="0"/>
      <c r="JKR117" s="0"/>
      <c r="JKS117" s="0"/>
      <c r="JKT117" s="0"/>
      <c r="JKU117" s="0"/>
      <c r="JKV117" s="0"/>
      <c r="JKW117" s="0"/>
      <c r="JKX117" s="0"/>
      <c r="JKY117" s="0"/>
      <c r="JKZ117" s="0"/>
      <c r="JLA117" s="0"/>
      <c r="JLB117" s="0"/>
      <c r="JLC117" s="0"/>
      <c r="JLD117" s="0"/>
      <c r="JLE117" s="0"/>
      <c r="JLF117" s="0"/>
      <c r="JLG117" s="0"/>
      <c r="JLH117" s="0"/>
      <c r="JLI117" s="0"/>
      <c r="JLJ117" s="0"/>
      <c r="JLK117" s="0"/>
      <c r="JLL117" s="0"/>
      <c r="JLM117" s="0"/>
      <c r="JLN117" s="0"/>
      <c r="JLO117" s="0"/>
      <c r="JLP117" s="0"/>
      <c r="JLQ117" s="0"/>
      <c r="JLR117" s="0"/>
      <c r="JLS117" s="0"/>
      <c r="JLT117" s="0"/>
      <c r="JLU117" s="0"/>
      <c r="JLV117" s="0"/>
      <c r="JLW117" s="0"/>
      <c r="JLX117" s="0"/>
      <c r="JLY117" s="0"/>
      <c r="JLZ117" s="0"/>
      <c r="JMA117" s="0"/>
      <c r="JMB117" s="0"/>
      <c r="JMC117" s="0"/>
      <c r="JMD117" s="0"/>
      <c r="JME117" s="0"/>
      <c r="JMF117" s="0"/>
      <c r="JMG117" s="0"/>
      <c r="JMH117" s="0"/>
      <c r="JMI117" s="0"/>
      <c r="JMJ117" s="0"/>
      <c r="JMK117" s="0"/>
      <c r="JML117" s="0"/>
      <c r="JMM117" s="0"/>
      <c r="JMN117" s="0"/>
      <c r="JMO117" s="0"/>
      <c r="JMP117" s="0"/>
      <c r="JMQ117" s="0"/>
      <c r="JMR117" s="0"/>
      <c r="JMS117" s="0"/>
      <c r="JMT117" s="0"/>
      <c r="JMU117" s="0"/>
      <c r="JMV117" s="0"/>
      <c r="JMW117" s="0"/>
      <c r="JMX117" s="0"/>
      <c r="JMY117" s="0"/>
      <c r="JMZ117" s="0"/>
      <c r="JNA117" s="0"/>
      <c r="JNB117" s="0"/>
      <c r="JNC117" s="0"/>
      <c r="JND117" s="0"/>
      <c r="JNE117" s="0"/>
      <c r="JNF117" s="0"/>
      <c r="JNG117" s="0"/>
      <c r="JNH117" s="0"/>
      <c r="JNI117" s="0"/>
      <c r="JNJ117" s="0"/>
      <c r="JNK117" s="0"/>
      <c r="JNL117" s="0"/>
      <c r="JNM117" s="0"/>
      <c r="JNN117" s="0"/>
      <c r="JNO117" s="0"/>
      <c r="JNP117" s="0"/>
      <c r="JNQ117" s="0"/>
      <c r="JNR117" s="0"/>
      <c r="JNS117" s="0"/>
      <c r="JNT117" s="0"/>
      <c r="JNU117" s="0"/>
      <c r="JNV117" s="0"/>
      <c r="JNW117" s="0"/>
      <c r="JNX117" s="0"/>
      <c r="JNY117" s="0"/>
      <c r="JNZ117" s="0"/>
      <c r="JOA117" s="0"/>
      <c r="JOB117" s="0"/>
      <c r="JOC117" s="0"/>
      <c r="JOD117" s="0"/>
      <c r="JOE117" s="0"/>
      <c r="JOF117" s="0"/>
      <c r="JOG117" s="0"/>
      <c r="JOH117" s="0"/>
      <c r="JOI117" s="0"/>
      <c r="JOJ117" s="0"/>
      <c r="JOK117" s="0"/>
      <c r="JOL117" s="0"/>
      <c r="JOM117" s="0"/>
      <c r="JON117" s="0"/>
      <c r="JOO117" s="0"/>
      <c r="JOP117" s="0"/>
      <c r="JOQ117" s="0"/>
      <c r="JOR117" s="0"/>
      <c r="JOS117" s="0"/>
      <c r="JOT117" s="0"/>
      <c r="JOU117" s="0"/>
      <c r="JOV117" s="0"/>
      <c r="JOW117" s="0"/>
      <c r="JOX117" s="0"/>
      <c r="JOY117" s="0"/>
      <c r="JOZ117" s="0"/>
      <c r="JPA117" s="0"/>
      <c r="JPB117" s="0"/>
      <c r="JPC117" s="0"/>
      <c r="JPD117" s="0"/>
      <c r="JPE117" s="0"/>
      <c r="JPF117" s="0"/>
      <c r="JPG117" s="0"/>
      <c r="JPH117" s="0"/>
      <c r="JPI117" s="0"/>
      <c r="JPJ117" s="0"/>
      <c r="JPK117" s="0"/>
      <c r="JPL117" s="0"/>
      <c r="JPM117" s="0"/>
      <c r="JPN117" s="0"/>
      <c r="JPO117" s="0"/>
      <c r="JPP117" s="0"/>
      <c r="JPQ117" s="0"/>
      <c r="JPR117" s="0"/>
      <c r="JPS117" s="0"/>
      <c r="JPT117" s="0"/>
      <c r="JPU117" s="0"/>
      <c r="JPV117" s="0"/>
      <c r="JPW117" s="0"/>
      <c r="JPX117" s="0"/>
      <c r="JPY117" s="0"/>
      <c r="JPZ117" s="0"/>
      <c r="JQA117" s="0"/>
      <c r="JQB117" s="0"/>
      <c r="JQC117" s="0"/>
      <c r="JQD117" s="0"/>
      <c r="JQE117" s="0"/>
      <c r="JQF117" s="0"/>
      <c r="JQG117" s="0"/>
      <c r="JQH117" s="0"/>
      <c r="JQI117" s="0"/>
      <c r="JQJ117" s="0"/>
      <c r="JQK117" s="0"/>
      <c r="JQL117" s="0"/>
      <c r="JQM117" s="0"/>
      <c r="JQN117" s="0"/>
      <c r="JQO117" s="0"/>
      <c r="JQP117" s="0"/>
      <c r="JQQ117" s="0"/>
      <c r="JQR117" s="0"/>
      <c r="JQS117" s="0"/>
      <c r="JQT117" s="0"/>
      <c r="JQU117" s="0"/>
      <c r="JQV117" s="0"/>
      <c r="JQW117" s="0"/>
      <c r="JQX117" s="0"/>
      <c r="JQY117" s="0"/>
      <c r="JQZ117" s="0"/>
      <c r="JRA117" s="0"/>
      <c r="JRB117" s="0"/>
      <c r="JRC117" s="0"/>
      <c r="JRD117" s="0"/>
      <c r="JRE117" s="0"/>
      <c r="JRF117" s="0"/>
      <c r="JRG117" s="0"/>
      <c r="JRH117" s="0"/>
      <c r="JRI117" s="0"/>
      <c r="JRJ117" s="0"/>
      <c r="JRK117" s="0"/>
      <c r="JRL117" s="0"/>
      <c r="JRM117" s="0"/>
      <c r="JRN117" s="0"/>
      <c r="JRO117" s="0"/>
      <c r="JRP117" s="0"/>
      <c r="JRQ117" s="0"/>
      <c r="JRR117" s="0"/>
      <c r="JRS117" s="0"/>
      <c r="JRT117" s="0"/>
      <c r="JRU117" s="0"/>
      <c r="JRV117" s="0"/>
      <c r="JRW117" s="0"/>
      <c r="JRX117" s="0"/>
      <c r="JRY117" s="0"/>
      <c r="JRZ117" s="0"/>
      <c r="JSA117" s="0"/>
      <c r="JSB117" s="0"/>
      <c r="JSC117" s="0"/>
      <c r="JSD117" s="0"/>
      <c r="JSE117" s="0"/>
      <c r="JSF117" s="0"/>
      <c r="JSG117" s="0"/>
      <c r="JSH117" s="0"/>
      <c r="JSI117" s="0"/>
      <c r="JSJ117" s="0"/>
      <c r="JSK117" s="0"/>
      <c r="JSL117" s="0"/>
      <c r="JSM117" s="0"/>
      <c r="JSN117" s="0"/>
      <c r="JSO117" s="0"/>
      <c r="JSP117" s="0"/>
      <c r="JSQ117" s="0"/>
      <c r="JSR117" s="0"/>
      <c r="JSS117" s="0"/>
      <c r="JST117" s="0"/>
      <c r="JSU117" s="0"/>
      <c r="JSV117" s="0"/>
      <c r="JSW117" s="0"/>
      <c r="JSX117" s="0"/>
      <c r="JSY117" s="0"/>
      <c r="JSZ117" s="0"/>
      <c r="JTA117" s="0"/>
      <c r="JTB117" s="0"/>
      <c r="JTC117" s="0"/>
      <c r="JTD117" s="0"/>
      <c r="JTE117" s="0"/>
      <c r="JTF117" s="0"/>
      <c r="JTG117" s="0"/>
      <c r="JTH117" s="0"/>
      <c r="JTI117" s="0"/>
      <c r="JTJ117" s="0"/>
      <c r="JTK117" s="0"/>
      <c r="JTL117" s="0"/>
      <c r="JTM117" s="0"/>
      <c r="JTN117" s="0"/>
      <c r="JTO117" s="0"/>
      <c r="JTP117" s="0"/>
      <c r="JTQ117" s="0"/>
      <c r="JTR117" s="0"/>
      <c r="JTS117" s="0"/>
      <c r="JTT117" s="0"/>
      <c r="JTU117" s="0"/>
      <c r="JTV117" s="0"/>
      <c r="JTW117" s="0"/>
      <c r="JTX117" s="0"/>
      <c r="JTY117" s="0"/>
      <c r="JTZ117" s="0"/>
      <c r="JUA117" s="0"/>
      <c r="JUB117" s="0"/>
      <c r="JUC117" s="0"/>
      <c r="JUD117" s="0"/>
      <c r="JUE117" s="0"/>
      <c r="JUF117" s="0"/>
      <c r="JUG117" s="0"/>
      <c r="JUH117" s="0"/>
      <c r="JUI117" s="0"/>
      <c r="JUJ117" s="0"/>
      <c r="JUK117" s="0"/>
      <c r="JUL117" s="0"/>
      <c r="JUM117" s="0"/>
      <c r="JUN117" s="0"/>
      <c r="JUO117" s="0"/>
      <c r="JUP117" s="0"/>
      <c r="JUQ117" s="0"/>
      <c r="JUR117" s="0"/>
      <c r="JUS117" s="0"/>
      <c r="JUT117" s="0"/>
      <c r="JUU117" s="0"/>
      <c r="JUV117" s="0"/>
      <c r="JUW117" s="0"/>
      <c r="JUX117" s="0"/>
      <c r="JUY117" s="0"/>
      <c r="JUZ117" s="0"/>
      <c r="JVA117" s="0"/>
      <c r="JVB117" s="0"/>
      <c r="JVC117" s="0"/>
      <c r="JVD117" s="0"/>
      <c r="JVE117" s="0"/>
      <c r="JVF117" s="0"/>
      <c r="JVG117" s="0"/>
      <c r="JVH117" s="0"/>
      <c r="JVI117" s="0"/>
      <c r="JVJ117" s="0"/>
      <c r="JVK117" s="0"/>
      <c r="JVL117" s="0"/>
      <c r="JVM117" s="0"/>
      <c r="JVN117" s="0"/>
      <c r="JVO117" s="0"/>
      <c r="JVP117" s="0"/>
      <c r="JVQ117" s="0"/>
      <c r="JVR117" s="0"/>
      <c r="JVS117" s="0"/>
      <c r="JVT117" s="0"/>
      <c r="JVU117" s="0"/>
      <c r="JVV117" s="0"/>
      <c r="JVW117" s="0"/>
      <c r="JVX117" s="0"/>
      <c r="JVY117" s="0"/>
      <c r="JVZ117" s="0"/>
      <c r="JWA117" s="0"/>
      <c r="JWB117" s="0"/>
      <c r="JWC117" s="0"/>
      <c r="JWD117" s="0"/>
      <c r="JWE117" s="0"/>
      <c r="JWF117" s="0"/>
      <c r="JWG117" s="0"/>
      <c r="JWH117" s="0"/>
      <c r="JWI117" s="0"/>
      <c r="JWJ117" s="0"/>
      <c r="JWK117" s="0"/>
      <c r="JWL117" s="0"/>
      <c r="JWM117" s="0"/>
      <c r="JWN117" s="0"/>
      <c r="JWO117" s="0"/>
      <c r="JWP117" s="0"/>
      <c r="JWQ117" s="0"/>
      <c r="JWR117" s="0"/>
      <c r="JWS117" s="0"/>
      <c r="JWT117" s="0"/>
      <c r="JWU117" s="0"/>
      <c r="JWV117" s="0"/>
      <c r="JWW117" s="0"/>
      <c r="JWX117" s="0"/>
      <c r="JWY117" s="0"/>
      <c r="JWZ117" s="0"/>
      <c r="JXA117" s="0"/>
      <c r="JXB117" s="0"/>
      <c r="JXC117" s="0"/>
      <c r="JXD117" s="0"/>
      <c r="JXE117" s="0"/>
      <c r="JXF117" s="0"/>
      <c r="JXG117" s="0"/>
      <c r="JXH117" s="0"/>
      <c r="JXI117" s="0"/>
      <c r="JXJ117" s="0"/>
      <c r="JXK117" s="0"/>
      <c r="JXL117" s="0"/>
      <c r="JXM117" s="0"/>
      <c r="JXN117" s="0"/>
      <c r="JXO117" s="0"/>
      <c r="JXP117" s="0"/>
      <c r="JXQ117" s="0"/>
      <c r="JXR117" s="0"/>
      <c r="JXS117" s="0"/>
      <c r="JXT117" s="0"/>
      <c r="JXU117" s="0"/>
      <c r="JXV117" s="0"/>
      <c r="JXW117" s="0"/>
      <c r="JXX117" s="0"/>
      <c r="JXY117" s="0"/>
      <c r="JXZ117" s="0"/>
      <c r="JYA117" s="0"/>
      <c r="JYB117" s="0"/>
      <c r="JYC117" s="0"/>
      <c r="JYD117" s="0"/>
      <c r="JYE117" s="0"/>
      <c r="JYF117" s="0"/>
      <c r="JYG117" s="0"/>
      <c r="JYH117" s="0"/>
      <c r="JYI117" s="0"/>
      <c r="JYJ117" s="0"/>
      <c r="JYK117" s="0"/>
      <c r="JYL117" s="0"/>
      <c r="JYM117" s="0"/>
      <c r="JYN117" s="0"/>
      <c r="JYO117" s="0"/>
      <c r="JYP117" s="0"/>
      <c r="JYQ117" s="0"/>
      <c r="JYR117" s="0"/>
      <c r="JYS117" s="0"/>
      <c r="JYT117" s="0"/>
      <c r="JYU117" s="0"/>
      <c r="JYV117" s="0"/>
      <c r="JYW117" s="0"/>
      <c r="JYX117" s="0"/>
      <c r="JYY117" s="0"/>
      <c r="JYZ117" s="0"/>
      <c r="JZA117" s="0"/>
      <c r="JZB117" s="0"/>
      <c r="JZC117" s="0"/>
      <c r="JZD117" s="0"/>
      <c r="JZE117" s="0"/>
      <c r="JZF117" s="0"/>
      <c r="JZG117" s="0"/>
      <c r="JZH117" s="0"/>
      <c r="JZI117" s="0"/>
      <c r="JZJ117" s="0"/>
      <c r="JZK117" s="0"/>
      <c r="JZL117" s="0"/>
      <c r="JZM117" s="0"/>
      <c r="JZN117" s="0"/>
      <c r="JZO117" s="0"/>
      <c r="JZP117" s="0"/>
      <c r="JZQ117" s="0"/>
      <c r="JZR117" s="0"/>
      <c r="JZS117" s="0"/>
      <c r="JZT117" s="0"/>
      <c r="JZU117" s="0"/>
      <c r="JZV117" s="0"/>
      <c r="JZW117" s="0"/>
      <c r="JZX117" s="0"/>
      <c r="JZY117" s="0"/>
      <c r="JZZ117" s="0"/>
      <c r="KAA117" s="0"/>
      <c r="KAB117" s="0"/>
      <c r="KAC117" s="0"/>
      <c r="KAD117" s="0"/>
      <c r="KAE117" s="0"/>
      <c r="KAF117" s="0"/>
      <c r="KAG117" s="0"/>
      <c r="KAH117" s="0"/>
      <c r="KAI117" s="0"/>
      <c r="KAJ117" s="0"/>
      <c r="KAK117" s="0"/>
      <c r="KAL117" s="0"/>
      <c r="KAM117" s="0"/>
      <c r="KAN117" s="0"/>
      <c r="KAO117" s="0"/>
      <c r="KAP117" s="0"/>
      <c r="KAQ117" s="0"/>
      <c r="KAR117" s="0"/>
      <c r="KAS117" s="0"/>
      <c r="KAT117" s="0"/>
      <c r="KAU117" s="0"/>
      <c r="KAV117" s="0"/>
      <c r="KAW117" s="0"/>
      <c r="KAX117" s="0"/>
      <c r="KAY117" s="0"/>
      <c r="KAZ117" s="0"/>
      <c r="KBA117" s="0"/>
      <c r="KBB117" s="0"/>
      <c r="KBC117" s="0"/>
      <c r="KBD117" s="0"/>
      <c r="KBE117" s="0"/>
      <c r="KBF117" s="0"/>
      <c r="KBG117" s="0"/>
      <c r="KBH117" s="0"/>
      <c r="KBI117" s="0"/>
      <c r="KBJ117" s="0"/>
      <c r="KBK117" s="0"/>
      <c r="KBL117" s="0"/>
      <c r="KBM117" s="0"/>
      <c r="KBN117" s="0"/>
      <c r="KBO117" s="0"/>
      <c r="KBP117" s="0"/>
      <c r="KBQ117" s="0"/>
      <c r="KBR117" s="0"/>
      <c r="KBS117" s="0"/>
      <c r="KBT117" s="0"/>
      <c r="KBU117" s="0"/>
      <c r="KBV117" s="0"/>
      <c r="KBW117" s="0"/>
      <c r="KBX117" s="0"/>
      <c r="KBY117" s="0"/>
      <c r="KBZ117" s="0"/>
      <c r="KCA117" s="0"/>
      <c r="KCB117" s="0"/>
      <c r="KCC117" s="0"/>
      <c r="KCD117" s="0"/>
      <c r="KCE117" s="0"/>
      <c r="KCF117" s="0"/>
      <c r="KCG117" s="0"/>
      <c r="KCH117" s="0"/>
      <c r="KCI117" s="0"/>
      <c r="KCJ117" s="0"/>
      <c r="KCK117" s="0"/>
      <c r="KCL117" s="0"/>
      <c r="KCM117" s="0"/>
      <c r="KCN117" s="0"/>
      <c r="KCO117" s="0"/>
      <c r="KCP117" s="0"/>
      <c r="KCQ117" s="0"/>
      <c r="KCR117" s="0"/>
      <c r="KCS117" s="0"/>
      <c r="KCT117" s="0"/>
      <c r="KCU117" s="0"/>
      <c r="KCV117" s="0"/>
      <c r="KCW117" s="0"/>
      <c r="KCX117" s="0"/>
      <c r="KCY117" s="0"/>
      <c r="KCZ117" s="0"/>
      <c r="KDA117" s="0"/>
      <c r="KDB117" s="0"/>
      <c r="KDC117" s="0"/>
      <c r="KDD117" s="0"/>
      <c r="KDE117" s="0"/>
      <c r="KDF117" s="0"/>
      <c r="KDG117" s="0"/>
      <c r="KDH117" s="0"/>
      <c r="KDI117" s="0"/>
      <c r="KDJ117" s="0"/>
      <c r="KDK117" s="0"/>
      <c r="KDL117" s="0"/>
      <c r="KDM117" s="0"/>
      <c r="KDN117" s="0"/>
      <c r="KDO117" s="0"/>
      <c r="KDP117" s="0"/>
      <c r="KDQ117" s="0"/>
      <c r="KDR117" s="0"/>
      <c r="KDS117" s="0"/>
      <c r="KDT117" s="0"/>
      <c r="KDU117" s="0"/>
      <c r="KDV117" s="0"/>
      <c r="KDW117" s="0"/>
      <c r="KDX117" s="0"/>
      <c r="KDY117" s="0"/>
      <c r="KDZ117" s="0"/>
      <c r="KEA117" s="0"/>
      <c r="KEB117" s="0"/>
      <c r="KEC117" s="0"/>
      <c r="KED117" s="0"/>
      <c r="KEE117" s="0"/>
      <c r="KEF117" s="0"/>
      <c r="KEG117" s="0"/>
      <c r="KEH117" s="0"/>
      <c r="KEI117" s="0"/>
      <c r="KEJ117" s="0"/>
      <c r="KEK117" s="0"/>
      <c r="KEL117" s="0"/>
      <c r="KEM117" s="0"/>
      <c r="KEN117" s="0"/>
      <c r="KEO117" s="0"/>
      <c r="KEP117" s="0"/>
      <c r="KEQ117" s="0"/>
      <c r="KER117" s="0"/>
      <c r="KES117" s="0"/>
      <c r="KET117" s="0"/>
      <c r="KEU117" s="0"/>
      <c r="KEV117" s="0"/>
      <c r="KEW117" s="0"/>
      <c r="KEX117" s="0"/>
      <c r="KEY117" s="0"/>
      <c r="KEZ117" s="0"/>
      <c r="KFA117" s="0"/>
      <c r="KFB117" s="0"/>
      <c r="KFC117" s="0"/>
      <c r="KFD117" s="0"/>
      <c r="KFE117" s="0"/>
      <c r="KFF117" s="0"/>
      <c r="KFG117" s="0"/>
      <c r="KFH117" s="0"/>
      <c r="KFI117" s="0"/>
      <c r="KFJ117" s="0"/>
      <c r="KFK117" s="0"/>
      <c r="KFL117" s="0"/>
      <c r="KFM117" s="0"/>
      <c r="KFN117" s="0"/>
      <c r="KFO117" s="0"/>
      <c r="KFP117" s="0"/>
      <c r="KFQ117" s="0"/>
      <c r="KFR117" s="0"/>
      <c r="KFS117" s="0"/>
      <c r="KFT117" s="0"/>
      <c r="KFU117" s="0"/>
      <c r="KFV117" s="0"/>
      <c r="KFW117" s="0"/>
      <c r="KFX117" s="0"/>
      <c r="KFY117" s="0"/>
      <c r="KFZ117" s="0"/>
      <c r="KGA117" s="0"/>
      <c r="KGB117" s="0"/>
      <c r="KGC117" s="0"/>
      <c r="KGD117" s="0"/>
      <c r="KGE117" s="0"/>
      <c r="KGF117" s="0"/>
      <c r="KGG117" s="0"/>
      <c r="KGH117" s="0"/>
      <c r="KGI117" s="0"/>
      <c r="KGJ117" s="0"/>
      <c r="KGK117" s="0"/>
      <c r="KGL117" s="0"/>
      <c r="KGM117" s="0"/>
      <c r="KGN117" s="0"/>
      <c r="KGO117" s="0"/>
      <c r="KGP117" s="0"/>
      <c r="KGQ117" s="0"/>
      <c r="KGR117" s="0"/>
      <c r="KGS117" s="0"/>
      <c r="KGT117" s="0"/>
      <c r="KGU117" s="0"/>
      <c r="KGV117" s="0"/>
      <c r="KGW117" s="0"/>
      <c r="KGX117" s="0"/>
      <c r="KGY117" s="0"/>
      <c r="KGZ117" s="0"/>
      <c r="KHA117" s="0"/>
      <c r="KHB117" s="0"/>
      <c r="KHC117" s="0"/>
      <c r="KHD117" s="0"/>
      <c r="KHE117" s="0"/>
      <c r="KHF117" s="0"/>
      <c r="KHG117" s="0"/>
      <c r="KHH117" s="0"/>
      <c r="KHI117" s="0"/>
      <c r="KHJ117" s="0"/>
      <c r="KHK117" s="0"/>
      <c r="KHL117" s="0"/>
      <c r="KHM117" s="0"/>
      <c r="KHN117" s="0"/>
      <c r="KHO117" s="0"/>
      <c r="KHP117" s="0"/>
      <c r="KHQ117" s="0"/>
      <c r="KHR117" s="0"/>
      <c r="KHS117" s="0"/>
      <c r="KHT117" s="0"/>
      <c r="KHU117" s="0"/>
      <c r="KHV117" s="0"/>
      <c r="KHW117" s="0"/>
      <c r="KHX117" s="0"/>
      <c r="KHY117" s="0"/>
      <c r="KHZ117" s="0"/>
      <c r="KIA117" s="0"/>
      <c r="KIB117" s="0"/>
      <c r="KIC117" s="0"/>
      <c r="KID117" s="0"/>
      <c r="KIE117" s="0"/>
      <c r="KIF117" s="0"/>
      <c r="KIG117" s="0"/>
      <c r="KIH117" s="0"/>
      <c r="KII117" s="0"/>
      <c r="KIJ117" s="0"/>
      <c r="KIK117" s="0"/>
      <c r="KIL117" s="0"/>
      <c r="KIM117" s="0"/>
      <c r="KIN117" s="0"/>
      <c r="KIO117" s="0"/>
      <c r="KIP117" s="0"/>
      <c r="KIQ117" s="0"/>
      <c r="KIR117" s="0"/>
      <c r="KIS117" s="0"/>
      <c r="KIT117" s="0"/>
      <c r="KIU117" s="0"/>
      <c r="KIV117" s="0"/>
      <c r="KIW117" s="0"/>
      <c r="KIX117" s="0"/>
      <c r="KIY117" s="0"/>
      <c r="KIZ117" s="0"/>
      <c r="KJA117" s="0"/>
      <c r="KJB117" s="0"/>
      <c r="KJC117" s="0"/>
      <c r="KJD117" s="0"/>
      <c r="KJE117" s="0"/>
      <c r="KJF117" s="0"/>
      <c r="KJG117" s="0"/>
      <c r="KJH117" s="0"/>
      <c r="KJI117" s="0"/>
      <c r="KJJ117" s="0"/>
      <c r="KJK117" s="0"/>
      <c r="KJL117" s="0"/>
      <c r="KJM117" s="0"/>
      <c r="KJN117" s="0"/>
      <c r="KJO117" s="0"/>
      <c r="KJP117" s="0"/>
      <c r="KJQ117" s="0"/>
      <c r="KJR117" s="0"/>
      <c r="KJS117" s="0"/>
      <c r="KJT117" s="0"/>
      <c r="KJU117" s="0"/>
      <c r="KJV117" s="0"/>
      <c r="KJW117" s="0"/>
      <c r="KJX117" s="0"/>
      <c r="KJY117" s="0"/>
      <c r="KJZ117" s="0"/>
      <c r="KKA117" s="0"/>
      <c r="KKB117" s="0"/>
      <c r="KKC117" s="0"/>
      <c r="KKD117" s="0"/>
      <c r="KKE117" s="0"/>
      <c r="KKF117" s="0"/>
      <c r="KKG117" s="0"/>
      <c r="KKH117" s="0"/>
      <c r="KKI117" s="0"/>
      <c r="KKJ117" s="0"/>
      <c r="KKK117" s="0"/>
      <c r="KKL117" s="0"/>
      <c r="KKM117" s="0"/>
      <c r="KKN117" s="0"/>
      <c r="KKO117" s="0"/>
      <c r="KKP117" s="0"/>
      <c r="KKQ117" s="0"/>
      <c r="KKR117" s="0"/>
      <c r="KKS117" s="0"/>
      <c r="KKT117" s="0"/>
      <c r="KKU117" s="0"/>
      <c r="KKV117" s="0"/>
      <c r="KKW117" s="0"/>
      <c r="KKX117" s="0"/>
      <c r="KKY117" s="0"/>
      <c r="KKZ117" s="0"/>
      <c r="KLA117" s="0"/>
      <c r="KLB117" s="0"/>
      <c r="KLC117" s="0"/>
      <c r="KLD117" s="0"/>
      <c r="KLE117" s="0"/>
      <c r="KLF117" s="0"/>
      <c r="KLG117" s="0"/>
      <c r="KLH117" s="0"/>
      <c r="KLI117" s="0"/>
      <c r="KLJ117" s="0"/>
      <c r="KLK117" s="0"/>
      <c r="KLL117" s="0"/>
      <c r="KLM117" s="0"/>
      <c r="KLN117" s="0"/>
      <c r="KLO117" s="0"/>
      <c r="KLP117" s="0"/>
      <c r="KLQ117" s="0"/>
      <c r="KLR117" s="0"/>
      <c r="KLS117" s="0"/>
      <c r="KLT117" s="0"/>
      <c r="KLU117" s="0"/>
      <c r="KLV117" s="0"/>
      <c r="KLW117" s="0"/>
      <c r="KLX117" s="0"/>
      <c r="KLY117" s="0"/>
      <c r="KLZ117" s="0"/>
      <c r="KMA117" s="0"/>
      <c r="KMB117" s="0"/>
      <c r="KMC117" s="0"/>
      <c r="KMD117" s="0"/>
      <c r="KME117" s="0"/>
      <c r="KMF117" s="0"/>
      <c r="KMG117" s="0"/>
      <c r="KMH117" s="0"/>
      <c r="KMI117" s="0"/>
      <c r="KMJ117" s="0"/>
      <c r="KMK117" s="0"/>
      <c r="KML117" s="0"/>
      <c r="KMM117" s="0"/>
      <c r="KMN117" s="0"/>
      <c r="KMO117" s="0"/>
      <c r="KMP117" s="0"/>
      <c r="KMQ117" s="0"/>
      <c r="KMR117" s="0"/>
      <c r="KMS117" s="0"/>
      <c r="KMT117" s="0"/>
      <c r="KMU117" s="0"/>
      <c r="KMV117" s="0"/>
      <c r="KMW117" s="0"/>
      <c r="KMX117" s="0"/>
      <c r="KMY117" s="0"/>
      <c r="KMZ117" s="0"/>
      <c r="KNA117" s="0"/>
      <c r="KNB117" s="0"/>
      <c r="KNC117" s="0"/>
      <c r="KND117" s="0"/>
      <c r="KNE117" s="0"/>
      <c r="KNF117" s="0"/>
      <c r="KNG117" s="0"/>
      <c r="KNH117" s="0"/>
      <c r="KNI117" s="0"/>
      <c r="KNJ117" s="0"/>
      <c r="KNK117" s="0"/>
      <c r="KNL117" s="0"/>
      <c r="KNM117" s="0"/>
      <c r="KNN117" s="0"/>
      <c r="KNO117" s="0"/>
      <c r="KNP117" s="0"/>
      <c r="KNQ117" s="0"/>
      <c r="KNR117" s="0"/>
      <c r="KNS117" s="0"/>
      <c r="KNT117" s="0"/>
      <c r="KNU117" s="0"/>
      <c r="KNV117" s="0"/>
      <c r="KNW117" s="0"/>
      <c r="KNX117" s="0"/>
      <c r="KNY117" s="0"/>
      <c r="KNZ117" s="0"/>
      <c r="KOA117" s="0"/>
      <c r="KOB117" s="0"/>
      <c r="KOC117" s="0"/>
      <c r="KOD117" s="0"/>
      <c r="KOE117" s="0"/>
      <c r="KOF117" s="0"/>
      <c r="KOG117" s="0"/>
      <c r="KOH117" s="0"/>
      <c r="KOI117" s="0"/>
      <c r="KOJ117" s="0"/>
      <c r="KOK117" s="0"/>
      <c r="KOL117" s="0"/>
      <c r="KOM117" s="0"/>
      <c r="KON117" s="0"/>
      <c r="KOO117" s="0"/>
      <c r="KOP117" s="0"/>
      <c r="KOQ117" s="0"/>
      <c r="KOR117" s="0"/>
      <c r="KOS117" s="0"/>
      <c r="KOT117" s="0"/>
      <c r="KOU117" s="0"/>
      <c r="KOV117" s="0"/>
      <c r="KOW117" s="0"/>
      <c r="KOX117" s="0"/>
      <c r="KOY117" s="0"/>
      <c r="KOZ117" s="0"/>
      <c r="KPA117" s="0"/>
      <c r="KPB117" s="0"/>
      <c r="KPC117" s="0"/>
      <c r="KPD117" s="0"/>
      <c r="KPE117" s="0"/>
      <c r="KPF117" s="0"/>
      <c r="KPG117" s="0"/>
      <c r="KPH117" s="0"/>
      <c r="KPI117" s="0"/>
      <c r="KPJ117" s="0"/>
      <c r="KPK117" s="0"/>
      <c r="KPL117" s="0"/>
      <c r="KPM117" s="0"/>
      <c r="KPN117" s="0"/>
      <c r="KPO117" s="0"/>
      <c r="KPP117" s="0"/>
      <c r="KPQ117" s="0"/>
      <c r="KPR117" s="0"/>
      <c r="KPS117" s="0"/>
      <c r="KPT117" s="0"/>
      <c r="KPU117" s="0"/>
      <c r="KPV117" s="0"/>
      <c r="KPW117" s="0"/>
      <c r="KPX117" s="0"/>
      <c r="KPY117" s="0"/>
      <c r="KPZ117" s="0"/>
      <c r="KQA117" s="0"/>
      <c r="KQB117" s="0"/>
      <c r="KQC117" s="0"/>
      <c r="KQD117" s="0"/>
      <c r="KQE117" s="0"/>
      <c r="KQF117" s="0"/>
      <c r="KQG117" s="0"/>
      <c r="KQH117" s="0"/>
      <c r="KQI117" s="0"/>
      <c r="KQJ117" s="0"/>
      <c r="KQK117" s="0"/>
      <c r="KQL117" s="0"/>
      <c r="KQM117" s="0"/>
      <c r="KQN117" s="0"/>
      <c r="KQO117" s="0"/>
      <c r="KQP117" s="0"/>
      <c r="KQQ117" s="0"/>
      <c r="KQR117" s="0"/>
      <c r="KQS117" s="0"/>
      <c r="KQT117" s="0"/>
      <c r="KQU117" s="0"/>
      <c r="KQV117" s="0"/>
      <c r="KQW117" s="0"/>
      <c r="KQX117" s="0"/>
      <c r="KQY117" s="0"/>
      <c r="KQZ117" s="0"/>
      <c r="KRA117" s="0"/>
      <c r="KRB117" s="0"/>
      <c r="KRC117" s="0"/>
      <c r="KRD117" s="0"/>
      <c r="KRE117" s="0"/>
      <c r="KRF117" s="0"/>
      <c r="KRG117" s="0"/>
      <c r="KRH117" s="0"/>
      <c r="KRI117" s="0"/>
      <c r="KRJ117" s="0"/>
      <c r="KRK117" s="0"/>
      <c r="KRL117" s="0"/>
      <c r="KRM117" s="0"/>
      <c r="KRN117" s="0"/>
      <c r="KRO117" s="0"/>
      <c r="KRP117" s="0"/>
      <c r="KRQ117" s="0"/>
      <c r="KRR117" s="0"/>
      <c r="KRS117" s="0"/>
      <c r="KRT117" s="0"/>
      <c r="KRU117" s="0"/>
      <c r="KRV117" s="0"/>
      <c r="KRW117" s="0"/>
      <c r="KRX117" s="0"/>
      <c r="KRY117" s="0"/>
      <c r="KRZ117" s="0"/>
      <c r="KSA117" s="0"/>
      <c r="KSB117" s="0"/>
      <c r="KSC117" s="0"/>
      <c r="KSD117" s="0"/>
      <c r="KSE117" s="0"/>
      <c r="KSF117" s="0"/>
      <c r="KSG117" s="0"/>
      <c r="KSH117" s="0"/>
      <c r="KSI117" s="0"/>
      <c r="KSJ117" s="0"/>
      <c r="KSK117" s="0"/>
      <c r="KSL117" s="0"/>
      <c r="KSM117" s="0"/>
      <c r="KSN117" s="0"/>
      <c r="KSO117" s="0"/>
      <c r="KSP117" s="0"/>
      <c r="KSQ117" s="0"/>
      <c r="KSR117" s="0"/>
      <c r="KSS117" s="0"/>
      <c r="KST117" s="0"/>
      <c r="KSU117" s="0"/>
      <c r="KSV117" s="0"/>
      <c r="KSW117" s="0"/>
      <c r="KSX117" s="0"/>
      <c r="KSY117" s="0"/>
      <c r="KSZ117" s="0"/>
      <c r="KTA117" s="0"/>
      <c r="KTB117" s="0"/>
      <c r="KTC117" s="0"/>
      <c r="KTD117" s="0"/>
      <c r="KTE117" s="0"/>
      <c r="KTF117" s="0"/>
      <c r="KTG117" s="0"/>
      <c r="KTH117" s="0"/>
      <c r="KTI117" s="0"/>
      <c r="KTJ117" s="0"/>
      <c r="KTK117" s="0"/>
      <c r="KTL117" s="0"/>
      <c r="KTM117" s="0"/>
      <c r="KTN117" s="0"/>
      <c r="KTO117" s="0"/>
      <c r="KTP117" s="0"/>
      <c r="KTQ117" s="0"/>
      <c r="KTR117" s="0"/>
      <c r="KTS117" s="0"/>
      <c r="KTT117" s="0"/>
      <c r="KTU117" s="0"/>
      <c r="KTV117" s="0"/>
      <c r="KTW117" s="0"/>
      <c r="KTX117" s="0"/>
      <c r="KTY117" s="0"/>
      <c r="KTZ117" s="0"/>
      <c r="KUA117" s="0"/>
      <c r="KUB117" s="0"/>
      <c r="KUC117" s="0"/>
      <c r="KUD117" s="0"/>
      <c r="KUE117" s="0"/>
      <c r="KUF117" s="0"/>
      <c r="KUG117" s="0"/>
      <c r="KUH117" s="0"/>
      <c r="KUI117" s="0"/>
      <c r="KUJ117" s="0"/>
      <c r="KUK117" s="0"/>
      <c r="KUL117" s="0"/>
      <c r="KUM117" s="0"/>
      <c r="KUN117" s="0"/>
      <c r="KUO117" s="0"/>
      <c r="KUP117" s="0"/>
      <c r="KUQ117" s="0"/>
      <c r="KUR117" s="0"/>
      <c r="KUS117" s="0"/>
      <c r="KUT117" s="0"/>
      <c r="KUU117" s="0"/>
      <c r="KUV117" s="0"/>
      <c r="KUW117" s="0"/>
      <c r="KUX117" s="0"/>
      <c r="KUY117" s="0"/>
      <c r="KUZ117" s="0"/>
      <c r="KVA117" s="0"/>
      <c r="KVB117" s="0"/>
      <c r="KVC117" s="0"/>
      <c r="KVD117" s="0"/>
      <c r="KVE117" s="0"/>
      <c r="KVF117" s="0"/>
      <c r="KVG117" s="0"/>
      <c r="KVH117" s="0"/>
      <c r="KVI117" s="0"/>
      <c r="KVJ117" s="0"/>
      <c r="KVK117" s="0"/>
      <c r="KVL117" s="0"/>
      <c r="KVM117" s="0"/>
      <c r="KVN117" s="0"/>
      <c r="KVO117" s="0"/>
      <c r="KVP117" s="0"/>
      <c r="KVQ117" s="0"/>
      <c r="KVR117" s="0"/>
      <c r="KVS117" s="0"/>
      <c r="KVT117" s="0"/>
      <c r="KVU117" s="0"/>
      <c r="KVV117" s="0"/>
      <c r="KVW117" s="0"/>
      <c r="KVX117" s="0"/>
      <c r="KVY117" s="0"/>
      <c r="KVZ117" s="0"/>
      <c r="KWA117" s="0"/>
      <c r="KWB117" s="0"/>
      <c r="KWC117" s="0"/>
      <c r="KWD117" s="0"/>
      <c r="KWE117" s="0"/>
      <c r="KWF117" s="0"/>
      <c r="KWG117" s="0"/>
      <c r="KWH117" s="0"/>
      <c r="KWI117" s="0"/>
      <c r="KWJ117" s="0"/>
      <c r="KWK117" s="0"/>
      <c r="KWL117" s="0"/>
      <c r="KWM117" s="0"/>
      <c r="KWN117" s="0"/>
      <c r="KWO117" s="0"/>
      <c r="KWP117" s="0"/>
      <c r="KWQ117" s="0"/>
      <c r="KWR117" s="0"/>
      <c r="KWS117" s="0"/>
      <c r="KWT117" s="0"/>
      <c r="KWU117" s="0"/>
      <c r="KWV117" s="0"/>
      <c r="KWW117" s="0"/>
      <c r="KWX117" s="0"/>
      <c r="KWY117" s="0"/>
      <c r="KWZ117" s="0"/>
      <c r="KXA117" s="0"/>
      <c r="KXB117" s="0"/>
      <c r="KXC117" s="0"/>
      <c r="KXD117" s="0"/>
      <c r="KXE117" s="0"/>
      <c r="KXF117" s="0"/>
      <c r="KXG117" s="0"/>
      <c r="KXH117" s="0"/>
      <c r="KXI117" s="0"/>
      <c r="KXJ117" s="0"/>
      <c r="KXK117" s="0"/>
      <c r="KXL117" s="0"/>
      <c r="KXM117" s="0"/>
      <c r="KXN117" s="0"/>
      <c r="KXO117" s="0"/>
      <c r="KXP117" s="0"/>
      <c r="KXQ117" s="0"/>
      <c r="KXR117" s="0"/>
      <c r="KXS117" s="0"/>
      <c r="KXT117" s="0"/>
      <c r="KXU117" s="0"/>
      <c r="KXV117" s="0"/>
      <c r="KXW117" s="0"/>
      <c r="KXX117" s="0"/>
      <c r="KXY117" s="0"/>
      <c r="KXZ117" s="0"/>
      <c r="KYA117" s="0"/>
      <c r="KYB117" s="0"/>
      <c r="KYC117" s="0"/>
      <c r="KYD117" s="0"/>
      <c r="KYE117" s="0"/>
      <c r="KYF117" s="0"/>
      <c r="KYG117" s="0"/>
      <c r="KYH117" s="0"/>
      <c r="KYI117" s="0"/>
      <c r="KYJ117" s="0"/>
      <c r="KYK117" s="0"/>
      <c r="KYL117" s="0"/>
      <c r="KYM117" s="0"/>
      <c r="KYN117" s="0"/>
      <c r="KYO117" s="0"/>
      <c r="KYP117" s="0"/>
      <c r="KYQ117" s="0"/>
      <c r="KYR117" s="0"/>
      <c r="KYS117" s="0"/>
      <c r="KYT117" s="0"/>
      <c r="KYU117" s="0"/>
      <c r="KYV117" s="0"/>
      <c r="KYW117" s="0"/>
      <c r="KYX117" s="0"/>
      <c r="KYY117" s="0"/>
      <c r="KYZ117" s="0"/>
      <c r="KZA117" s="0"/>
      <c r="KZB117" s="0"/>
      <c r="KZC117" s="0"/>
      <c r="KZD117" s="0"/>
      <c r="KZE117" s="0"/>
      <c r="KZF117" s="0"/>
      <c r="KZG117" s="0"/>
      <c r="KZH117" s="0"/>
      <c r="KZI117" s="0"/>
      <c r="KZJ117" s="0"/>
      <c r="KZK117" s="0"/>
      <c r="KZL117" s="0"/>
      <c r="KZM117" s="0"/>
      <c r="KZN117" s="0"/>
      <c r="KZO117" s="0"/>
      <c r="KZP117" s="0"/>
      <c r="KZQ117" s="0"/>
      <c r="KZR117" s="0"/>
      <c r="KZS117" s="0"/>
      <c r="KZT117" s="0"/>
      <c r="KZU117" s="0"/>
      <c r="KZV117" s="0"/>
      <c r="KZW117" s="0"/>
      <c r="KZX117" s="0"/>
      <c r="KZY117" s="0"/>
      <c r="KZZ117" s="0"/>
      <c r="LAA117" s="0"/>
      <c r="LAB117" s="0"/>
      <c r="LAC117" s="0"/>
      <c r="LAD117" s="0"/>
      <c r="LAE117" s="0"/>
      <c r="LAF117" s="0"/>
      <c r="LAG117" s="0"/>
      <c r="LAH117" s="0"/>
      <c r="LAI117" s="0"/>
      <c r="LAJ117" s="0"/>
      <c r="LAK117" s="0"/>
      <c r="LAL117" s="0"/>
      <c r="LAM117" s="0"/>
      <c r="LAN117" s="0"/>
      <c r="LAO117" s="0"/>
      <c r="LAP117" s="0"/>
      <c r="LAQ117" s="0"/>
      <c r="LAR117" s="0"/>
      <c r="LAS117" s="0"/>
      <c r="LAT117" s="0"/>
      <c r="LAU117" s="0"/>
      <c r="LAV117" s="0"/>
      <c r="LAW117" s="0"/>
      <c r="LAX117" s="0"/>
      <c r="LAY117" s="0"/>
      <c r="LAZ117" s="0"/>
      <c r="LBA117" s="0"/>
      <c r="LBB117" s="0"/>
      <c r="LBC117" s="0"/>
      <c r="LBD117" s="0"/>
      <c r="LBE117" s="0"/>
      <c r="LBF117" s="0"/>
      <c r="LBG117" s="0"/>
      <c r="LBH117" s="0"/>
      <c r="LBI117" s="0"/>
      <c r="LBJ117" s="0"/>
      <c r="LBK117" s="0"/>
      <c r="LBL117" s="0"/>
      <c r="LBM117" s="0"/>
      <c r="LBN117" s="0"/>
      <c r="LBO117" s="0"/>
      <c r="LBP117" s="0"/>
      <c r="LBQ117" s="0"/>
      <c r="LBR117" s="0"/>
      <c r="LBS117" s="0"/>
      <c r="LBT117" s="0"/>
      <c r="LBU117" s="0"/>
      <c r="LBV117" s="0"/>
      <c r="LBW117" s="0"/>
      <c r="LBX117" s="0"/>
      <c r="LBY117" s="0"/>
      <c r="LBZ117" s="0"/>
      <c r="LCA117" s="0"/>
      <c r="LCB117" s="0"/>
      <c r="LCC117" s="0"/>
      <c r="LCD117" s="0"/>
      <c r="LCE117" s="0"/>
      <c r="LCF117" s="0"/>
      <c r="LCG117" s="0"/>
      <c r="LCH117" s="0"/>
      <c r="LCI117" s="0"/>
      <c r="LCJ117" s="0"/>
      <c r="LCK117" s="0"/>
      <c r="LCL117" s="0"/>
      <c r="LCM117" s="0"/>
      <c r="LCN117" s="0"/>
      <c r="LCO117" s="0"/>
      <c r="LCP117" s="0"/>
      <c r="LCQ117" s="0"/>
      <c r="LCR117" s="0"/>
      <c r="LCS117" s="0"/>
      <c r="LCT117" s="0"/>
      <c r="LCU117" s="0"/>
      <c r="LCV117" s="0"/>
      <c r="LCW117" s="0"/>
      <c r="LCX117" s="0"/>
      <c r="LCY117" s="0"/>
      <c r="LCZ117" s="0"/>
      <c r="LDA117" s="0"/>
      <c r="LDB117" s="0"/>
      <c r="LDC117" s="0"/>
      <c r="LDD117" s="0"/>
      <c r="LDE117" s="0"/>
      <c r="LDF117" s="0"/>
      <c r="LDG117" s="0"/>
      <c r="LDH117" s="0"/>
      <c r="LDI117" s="0"/>
      <c r="LDJ117" s="0"/>
      <c r="LDK117" s="0"/>
      <c r="LDL117" s="0"/>
      <c r="LDM117" s="0"/>
      <c r="LDN117" s="0"/>
      <c r="LDO117" s="0"/>
      <c r="LDP117" s="0"/>
      <c r="LDQ117" s="0"/>
      <c r="LDR117" s="0"/>
      <c r="LDS117" s="0"/>
      <c r="LDT117" s="0"/>
      <c r="LDU117" s="0"/>
      <c r="LDV117" s="0"/>
      <c r="LDW117" s="0"/>
      <c r="LDX117" s="0"/>
      <c r="LDY117" s="0"/>
      <c r="LDZ117" s="0"/>
      <c r="LEA117" s="0"/>
      <c r="LEB117" s="0"/>
      <c r="LEC117" s="0"/>
      <c r="LED117" s="0"/>
      <c r="LEE117" s="0"/>
      <c r="LEF117" s="0"/>
      <c r="LEG117" s="0"/>
      <c r="LEH117" s="0"/>
      <c r="LEI117" s="0"/>
      <c r="LEJ117" s="0"/>
      <c r="LEK117" s="0"/>
      <c r="LEL117" s="0"/>
      <c r="LEM117" s="0"/>
      <c r="LEN117" s="0"/>
      <c r="LEO117" s="0"/>
      <c r="LEP117" s="0"/>
      <c r="LEQ117" s="0"/>
      <c r="LER117" s="0"/>
      <c r="LES117" s="0"/>
      <c r="LET117" s="0"/>
      <c r="LEU117" s="0"/>
      <c r="LEV117" s="0"/>
      <c r="LEW117" s="0"/>
      <c r="LEX117" s="0"/>
      <c r="LEY117" s="0"/>
      <c r="LEZ117" s="0"/>
      <c r="LFA117" s="0"/>
      <c r="LFB117" s="0"/>
      <c r="LFC117" s="0"/>
      <c r="LFD117" s="0"/>
      <c r="LFE117" s="0"/>
      <c r="LFF117" s="0"/>
      <c r="LFG117" s="0"/>
      <c r="LFH117" s="0"/>
      <c r="LFI117" s="0"/>
      <c r="LFJ117" s="0"/>
      <c r="LFK117" s="0"/>
      <c r="LFL117" s="0"/>
      <c r="LFM117" s="0"/>
      <c r="LFN117" s="0"/>
      <c r="LFO117" s="0"/>
      <c r="LFP117" s="0"/>
      <c r="LFQ117" s="0"/>
      <c r="LFR117" s="0"/>
      <c r="LFS117" s="0"/>
      <c r="LFT117" s="0"/>
      <c r="LFU117" s="0"/>
      <c r="LFV117" s="0"/>
      <c r="LFW117" s="0"/>
      <c r="LFX117" s="0"/>
      <c r="LFY117" s="0"/>
      <c r="LFZ117" s="0"/>
      <c r="LGA117" s="0"/>
      <c r="LGB117" s="0"/>
      <c r="LGC117" s="0"/>
      <c r="LGD117" s="0"/>
      <c r="LGE117" s="0"/>
      <c r="LGF117" s="0"/>
      <c r="LGG117" s="0"/>
      <c r="LGH117" s="0"/>
      <c r="LGI117" s="0"/>
      <c r="LGJ117" s="0"/>
      <c r="LGK117" s="0"/>
      <c r="LGL117" s="0"/>
      <c r="LGM117" s="0"/>
      <c r="LGN117" s="0"/>
      <c r="LGO117" s="0"/>
      <c r="LGP117" s="0"/>
      <c r="LGQ117" s="0"/>
      <c r="LGR117" s="0"/>
      <c r="LGS117" s="0"/>
      <c r="LGT117" s="0"/>
      <c r="LGU117" s="0"/>
      <c r="LGV117" s="0"/>
      <c r="LGW117" s="0"/>
      <c r="LGX117" s="0"/>
      <c r="LGY117" s="0"/>
      <c r="LGZ117" s="0"/>
      <c r="LHA117" s="0"/>
      <c r="LHB117" s="0"/>
      <c r="LHC117" s="0"/>
      <c r="LHD117" s="0"/>
      <c r="LHE117" s="0"/>
      <c r="LHF117" s="0"/>
      <c r="LHG117" s="0"/>
      <c r="LHH117" s="0"/>
      <c r="LHI117" s="0"/>
      <c r="LHJ117" s="0"/>
      <c r="LHK117" s="0"/>
      <c r="LHL117" s="0"/>
      <c r="LHM117" s="0"/>
      <c r="LHN117" s="0"/>
      <c r="LHO117" s="0"/>
      <c r="LHP117" s="0"/>
      <c r="LHQ117" s="0"/>
      <c r="LHR117" s="0"/>
      <c r="LHS117" s="0"/>
      <c r="LHT117" s="0"/>
      <c r="LHU117" s="0"/>
      <c r="LHV117" s="0"/>
      <c r="LHW117" s="0"/>
      <c r="LHX117" s="0"/>
      <c r="LHY117" s="0"/>
      <c r="LHZ117" s="0"/>
      <c r="LIA117" s="0"/>
      <c r="LIB117" s="0"/>
      <c r="LIC117" s="0"/>
      <c r="LID117" s="0"/>
      <c r="LIE117" s="0"/>
      <c r="LIF117" s="0"/>
      <c r="LIG117" s="0"/>
      <c r="LIH117" s="0"/>
      <c r="LII117" s="0"/>
      <c r="LIJ117" s="0"/>
      <c r="LIK117" s="0"/>
      <c r="LIL117" s="0"/>
      <c r="LIM117" s="0"/>
      <c r="LIN117" s="0"/>
      <c r="LIO117" s="0"/>
      <c r="LIP117" s="0"/>
      <c r="LIQ117" s="0"/>
      <c r="LIR117" s="0"/>
      <c r="LIS117" s="0"/>
      <c r="LIT117" s="0"/>
      <c r="LIU117" s="0"/>
      <c r="LIV117" s="0"/>
      <c r="LIW117" s="0"/>
      <c r="LIX117" s="0"/>
      <c r="LIY117" s="0"/>
      <c r="LIZ117" s="0"/>
      <c r="LJA117" s="0"/>
      <c r="LJB117" s="0"/>
      <c r="LJC117" s="0"/>
      <c r="LJD117" s="0"/>
      <c r="LJE117" s="0"/>
      <c r="LJF117" s="0"/>
      <c r="LJG117" s="0"/>
      <c r="LJH117" s="0"/>
      <c r="LJI117" s="0"/>
      <c r="LJJ117" s="0"/>
      <c r="LJK117" s="0"/>
      <c r="LJL117" s="0"/>
      <c r="LJM117" s="0"/>
      <c r="LJN117" s="0"/>
      <c r="LJO117" s="0"/>
      <c r="LJP117" s="0"/>
      <c r="LJQ117" s="0"/>
      <c r="LJR117" s="0"/>
      <c r="LJS117" s="0"/>
      <c r="LJT117" s="0"/>
      <c r="LJU117" s="0"/>
      <c r="LJV117" s="0"/>
      <c r="LJW117" s="0"/>
      <c r="LJX117" s="0"/>
      <c r="LJY117" s="0"/>
      <c r="LJZ117" s="0"/>
      <c r="LKA117" s="0"/>
      <c r="LKB117" s="0"/>
      <c r="LKC117" s="0"/>
      <c r="LKD117" s="0"/>
      <c r="LKE117" s="0"/>
      <c r="LKF117" s="0"/>
      <c r="LKG117" s="0"/>
      <c r="LKH117" s="0"/>
      <c r="LKI117" s="0"/>
      <c r="LKJ117" s="0"/>
      <c r="LKK117" s="0"/>
      <c r="LKL117" s="0"/>
      <c r="LKM117" s="0"/>
      <c r="LKN117" s="0"/>
      <c r="LKO117" s="0"/>
      <c r="LKP117" s="0"/>
      <c r="LKQ117" s="0"/>
      <c r="LKR117" s="0"/>
      <c r="LKS117" s="0"/>
      <c r="LKT117" s="0"/>
      <c r="LKU117" s="0"/>
      <c r="LKV117" s="0"/>
      <c r="LKW117" s="0"/>
      <c r="LKX117" s="0"/>
      <c r="LKY117" s="0"/>
      <c r="LKZ117" s="0"/>
      <c r="LLA117" s="0"/>
      <c r="LLB117" s="0"/>
      <c r="LLC117" s="0"/>
      <c r="LLD117" s="0"/>
      <c r="LLE117" s="0"/>
      <c r="LLF117" s="0"/>
      <c r="LLG117" s="0"/>
      <c r="LLH117" s="0"/>
      <c r="LLI117" s="0"/>
      <c r="LLJ117" s="0"/>
      <c r="LLK117" s="0"/>
      <c r="LLL117" s="0"/>
      <c r="LLM117" s="0"/>
      <c r="LLN117" s="0"/>
      <c r="LLO117" s="0"/>
      <c r="LLP117" s="0"/>
      <c r="LLQ117" s="0"/>
      <c r="LLR117" s="0"/>
      <c r="LLS117" s="0"/>
      <c r="LLT117" s="0"/>
      <c r="LLU117" s="0"/>
      <c r="LLV117" s="0"/>
      <c r="LLW117" s="0"/>
      <c r="LLX117" s="0"/>
      <c r="LLY117" s="0"/>
      <c r="LLZ117" s="0"/>
      <c r="LMA117" s="0"/>
      <c r="LMB117" s="0"/>
      <c r="LMC117" s="0"/>
      <c r="LMD117" s="0"/>
      <c r="LME117" s="0"/>
      <c r="LMF117" s="0"/>
      <c r="LMG117" s="0"/>
      <c r="LMH117" s="0"/>
      <c r="LMI117" s="0"/>
      <c r="LMJ117" s="0"/>
      <c r="LMK117" s="0"/>
      <c r="LML117" s="0"/>
      <c r="LMM117" s="0"/>
      <c r="LMN117" s="0"/>
      <c r="LMO117" s="0"/>
      <c r="LMP117" s="0"/>
      <c r="LMQ117" s="0"/>
      <c r="LMR117" s="0"/>
      <c r="LMS117" s="0"/>
      <c r="LMT117" s="0"/>
      <c r="LMU117" s="0"/>
      <c r="LMV117" s="0"/>
      <c r="LMW117" s="0"/>
      <c r="LMX117" s="0"/>
      <c r="LMY117" s="0"/>
      <c r="LMZ117" s="0"/>
      <c r="LNA117" s="0"/>
      <c r="LNB117" s="0"/>
      <c r="LNC117" s="0"/>
      <c r="LND117" s="0"/>
      <c r="LNE117" s="0"/>
      <c r="LNF117" s="0"/>
      <c r="LNG117" s="0"/>
      <c r="LNH117" s="0"/>
      <c r="LNI117" s="0"/>
      <c r="LNJ117" s="0"/>
      <c r="LNK117" s="0"/>
      <c r="LNL117" s="0"/>
      <c r="LNM117" s="0"/>
      <c r="LNN117" s="0"/>
      <c r="LNO117" s="0"/>
      <c r="LNP117" s="0"/>
      <c r="LNQ117" s="0"/>
      <c r="LNR117" s="0"/>
      <c r="LNS117" s="0"/>
      <c r="LNT117" s="0"/>
      <c r="LNU117" s="0"/>
      <c r="LNV117" s="0"/>
      <c r="LNW117" s="0"/>
      <c r="LNX117" s="0"/>
      <c r="LNY117" s="0"/>
      <c r="LNZ117" s="0"/>
      <c r="LOA117" s="0"/>
      <c r="LOB117" s="0"/>
      <c r="LOC117" s="0"/>
      <c r="LOD117" s="0"/>
      <c r="LOE117" s="0"/>
      <c r="LOF117" s="0"/>
      <c r="LOG117" s="0"/>
      <c r="LOH117" s="0"/>
      <c r="LOI117" s="0"/>
      <c r="LOJ117" s="0"/>
      <c r="LOK117" s="0"/>
      <c r="LOL117" s="0"/>
      <c r="LOM117" s="0"/>
      <c r="LON117" s="0"/>
      <c r="LOO117" s="0"/>
      <c r="LOP117" s="0"/>
      <c r="LOQ117" s="0"/>
      <c r="LOR117" s="0"/>
      <c r="LOS117" s="0"/>
      <c r="LOT117" s="0"/>
      <c r="LOU117" s="0"/>
      <c r="LOV117" s="0"/>
      <c r="LOW117" s="0"/>
      <c r="LOX117" s="0"/>
      <c r="LOY117" s="0"/>
      <c r="LOZ117" s="0"/>
      <c r="LPA117" s="0"/>
      <c r="LPB117" s="0"/>
      <c r="LPC117" s="0"/>
      <c r="LPD117" s="0"/>
      <c r="LPE117" s="0"/>
      <c r="LPF117" s="0"/>
      <c r="LPG117" s="0"/>
      <c r="LPH117" s="0"/>
      <c r="LPI117" s="0"/>
      <c r="LPJ117" s="0"/>
      <c r="LPK117" s="0"/>
      <c r="LPL117" s="0"/>
      <c r="LPM117" s="0"/>
      <c r="LPN117" s="0"/>
      <c r="LPO117" s="0"/>
      <c r="LPP117" s="0"/>
      <c r="LPQ117" s="0"/>
      <c r="LPR117" s="0"/>
      <c r="LPS117" s="0"/>
      <c r="LPT117" s="0"/>
      <c r="LPU117" s="0"/>
      <c r="LPV117" s="0"/>
      <c r="LPW117" s="0"/>
      <c r="LPX117" s="0"/>
      <c r="LPY117" s="0"/>
      <c r="LPZ117" s="0"/>
      <c r="LQA117" s="0"/>
      <c r="LQB117" s="0"/>
      <c r="LQC117" s="0"/>
      <c r="LQD117" s="0"/>
      <c r="LQE117" s="0"/>
      <c r="LQF117" s="0"/>
      <c r="LQG117" s="0"/>
      <c r="LQH117" s="0"/>
      <c r="LQI117" s="0"/>
      <c r="LQJ117" s="0"/>
      <c r="LQK117" s="0"/>
      <c r="LQL117" s="0"/>
      <c r="LQM117" s="0"/>
      <c r="LQN117" s="0"/>
      <c r="LQO117" s="0"/>
      <c r="LQP117" s="0"/>
      <c r="LQQ117" s="0"/>
      <c r="LQR117" s="0"/>
      <c r="LQS117" s="0"/>
      <c r="LQT117" s="0"/>
      <c r="LQU117" s="0"/>
      <c r="LQV117" s="0"/>
      <c r="LQW117" s="0"/>
      <c r="LQX117" s="0"/>
      <c r="LQY117" s="0"/>
      <c r="LQZ117" s="0"/>
      <c r="LRA117" s="0"/>
      <c r="LRB117" s="0"/>
      <c r="LRC117" s="0"/>
      <c r="LRD117" s="0"/>
      <c r="LRE117" s="0"/>
      <c r="LRF117" s="0"/>
      <c r="LRG117" s="0"/>
      <c r="LRH117" s="0"/>
      <c r="LRI117" s="0"/>
      <c r="LRJ117" s="0"/>
      <c r="LRK117" s="0"/>
      <c r="LRL117" s="0"/>
      <c r="LRM117" s="0"/>
      <c r="LRN117" s="0"/>
      <c r="LRO117" s="0"/>
      <c r="LRP117" s="0"/>
      <c r="LRQ117" s="0"/>
      <c r="LRR117" s="0"/>
      <c r="LRS117" s="0"/>
      <c r="LRT117" s="0"/>
      <c r="LRU117" s="0"/>
      <c r="LRV117" s="0"/>
      <c r="LRW117" s="0"/>
      <c r="LRX117" s="0"/>
      <c r="LRY117" s="0"/>
      <c r="LRZ117" s="0"/>
      <c r="LSA117" s="0"/>
      <c r="LSB117" s="0"/>
      <c r="LSC117" s="0"/>
      <c r="LSD117" s="0"/>
      <c r="LSE117" s="0"/>
      <c r="LSF117" s="0"/>
      <c r="LSG117" s="0"/>
      <c r="LSH117" s="0"/>
      <c r="LSI117" s="0"/>
      <c r="LSJ117" s="0"/>
      <c r="LSK117" s="0"/>
      <c r="LSL117" s="0"/>
      <c r="LSM117" s="0"/>
      <c r="LSN117" s="0"/>
      <c r="LSO117" s="0"/>
      <c r="LSP117" s="0"/>
      <c r="LSQ117" s="0"/>
      <c r="LSR117" s="0"/>
      <c r="LSS117" s="0"/>
      <c r="LST117" s="0"/>
      <c r="LSU117" s="0"/>
      <c r="LSV117" s="0"/>
      <c r="LSW117" s="0"/>
      <c r="LSX117" s="0"/>
      <c r="LSY117" s="0"/>
      <c r="LSZ117" s="0"/>
      <c r="LTA117" s="0"/>
      <c r="LTB117" s="0"/>
      <c r="LTC117" s="0"/>
      <c r="LTD117" s="0"/>
      <c r="LTE117" s="0"/>
      <c r="LTF117" s="0"/>
      <c r="LTG117" s="0"/>
      <c r="LTH117" s="0"/>
      <c r="LTI117" s="0"/>
      <c r="LTJ117" s="0"/>
      <c r="LTK117" s="0"/>
      <c r="LTL117" s="0"/>
      <c r="LTM117" s="0"/>
      <c r="LTN117" s="0"/>
      <c r="LTO117" s="0"/>
      <c r="LTP117" s="0"/>
      <c r="LTQ117" s="0"/>
      <c r="LTR117" s="0"/>
      <c r="LTS117" s="0"/>
      <c r="LTT117" s="0"/>
      <c r="LTU117" s="0"/>
      <c r="LTV117" s="0"/>
      <c r="LTW117" s="0"/>
      <c r="LTX117" s="0"/>
      <c r="LTY117" s="0"/>
      <c r="LTZ117" s="0"/>
      <c r="LUA117" s="0"/>
      <c r="LUB117" s="0"/>
      <c r="LUC117" s="0"/>
      <c r="LUD117" s="0"/>
      <c r="LUE117" s="0"/>
      <c r="LUF117" s="0"/>
      <c r="LUG117" s="0"/>
      <c r="LUH117" s="0"/>
      <c r="LUI117" s="0"/>
      <c r="LUJ117" s="0"/>
      <c r="LUK117" s="0"/>
      <c r="LUL117" s="0"/>
      <c r="LUM117" s="0"/>
      <c r="LUN117" s="0"/>
      <c r="LUO117" s="0"/>
      <c r="LUP117" s="0"/>
      <c r="LUQ117" s="0"/>
      <c r="LUR117" s="0"/>
      <c r="LUS117" s="0"/>
      <c r="LUT117" s="0"/>
      <c r="LUU117" s="0"/>
      <c r="LUV117" s="0"/>
      <c r="LUW117" s="0"/>
      <c r="LUX117" s="0"/>
      <c r="LUY117" s="0"/>
      <c r="LUZ117" s="0"/>
      <c r="LVA117" s="0"/>
      <c r="LVB117" s="0"/>
      <c r="LVC117" s="0"/>
      <c r="LVD117" s="0"/>
      <c r="LVE117" s="0"/>
      <c r="LVF117" s="0"/>
      <c r="LVG117" s="0"/>
      <c r="LVH117" s="0"/>
      <c r="LVI117" s="0"/>
      <c r="LVJ117" s="0"/>
      <c r="LVK117" s="0"/>
      <c r="LVL117" s="0"/>
      <c r="LVM117" s="0"/>
      <c r="LVN117" s="0"/>
      <c r="LVO117" s="0"/>
      <c r="LVP117" s="0"/>
      <c r="LVQ117" s="0"/>
      <c r="LVR117" s="0"/>
      <c r="LVS117" s="0"/>
      <c r="LVT117" s="0"/>
      <c r="LVU117" s="0"/>
      <c r="LVV117" s="0"/>
      <c r="LVW117" s="0"/>
      <c r="LVX117" s="0"/>
      <c r="LVY117" s="0"/>
      <c r="LVZ117" s="0"/>
      <c r="LWA117" s="0"/>
      <c r="LWB117" s="0"/>
      <c r="LWC117" s="0"/>
      <c r="LWD117" s="0"/>
      <c r="LWE117" s="0"/>
      <c r="LWF117" s="0"/>
      <c r="LWG117" s="0"/>
      <c r="LWH117" s="0"/>
      <c r="LWI117" s="0"/>
      <c r="LWJ117" s="0"/>
      <c r="LWK117" s="0"/>
      <c r="LWL117" s="0"/>
      <c r="LWM117" s="0"/>
      <c r="LWN117" s="0"/>
      <c r="LWO117" s="0"/>
      <c r="LWP117" s="0"/>
      <c r="LWQ117" s="0"/>
      <c r="LWR117" s="0"/>
      <c r="LWS117" s="0"/>
      <c r="LWT117" s="0"/>
      <c r="LWU117" s="0"/>
      <c r="LWV117" s="0"/>
      <c r="LWW117" s="0"/>
      <c r="LWX117" s="0"/>
      <c r="LWY117" s="0"/>
      <c r="LWZ117" s="0"/>
      <c r="LXA117" s="0"/>
      <c r="LXB117" s="0"/>
      <c r="LXC117" s="0"/>
      <c r="LXD117" s="0"/>
      <c r="LXE117" s="0"/>
      <c r="LXF117" s="0"/>
      <c r="LXG117" s="0"/>
      <c r="LXH117" s="0"/>
      <c r="LXI117" s="0"/>
      <c r="LXJ117" s="0"/>
      <c r="LXK117" s="0"/>
      <c r="LXL117" s="0"/>
      <c r="LXM117" s="0"/>
      <c r="LXN117" s="0"/>
      <c r="LXO117" s="0"/>
      <c r="LXP117" s="0"/>
      <c r="LXQ117" s="0"/>
      <c r="LXR117" s="0"/>
      <c r="LXS117" s="0"/>
      <c r="LXT117" s="0"/>
      <c r="LXU117" s="0"/>
      <c r="LXV117" s="0"/>
      <c r="LXW117" s="0"/>
      <c r="LXX117" s="0"/>
      <c r="LXY117" s="0"/>
      <c r="LXZ117" s="0"/>
      <c r="LYA117" s="0"/>
      <c r="LYB117" s="0"/>
      <c r="LYC117" s="0"/>
      <c r="LYD117" s="0"/>
      <c r="LYE117" s="0"/>
      <c r="LYF117" s="0"/>
      <c r="LYG117" s="0"/>
      <c r="LYH117" s="0"/>
      <c r="LYI117" s="0"/>
      <c r="LYJ117" s="0"/>
      <c r="LYK117" s="0"/>
      <c r="LYL117" s="0"/>
      <c r="LYM117" s="0"/>
      <c r="LYN117" s="0"/>
      <c r="LYO117" s="0"/>
      <c r="LYP117" s="0"/>
      <c r="LYQ117" s="0"/>
      <c r="LYR117" s="0"/>
      <c r="LYS117" s="0"/>
      <c r="LYT117" s="0"/>
      <c r="LYU117" s="0"/>
      <c r="LYV117" s="0"/>
      <c r="LYW117" s="0"/>
      <c r="LYX117" s="0"/>
      <c r="LYY117" s="0"/>
      <c r="LYZ117" s="0"/>
      <c r="LZA117" s="0"/>
      <c r="LZB117" s="0"/>
      <c r="LZC117" s="0"/>
      <c r="LZD117" s="0"/>
      <c r="LZE117" s="0"/>
      <c r="LZF117" s="0"/>
      <c r="LZG117" s="0"/>
      <c r="LZH117" s="0"/>
      <c r="LZI117" s="0"/>
      <c r="LZJ117" s="0"/>
      <c r="LZK117" s="0"/>
      <c r="LZL117" s="0"/>
      <c r="LZM117" s="0"/>
      <c r="LZN117" s="0"/>
      <c r="LZO117" s="0"/>
      <c r="LZP117" s="0"/>
      <c r="LZQ117" s="0"/>
      <c r="LZR117" s="0"/>
      <c r="LZS117" s="0"/>
      <c r="LZT117" s="0"/>
      <c r="LZU117" s="0"/>
      <c r="LZV117" s="0"/>
      <c r="LZW117" s="0"/>
      <c r="LZX117" s="0"/>
      <c r="LZY117" s="0"/>
      <c r="LZZ117" s="0"/>
      <c r="MAA117" s="0"/>
      <c r="MAB117" s="0"/>
      <c r="MAC117" s="0"/>
      <c r="MAD117" s="0"/>
      <c r="MAE117" s="0"/>
      <c r="MAF117" s="0"/>
      <c r="MAG117" s="0"/>
      <c r="MAH117" s="0"/>
      <c r="MAI117" s="0"/>
      <c r="MAJ117" s="0"/>
      <c r="MAK117" s="0"/>
      <c r="MAL117" s="0"/>
      <c r="MAM117" s="0"/>
      <c r="MAN117" s="0"/>
      <c r="MAO117" s="0"/>
      <c r="MAP117" s="0"/>
      <c r="MAQ117" s="0"/>
      <c r="MAR117" s="0"/>
      <c r="MAS117" s="0"/>
      <c r="MAT117" s="0"/>
      <c r="MAU117" s="0"/>
      <c r="MAV117" s="0"/>
      <c r="MAW117" s="0"/>
      <c r="MAX117" s="0"/>
      <c r="MAY117" s="0"/>
      <c r="MAZ117" s="0"/>
      <c r="MBA117" s="0"/>
      <c r="MBB117" s="0"/>
      <c r="MBC117" s="0"/>
      <c r="MBD117" s="0"/>
      <c r="MBE117" s="0"/>
      <c r="MBF117" s="0"/>
      <c r="MBG117" s="0"/>
      <c r="MBH117" s="0"/>
      <c r="MBI117" s="0"/>
      <c r="MBJ117" s="0"/>
      <c r="MBK117" s="0"/>
      <c r="MBL117" s="0"/>
      <c r="MBM117" s="0"/>
      <c r="MBN117" s="0"/>
      <c r="MBO117" s="0"/>
      <c r="MBP117" s="0"/>
      <c r="MBQ117" s="0"/>
      <c r="MBR117" s="0"/>
      <c r="MBS117" s="0"/>
      <c r="MBT117" s="0"/>
      <c r="MBU117" s="0"/>
      <c r="MBV117" s="0"/>
      <c r="MBW117" s="0"/>
      <c r="MBX117" s="0"/>
      <c r="MBY117" s="0"/>
      <c r="MBZ117" s="0"/>
      <c r="MCA117" s="0"/>
      <c r="MCB117" s="0"/>
      <c r="MCC117" s="0"/>
      <c r="MCD117" s="0"/>
      <c r="MCE117" s="0"/>
      <c r="MCF117" s="0"/>
      <c r="MCG117" s="0"/>
      <c r="MCH117" s="0"/>
      <c r="MCI117" s="0"/>
      <c r="MCJ117" s="0"/>
      <c r="MCK117" s="0"/>
      <c r="MCL117" s="0"/>
      <c r="MCM117" s="0"/>
      <c r="MCN117" s="0"/>
      <c r="MCO117" s="0"/>
      <c r="MCP117" s="0"/>
      <c r="MCQ117" s="0"/>
      <c r="MCR117" s="0"/>
      <c r="MCS117" s="0"/>
      <c r="MCT117" s="0"/>
      <c r="MCU117" s="0"/>
      <c r="MCV117" s="0"/>
      <c r="MCW117" s="0"/>
      <c r="MCX117" s="0"/>
      <c r="MCY117" s="0"/>
      <c r="MCZ117" s="0"/>
      <c r="MDA117" s="0"/>
      <c r="MDB117" s="0"/>
      <c r="MDC117" s="0"/>
      <c r="MDD117" s="0"/>
      <c r="MDE117" s="0"/>
      <c r="MDF117" s="0"/>
      <c r="MDG117" s="0"/>
      <c r="MDH117" s="0"/>
      <c r="MDI117" s="0"/>
      <c r="MDJ117" s="0"/>
      <c r="MDK117" s="0"/>
      <c r="MDL117" s="0"/>
      <c r="MDM117" s="0"/>
      <c r="MDN117" s="0"/>
      <c r="MDO117" s="0"/>
      <c r="MDP117" s="0"/>
      <c r="MDQ117" s="0"/>
      <c r="MDR117" s="0"/>
      <c r="MDS117" s="0"/>
      <c r="MDT117" s="0"/>
      <c r="MDU117" s="0"/>
      <c r="MDV117" s="0"/>
      <c r="MDW117" s="0"/>
      <c r="MDX117" s="0"/>
      <c r="MDY117" s="0"/>
      <c r="MDZ117" s="0"/>
      <c r="MEA117" s="0"/>
      <c r="MEB117" s="0"/>
      <c r="MEC117" s="0"/>
      <c r="MED117" s="0"/>
      <c r="MEE117" s="0"/>
      <c r="MEF117" s="0"/>
      <c r="MEG117" s="0"/>
      <c r="MEH117" s="0"/>
      <c r="MEI117" s="0"/>
      <c r="MEJ117" s="0"/>
      <c r="MEK117" s="0"/>
      <c r="MEL117" s="0"/>
      <c r="MEM117" s="0"/>
      <c r="MEN117" s="0"/>
      <c r="MEO117" s="0"/>
      <c r="MEP117" s="0"/>
      <c r="MEQ117" s="0"/>
      <c r="MER117" s="0"/>
      <c r="MES117" s="0"/>
      <c r="MET117" s="0"/>
      <c r="MEU117" s="0"/>
      <c r="MEV117" s="0"/>
      <c r="MEW117" s="0"/>
      <c r="MEX117" s="0"/>
      <c r="MEY117" s="0"/>
      <c r="MEZ117" s="0"/>
      <c r="MFA117" s="0"/>
      <c r="MFB117" s="0"/>
      <c r="MFC117" s="0"/>
      <c r="MFD117" s="0"/>
      <c r="MFE117" s="0"/>
      <c r="MFF117" s="0"/>
      <c r="MFG117" s="0"/>
      <c r="MFH117" s="0"/>
      <c r="MFI117" s="0"/>
      <c r="MFJ117" s="0"/>
      <c r="MFK117" s="0"/>
      <c r="MFL117" s="0"/>
      <c r="MFM117" s="0"/>
      <c r="MFN117" s="0"/>
      <c r="MFO117" s="0"/>
      <c r="MFP117" s="0"/>
      <c r="MFQ117" s="0"/>
      <c r="MFR117" s="0"/>
      <c r="MFS117" s="0"/>
      <c r="MFT117" s="0"/>
      <c r="MFU117" s="0"/>
      <c r="MFV117" s="0"/>
      <c r="MFW117" s="0"/>
      <c r="MFX117" s="0"/>
      <c r="MFY117" s="0"/>
      <c r="MFZ117" s="0"/>
      <c r="MGA117" s="0"/>
      <c r="MGB117" s="0"/>
      <c r="MGC117" s="0"/>
      <c r="MGD117" s="0"/>
      <c r="MGE117" s="0"/>
      <c r="MGF117" s="0"/>
      <c r="MGG117" s="0"/>
      <c r="MGH117" s="0"/>
      <c r="MGI117" s="0"/>
      <c r="MGJ117" s="0"/>
      <c r="MGK117" s="0"/>
      <c r="MGL117" s="0"/>
      <c r="MGM117" s="0"/>
      <c r="MGN117" s="0"/>
      <c r="MGO117" s="0"/>
      <c r="MGP117" s="0"/>
      <c r="MGQ117" s="0"/>
      <c r="MGR117" s="0"/>
      <c r="MGS117" s="0"/>
      <c r="MGT117" s="0"/>
      <c r="MGU117" s="0"/>
      <c r="MGV117" s="0"/>
      <c r="MGW117" s="0"/>
      <c r="MGX117" s="0"/>
      <c r="MGY117" s="0"/>
      <c r="MGZ117" s="0"/>
      <c r="MHA117" s="0"/>
      <c r="MHB117" s="0"/>
      <c r="MHC117" s="0"/>
      <c r="MHD117" s="0"/>
      <c r="MHE117" s="0"/>
      <c r="MHF117" s="0"/>
      <c r="MHG117" s="0"/>
      <c r="MHH117" s="0"/>
      <c r="MHI117" s="0"/>
      <c r="MHJ117" s="0"/>
      <c r="MHK117" s="0"/>
      <c r="MHL117" s="0"/>
      <c r="MHM117" s="0"/>
      <c r="MHN117" s="0"/>
      <c r="MHO117" s="0"/>
      <c r="MHP117" s="0"/>
      <c r="MHQ117" s="0"/>
      <c r="MHR117" s="0"/>
      <c r="MHS117" s="0"/>
      <c r="MHT117" s="0"/>
      <c r="MHU117" s="0"/>
      <c r="MHV117" s="0"/>
      <c r="MHW117" s="0"/>
      <c r="MHX117" s="0"/>
      <c r="MHY117" s="0"/>
      <c r="MHZ117" s="0"/>
      <c r="MIA117" s="0"/>
      <c r="MIB117" s="0"/>
      <c r="MIC117" s="0"/>
      <c r="MID117" s="0"/>
      <c r="MIE117" s="0"/>
      <c r="MIF117" s="0"/>
      <c r="MIG117" s="0"/>
      <c r="MIH117" s="0"/>
      <c r="MII117" s="0"/>
      <c r="MIJ117" s="0"/>
      <c r="MIK117" s="0"/>
      <c r="MIL117" s="0"/>
      <c r="MIM117" s="0"/>
      <c r="MIN117" s="0"/>
      <c r="MIO117" s="0"/>
      <c r="MIP117" s="0"/>
      <c r="MIQ117" s="0"/>
      <c r="MIR117" s="0"/>
      <c r="MIS117" s="0"/>
      <c r="MIT117" s="0"/>
      <c r="MIU117" s="0"/>
      <c r="MIV117" s="0"/>
      <c r="MIW117" s="0"/>
      <c r="MIX117" s="0"/>
      <c r="MIY117" s="0"/>
      <c r="MIZ117" s="0"/>
      <c r="MJA117" s="0"/>
      <c r="MJB117" s="0"/>
      <c r="MJC117" s="0"/>
      <c r="MJD117" s="0"/>
      <c r="MJE117" s="0"/>
      <c r="MJF117" s="0"/>
      <c r="MJG117" s="0"/>
      <c r="MJH117" s="0"/>
      <c r="MJI117" s="0"/>
      <c r="MJJ117" s="0"/>
      <c r="MJK117" s="0"/>
      <c r="MJL117" s="0"/>
      <c r="MJM117" s="0"/>
      <c r="MJN117" s="0"/>
      <c r="MJO117" s="0"/>
      <c r="MJP117" s="0"/>
      <c r="MJQ117" s="0"/>
      <c r="MJR117" s="0"/>
      <c r="MJS117" s="0"/>
      <c r="MJT117" s="0"/>
      <c r="MJU117" s="0"/>
      <c r="MJV117" s="0"/>
      <c r="MJW117" s="0"/>
      <c r="MJX117" s="0"/>
      <c r="MJY117" s="0"/>
      <c r="MJZ117" s="0"/>
      <c r="MKA117" s="0"/>
      <c r="MKB117" s="0"/>
      <c r="MKC117" s="0"/>
      <c r="MKD117" s="0"/>
      <c r="MKE117" s="0"/>
      <c r="MKF117" s="0"/>
      <c r="MKG117" s="0"/>
      <c r="MKH117" s="0"/>
      <c r="MKI117" s="0"/>
      <c r="MKJ117" s="0"/>
      <c r="MKK117" s="0"/>
      <c r="MKL117" s="0"/>
      <c r="MKM117" s="0"/>
      <c r="MKN117" s="0"/>
      <c r="MKO117" s="0"/>
      <c r="MKP117" s="0"/>
      <c r="MKQ117" s="0"/>
      <c r="MKR117" s="0"/>
      <c r="MKS117" s="0"/>
      <c r="MKT117" s="0"/>
      <c r="MKU117" s="0"/>
      <c r="MKV117" s="0"/>
      <c r="MKW117" s="0"/>
      <c r="MKX117" s="0"/>
      <c r="MKY117" s="0"/>
      <c r="MKZ117" s="0"/>
      <c r="MLA117" s="0"/>
      <c r="MLB117" s="0"/>
      <c r="MLC117" s="0"/>
      <c r="MLD117" s="0"/>
      <c r="MLE117" s="0"/>
      <c r="MLF117" s="0"/>
      <c r="MLG117" s="0"/>
      <c r="MLH117" s="0"/>
      <c r="MLI117" s="0"/>
      <c r="MLJ117" s="0"/>
      <c r="MLK117" s="0"/>
      <c r="MLL117" s="0"/>
      <c r="MLM117" s="0"/>
      <c r="MLN117" s="0"/>
      <c r="MLO117" s="0"/>
      <c r="MLP117" s="0"/>
      <c r="MLQ117" s="0"/>
      <c r="MLR117" s="0"/>
      <c r="MLS117" s="0"/>
      <c r="MLT117" s="0"/>
      <c r="MLU117" s="0"/>
      <c r="MLV117" s="0"/>
      <c r="MLW117" s="0"/>
      <c r="MLX117" s="0"/>
      <c r="MLY117" s="0"/>
      <c r="MLZ117" s="0"/>
      <c r="MMA117" s="0"/>
      <c r="MMB117" s="0"/>
      <c r="MMC117" s="0"/>
      <c r="MMD117" s="0"/>
      <c r="MME117" s="0"/>
      <c r="MMF117" s="0"/>
      <c r="MMG117" s="0"/>
      <c r="MMH117" s="0"/>
      <c r="MMI117" s="0"/>
      <c r="MMJ117" s="0"/>
      <c r="MMK117" s="0"/>
      <c r="MML117" s="0"/>
      <c r="MMM117" s="0"/>
      <c r="MMN117" s="0"/>
      <c r="MMO117" s="0"/>
      <c r="MMP117" s="0"/>
      <c r="MMQ117" s="0"/>
      <c r="MMR117" s="0"/>
      <c r="MMS117" s="0"/>
      <c r="MMT117" s="0"/>
      <c r="MMU117" s="0"/>
      <c r="MMV117" s="0"/>
      <c r="MMW117" s="0"/>
      <c r="MMX117" s="0"/>
      <c r="MMY117" s="0"/>
      <c r="MMZ117" s="0"/>
      <c r="MNA117" s="0"/>
      <c r="MNB117" s="0"/>
      <c r="MNC117" s="0"/>
      <c r="MND117" s="0"/>
      <c r="MNE117" s="0"/>
      <c r="MNF117" s="0"/>
      <c r="MNG117" s="0"/>
      <c r="MNH117" s="0"/>
      <c r="MNI117" s="0"/>
      <c r="MNJ117" s="0"/>
      <c r="MNK117" s="0"/>
      <c r="MNL117" s="0"/>
      <c r="MNM117" s="0"/>
      <c r="MNN117" s="0"/>
      <c r="MNO117" s="0"/>
      <c r="MNP117" s="0"/>
      <c r="MNQ117" s="0"/>
      <c r="MNR117" s="0"/>
      <c r="MNS117" s="0"/>
      <c r="MNT117" s="0"/>
      <c r="MNU117" s="0"/>
      <c r="MNV117" s="0"/>
      <c r="MNW117" s="0"/>
      <c r="MNX117" s="0"/>
      <c r="MNY117" s="0"/>
      <c r="MNZ117" s="0"/>
      <c r="MOA117" s="0"/>
      <c r="MOB117" s="0"/>
      <c r="MOC117" s="0"/>
      <c r="MOD117" s="0"/>
      <c r="MOE117" s="0"/>
      <c r="MOF117" s="0"/>
      <c r="MOG117" s="0"/>
      <c r="MOH117" s="0"/>
      <c r="MOI117" s="0"/>
      <c r="MOJ117" s="0"/>
      <c r="MOK117" s="0"/>
      <c r="MOL117" s="0"/>
      <c r="MOM117" s="0"/>
      <c r="MON117" s="0"/>
      <c r="MOO117" s="0"/>
      <c r="MOP117" s="0"/>
      <c r="MOQ117" s="0"/>
      <c r="MOR117" s="0"/>
      <c r="MOS117" s="0"/>
      <c r="MOT117" s="0"/>
      <c r="MOU117" s="0"/>
      <c r="MOV117" s="0"/>
      <c r="MOW117" s="0"/>
      <c r="MOX117" s="0"/>
      <c r="MOY117" s="0"/>
      <c r="MOZ117" s="0"/>
      <c r="MPA117" s="0"/>
      <c r="MPB117" s="0"/>
      <c r="MPC117" s="0"/>
      <c r="MPD117" s="0"/>
      <c r="MPE117" s="0"/>
      <c r="MPF117" s="0"/>
      <c r="MPG117" s="0"/>
      <c r="MPH117" s="0"/>
      <c r="MPI117" s="0"/>
      <c r="MPJ117" s="0"/>
      <c r="MPK117" s="0"/>
      <c r="MPL117" s="0"/>
      <c r="MPM117" s="0"/>
      <c r="MPN117" s="0"/>
      <c r="MPO117" s="0"/>
      <c r="MPP117" s="0"/>
      <c r="MPQ117" s="0"/>
      <c r="MPR117" s="0"/>
      <c r="MPS117" s="0"/>
      <c r="MPT117" s="0"/>
      <c r="MPU117" s="0"/>
      <c r="MPV117" s="0"/>
      <c r="MPW117" s="0"/>
      <c r="MPX117" s="0"/>
      <c r="MPY117" s="0"/>
      <c r="MPZ117" s="0"/>
      <c r="MQA117" s="0"/>
      <c r="MQB117" s="0"/>
      <c r="MQC117" s="0"/>
      <c r="MQD117" s="0"/>
      <c r="MQE117" s="0"/>
      <c r="MQF117" s="0"/>
      <c r="MQG117" s="0"/>
      <c r="MQH117" s="0"/>
      <c r="MQI117" s="0"/>
      <c r="MQJ117" s="0"/>
      <c r="MQK117" s="0"/>
      <c r="MQL117" s="0"/>
      <c r="MQM117" s="0"/>
      <c r="MQN117" s="0"/>
      <c r="MQO117" s="0"/>
      <c r="MQP117" s="0"/>
      <c r="MQQ117" s="0"/>
      <c r="MQR117" s="0"/>
      <c r="MQS117" s="0"/>
      <c r="MQT117" s="0"/>
      <c r="MQU117" s="0"/>
      <c r="MQV117" s="0"/>
      <c r="MQW117" s="0"/>
      <c r="MQX117" s="0"/>
      <c r="MQY117" s="0"/>
      <c r="MQZ117" s="0"/>
      <c r="MRA117" s="0"/>
      <c r="MRB117" s="0"/>
      <c r="MRC117" s="0"/>
      <c r="MRD117" s="0"/>
      <c r="MRE117" s="0"/>
      <c r="MRF117" s="0"/>
      <c r="MRG117" s="0"/>
      <c r="MRH117" s="0"/>
      <c r="MRI117" s="0"/>
      <c r="MRJ117" s="0"/>
      <c r="MRK117" s="0"/>
      <c r="MRL117" s="0"/>
      <c r="MRM117" s="0"/>
      <c r="MRN117" s="0"/>
      <c r="MRO117" s="0"/>
      <c r="MRP117" s="0"/>
      <c r="MRQ117" s="0"/>
      <c r="MRR117" s="0"/>
      <c r="MRS117" s="0"/>
      <c r="MRT117" s="0"/>
      <c r="MRU117" s="0"/>
      <c r="MRV117" s="0"/>
      <c r="MRW117" s="0"/>
      <c r="MRX117" s="0"/>
      <c r="MRY117" s="0"/>
      <c r="MRZ117" s="0"/>
      <c r="MSA117" s="0"/>
      <c r="MSB117" s="0"/>
      <c r="MSC117" s="0"/>
      <c r="MSD117" s="0"/>
      <c r="MSE117" s="0"/>
      <c r="MSF117" s="0"/>
      <c r="MSG117" s="0"/>
      <c r="MSH117" s="0"/>
      <c r="MSI117" s="0"/>
      <c r="MSJ117" s="0"/>
      <c r="MSK117" s="0"/>
      <c r="MSL117" s="0"/>
      <c r="MSM117" s="0"/>
      <c r="MSN117" s="0"/>
      <c r="MSO117" s="0"/>
      <c r="MSP117" s="0"/>
      <c r="MSQ117" s="0"/>
      <c r="MSR117" s="0"/>
      <c r="MSS117" s="0"/>
      <c r="MST117" s="0"/>
      <c r="MSU117" s="0"/>
      <c r="MSV117" s="0"/>
      <c r="MSW117" s="0"/>
      <c r="MSX117" s="0"/>
      <c r="MSY117" s="0"/>
      <c r="MSZ117" s="0"/>
      <c r="MTA117" s="0"/>
      <c r="MTB117" s="0"/>
      <c r="MTC117" s="0"/>
      <c r="MTD117" s="0"/>
      <c r="MTE117" s="0"/>
      <c r="MTF117" s="0"/>
      <c r="MTG117" s="0"/>
      <c r="MTH117" s="0"/>
      <c r="MTI117" s="0"/>
      <c r="MTJ117" s="0"/>
      <c r="MTK117" s="0"/>
      <c r="MTL117" s="0"/>
      <c r="MTM117" s="0"/>
      <c r="MTN117" s="0"/>
      <c r="MTO117" s="0"/>
      <c r="MTP117" s="0"/>
      <c r="MTQ117" s="0"/>
      <c r="MTR117" s="0"/>
      <c r="MTS117" s="0"/>
      <c r="MTT117" s="0"/>
      <c r="MTU117" s="0"/>
      <c r="MTV117" s="0"/>
      <c r="MTW117" s="0"/>
      <c r="MTX117" s="0"/>
      <c r="MTY117" s="0"/>
      <c r="MTZ117" s="0"/>
      <c r="MUA117" s="0"/>
      <c r="MUB117" s="0"/>
      <c r="MUC117" s="0"/>
      <c r="MUD117" s="0"/>
      <c r="MUE117" s="0"/>
      <c r="MUF117" s="0"/>
      <c r="MUG117" s="0"/>
      <c r="MUH117" s="0"/>
      <c r="MUI117" s="0"/>
      <c r="MUJ117" s="0"/>
      <c r="MUK117" s="0"/>
      <c r="MUL117" s="0"/>
      <c r="MUM117" s="0"/>
      <c r="MUN117" s="0"/>
      <c r="MUO117" s="0"/>
      <c r="MUP117" s="0"/>
      <c r="MUQ117" s="0"/>
      <c r="MUR117" s="0"/>
      <c r="MUS117" s="0"/>
      <c r="MUT117" s="0"/>
      <c r="MUU117" s="0"/>
      <c r="MUV117" s="0"/>
      <c r="MUW117" s="0"/>
      <c r="MUX117" s="0"/>
      <c r="MUY117" s="0"/>
      <c r="MUZ117" s="0"/>
      <c r="MVA117" s="0"/>
      <c r="MVB117" s="0"/>
      <c r="MVC117" s="0"/>
      <c r="MVD117" s="0"/>
      <c r="MVE117" s="0"/>
      <c r="MVF117" s="0"/>
      <c r="MVG117" s="0"/>
      <c r="MVH117" s="0"/>
      <c r="MVI117" s="0"/>
      <c r="MVJ117" s="0"/>
      <c r="MVK117" s="0"/>
      <c r="MVL117" s="0"/>
      <c r="MVM117" s="0"/>
      <c r="MVN117" s="0"/>
      <c r="MVO117" s="0"/>
      <c r="MVP117" s="0"/>
      <c r="MVQ117" s="0"/>
      <c r="MVR117" s="0"/>
      <c r="MVS117" s="0"/>
      <c r="MVT117" s="0"/>
      <c r="MVU117" s="0"/>
      <c r="MVV117" s="0"/>
      <c r="MVW117" s="0"/>
      <c r="MVX117" s="0"/>
      <c r="MVY117" s="0"/>
      <c r="MVZ117" s="0"/>
      <c r="MWA117" s="0"/>
      <c r="MWB117" s="0"/>
      <c r="MWC117" s="0"/>
      <c r="MWD117" s="0"/>
      <c r="MWE117" s="0"/>
      <c r="MWF117" s="0"/>
      <c r="MWG117" s="0"/>
      <c r="MWH117" s="0"/>
      <c r="MWI117" s="0"/>
      <c r="MWJ117" s="0"/>
      <c r="MWK117" s="0"/>
      <c r="MWL117" s="0"/>
      <c r="MWM117" s="0"/>
      <c r="MWN117" s="0"/>
      <c r="MWO117" s="0"/>
      <c r="MWP117" s="0"/>
      <c r="MWQ117" s="0"/>
      <c r="MWR117" s="0"/>
      <c r="MWS117" s="0"/>
      <c r="MWT117" s="0"/>
      <c r="MWU117" s="0"/>
      <c r="MWV117" s="0"/>
      <c r="MWW117" s="0"/>
      <c r="MWX117" s="0"/>
      <c r="MWY117" s="0"/>
      <c r="MWZ117" s="0"/>
      <c r="MXA117" s="0"/>
      <c r="MXB117" s="0"/>
      <c r="MXC117" s="0"/>
      <c r="MXD117" s="0"/>
      <c r="MXE117" s="0"/>
      <c r="MXF117" s="0"/>
      <c r="MXG117" s="0"/>
      <c r="MXH117" s="0"/>
      <c r="MXI117" s="0"/>
      <c r="MXJ117" s="0"/>
      <c r="MXK117" s="0"/>
      <c r="MXL117" s="0"/>
      <c r="MXM117" s="0"/>
      <c r="MXN117" s="0"/>
      <c r="MXO117" s="0"/>
      <c r="MXP117" s="0"/>
      <c r="MXQ117" s="0"/>
      <c r="MXR117" s="0"/>
      <c r="MXS117" s="0"/>
      <c r="MXT117" s="0"/>
      <c r="MXU117" s="0"/>
      <c r="MXV117" s="0"/>
      <c r="MXW117" s="0"/>
      <c r="MXX117" s="0"/>
      <c r="MXY117" s="0"/>
      <c r="MXZ117" s="0"/>
      <c r="MYA117" s="0"/>
      <c r="MYB117" s="0"/>
      <c r="MYC117" s="0"/>
      <c r="MYD117" s="0"/>
      <c r="MYE117" s="0"/>
      <c r="MYF117" s="0"/>
      <c r="MYG117" s="0"/>
      <c r="MYH117" s="0"/>
      <c r="MYI117" s="0"/>
      <c r="MYJ117" s="0"/>
      <c r="MYK117" s="0"/>
      <c r="MYL117" s="0"/>
      <c r="MYM117" s="0"/>
      <c r="MYN117" s="0"/>
      <c r="MYO117" s="0"/>
      <c r="MYP117" s="0"/>
      <c r="MYQ117" s="0"/>
      <c r="MYR117" s="0"/>
      <c r="MYS117" s="0"/>
      <c r="MYT117" s="0"/>
      <c r="MYU117" s="0"/>
      <c r="MYV117" s="0"/>
      <c r="MYW117" s="0"/>
      <c r="MYX117" s="0"/>
      <c r="MYY117" s="0"/>
      <c r="MYZ117" s="0"/>
      <c r="MZA117" s="0"/>
      <c r="MZB117" s="0"/>
      <c r="MZC117" s="0"/>
      <c r="MZD117" s="0"/>
      <c r="MZE117" s="0"/>
      <c r="MZF117" s="0"/>
      <c r="MZG117" s="0"/>
      <c r="MZH117" s="0"/>
      <c r="MZI117" s="0"/>
      <c r="MZJ117" s="0"/>
      <c r="MZK117" s="0"/>
      <c r="MZL117" s="0"/>
      <c r="MZM117" s="0"/>
      <c r="MZN117" s="0"/>
      <c r="MZO117" s="0"/>
      <c r="MZP117" s="0"/>
      <c r="MZQ117" s="0"/>
      <c r="MZR117" s="0"/>
      <c r="MZS117" s="0"/>
      <c r="MZT117" s="0"/>
      <c r="MZU117" s="0"/>
      <c r="MZV117" s="0"/>
      <c r="MZW117" s="0"/>
      <c r="MZX117" s="0"/>
      <c r="MZY117" s="0"/>
      <c r="MZZ117" s="0"/>
      <c r="NAA117" s="0"/>
      <c r="NAB117" s="0"/>
      <c r="NAC117" s="0"/>
      <c r="NAD117" s="0"/>
      <c r="NAE117" s="0"/>
      <c r="NAF117" s="0"/>
      <c r="NAG117" s="0"/>
      <c r="NAH117" s="0"/>
      <c r="NAI117" s="0"/>
      <c r="NAJ117" s="0"/>
      <c r="NAK117" s="0"/>
      <c r="NAL117" s="0"/>
      <c r="NAM117" s="0"/>
      <c r="NAN117" s="0"/>
      <c r="NAO117" s="0"/>
      <c r="NAP117" s="0"/>
      <c r="NAQ117" s="0"/>
      <c r="NAR117" s="0"/>
      <c r="NAS117" s="0"/>
      <c r="NAT117" s="0"/>
      <c r="NAU117" s="0"/>
      <c r="NAV117" s="0"/>
      <c r="NAW117" s="0"/>
      <c r="NAX117" s="0"/>
      <c r="NAY117" s="0"/>
      <c r="NAZ117" s="0"/>
      <c r="NBA117" s="0"/>
      <c r="NBB117" s="0"/>
      <c r="NBC117" s="0"/>
      <c r="NBD117" s="0"/>
      <c r="NBE117" s="0"/>
      <c r="NBF117" s="0"/>
      <c r="NBG117" s="0"/>
      <c r="NBH117" s="0"/>
      <c r="NBI117" s="0"/>
      <c r="NBJ117" s="0"/>
      <c r="NBK117" s="0"/>
      <c r="NBL117" s="0"/>
      <c r="NBM117" s="0"/>
      <c r="NBN117" s="0"/>
      <c r="NBO117" s="0"/>
      <c r="NBP117" s="0"/>
      <c r="NBQ117" s="0"/>
      <c r="NBR117" s="0"/>
      <c r="NBS117" s="0"/>
      <c r="NBT117" s="0"/>
      <c r="NBU117" s="0"/>
      <c r="NBV117" s="0"/>
      <c r="NBW117" s="0"/>
      <c r="NBX117" s="0"/>
      <c r="NBY117" s="0"/>
      <c r="NBZ117" s="0"/>
      <c r="NCA117" s="0"/>
      <c r="NCB117" s="0"/>
      <c r="NCC117" s="0"/>
      <c r="NCD117" s="0"/>
      <c r="NCE117" s="0"/>
      <c r="NCF117" s="0"/>
      <c r="NCG117" s="0"/>
      <c r="NCH117" s="0"/>
      <c r="NCI117" s="0"/>
      <c r="NCJ117" s="0"/>
      <c r="NCK117" s="0"/>
      <c r="NCL117" s="0"/>
      <c r="NCM117" s="0"/>
      <c r="NCN117" s="0"/>
      <c r="NCO117" s="0"/>
      <c r="NCP117" s="0"/>
      <c r="NCQ117" s="0"/>
      <c r="NCR117" s="0"/>
      <c r="NCS117" s="0"/>
      <c r="NCT117" s="0"/>
      <c r="NCU117" s="0"/>
      <c r="NCV117" s="0"/>
      <c r="NCW117" s="0"/>
      <c r="NCX117" s="0"/>
      <c r="NCY117" s="0"/>
      <c r="NCZ117" s="0"/>
      <c r="NDA117" s="0"/>
      <c r="NDB117" s="0"/>
      <c r="NDC117" s="0"/>
      <c r="NDD117" s="0"/>
      <c r="NDE117" s="0"/>
      <c r="NDF117" s="0"/>
      <c r="NDG117" s="0"/>
      <c r="NDH117" s="0"/>
      <c r="NDI117" s="0"/>
      <c r="NDJ117" s="0"/>
      <c r="NDK117" s="0"/>
      <c r="NDL117" s="0"/>
      <c r="NDM117" s="0"/>
      <c r="NDN117" s="0"/>
      <c r="NDO117" s="0"/>
      <c r="NDP117" s="0"/>
      <c r="NDQ117" s="0"/>
      <c r="NDR117" s="0"/>
      <c r="NDS117" s="0"/>
      <c r="NDT117" s="0"/>
      <c r="NDU117" s="0"/>
      <c r="NDV117" s="0"/>
      <c r="NDW117" s="0"/>
      <c r="NDX117" s="0"/>
      <c r="NDY117" s="0"/>
      <c r="NDZ117" s="0"/>
      <c r="NEA117" s="0"/>
      <c r="NEB117" s="0"/>
      <c r="NEC117" s="0"/>
      <c r="NED117" s="0"/>
      <c r="NEE117" s="0"/>
      <c r="NEF117" s="0"/>
      <c r="NEG117" s="0"/>
      <c r="NEH117" s="0"/>
      <c r="NEI117" s="0"/>
      <c r="NEJ117" s="0"/>
      <c r="NEK117" s="0"/>
      <c r="NEL117" s="0"/>
      <c r="NEM117" s="0"/>
      <c r="NEN117" s="0"/>
      <c r="NEO117" s="0"/>
      <c r="NEP117" s="0"/>
      <c r="NEQ117" s="0"/>
      <c r="NER117" s="0"/>
      <c r="NES117" s="0"/>
      <c r="NET117" s="0"/>
      <c r="NEU117" s="0"/>
      <c r="NEV117" s="0"/>
      <c r="NEW117" s="0"/>
      <c r="NEX117" s="0"/>
      <c r="NEY117" s="0"/>
      <c r="NEZ117" s="0"/>
      <c r="NFA117" s="0"/>
      <c r="NFB117" s="0"/>
      <c r="NFC117" s="0"/>
      <c r="NFD117" s="0"/>
      <c r="NFE117" s="0"/>
      <c r="NFF117" s="0"/>
      <c r="NFG117" s="0"/>
      <c r="NFH117" s="0"/>
      <c r="NFI117" s="0"/>
      <c r="NFJ117" s="0"/>
      <c r="NFK117" s="0"/>
      <c r="NFL117" s="0"/>
      <c r="NFM117" s="0"/>
      <c r="NFN117" s="0"/>
      <c r="NFO117" s="0"/>
      <c r="NFP117" s="0"/>
      <c r="NFQ117" s="0"/>
      <c r="NFR117" s="0"/>
      <c r="NFS117" s="0"/>
      <c r="NFT117" s="0"/>
      <c r="NFU117" s="0"/>
      <c r="NFV117" s="0"/>
      <c r="NFW117" s="0"/>
      <c r="NFX117" s="0"/>
      <c r="NFY117" s="0"/>
      <c r="NFZ117" s="0"/>
      <c r="NGA117" s="0"/>
      <c r="NGB117" s="0"/>
      <c r="NGC117" s="0"/>
      <c r="NGD117" s="0"/>
      <c r="NGE117" s="0"/>
      <c r="NGF117" s="0"/>
      <c r="NGG117" s="0"/>
      <c r="NGH117" s="0"/>
      <c r="NGI117" s="0"/>
      <c r="NGJ117" s="0"/>
      <c r="NGK117" s="0"/>
      <c r="NGL117" s="0"/>
      <c r="NGM117" s="0"/>
      <c r="NGN117" s="0"/>
      <c r="NGO117" s="0"/>
      <c r="NGP117" s="0"/>
      <c r="NGQ117" s="0"/>
      <c r="NGR117" s="0"/>
      <c r="NGS117" s="0"/>
      <c r="NGT117" s="0"/>
      <c r="NGU117" s="0"/>
      <c r="NGV117" s="0"/>
      <c r="NGW117" s="0"/>
      <c r="NGX117" s="0"/>
      <c r="NGY117" s="0"/>
      <c r="NGZ117" s="0"/>
      <c r="NHA117" s="0"/>
      <c r="NHB117" s="0"/>
      <c r="NHC117" s="0"/>
      <c r="NHD117" s="0"/>
      <c r="NHE117" s="0"/>
      <c r="NHF117" s="0"/>
      <c r="NHG117" s="0"/>
      <c r="NHH117" s="0"/>
      <c r="NHI117" s="0"/>
      <c r="NHJ117" s="0"/>
      <c r="NHK117" s="0"/>
      <c r="NHL117" s="0"/>
      <c r="NHM117" s="0"/>
      <c r="NHN117" s="0"/>
      <c r="NHO117" s="0"/>
      <c r="NHP117" s="0"/>
      <c r="NHQ117" s="0"/>
      <c r="NHR117" s="0"/>
      <c r="NHS117" s="0"/>
      <c r="NHT117" s="0"/>
      <c r="NHU117" s="0"/>
      <c r="NHV117" s="0"/>
      <c r="NHW117" s="0"/>
      <c r="NHX117" s="0"/>
      <c r="NHY117" s="0"/>
      <c r="NHZ117" s="0"/>
      <c r="NIA117" s="0"/>
      <c r="NIB117" s="0"/>
      <c r="NIC117" s="0"/>
      <c r="NID117" s="0"/>
      <c r="NIE117" s="0"/>
      <c r="NIF117" s="0"/>
      <c r="NIG117" s="0"/>
      <c r="NIH117" s="0"/>
      <c r="NII117" s="0"/>
      <c r="NIJ117" s="0"/>
      <c r="NIK117" s="0"/>
      <c r="NIL117" s="0"/>
      <c r="NIM117" s="0"/>
      <c r="NIN117" s="0"/>
      <c r="NIO117" s="0"/>
      <c r="NIP117" s="0"/>
      <c r="NIQ117" s="0"/>
      <c r="NIR117" s="0"/>
      <c r="NIS117" s="0"/>
      <c r="NIT117" s="0"/>
      <c r="NIU117" s="0"/>
      <c r="NIV117" s="0"/>
      <c r="NIW117" s="0"/>
      <c r="NIX117" s="0"/>
      <c r="NIY117" s="0"/>
      <c r="NIZ117" s="0"/>
      <c r="NJA117" s="0"/>
      <c r="NJB117" s="0"/>
      <c r="NJC117" s="0"/>
      <c r="NJD117" s="0"/>
      <c r="NJE117" s="0"/>
      <c r="NJF117" s="0"/>
      <c r="NJG117" s="0"/>
      <c r="NJH117" s="0"/>
      <c r="NJI117" s="0"/>
      <c r="NJJ117" s="0"/>
      <c r="NJK117" s="0"/>
      <c r="NJL117" s="0"/>
      <c r="NJM117" s="0"/>
      <c r="NJN117" s="0"/>
      <c r="NJO117" s="0"/>
      <c r="NJP117" s="0"/>
      <c r="NJQ117" s="0"/>
      <c r="NJR117" s="0"/>
      <c r="NJS117" s="0"/>
      <c r="NJT117" s="0"/>
      <c r="NJU117" s="0"/>
      <c r="NJV117" s="0"/>
      <c r="NJW117" s="0"/>
      <c r="NJX117" s="0"/>
      <c r="NJY117" s="0"/>
      <c r="NJZ117" s="0"/>
      <c r="NKA117" s="0"/>
      <c r="NKB117" s="0"/>
      <c r="NKC117" s="0"/>
      <c r="NKD117" s="0"/>
      <c r="NKE117" s="0"/>
      <c r="NKF117" s="0"/>
      <c r="NKG117" s="0"/>
      <c r="NKH117" s="0"/>
      <c r="NKI117" s="0"/>
      <c r="NKJ117" s="0"/>
      <c r="NKK117" s="0"/>
      <c r="NKL117" s="0"/>
      <c r="NKM117" s="0"/>
      <c r="NKN117" s="0"/>
      <c r="NKO117" s="0"/>
      <c r="NKP117" s="0"/>
      <c r="NKQ117" s="0"/>
      <c r="NKR117" s="0"/>
      <c r="NKS117" s="0"/>
      <c r="NKT117" s="0"/>
      <c r="NKU117" s="0"/>
      <c r="NKV117" s="0"/>
      <c r="NKW117" s="0"/>
      <c r="NKX117" s="0"/>
      <c r="NKY117" s="0"/>
      <c r="NKZ117" s="0"/>
      <c r="NLA117" s="0"/>
      <c r="NLB117" s="0"/>
      <c r="NLC117" s="0"/>
      <c r="NLD117" s="0"/>
      <c r="NLE117" s="0"/>
      <c r="NLF117" s="0"/>
      <c r="NLG117" s="0"/>
      <c r="NLH117" s="0"/>
      <c r="NLI117" s="0"/>
      <c r="NLJ117" s="0"/>
      <c r="NLK117" s="0"/>
      <c r="NLL117" s="0"/>
      <c r="NLM117" s="0"/>
      <c r="NLN117" s="0"/>
      <c r="NLO117" s="0"/>
      <c r="NLP117" s="0"/>
      <c r="NLQ117" s="0"/>
      <c r="NLR117" s="0"/>
      <c r="NLS117" s="0"/>
      <c r="NLT117" s="0"/>
      <c r="NLU117" s="0"/>
      <c r="NLV117" s="0"/>
      <c r="NLW117" s="0"/>
      <c r="NLX117" s="0"/>
      <c r="NLY117" s="0"/>
      <c r="NLZ117" s="0"/>
      <c r="NMA117" s="0"/>
      <c r="NMB117" s="0"/>
      <c r="NMC117" s="0"/>
      <c r="NMD117" s="0"/>
      <c r="NME117" s="0"/>
      <c r="NMF117" s="0"/>
      <c r="NMG117" s="0"/>
      <c r="NMH117" s="0"/>
      <c r="NMI117" s="0"/>
      <c r="NMJ117" s="0"/>
      <c r="NMK117" s="0"/>
      <c r="NML117" s="0"/>
      <c r="NMM117" s="0"/>
      <c r="NMN117" s="0"/>
      <c r="NMO117" s="0"/>
      <c r="NMP117" s="0"/>
      <c r="NMQ117" s="0"/>
      <c r="NMR117" s="0"/>
      <c r="NMS117" s="0"/>
      <c r="NMT117" s="0"/>
      <c r="NMU117" s="0"/>
      <c r="NMV117" s="0"/>
      <c r="NMW117" s="0"/>
      <c r="NMX117" s="0"/>
      <c r="NMY117" s="0"/>
      <c r="NMZ117" s="0"/>
      <c r="NNA117" s="0"/>
      <c r="NNB117" s="0"/>
      <c r="NNC117" s="0"/>
      <c r="NND117" s="0"/>
      <c r="NNE117" s="0"/>
      <c r="NNF117" s="0"/>
      <c r="NNG117" s="0"/>
      <c r="NNH117" s="0"/>
      <c r="NNI117" s="0"/>
      <c r="NNJ117" s="0"/>
      <c r="NNK117" s="0"/>
      <c r="NNL117" s="0"/>
      <c r="NNM117" s="0"/>
      <c r="NNN117" s="0"/>
      <c r="NNO117" s="0"/>
      <c r="NNP117" s="0"/>
      <c r="NNQ117" s="0"/>
      <c r="NNR117" s="0"/>
      <c r="NNS117" s="0"/>
      <c r="NNT117" s="0"/>
      <c r="NNU117" s="0"/>
      <c r="NNV117" s="0"/>
      <c r="NNW117" s="0"/>
      <c r="NNX117" s="0"/>
      <c r="NNY117" s="0"/>
      <c r="NNZ117" s="0"/>
      <c r="NOA117" s="0"/>
      <c r="NOB117" s="0"/>
      <c r="NOC117" s="0"/>
      <c r="NOD117" s="0"/>
      <c r="NOE117" s="0"/>
      <c r="NOF117" s="0"/>
      <c r="NOG117" s="0"/>
      <c r="NOH117" s="0"/>
      <c r="NOI117" s="0"/>
      <c r="NOJ117" s="0"/>
      <c r="NOK117" s="0"/>
      <c r="NOL117" s="0"/>
      <c r="NOM117" s="0"/>
      <c r="NON117" s="0"/>
      <c r="NOO117" s="0"/>
      <c r="NOP117" s="0"/>
      <c r="NOQ117" s="0"/>
      <c r="NOR117" s="0"/>
      <c r="NOS117" s="0"/>
      <c r="NOT117" s="0"/>
      <c r="NOU117" s="0"/>
      <c r="NOV117" s="0"/>
      <c r="NOW117" s="0"/>
      <c r="NOX117" s="0"/>
      <c r="NOY117" s="0"/>
      <c r="NOZ117" s="0"/>
      <c r="NPA117" s="0"/>
      <c r="NPB117" s="0"/>
      <c r="NPC117" s="0"/>
      <c r="NPD117" s="0"/>
      <c r="NPE117" s="0"/>
      <c r="NPF117" s="0"/>
      <c r="NPG117" s="0"/>
      <c r="NPH117" s="0"/>
      <c r="NPI117" s="0"/>
      <c r="NPJ117" s="0"/>
      <c r="NPK117" s="0"/>
      <c r="NPL117" s="0"/>
      <c r="NPM117" s="0"/>
      <c r="NPN117" s="0"/>
      <c r="NPO117" s="0"/>
      <c r="NPP117" s="0"/>
      <c r="NPQ117" s="0"/>
      <c r="NPR117" s="0"/>
      <c r="NPS117" s="0"/>
      <c r="NPT117" s="0"/>
      <c r="NPU117" s="0"/>
      <c r="NPV117" s="0"/>
      <c r="NPW117" s="0"/>
      <c r="NPX117" s="0"/>
      <c r="NPY117" s="0"/>
      <c r="NPZ117" s="0"/>
      <c r="NQA117" s="0"/>
      <c r="NQB117" s="0"/>
      <c r="NQC117" s="0"/>
      <c r="NQD117" s="0"/>
      <c r="NQE117" s="0"/>
      <c r="NQF117" s="0"/>
      <c r="NQG117" s="0"/>
      <c r="NQH117" s="0"/>
      <c r="NQI117" s="0"/>
      <c r="NQJ117" s="0"/>
      <c r="NQK117" s="0"/>
      <c r="NQL117" s="0"/>
      <c r="NQM117" s="0"/>
      <c r="NQN117" s="0"/>
      <c r="NQO117" s="0"/>
      <c r="NQP117" s="0"/>
      <c r="NQQ117" s="0"/>
      <c r="NQR117" s="0"/>
      <c r="NQS117" s="0"/>
      <c r="NQT117" s="0"/>
      <c r="NQU117" s="0"/>
      <c r="NQV117" s="0"/>
      <c r="NQW117" s="0"/>
      <c r="NQX117" s="0"/>
      <c r="NQY117" s="0"/>
      <c r="NQZ117" s="0"/>
      <c r="NRA117" s="0"/>
      <c r="NRB117" s="0"/>
      <c r="NRC117" s="0"/>
      <c r="NRD117" s="0"/>
      <c r="NRE117" s="0"/>
      <c r="NRF117" s="0"/>
      <c r="NRG117" s="0"/>
      <c r="NRH117" s="0"/>
      <c r="NRI117" s="0"/>
      <c r="NRJ117" s="0"/>
      <c r="NRK117" s="0"/>
      <c r="NRL117" s="0"/>
      <c r="NRM117" s="0"/>
      <c r="NRN117" s="0"/>
      <c r="NRO117" s="0"/>
      <c r="NRP117" s="0"/>
      <c r="NRQ117" s="0"/>
      <c r="NRR117" s="0"/>
      <c r="NRS117" s="0"/>
      <c r="NRT117" s="0"/>
      <c r="NRU117" s="0"/>
      <c r="NRV117" s="0"/>
      <c r="NRW117" s="0"/>
      <c r="NRX117" s="0"/>
      <c r="NRY117" s="0"/>
      <c r="NRZ117" s="0"/>
      <c r="NSA117" s="0"/>
      <c r="NSB117" s="0"/>
      <c r="NSC117" s="0"/>
      <c r="NSD117" s="0"/>
      <c r="NSE117" s="0"/>
      <c r="NSF117" s="0"/>
      <c r="NSG117" s="0"/>
      <c r="NSH117" s="0"/>
      <c r="NSI117" s="0"/>
      <c r="NSJ117" s="0"/>
      <c r="NSK117" s="0"/>
      <c r="NSL117" s="0"/>
      <c r="NSM117" s="0"/>
      <c r="NSN117" s="0"/>
      <c r="NSO117" s="0"/>
      <c r="NSP117" s="0"/>
      <c r="NSQ117" s="0"/>
      <c r="NSR117" s="0"/>
      <c r="NSS117" s="0"/>
      <c r="NST117" s="0"/>
      <c r="NSU117" s="0"/>
      <c r="NSV117" s="0"/>
      <c r="NSW117" s="0"/>
      <c r="NSX117" s="0"/>
      <c r="NSY117" s="0"/>
      <c r="NSZ117" s="0"/>
      <c r="NTA117" s="0"/>
      <c r="NTB117" s="0"/>
      <c r="NTC117" s="0"/>
      <c r="NTD117" s="0"/>
      <c r="NTE117" s="0"/>
      <c r="NTF117" s="0"/>
      <c r="NTG117" s="0"/>
      <c r="NTH117" s="0"/>
      <c r="NTI117" s="0"/>
      <c r="NTJ117" s="0"/>
      <c r="NTK117" s="0"/>
      <c r="NTL117" s="0"/>
      <c r="NTM117" s="0"/>
      <c r="NTN117" s="0"/>
      <c r="NTO117" s="0"/>
      <c r="NTP117" s="0"/>
      <c r="NTQ117" s="0"/>
      <c r="NTR117" s="0"/>
      <c r="NTS117" s="0"/>
      <c r="NTT117" s="0"/>
      <c r="NTU117" s="0"/>
      <c r="NTV117" s="0"/>
      <c r="NTW117" s="0"/>
      <c r="NTX117" s="0"/>
      <c r="NTY117" s="0"/>
      <c r="NTZ117" s="0"/>
      <c r="NUA117" s="0"/>
      <c r="NUB117" s="0"/>
      <c r="NUC117" s="0"/>
      <c r="NUD117" s="0"/>
      <c r="NUE117" s="0"/>
      <c r="NUF117" s="0"/>
      <c r="NUG117" s="0"/>
      <c r="NUH117" s="0"/>
      <c r="NUI117" s="0"/>
      <c r="NUJ117" s="0"/>
      <c r="NUK117" s="0"/>
      <c r="NUL117" s="0"/>
      <c r="NUM117" s="0"/>
      <c r="NUN117" s="0"/>
      <c r="NUO117" s="0"/>
      <c r="NUP117" s="0"/>
      <c r="NUQ117" s="0"/>
      <c r="NUR117" s="0"/>
      <c r="NUS117" s="0"/>
      <c r="NUT117" s="0"/>
      <c r="NUU117" s="0"/>
      <c r="NUV117" s="0"/>
      <c r="NUW117" s="0"/>
      <c r="NUX117" s="0"/>
      <c r="NUY117" s="0"/>
      <c r="NUZ117" s="0"/>
      <c r="NVA117" s="0"/>
      <c r="NVB117" s="0"/>
      <c r="NVC117" s="0"/>
      <c r="NVD117" s="0"/>
      <c r="NVE117" s="0"/>
      <c r="NVF117" s="0"/>
      <c r="NVG117" s="0"/>
      <c r="NVH117" s="0"/>
      <c r="NVI117" s="0"/>
      <c r="NVJ117" s="0"/>
      <c r="NVK117" s="0"/>
      <c r="NVL117" s="0"/>
      <c r="NVM117" s="0"/>
      <c r="NVN117" s="0"/>
      <c r="NVO117" s="0"/>
      <c r="NVP117" s="0"/>
      <c r="NVQ117" s="0"/>
      <c r="NVR117" s="0"/>
      <c r="NVS117" s="0"/>
      <c r="NVT117" s="0"/>
      <c r="NVU117" s="0"/>
      <c r="NVV117" s="0"/>
      <c r="NVW117" s="0"/>
      <c r="NVX117" s="0"/>
      <c r="NVY117" s="0"/>
      <c r="NVZ117" s="0"/>
      <c r="NWA117" s="0"/>
      <c r="NWB117" s="0"/>
      <c r="NWC117" s="0"/>
      <c r="NWD117" s="0"/>
      <c r="NWE117" s="0"/>
      <c r="NWF117" s="0"/>
      <c r="NWG117" s="0"/>
      <c r="NWH117" s="0"/>
      <c r="NWI117" s="0"/>
      <c r="NWJ117" s="0"/>
      <c r="NWK117" s="0"/>
      <c r="NWL117" s="0"/>
      <c r="NWM117" s="0"/>
      <c r="NWN117" s="0"/>
      <c r="NWO117" s="0"/>
      <c r="NWP117" s="0"/>
      <c r="NWQ117" s="0"/>
      <c r="NWR117" s="0"/>
      <c r="NWS117" s="0"/>
      <c r="NWT117" s="0"/>
      <c r="NWU117" s="0"/>
      <c r="NWV117" s="0"/>
      <c r="NWW117" s="0"/>
      <c r="NWX117" s="0"/>
      <c r="NWY117" s="0"/>
      <c r="NWZ117" s="0"/>
      <c r="NXA117" s="0"/>
      <c r="NXB117" s="0"/>
      <c r="NXC117" s="0"/>
      <c r="NXD117" s="0"/>
      <c r="NXE117" s="0"/>
      <c r="NXF117" s="0"/>
      <c r="NXG117" s="0"/>
      <c r="NXH117" s="0"/>
      <c r="NXI117" s="0"/>
      <c r="NXJ117" s="0"/>
      <c r="NXK117" s="0"/>
      <c r="NXL117" s="0"/>
      <c r="NXM117" s="0"/>
      <c r="NXN117" s="0"/>
      <c r="NXO117" s="0"/>
      <c r="NXP117" s="0"/>
      <c r="NXQ117" s="0"/>
      <c r="NXR117" s="0"/>
      <c r="NXS117" s="0"/>
      <c r="NXT117" s="0"/>
      <c r="NXU117" s="0"/>
      <c r="NXV117" s="0"/>
      <c r="NXW117" s="0"/>
      <c r="NXX117" s="0"/>
      <c r="NXY117" s="0"/>
      <c r="NXZ117" s="0"/>
      <c r="NYA117" s="0"/>
      <c r="NYB117" s="0"/>
      <c r="NYC117" s="0"/>
      <c r="NYD117" s="0"/>
      <c r="NYE117" s="0"/>
      <c r="NYF117" s="0"/>
      <c r="NYG117" s="0"/>
      <c r="NYH117" s="0"/>
      <c r="NYI117" s="0"/>
      <c r="NYJ117" s="0"/>
      <c r="NYK117" s="0"/>
      <c r="NYL117" s="0"/>
      <c r="NYM117" s="0"/>
      <c r="NYN117" s="0"/>
      <c r="NYO117" s="0"/>
      <c r="NYP117" s="0"/>
      <c r="NYQ117" s="0"/>
      <c r="NYR117" s="0"/>
      <c r="NYS117" s="0"/>
      <c r="NYT117" s="0"/>
      <c r="NYU117" s="0"/>
      <c r="NYV117" s="0"/>
      <c r="NYW117" s="0"/>
      <c r="NYX117" s="0"/>
      <c r="NYY117" s="0"/>
      <c r="NYZ117" s="0"/>
      <c r="NZA117" s="0"/>
      <c r="NZB117" s="0"/>
      <c r="NZC117" s="0"/>
      <c r="NZD117" s="0"/>
      <c r="NZE117" s="0"/>
      <c r="NZF117" s="0"/>
      <c r="NZG117" s="0"/>
      <c r="NZH117" s="0"/>
      <c r="NZI117" s="0"/>
      <c r="NZJ117" s="0"/>
      <c r="NZK117" s="0"/>
      <c r="NZL117" s="0"/>
      <c r="NZM117" s="0"/>
      <c r="NZN117" s="0"/>
      <c r="NZO117" s="0"/>
      <c r="NZP117" s="0"/>
      <c r="NZQ117" s="0"/>
      <c r="NZR117" s="0"/>
      <c r="NZS117" s="0"/>
      <c r="NZT117" s="0"/>
      <c r="NZU117" s="0"/>
      <c r="NZV117" s="0"/>
      <c r="NZW117" s="0"/>
      <c r="NZX117" s="0"/>
      <c r="NZY117" s="0"/>
      <c r="NZZ117" s="0"/>
      <c r="OAA117" s="0"/>
      <c r="OAB117" s="0"/>
      <c r="OAC117" s="0"/>
      <c r="OAD117" s="0"/>
      <c r="OAE117" s="0"/>
      <c r="OAF117" s="0"/>
      <c r="OAG117" s="0"/>
      <c r="OAH117" s="0"/>
      <c r="OAI117" s="0"/>
      <c r="OAJ117" s="0"/>
      <c r="OAK117" s="0"/>
      <c r="OAL117" s="0"/>
      <c r="OAM117" s="0"/>
      <c r="OAN117" s="0"/>
      <c r="OAO117" s="0"/>
      <c r="OAP117" s="0"/>
      <c r="OAQ117" s="0"/>
      <c r="OAR117" s="0"/>
      <c r="OAS117" s="0"/>
      <c r="OAT117" s="0"/>
      <c r="OAU117" s="0"/>
      <c r="OAV117" s="0"/>
      <c r="OAW117" s="0"/>
      <c r="OAX117" s="0"/>
      <c r="OAY117" s="0"/>
      <c r="OAZ117" s="0"/>
      <c r="OBA117" s="0"/>
      <c r="OBB117" s="0"/>
      <c r="OBC117" s="0"/>
      <c r="OBD117" s="0"/>
      <c r="OBE117" s="0"/>
      <c r="OBF117" s="0"/>
      <c r="OBG117" s="0"/>
      <c r="OBH117" s="0"/>
      <c r="OBI117" s="0"/>
      <c r="OBJ117" s="0"/>
      <c r="OBK117" s="0"/>
      <c r="OBL117" s="0"/>
      <c r="OBM117" s="0"/>
      <c r="OBN117" s="0"/>
      <c r="OBO117" s="0"/>
      <c r="OBP117" s="0"/>
      <c r="OBQ117" s="0"/>
      <c r="OBR117" s="0"/>
      <c r="OBS117" s="0"/>
      <c r="OBT117" s="0"/>
      <c r="OBU117" s="0"/>
      <c r="OBV117" s="0"/>
      <c r="OBW117" s="0"/>
      <c r="OBX117" s="0"/>
      <c r="OBY117" s="0"/>
      <c r="OBZ117" s="0"/>
      <c r="OCA117" s="0"/>
      <c r="OCB117" s="0"/>
      <c r="OCC117" s="0"/>
      <c r="OCD117" s="0"/>
      <c r="OCE117" s="0"/>
      <c r="OCF117" s="0"/>
      <c r="OCG117" s="0"/>
      <c r="OCH117" s="0"/>
      <c r="OCI117" s="0"/>
      <c r="OCJ117" s="0"/>
      <c r="OCK117" s="0"/>
      <c r="OCL117" s="0"/>
      <c r="OCM117" s="0"/>
      <c r="OCN117" s="0"/>
      <c r="OCO117" s="0"/>
      <c r="OCP117" s="0"/>
      <c r="OCQ117" s="0"/>
      <c r="OCR117" s="0"/>
      <c r="OCS117" s="0"/>
      <c r="OCT117" s="0"/>
      <c r="OCU117" s="0"/>
      <c r="OCV117" s="0"/>
      <c r="OCW117" s="0"/>
      <c r="OCX117" s="0"/>
      <c r="OCY117" s="0"/>
      <c r="OCZ117" s="0"/>
      <c r="ODA117" s="0"/>
      <c r="ODB117" s="0"/>
      <c r="ODC117" s="0"/>
      <c r="ODD117" s="0"/>
      <c r="ODE117" s="0"/>
      <c r="ODF117" s="0"/>
      <c r="ODG117" s="0"/>
      <c r="ODH117" s="0"/>
      <c r="ODI117" s="0"/>
      <c r="ODJ117" s="0"/>
      <c r="ODK117" s="0"/>
      <c r="ODL117" s="0"/>
      <c r="ODM117" s="0"/>
      <c r="ODN117" s="0"/>
      <c r="ODO117" s="0"/>
      <c r="ODP117" s="0"/>
      <c r="ODQ117" s="0"/>
      <c r="ODR117" s="0"/>
      <c r="ODS117" s="0"/>
      <c r="ODT117" s="0"/>
      <c r="ODU117" s="0"/>
      <c r="ODV117" s="0"/>
      <c r="ODW117" s="0"/>
      <c r="ODX117" s="0"/>
      <c r="ODY117" s="0"/>
      <c r="ODZ117" s="0"/>
      <c r="OEA117" s="0"/>
      <c r="OEB117" s="0"/>
      <c r="OEC117" s="0"/>
      <c r="OED117" s="0"/>
      <c r="OEE117" s="0"/>
      <c r="OEF117" s="0"/>
      <c r="OEG117" s="0"/>
      <c r="OEH117" s="0"/>
      <c r="OEI117" s="0"/>
      <c r="OEJ117" s="0"/>
      <c r="OEK117" s="0"/>
      <c r="OEL117" s="0"/>
      <c r="OEM117" s="0"/>
      <c r="OEN117" s="0"/>
      <c r="OEO117" s="0"/>
      <c r="OEP117" s="0"/>
      <c r="OEQ117" s="0"/>
      <c r="OER117" s="0"/>
      <c r="OES117" s="0"/>
      <c r="OET117" s="0"/>
      <c r="OEU117" s="0"/>
      <c r="OEV117" s="0"/>
      <c r="OEW117" s="0"/>
      <c r="OEX117" s="0"/>
      <c r="OEY117" s="0"/>
      <c r="OEZ117" s="0"/>
      <c r="OFA117" s="0"/>
      <c r="OFB117" s="0"/>
      <c r="OFC117" s="0"/>
      <c r="OFD117" s="0"/>
      <c r="OFE117" s="0"/>
      <c r="OFF117" s="0"/>
      <c r="OFG117" s="0"/>
      <c r="OFH117" s="0"/>
      <c r="OFI117" s="0"/>
      <c r="OFJ117" s="0"/>
      <c r="OFK117" s="0"/>
      <c r="OFL117" s="0"/>
      <c r="OFM117" s="0"/>
      <c r="OFN117" s="0"/>
      <c r="OFO117" s="0"/>
      <c r="OFP117" s="0"/>
      <c r="OFQ117" s="0"/>
      <c r="OFR117" s="0"/>
      <c r="OFS117" s="0"/>
      <c r="OFT117" s="0"/>
      <c r="OFU117" s="0"/>
      <c r="OFV117" s="0"/>
      <c r="OFW117" s="0"/>
      <c r="OFX117" s="0"/>
      <c r="OFY117" s="0"/>
      <c r="OFZ117" s="0"/>
      <c r="OGA117" s="0"/>
      <c r="OGB117" s="0"/>
      <c r="OGC117" s="0"/>
      <c r="OGD117" s="0"/>
      <c r="OGE117" s="0"/>
      <c r="OGF117" s="0"/>
      <c r="OGG117" s="0"/>
      <c r="OGH117" s="0"/>
      <c r="OGI117" s="0"/>
      <c r="OGJ117" s="0"/>
      <c r="OGK117" s="0"/>
      <c r="OGL117" s="0"/>
      <c r="OGM117" s="0"/>
      <c r="OGN117" s="0"/>
      <c r="OGO117" s="0"/>
      <c r="OGP117" s="0"/>
      <c r="OGQ117" s="0"/>
      <c r="OGR117" s="0"/>
      <c r="OGS117" s="0"/>
      <c r="OGT117" s="0"/>
      <c r="OGU117" s="0"/>
      <c r="OGV117" s="0"/>
      <c r="OGW117" s="0"/>
      <c r="OGX117" s="0"/>
      <c r="OGY117" s="0"/>
      <c r="OGZ117" s="0"/>
      <c r="OHA117" s="0"/>
      <c r="OHB117" s="0"/>
      <c r="OHC117" s="0"/>
      <c r="OHD117" s="0"/>
      <c r="OHE117" s="0"/>
      <c r="OHF117" s="0"/>
      <c r="OHG117" s="0"/>
      <c r="OHH117" s="0"/>
      <c r="OHI117" s="0"/>
      <c r="OHJ117" s="0"/>
      <c r="OHK117" s="0"/>
      <c r="OHL117" s="0"/>
      <c r="OHM117" s="0"/>
      <c r="OHN117" s="0"/>
      <c r="OHO117" s="0"/>
      <c r="OHP117" s="0"/>
      <c r="OHQ117" s="0"/>
      <c r="OHR117" s="0"/>
      <c r="OHS117" s="0"/>
      <c r="OHT117" s="0"/>
      <c r="OHU117" s="0"/>
      <c r="OHV117" s="0"/>
      <c r="OHW117" s="0"/>
      <c r="OHX117" s="0"/>
      <c r="OHY117" s="0"/>
      <c r="OHZ117" s="0"/>
      <c r="OIA117" s="0"/>
      <c r="OIB117" s="0"/>
      <c r="OIC117" s="0"/>
      <c r="OID117" s="0"/>
      <c r="OIE117" s="0"/>
      <c r="OIF117" s="0"/>
      <c r="OIG117" s="0"/>
      <c r="OIH117" s="0"/>
      <c r="OII117" s="0"/>
      <c r="OIJ117" s="0"/>
      <c r="OIK117" s="0"/>
      <c r="OIL117" s="0"/>
      <c r="OIM117" s="0"/>
      <c r="OIN117" s="0"/>
      <c r="OIO117" s="0"/>
      <c r="OIP117" s="0"/>
      <c r="OIQ117" s="0"/>
      <c r="OIR117" s="0"/>
      <c r="OIS117" s="0"/>
      <c r="OIT117" s="0"/>
      <c r="OIU117" s="0"/>
      <c r="OIV117" s="0"/>
      <c r="OIW117" s="0"/>
      <c r="OIX117" s="0"/>
      <c r="OIY117" s="0"/>
      <c r="OIZ117" s="0"/>
      <c r="OJA117" s="0"/>
      <c r="OJB117" s="0"/>
      <c r="OJC117" s="0"/>
      <c r="OJD117" s="0"/>
      <c r="OJE117" s="0"/>
      <c r="OJF117" s="0"/>
      <c r="OJG117" s="0"/>
      <c r="OJH117" s="0"/>
      <c r="OJI117" s="0"/>
      <c r="OJJ117" s="0"/>
      <c r="OJK117" s="0"/>
      <c r="OJL117" s="0"/>
      <c r="OJM117" s="0"/>
      <c r="OJN117" s="0"/>
      <c r="OJO117" s="0"/>
      <c r="OJP117" s="0"/>
      <c r="OJQ117" s="0"/>
      <c r="OJR117" s="0"/>
      <c r="OJS117" s="0"/>
      <c r="OJT117" s="0"/>
      <c r="OJU117" s="0"/>
      <c r="OJV117" s="0"/>
      <c r="OJW117" s="0"/>
      <c r="OJX117" s="0"/>
      <c r="OJY117" s="0"/>
      <c r="OJZ117" s="0"/>
      <c r="OKA117" s="0"/>
      <c r="OKB117" s="0"/>
      <c r="OKC117" s="0"/>
      <c r="OKD117" s="0"/>
      <c r="OKE117" s="0"/>
      <c r="OKF117" s="0"/>
      <c r="OKG117" s="0"/>
      <c r="OKH117" s="0"/>
      <c r="OKI117" s="0"/>
      <c r="OKJ117" s="0"/>
      <c r="OKK117" s="0"/>
      <c r="OKL117" s="0"/>
      <c r="OKM117" s="0"/>
      <c r="OKN117" s="0"/>
      <c r="OKO117" s="0"/>
      <c r="OKP117" s="0"/>
      <c r="OKQ117" s="0"/>
      <c r="OKR117" s="0"/>
      <c r="OKS117" s="0"/>
      <c r="OKT117" s="0"/>
      <c r="OKU117" s="0"/>
      <c r="OKV117" s="0"/>
      <c r="OKW117" s="0"/>
      <c r="OKX117" s="0"/>
      <c r="OKY117" s="0"/>
      <c r="OKZ117" s="0"/>
      <c r="OLA117" s="0"/>
      <c r="OLB117" s="0"/>
      <c r="OLC117" s="0"/>
      <c r="OLD117" s="0"/>
      <c r="OLE117" s="0"/>
      <c r="OLF117" s="0"/>
      <c r="OLG117" s="0"/>
      <c r="OLH117" s="0"/>
      <c r="OLI117" s="0"/>
      <c r="OLJ117" s="0"/>
      <c r="OLK117" s="0"/>
      <c r="OLL117" s="0"/>
      <c r="OLM117" s="0"/>
      <c r="OLN117" s="0"/>
      <c r="OLO117" s="0"/>
      <c r="OLP117" s="0"/>
      <c r="OLQ117" s="0"/>
      <c r="OLR117" s="0"/>
      <c r="OLS117" s="0"/>
      <c r="OLT117" s="0"/>
      <c r="OLU117" s="0"/>
      <c r="OLV117" s="0"/>
      <c r="OLW117" s="0"/>
      <c r="OLX117" s="0"/>
      <c r="OLY117" s="0"/>
      <c r="OLZ117" s="0"/>
      <c r="OMA117" s="0"/>
      <c r="OMB117" s="0"/>
      <c r="OMC117" s="0"/>
      <c r="OMD117" s="0"/>
      <c r="OME117" s="0"/>
      <c r="OMF117" s="0"/>
      <c r="OMG117" s="0"/>
      <c r="OMH117" s="0"/>
      <c r="OMI117" s="0"/>
      <c r="OMJ117" s="0"/>
      <c r="OMK117" s="0"/>
      <c r="OML117" s="0"/>
      <c r="OMM117" s="0"/>
      <c r="OMN117" s="0"/>
      <c r="OMO117" s="0"/>
      <c r="OMP117" s="0"/>
      <c r="OMQ117" s="0"/>
      <c r="OMR117" s="0"/>
      <c r="OMS117" s="0"/>
      <c r="OMT117" s="0"/>
      <c r="OMU117" s="0"/>
      <c r="OMV117" s="0"/>
      <c r="OMW117" s="0"/>
      <c r="OMX117" s="0"/>
      <c r="OMY117" s="0"/>
      <c r="OMZ117" s="0"/>
      <c r="ONA117" s="0"/>
      <c r="ONB117" s="0"/>
      <c r="ONC117" s="0"/>
      <c r="OND117" s="0"/>
      <c r="ONE117" s="0"/>
      <c r="ONF117" s="0"/>
      <c r="ONG117" s="0"/>
      <c r="ONH117" s="0"/>
      <c r="ONI117" s="0"/>
      <c r="ONJ117" s="0"/>
      <c r="ONK117" s="0"/>
      <c r="ONL117" s="0"/>
      <c r="ONM117" s="0"/>
      <c r="ONN117" s="0"/>
      <c r="ONO117" s="0"/>
      <c r="ONP117" s="0"/>
      <c r="ONQ117" s="0"/>
      <c r="ONR117" s="0"/>
      <c r="ONS117" s="0"/>
      <c r="ONT117" s="0"/>
      <c r="ONU117" s="0"/>
      <c r="ONV117" s="0"/>
      <c r="ONW117" s="0"/>
      <c r="ONX117" s="0"/>
      <c r="ONY117" s="0"/>
      <c r="ONZ117" s="0"/>
      <c r="OOA117" s="0"/>
      <c r="OOB117" s="0"/>
      <c r="OOC117" s="0"/>
      <c r="OOD117" s="0"/>
      <c r="OOE117" s="0"/>
      <c r="OOF117" s="0"/>
      <c r="OOG117" s="0"/>
      <c r="OOH117" s="0"/>
      <c r="OOI117" s="0"/>
      <c r="OOJ117" s="0"/>
      <c r="OOK117" s="0"/>
      <c r="OOL117" s="0"/>
      <c r="OOM117" s="0"/>
      <c r="OON117" s="0"/>
      <c r="OOO117" s="0"/>
      <c r="OOP117" s="0"/>
      <c r="OOQ117" s="0"/>
      <c r="OOR117" s="0"/>
      <c r="OOS117" s="0"/>
      <c r="OOT117" s="0"/>
      <c r="OOU117" s="0"/>
      <c r="OOV117" s="0"/>
      <c r="OOW117" s="0"/>
      <c r="OOX117" s="0"/>
      <c r="OOY117" s="0"/>
      <c r="OOZ117" s="0"/>
      <c r="OPA117" s="0"/>
      <c r="OPB117" s="0"/>
      <c r="OPC117" s="0"/>
      <c r="OPD117" s="0"/>
      <c r="OPE117" s="0"/>
      <c r="OPF117" s="0"/>
      <c r="OPG117" s="0"/>
      <c r="OPH117" s="0"/>
      <c r="OPI117" s="0"/>
      <c r="OPJ117" s="0"/>
      <c r="OPK117" s="0"/>
      <c r="OPL117" s="0"/>
      <c r="OPM117" s="0"/>
      <c r="OPN117" s="0"/>
      <c r="OPO117" s="0"/>
      <c r="OPP117" s="0"/>
      <c r="OPQ117" s="0"/>
      <c r="OPR117" s="0"/>
      <c r="OPS117" s="0"/>
      <c r="OPT117" s="0"/>
      <c r="OPU117" s="0"/>
      <c r="OPV117" s="0"/>
      <c r="OPW117" s="0"/>
      <c r="OPX117" s="0"/>
      <c r="OPY117" s="0"/>
      <c r="OPZ117" s="0"/>
      <c r="OQA117" s="0"/>
      <c r="OQB117" s="0"/>
      <c r="OQC117" s="0"/>
      <c r="OQD117" s="0"/>
      <c r="OQE117" s="0"/>
      <c r="OQF117" s="0"/>
      <c r="OQG117" s="0"/>
      <c r="OQH117" s="0"/>
      <c r="OQI117" s="0"/>
      <c r="OQJ117" s="0"/>
      <c r="OQK117" s="0"/>
      <c r="OQL117" s="0"/>
      <c r="OQM117" s="0"/>
      <c r="OQN117" s="0"/>
      <c r="OQO117" s="0"/>
      <c r="OQP117" s="0"/>
      <c r="OQQ117" s="0"/>
      <c r="OQR117" s="0"/>
      <c r="OQS117" s="0"/>
      <c r="OQT117" s="0"/>
      <c r="OQU117" s="0"/>
      <c r="OQV117" s="0"/>
      <c r="OQW117" s="0"/>
      <c r="OQX117" s="0"/>
      <c r="OQY117" s="0"/>
      <c r="OQZ117" s="0"/>
      <c r="ORA117" s="0"/>
      <c r="ORB117" s="0"/>
      <c r="ORC117" s="0"/>
      <c r="ORD117" s="0"/>
      <c r="ORE117" s="0"/>
      <c r="ORF117" s="0"/>
      <c r="ORG117" s="0"/>
      <c r="ORH117" s="0"/>
      <c r="ORI117" s="0"/>
      <c r="ORJ117" s="0"/>
      <c r="ORK117" s="0"/>
      <c r="ORL117" s="0"/>
      <c r="ORM117" s="0"/>
      <c r="ORN117" s="0"/>
      <c r="ORO117" s="0"/>
      <c r="ORP117" s="0"/>
      <c r="ORQ117" s="0"/>
      <c r="ORR117" s="0"/>
      <c r="ORS117" s="0"/>
      <c r="ORT117" s="0"/>
      <c r="ORU117" s="0"/>
      <c r="ORV117" s="0"/>
      <c r="ORW117" s="0"/>
      <c r="ORX117" s="0"/>
      <c r="ORY117" s="0"/>
      <c r="ORZ117" s="0"/>
      <c r="OSA117" s="0"/>
      <c r="OSB117" s="0"/>
      <c r="OSC117" s="0"/>
      <c r="OSD117" s="0"/>
      <c r="OSE117" s="0"/>
      <c r="OSF117" s="0"/>
      <c r="OSG117" s="0"/>
      <c r="OSH117" s="0"/>
      <c r="OSI117" s="0"/>
      <c r="OSJ117" s="0"/>
      <c r="OSK117" s="0"/>
      <c r="OSL117" s="0"/>
      <c r="OSM117" s="0"/>
      <c r="OSN117" s="0"/>
      <c r="OSO117" s="0"/>
      <c r="OSP117" s="0"/>
      <c r="OSQ117" s="0"/>
      <c r="OSR117" s="0"/>
      <c r="OSS117" s="0"/>
      <c r="OST117" s="0"/>
      <c r="OSU117" s="0"/>
      <c r="OSV117" s="0"/>
      <c r="OSW117" s="0"/>
      <c r="OSX117" s="0"/>
      <c r="OSY117" s="0"/>
      <c r="OSZ117" s="0"/>
      <c r="OTA117" s="0"/>
      <c r="OTB117" s="0"/>
      <c r="OTC117" s="0"/>
      <c r="OTD117" s="0"/>
      <c r="OTE117" s="0"/>
      <c r="OTF117" s="0"/>
      <c r="OTG117" s="0"/>
      <c r="OTH117" s="0"/>
      <c r="OTI117" s="0"/>
      <c r="OTJ117" s="0"/>
      <c r="OTK117" s="0"/>
      <c r="OTL117" s="0"/>
      <c r="OTM117" s="0"/>
      <c r="OTN117" s="0"/>
      <c r="OTO117" s="0"/>
      <c r="OTP117" s="0"/>
      <c r="OTQ117" s="0"/>
      <c r="OTR117" s="0"/>
      <c r="OTS117" s="0"/>
      <c r="OTT117" s="0"/>
      <c r="OTU117" s="0"/>
      <c r="OTV117" s="0"/>
      <c r="OTW117" s="0"/>
      <c r="OTX117" s="0"/>
      <c r="OTY117" s="0"/>
      <c r="OTZ117" s="0"/>
      <c r="OUA117" s="0"/>
      <c r="OUB117" s="0"/>
      <c r="OUC117" s="0"/>
      <c r="OUD117" s="0"/>
      <c r="OUE117" s="0"/>
      <c r="OUF117" s="0"/>
      <c r="OUG117" s="0"/>
      <c r="OUH117" s="0"/>
      <c r="OUI117" s="0"/>
      <c r="OUJ117" s="0"/>
      <c r="OUK117" s="0"/>
      <c r="OUL117" s="0"/>
      <c r="OUM117" s="0"/>
      <c r="OUN117" s="0"/>
      <c r="OUO117" s="0"/>
      <c r="OUP117" s="0"/>
      <c r="OUQ117" s="0"/>
      <c r="OUR117" s="0"/>
      <c r="OUS117" s="0"/>
      <c r="OUT117" s="0"/>
      <c r="OUU117" s="0"/>
      <c r="OUV117" s="0"/>
      <c r="OUW117" s="0"/>
      <c r="OUX117" s="0"/>
      <c r="OUY117" s="0"/>
      <c r="OUZ117" s="0"/>
      <c r="OVA117" s="0"/>
      <c r="OVB117" s="0"/>
      <c r="OVC117" s="0"/>
      <c r="OVD117" s="0"/>
      <c r="OVE117" s="0"/>
      <c r="OVF117" s="0"/>
      <c r="OVG117" s="0"/>
      <c r="OVH117" s="0"/>
      <c r="OVI117" s="0"/>
      <c r="OVJ117" s="0"/>
      <c r="OVK117" s="0"/>
      <c r="OVL117" s="0"/>
      <c r="OVM117" s="0"/>
      <c r="OVN117" s="0"/>
      <c r="OVO117" s="0"/>
      <c r="OVP117" s="0"/>
      <c r="OVQ117" s="0"/>
      <c r="OVR117" s="0"/>
      <c r="OVS117" s="0"/>
      <c r="OVT117" s="0"/>
      <c r="OVU117" s="0"/>
      <c r="OVV117" s="0"/>
      <c r="OVW117" s="0"/>
      <c r="OVX117" s="0"/>
      <c r="OVY117" s="0"/>
      <c r="OVZ117" s="0"/>
      <c r="OWA117" s="0"/>
      <c r="OWB117" s="0"/>
      <c r="OWC117" s="0"/>
      <c r="OWD117" s="0"/>
      <c r="OWE117" s="0"/>
      <c r="OWF117" s="0"/>
      <c r="OWG117" s="0"/>
      <c r="OWH117" s="0"/>
      <c r="OWI117" s="0"/>
      <c r="OWJ117" s="0"/>
      <c r="OWK117" s="0"/>
      <c r="OWL117" s="0"/>
      <c r="OWM117" s="0"/>
      <c r="OWN117" s="0"/>
      <c r="OWO117" s="0"/>
      <c r="OWP117" s="0"/>
      <c r="OWQ117" s="0"/>
      <c r="OWR117" s="0"/>
      <c r="OWS117" s="0"/>
      <c r="OWT117" s="0"/>
      <c r="OWU117" s="0"/>
      <c r="OWV117" s="0"/>
      <c r="OWW117" s="0"/>
      <c r="OWX117" s="0"/>
      <c r="OWY117" s="0"/>
      <c r="OWZ117" s="0"/>
      <c r="OXA117" s="0"/>
      <c r="OXB117" s="0"/>
      <c r="OXC117" s="0"/>
      <c r="OXD117" s="0"/>
      <c r="OXE117" s="0"/>
      <c r="OXF117" s="0"/>
      <c r="OXG117" s="0"/>
      <c r="OXH117" s="0"/>
      <c r="OXI117" s="0"/>
      <c r="OXJ117" s="0"/>
      <c r="OXK117" s="0"/>
      <c r="OXL117" s="0"/>
      <c r="OXM117" s="0"/>
      <c r="OXN117" s="0"/>
      <c r="OXO117" s="0"/>
      <c r="OXP117" s="0"/>
      <c r="OXQ117" s="0"/>
      <c r="OXR117" s="0"/>
      <c r="OXS117" s="0"/>
      <c r="OXT117" s="0"/>
      <c r="OXU117" s="0"/>
      <c r="OXV117" s="0"/>
      <c r="OXW117" s="0"/>
      <c r="OXX117" s="0"/>
      <c r="OXY117" s="0"/>
      <c r="OXZ117" s="0"/>
      <c r="OYA117" s="0"/>
      <c r="OYB117" s="0"/>
      <c r="OYC117" s="0"/>
      <c r="OYD117" s="0"/>
      <c r="OYE117" s="0"/>
      <c r="OYF117" s="0"/>
      <c r="OYG117" s="0"/>
      <c r="OYH117" s="0"/>
      <c r="OYI117" s="0"/>
      <c r="OYJ117" s="0"/>
      <c r="OYK117" s="0"/>
      <c r="OYL117" s="0"/>
      <c r="OYM117" s="0"/>
      <c r="OYN117" s="0"/>
      <c r="OYO117" s="0"/>
      <c r="OYP117" s="0"/>
      <c r="OYQ117" s="0"/>
      <c r="OYR117" s="0"/>
      <c r="OYS117" s="0"/>
      <c r="OYT117" s="0"/>
      <c r="OYU117" s="0"/>
      <c r="OYV117" s="0"/>
      <c r="OYW117" s="0"/>
      <c r="OYX117" s="0"/>
      <c r="OYY117" s="0"/>
      <c r="OYZ117" s="0"/>
      <c r="OZA117" s="0"/>
      <c r="OZB117" s="0"/>
      <c r="OZC117" s="0"/>
      <c r="OZD117" s="0"/>
      <c r="OZE117" s="0"/>
      <c r="OZF117" s="0"/>
      <c r="OZG117" s="0"/>
      <c r="OZH117" s="0"/>
      <c r="OZI117" s="0"/>
      <c r="OZJ117" s="0"/>
      <c r="OZK117" s="0"/>
      <c r="OZL117" s="0"/>
      <c r="OZM117" s="0"/>
      <c r="OZN117" s="0"/>
      <c r="OZO117" s="0"/>
      <c r="OZP117" s="0"/>
      <c r="OZQ117" s="0"/>
      <c r="OZR117" s="0"/>
      <c r="OZS117" s="0"/>
      <c r="OZT117" s="0"/>
      <c r="OZU117" s="0"/>
      <c r="OZV117" s="0"/>
      <c r="OZW117" s="0"/>
      <c r="OZX117" s="0"/>
      <c r="OZY117" s="0"/>
      <c r="OZZ117" s="0"/>
      <c r="PAA117" s="0"/>
      <c r="PAB117" s="0"/>
      <c r="PAC117" s="0"/>
      <c r="PAD117" s="0"/>
      <c r="PAE117" s="0"/>
      <c r="PAF117" s="0"/>
      <c r="PAG117" s="0"/>
      <c r="PAH117" s="0"/>
      <c r="PAI117" s="0"/>
      <c r="PAJ117" s="0"/>
      <c r="PAK117" s="0"/>
      <c r="PAL117" s="0"/>
      <c r="PAM117" s="0"/>
      <c r="PAN117" s="0"/>
      <c r="PAO117" s="0"/>
      <c r="PAP117" s="0"/>
      <c r="PAQ117" s="0"/>
      <c r="PAR117" s="0"/>
      <c r="PAS117" s="0"/>
      <c r="PAT117" s="0"/>
      <c r="PAU117" s="0"/>
      <c r="PAV117" s="0"/>
      <c r="PAW117" s="0"/>
      <c r="PAX117" s="0"/>
      <c r="PAY117" s="0"/>
      <c r="PAZ117" s="0"/>
      <c r="PBA117" s="0"/>
      <c r="PBB117" s="0"/>
      <c r="PBC117" s="0"/>
      <c r="PBD117" s="0"/>
      <c r="PBE117" s="0"/>
      <c r="PBF117" s="0"/>
      <c r="PBG117" s="0"/>
      <c r="PBH117" s="0"/>
      <c r="PBI117" s="0"/>
      <c r="PBJ117" s="0"/>
      <c r="PBK117" s="0"/>
      <c r="PBL117" s="0"/>
      <c r="PBM117" s="0"/>
      <c r="PBN117" s="0"/>
      <c r="PBO117" s="0"/>
      <c r="PBP117" s="0"/>
      <c r="PBQ117" s="0"/>
      <c r="PBR117" s="0"/>
      <c r="PBS117" s="0"/>
      <c r="PBT117" s="0"/>
      <c r="PBU117" s="0"/>
      <c r="PBV117" s="0"/>
      <c r="PBW117" s="0"/>
      <c r="PBX117" s="0"/>
      <c r="PBY117" s="0"/>
      <c r="PBZ117" s="0"/>
      <c r="PCA117" s="0"/>
      <c r="PCB117" s="0"/>
      <c r="PCC117" s="0"/>
      <c r="PCD117" s="0"/>
      <c r="PCE117" s="0"/>
      <c r="PCF117" s="0"/>
      <c r="PCG117" s="0"/>
      <c r="PCH117" s="0"/>
      <c r="PCI117" s="0"/>
      <c r="PCJ117" s="0"/>
      <c r="PCK117" s="0"/>
      <c r="PCL117" s="0"/>
      <c r="PCM117" s="0"/>
      <c r="PCN117" s="0"/>
      <c r="PCO117" s="0"/>
      <c r="PCP117" s="0"/>
      <c r="PCQ117" s="0"/>
      <c r="PCR117" s="0"/>
      <c r="PCS117" s="0"/>
      <c r="PCT117" s="0"/>
      <c r="PCU117" s="0"/>
      <c r="PCV117" s="0"/>
      <c r="PCW117" s="0"/>
      <c r="PCX117" s="0"/>
      <c r="PCY117" s="0"/>
      <c r="PCZ117" s="0"/>
      <c r="PDA117" s="0"/>
      <c r="PDB117" s="0"/>
      <c r="PDC117" s="0"/>
      <c r="PDD117" s="0"/>
      <c r="PDE117" s="0"/>
      <c r="PDF117" s="0"/>
      <c r="PDG117" s="0"/>
      <c r="PDH117" s="0"/>
      <c r="PDI117" s="0"/>
      <c r="PDJ117" s="0"/>
      <c r="PDK117" s="0"/>
      <c r="PDL117" s="0"/>
      <c r="PDM117" s="0"/>
      <c r="PDN117" s="0"/>
      <c r="PDO117" s="0"/>
      <c r="PDP117" s="0"/>
      <c r="PDQ117" s="0"/>
      <c r="PDR117" s="0"/>
      <c r="PDS117" s="0"/>
      <c r="PDT117" s="0"/>
      <c r="PDU117" s="0"/>
      <c r="PDV117" s="0"/>
      <c r="PDW117" s="0"/>
      <c r="PDX117" s="0"/>
      <c r="PDY117" s="0"/>
      <c r="PDZ117" s="0"/>
      <c r="PEA117" s="0"/>
      <c r="PEB117" s="0"/>
      <c r="PEC117" s="0"/>
      <c r="PED117" s="0"/>
      <c r="PEE117" s="0"/>
      <c r="PEF117" s="0"/>
      <c r="PEG117" s="0"/>
      <c r="PEH117" s="0"/>
      <c r="PEI117" s="0"/>
      <c r="PEJ117" s="0"/>
      <c r="PEK117" s="0"/>
      <c r="PEL117" s="0"/>
      <c r="PEM117" s="0"/>
      <c r="PEN117" s="0"/>
      <c r="PEO117" s="0"/>
      <c r="PEP117" s="0"/>
      <c r="PEQ117" s="0"/>
      <c r="PER117" s="0"/>
      <c r="PES117" s="0"/>
      <c r="PET117" s="0"/>
      <c r="PEU117" s="0"/>
      <c r="PEV117" s="0"/>
      <c r="PEW117" s="0"/>
      <c r="PEX117" s="0"/>
      <c r="PEY117" s="0"/>
      <c r="PEZ117" s="0"/>
      <c r="PFA117" s="0"/>
      <c r="PFB117" s="0"/>
      <c r="PFC117" s="0"/>
      <c r="PFD117" s="0"/>
      <c r="PFE117" s="0"/>
      <c r="PFF117" s="0"/>
      <c r="PFG117" s="0"/>
      <c r="PFH117" s="0"/>
      <c r="PFI117" s="0"/>
      <c r="PFJ117" s="0"/>
      <c r="PFK117" s="0"/>
      <c r="PFL117" s="0"/>
      <c r="PFM117" s="0"/>
      <c r="PFN117" s="0"/>
      <c r="PFO117" s="0"/>
      <c r="PFP117" s="0"/>
      <c r="PFQ117" s="0"/>
      <c r="PFR117" s="0"/>
      <c r="PFS117" s="0"/>
      <c r="PFT117" s="0"/>
      <c r="PFU117" s="0"/>
      <c r="PFV117" s="0"/>
      <c r="PFW117" s="0"/>
      <c r="PFX117" s="0"/>
      <c r="PFY117" s="0"/>
      <c r="PFZ117" s="0"/>
      <c r="PGA117" s="0"/>
      <c r="PGB117" s="0"/>
      <c r="PGC117" s="0"/>
      <c r="PGD117" s="0"/>
      <c r="PGE117" s="0"/>
      <c r="PGF117" s="0"/>
      <c r="PGG117" s="0"/>
      <c r="PGH117" s="0"/>
      <c r="PGI117" s="0"/>
      <c r="PGJ117" s="0"/>
      <c r="PGK117" s="0"/>
      <c r="PGL117" s="0"/>
      <c r="PGM117" s="0"/>
      <c r="PGN117" s="0"/>
      <c r="PGO117" s="0"/>
      <c r="PGP117" s="0"/>
      <c r="PGQ117" s="0"/>
      <c r="PGR117" s="0"/>
      <c r="PGS117" s="0"/>
      <c r="PGT117" s="0"/>
      <c r="PGU117" s="0"/>
      <c r="PGV117" s="0"/>
      <c r="PGW117" s="0"/>
      <c r="PGX117" s="0"/>
      <c r="PGY117" s="0"/>
      <c r="PGZ117" s="0"/>
      <c r="PHA117" s="0"/>
      <c r="PHB117" s="0"/>
      <c r="PHC117" s="0"/>
      <c r="PHD117" s="0"/>
      <c r="PHE117" s="0"/>
      <c r="PHF117" s="0"/>
      <c r="PHG117" s="0"/>
      <c r="PHH117" s="0"/>
      <c r="PHI117" s="0"/>
      <c r="PHJ117" s="0"/>
      <c r="PHK117" s="0"/>
      <c r="PHL117" s="0"/>
      <c r="PHM117" s="0"/>
      <c r="PHN117" s="0"/>
      <c r="PHO117" s="0"/>
      <c r="PHP117" s="0"/>
      <c r="PHQ117" s="0"/>
      <c r="PHR117" s="0"/>
      <c r="PHS117" s="0"/>
      <c r="PHT117" s="0"/>
      <c r="PHU117" s="0"/>
      <c r="PHV117" s="0"/>
      <c r="PHW117" s="0"/>
      <c r="PHX117" s="0"/>
      <c r="PHY117" s="0"/>
      <c r="PHZ117" s="0"/>
      <c r="PIA117" s="0"/>
      <c r="PIB117" s="0"/>
      <c r="PIC117" s="0"/>
      <c r="PID117" s="0"/>
      <c r="PIE117" s="0"/>
      <c r="PIF117" s="0"/>
      <c r="PIG117" s="0"/>
      <c r="PIH117" s="0"/>
      <c r="PII117" s="0"/>
      <c r="PIJ117" s="0"/>
      <c r="PIK117" s="0"/>
      <c r="PIL117" s="0"/>
      <c r="PIM117" s="0"/>
      <c r="PIN117" s="0"/>
      <c r="PIO117" s="0"/>
      <c r="PIP117" s="0"/>
      <c r="PIQ117" s="0"/>
      <c r="PIR117" s="0"/>
      <c r="PIS117" s="0"/>
      <c r="PIT117" s="0"/>
      <c r="PIU117" s="0"/>
      <c r="PIV117" s="0"/>
      <c r="PIW117" s="0"/>
      <c r="PIX117" s="0"/>
      <c r="PIY117" s="0"/>
      <c r="PIZ117" s="0"/>
      <c r="PJA117" s="0"/>
      <c r="PJB117" s="0"/>
      <c r="PJC117" s="0"/>
      <c r="PJD117" s="0"/>
      <c r="PJE117" s="0"/>
      <c r="PJF117" s="0"/>
      <c r="PJG117" s="0"/>
      <c r="PJH117" s="0"/>
      <c r="PJI117" s="0"/>
      <c r="PJJ117" s="0"/>
      <c r="PJK117" s="0"/>
      <c r="PJL117" s="0"/>
      <c r="PJM117" s="0"/>
      <c r="PJN117" s="0"/>
      <c r="PJO117" s="0"/>
      <c r="PJP117" s="0"/>
      <c r="PJQ117" s="0"/>
      <c r="PJR117" s="0"/>
      <c r="PJS117" s="0"/>
      <c r="PJT117" s="0"/>
      <c r="PJU117" s="0"/>
      <c r="PJV117" s="0"/>
      <c r="PJW117" s="0"/>
      <c r="PJX117" s="0"/>
      <c r="PJY117" s="0"/>
      <c r="PJZ117" s="0"/>
      <c r="PKA117" s="0"/>
      <c r="PKB117" s="0"/>
      <c r="PKC117" s="0"/>
      <c r="PKD117" s="0"/>
      <c r="PKE117" s="0"/>
      <c r="PKF117" s="0"/>
      <c r="PKG117" s="0"/>
      <c r="PKH117" s="0"/>
      <c r="PKI117" s="0"/>
      <c r="PKJ117" s="0"/>
      <c r="PKK117" s="0"/>
      <c r="PKL117" s="0"/>
      <c r="PKM117" s="0"/>
      <c r="PKN117" s="0"/>
      <c r="PKO117" s="0"/>
      <c r="PKP117" s="0"/>
      <c r="PKQ117" s="0"/>
      <c r="PKR117" s="0"/>
      <c r="PKS117" s="0"/>
      <c r="PKT117" s="0"/>
      <c r="PKU117" s="0"/>
      <c r="PKV117" s="0"/>
      <c r="PKW117" s="0"/>
      <c r="PKX117" s="0"/>
      <c r="PKY117" s="0"/>
      <c r="PKZ117" s="0"/>
      <c r="PLA117" s="0"/>
      <c r="PLB117" s="0"/>
      <c r="PLC117" s="0"/>
      <c r="PLD117" s="0"/>
      <c r="PLE117" s="0"/>
      <c r="PLF117" s="0"/>
      <c r="PLG117" s="0"/>
      <c r="PLH117" s="0"/>
      <c r="PLI117" s="0"/>
      <c r="PLJ117" s="0"/>
      <c r="PLK117" s="0"/>
      <c r="PLL117" s="0"/>
      <c r="PLM117" s="0"/>
      <c r="PLN117" s="0"/>
      <c r="PLO117" s="0"/>
      <c r="PLP117" s="0"/>
      <c r="PLQ117" s="0"/>
      <c r="PLR117" s="0"/>
      <c r="PLS117" s="0"/>
      <c r="PLT117" s="0"/>
      <c r="PLU117" s="0"/>
      <c r="PLV117" s="0"/>
      <c r="PLW117" s="0"/>
      <c r="PLX117" s="0"/>
      <c r="PLY117" s="0"/>
      <c r="PLZ117" s="0"/>
      <c r="PMA117" s="0"/>
      <c r="PMB117" s="0"/>
      <c r="PMC117" s="0"/>
      <c r="PMD117" s="0"/>
      <c r="PME117" s="0"/>
      <c r="PMF117" s="0"/>
      <c r="PMG117" s="0"/>
      <c r="PMH117" s="0"/>
      <c r="PMI117" s="0"/>
      <c r="PMJ117" s="0"/>
      <c r="PMK117" s="0"/>
      <c r="PML117" s="0"/>
      <c r="PMM117" s="0"/>
      <c r="PMN117" s="0"/>
      <c r="PMO117" s="0"/>
      <c r="PMP117" s="0"/>
      <c r="PMQ117" s="0"/>
      <c r="PMR117" s="0"/>
      <c r="PMS117" s="0"/>
      <c r="PMT117" s="0"/>
      <c r="PMU117" s="0"/>
      <c r="PMV117" s="0"/>
      <c r="PMW117" s="0"/>
      <c r="PMX117" s="0"/>
      <c r="PMY117" s="0"/>
      <c r="PMZ117" s="0"/>
      <c r="PNA117" s="0"/>
      <c r="PNB117" s="0"/>
      <c r="PNC117" s="0"/>
      <c r="PND117" s="0"/>
      <c r="PNE117" s="0"/>
      <c r="PNF117" s="0"/>
      <c r="PNG117" s="0"/>
      <c r="PNH117" s="0"/>
      <c r="PNI117" s="0"/>
      <c r="PNJ117" s="0"/>
      <c r="PNK117" s="0"/>
      <c r="PNL117" s="0"/>
      <c r="PNM117" s="0"/>
      <c r="PNN117" s="0"/>
      <c r="PNO117" s="0"/>
      <c r="PNP117" s="0"/>
      <c r="PNQ117" s="0"/>
      <c r="PNR117" s="0"/>
      <c r="PNS117" s="0"/>
      <c r="PNT117" s="0"/>
      <c r="PNU117" s="0"/>
      <c r="PNV117" s="0"/>
      <c r="PNW117" s="0"/>
      <c r="PNX117" s="0"/>
      <c r="PNY117" s="0"/>
      <c r="PNZ117" s="0"/>
      <c r="POA117" s="0"/>
      <c r="POB117" s="0"/>
      <c r="POC117" s="0"/>
      <c r="POD117" s="0"/>
      <c r="POE117" s="0"/>
      <c r="POF117" s="0"/>
      <c r="POG117" s="0"/>
      <c r="POH117" s="0"/>
      <c r="POI117" s="0"/>
      <c r="POJ117" s="0"/>
      <c r="POK117" s="0"/>
      <c r="POL117" s="0"/>
      <c r="POM117" s="0"/>
      <c r="PON117" s="0"/>
      <c r="POO117" s="0"/>
      <c r="POP117" s="0"/>
      <c r="POQ117" s="0"/>
      <c r="POR117" s="0"/>
      <c r="POS117" s="0"/>
      <c r="POT117" s="0"/>
      <c r="POU117" s="0"/>
      <c r="POV117" s="0"/>
      <c r="POW117" s="0"/>
      <c r="POX117" s="0"/>
      <c r="POY117" s="0"/>
      <c r="POZ117" s="0"/>
      <c r="PPA117" s="0"/>
      <c r="PPB117" s="0"/>
      <c r="PPC117" s="0"/>
      <c r="PPD117" s="0"/>
      <c r="PPE117" s="0"/>
      <c r="PPF117" s="0"/>
      <c r="PPG117" s="0"/>
      <c r="PPH117" s="0"/>
      <c r="PPI117" s="0"/>
      <c r="PPJ117" s="0"/>
      <c r="PPK117" s="0"/>
      <c r="PPL117" s="0"/>
      <c r="PPM117" s="0"/>
      <c r="PPN117" s="0"/>
      <c r="PPO117" s="0"/>
      <c r="PPP117" s="0"/>
      <c r="PPQ117" s="0"/>
      <c r="PPR117" s="0"/>
      <c r="PPS117" s="0"/>
      <c r="PPT117" s="0"/>
      <c r="PPU117" s="0"/>
      <c r="PPV117" s="0"/>
      <c r="PPW117" s="0"/>
      <c r="PPX117" s="0"/>
      <c r="PPY117" s="0"/>
      <c r="PPZ117" s="0"/>
      <c r="PQA117" s="0"/>
      <c r="PQB117" s="0"/>
      <c r="PQC117" s="0"/>
      <c r="PQD117" s="0"/>
      <c r="PQE117" s="0"/>
      <c r="PQF117" s="0"/>
      <c r="PQG117" s="0"/>
      <c r="PQH117" s="0"/>
      <c r="PQI117" s="0"/>
      <c r="PQJ117" s="0"/>
      <c r="PQK117" s="0"/>
      <c r="PQL117" s="0"/>
      <c r="PQM117" s="0"/>
      <c r="PQN117" s="0"/>
      <c r="PQO117" s="0"/>
      <c r="PQP117" s="0"/>
      <c r="PQQ117" s="0"/>
      <c r="PQR117" s="0"/>
      <c r="PQS117" s="0"/>
      <c r="PQT117" s="0"/>
      <c r="PQU117" s="0"/>
      <c r="PQV117" s="0"/>
      <c r="PQW117" s="0"/>
      <c r="PQX117" s="0"/>
      <c r="PQY117" s="0"/>
      <c r="PQZ117" s="0"/>
      <c r="PRA117" s="0"/>
      <c r="PRB117" s="0"/>
      <c r="PRC117" s="0"/>
      <c r="PRD117" s="0"/>
      <c r="PRE117" s="0"/>
      <c r="PRF117" s="0"/>
      <c r="PRG117" s="0"/>
      <c r="PRH117" s="0"/>
      <c r="PRI117" s="0"/>
      <c r="PRJ117" s="0"/>
      <c r="PRK117" s="0"/>
      <c r="PRL117" s="0"/>
      <c r="PRM117" s="0"/>
      <c r="PRN117" s="0"/>
      <c r="PRO117" s="0"/>
      <c r="PRP117" s="0"/>
      <c r="PRQ117" s="0"/>
      <c r="PRR117" s="0"/>
      <c r="PRS117" s="0"/>
      <c r="PRT117" s="0"/>
      <c r="PRU117" s="0"/>
      <c r="PRV117" s="0"/>
      <c r="PRW117" s="0"/>
      <c r="PRX117" s="0"/>
      <c r="PRY117" s="0"/>
      <c r="PRZ117" s="0"/>
      <c r="PSA117" s="0"/>
      <c r="PSB117" s="0"/>
      <c r="PSC117" s="0"/>
      <c r="PSD117" s="0"/>
      <c r="PSE117" s="0"/>
      <c r="PSF117" s="0"/>
      <c r="PSG117" s="0"/>
      <c r="PSH117" s="0"/>
      <c r="PSI117" s="0"/>
      <c r="PSJ117" s="0"/>
      <c r="PSK117" s="0"/>
      <c r="PSL117" s="0"/>
      <c r="PSM117" s="0"/>
      <c r="PSN117" s="0"/>
      <c r="PSO117" s="0"/>
      <c r="PSP117" s="0"/>
      <c r="PSQ117" s="0"/>
      <c r="PSR117" s="0"/>
      <c r="PSS117" s="0"/>
      <c r="PST117" s="0"/>
      <c r="PSU117" s="0"/>
      <c r="PSV117" s="0"/>
      <c r="PSW117" s="0"/>
      <c r="PSX117" s="0"/>
      <c r="PSY117" s="0"/>
      <c r="PSZ117" s="0"/>
      <c r="PTA117" s="0"/>
      <c r="PTB117" s="0"/>
      <c r="PTC117" s="0"/>
      <c r="PTD117" s="0"/>
      <c r="PTE117" s="0"/>
      <c r="PTF117" s="0"/>
      <c r="PTG117" s="0"/>
      <c r="PTH117" s="0"/>
      <c r="PTI117" s="0"/>
      <c r="PTJ117" s="0"/>
      <c r="PTK117" s="0"/>
      <c r="PTL117" s="0"/>
      <c r="PTM117" s="0"/>
      <c r="PTN117" s="0"/>
      <c r="PTO117" s="0"/>
      <c r="PTP117" s="0"/>
      <c r="PTQ117" s="0"/>
      <c r="PTR117" s="0"/>
      <c r="PTS117" s="0"/>
      <c r="PTT117" s="0"/>
      <c r="PTU117" s="0"/>
      <c r="PTV117" s="0"/>
      <c r="PTW117" s="0"/>
      <c r="PTX117" s="0"/>
      <c r="PTY117" s="0"/>
      <c r="PTZ117" s="0"/>
      <c r="PUA117" s="0"/>
      <c r="PUB117" s="0"/>
      <c r="PUC117" s="0"/>
      <c r="PUD117" s="0"/>
      <c r="PUE117" s="0"/>
      <c r="PUF117" s="0"/>
      <c r="PUG117" s="0"/>
      <c r="PUH117" s="0"/>
      <c r="PUI117" s="0"/>
      <c r="PUJ117" s="0"/>
      <c r="PUK117" s="0"/>
      <c r="PUL117" s="0"/>
      <c r="PUM117" s="0"/>
      <c r="PUN117" s="0"/>
      <c r="PUO117" s="0"/>
      <c r="PUP117" s="0"/>
      <c r="PUQ117" s="0"/>
      <c r="PUR117" s="0"/>
      <c r="PUS117" s="0"/>
      <c r="PUT117" s="0"/>
      <c r="PUU117" s="0"/>
      <c r="PUV117" s="0"/>
      <c r="PUW117" s="0"/>
      <c r="PUX117" s="0"/>
      <c r="PUY117" s="0"/>
      <c r="PUZ117" s="0"/>
      <c r="PVA117" s="0"/>
      <c r="PVB117" s="0"/>
      <c r="PVC117" s="0"/>
      <c r="PVD117" s="0"/>
      <c r="PVE117" s="0"/>
      <c r="PVF117" s="0"/>
      <c r="PVG117" s="0"/>
      <c r="PVH117" s="0"/>
      <c r="PVI117" s="0"/>
      <c r="PVJ117" s="0"/>
      <c r="PVK117" s="0"/>
      <c r="PVL117" s="0"/>
      <c r="PVM117" s="0"/>
      <c r="PVN117" s="0"/>
      <c r="PVO117" s="0"/>
      <c r="PVP117" s="0"/>
      <c r="PVQ117" s="0"/>
      <c r="PVR117" s="0"/>
      <c r="PVS117" s="0"/>
      <c r="PVT117" s="0"/>
      <c r="PVU117" s="0"/>
      <c r="PVV117" s="0"/>
      <c r="PVW117" s="0"/>
      <c r="PVX117" s="0"/>
      <c r="PVY117" s="0"/>
      <c r="PVZ117" s="0"/>
      <c r="PWA117" s="0"/>
      <c r="PWB117" s="0"/>
      <c r="PWC117" s="0"/>
      <c r="PWD117" s="0"/>
      <c r="PWE117" s="0"/>
      <c r="PWF117" s="0"/>
      <c r="PWG117" s="0"/>
      <c r="PWH117" s="0"/>
      <c r="PWI117" s="0"/>
      <c r="PWJ117" s="0"/>
      <c r="PWK117" s="0"/>
      <c r="PWL117" s="0"/>
      <c r="PWM117" s="0"/>
      <c r="PWN117" s="0"/>
      <c r="PWO117" s="0"/>
      <c r="PWP117" s="0"/>
      <c r="PWQ117" s="0"/>
      <c r="PWR117" s="0"/>
      <c r="PWS117" s="0"/>
      <c r="PWT117" s="0"/>
      <c r="PWU117" s="0"/>
      <c r="PWV117" s="0"/>
      <c r="PWW117" s="0"/>
      <c r="PWX117" s="0"/>
      <c r="PWY117" s="0"/>
      <c r="PWZ117" s="0"/>
      <c r="PXA117" s="0"/>
      <c r="PXB117" s="0"/>
      <c r="PXC117" s="0"/>
      <c r="PXD117" s="0"/>
      <c r="PXE117" s="0"/>
      <c r="PXF117" s="0"/>
      <c r="PXG117" s="0"/>
      <c r="PXH117" s="0"/>
      <c r="PXI117" s="0"/>
      <c r="PXJ117" s="0"/>
      <c r="PXK117" s="0"/>
      <c r="PXL117" s="0"/>
      <c r="PXM117" s="0"/>
      <c r="PXN117" s="0"/>
      <c r="PXO117" s="0"/>
      <c r="PXP117" s="0"/>
      <c r="PXQ117" s="0"/>
      <c r="PXR117" s="0"/>
      <c r="PXS117" s="0"/>
      <c r="PXT117" s="0"/>
      <c r="PXU117" s="0"/>
      <c r="PXV117" s="0"/>
      <c r="PXW117" s="0"/>
      <c r="PXX117" s="0"/>
      <c r="PXY117" s="0"/>
      <c r="PXZ117" s="0"/>
      <c r="PYA117" s="0"/>
      <c r="PYB117" s="0"/>
      <c r="PYC117" s="0"/>
      <c r="PYD117" s="0"/>
      <c r="PYE117" s="0"/>
      <c r="PYF117" s="0"/>
      <c r="PYG117" s="0"/>
      <c r="PYH117" s="0"/>
      <c r="PYI117" s="0"/>
      <c r="PYJ117" s="0"/>
      <c r="PYK117" s="0"/>
      <c r="PYL117" s="0"/>
      <c r="PYM117" s="0"/>
      <c r="PYN117" s="0"/>
      <c r="PYO117" s="0"/>
      <c r="PYP117" s="0"/>
      <c r="PYQ117" s="0"/>
      <c r="PYR117" s="0"/>
      <c r="PYS117" s="0"/>
      <c r="PYT117" s="0"/>
      <c r="PYU117" s="0"/>
      <c r="PYV117" s="0"/>
      <c r="PYW117" s="0"/>
      <c r="PYX117" s="0"/>
      <c r="PYY117" s="0"/>
      <c r="PYZ117" s="0"/>
      <c r="PZA117" s="0"/>
      <c r="PZB117" s="0"/>
      <c r="PZC117" s="0"/>
      <c r="PZD117" s="0"/>
      <c r="PZE117" s="0"/>
      <c r="PZF117" s="0"/>
      <c r="PZG117" s="0"/>
      <c r="PZH117" s="0"/>
      <c r="PZI117" s="0"/>
      <c r="PZJ117" s="0"/>
      <c r="PZK117" s="0"/>
      <c r="PZL117" s="0"/>
      <c r="PZM117" s="0"/>
      <c r="PZN117" s="0"/>
      <c r="PZO117" s="0"/>
      <c r="PZP117" s="0"/>
      <c r="PZQ117" s="0"/>
      <c r="PZR117" s="0"/>
      <c r="PZS117" s="0"/>
      <c r="PZT117" s="0"/>
      <c r="PZU117" s="0"/>
      <c r="PZV117" s="0"/>
      <c r="PZW117" s="0"/>
      <c r="PZX117" s="0"/>
      <c r="PZY117" s="0"/>
      <c r="PZZ117" s="0"/>
      <c r="QAA117" s="0"/>
      <c r="QAB117" s="0"/>
      <c r="QAC117" s="0"/>
      <c r="QAD117" s="0"/>
      <c r="QAE117" s="0"/>
      <c r="QAF117" s="0"/>
      <c r="QAG117" s="0"/>
      <c r="QAH117" s="0"/>
      <c r="QAI117" s="0"/>
      <c r="QAJ117" s="0"/>
      <c r="QAK117" s="0"/>
      <c r="QAL117" s="0"/>
      <c r="QAM117" s="0"/>
      <c r="QAN117" s="0"/>
      <c r="QAO117" s="0"/>
      <c r="QAP117" s="0"/>
      <c r="QAQ117" s="0"/>
      <c r="QAR117" s="0"/>
      <c r="QAS117" s="0"/>
      <c r="QAT117" s="0"/>
      <c r="QAU117" s="0"/>
      <c r="QAV117" s="0"/>
      <c r="QAW117" s="0"/>
      <c r="QAX117" s="0"/>
      <c r="QAY117" s="0"/>
      <c r="QAZ117" s="0"/>
      <c r="QBA117" s="0"/>
      <c r="QBB117" s="0"/>
      <c r="QBC117" s="0"/>
      <c r="QBD117" s="0"/>
      <c r="QBE117" s="0"/>
      <c r="QBF117" s="0"/>
      <c r="QBG117" s="0"/>
      <c r="QBH117" s="0"/>
      <c r="QBI117" s="0"/>
      <c r="QBJ117" s="0"/>
      <c r="QBK117" s="0"/>
      <c r="QBL117" s="0"/>
      <c r="QBM117" s="0"/>
      <c r="QBN117" s="0"/>
      <c r="QBO117" s="0"/>
      <c r="QBP117" s="0"/>
      <c r="QBQ117" s="0"/>
      <c r="QBR117" s="0"/>
      <c r="QBS117" s="0"/>
      <c r="QBT117" s="0"/>
      <c r="QBU117" s="0"/>
      <c r="QBV117" s="0"/>
      <c r="QBW117" s="0"/>
      <c r="QBX117" s="0"/>
      <c r="QBY117" s="0"/>
      <c r="QBZ117" s="0"/>
      <c r="QCA117" s="0"/>
      <c r="QCB117" s="0"/>
      <c r="QCC117" s="0"/>
      <c r="QCD117" s="0"/>
      <c r="QCE117" s="0"/>
      <c r="QCF117" s="0"/>
      <c r="QCG117" s="0"/>
      <c r="QCH117" s="0"/>
      <c r="QCI117" s="0"/>
      <c r="QCJ117" s="0"/>
      <c r="QCK117" s="0"/>
      <c r="QCL117" s="0"/>
      <c r="QCM117" s="0"/>
      <c r="QCN117" s="0"/>
      <c r="QCO117" s="0"/>
      <c r="QCP117" s="0"/>
      <c r="QCQ117" s="0"/>
      <c r="QCR117" s="0"/>
      <c r="QCS117" s="0"/>
      <c r="QCT117" s="0"/>
      <c r="QCU117" s="0"/>
      <c r="QCV117" s="0"/>
      <c r="QCW117" s="0"/>
      <c r="QCX117" s="0"/>
      <c r="QCY117" s="0"/>
      <c r="QCZ117" s="0"/>
      <c r="QDA117" s="0"/>
      <c r="QDB117" s="0"/>
      <c r="QDC117" s="0"/>
      <c r="QDD117" s="0"/>
      <c r="QDE117" s="0"/>
      <c r="QDF117" s="0"/>
      <c r="QDG117" s="0"/>
      <c r="QDH117" s="0"/>
      <c r="QDI117" s="0"/>
      <c r="QDJ117" s="0"/>
      <c r="QDK117" s="0"/>
      <c r="QDL117" s="0"/>
      <c r="QDM117" s="0"/>
      <c r="QDN117" s="0"/>
      <c r="QDO117" s="0"/>
      <c r="QDP117" s="0"/>
      <c r="QDQ117" s="0"/>
      <c r="QDR117" s="0"/>
      <c r="QDS117" s="0"/>
      <c r="QDT117" s="0"/>
      <c r="QDU117" s="0"/>
      <c r="QDV117" s="0"/>
      <c r="QDW117" s="0"/>
      <c r="QDX117" s="0"/>
      <c r="QDY117" s="0"/>
      <c r="QDZ117" s="0"/>
      <c r="QEA117" s="0"/>
      <c r="QEB117" s="0"/>
      <c r="QEC117" s="0"/>
      <c r="QED117" s="0"/>
      <c r="QEE117" s="0"/>
      <c r="QEF117" s="0"/>
      <c r="QEG117" s="0"/>
      <c r="QEH117" s="0"/>
      <c r="QEI117" s="0"/>
      <c r="QEJ117" s="0"/>
      <c r="QEK117" s="0"/>
      <c r="QEL117" s="0"/>
      <c r="QEM117" s="0"/>
      <c r="QEN117" s="0"/>
      <c r="QEO117" s="0"/>
      <c r="QEP117" s="0"/>
      <c r="QEQ117" s="0"/>
      <c r="QER117" s="0"/>
      <c r="QES117" s="0"/>
      <c r="QET117" s="0"/>
      <c r="QEU117" s="0"/>
      <c r="QEV117" s="0"/>
      <c r="QEW117" s="0"/>
      <c r="QEX117" s="0"/>
      <c r="QEY117" s="0"/>
      <c r="QEZ117" s="0"/>
      <c r="QFA117" s="0"/>
      <c r="QFB117" s="0"/>
      <c r="QFC117" s="0"/>
      <c r="QFD117" s="0"/>
      <c r="QFE117" s="0"/>
      <c r="QFF117" s="0"/>
      <c r="QFG117" s="0"/>
      <c r="QFH117" s="0"/>
      <c r="QFI117" s="0"/>
      <c r="QFJ117" s="0"/>
      <c r="QFK117" s="0"/>
      <c r="QFL117" s="0"/>
      <c r="QFM117" s="0"/>
      <c r="QFN117" s="0"/>
      <c r="QFO117" s="0"/>
      <c r="QFP117" s="0"/>
      <c r="QFQ117" s="0"/>
      <c r="QFR117" s="0"/>
      <c r="QFS117" s="0"/>
      <c r="QFT117" s="0"/>
      <c r="QFU117" s="0"/>
      <c r="QFV117" s="0"/>
      <c r="QFW117" s="0"/>
      <c r="QFX117" s="0"/>
      <c r="QFY117" s="0"/>
      <c r="QFZ117" s="0"/>
      <c r="QGA117" s="0"/>
      <c r="QGB117" s="0"/>
      <c r="QGC117" s="0"/>
      <c r="QGD117" s="0"/>
      <c r="QGE117" s="0"/>
      <c r="QGF117" s="0"/>
      <c r="QGG117" s="0"/>
      <c r="QGH117" s="0"/>
      <c r="QGI117" s="0"/>
      <c r="QGJ117" s="0"/>
      <c r="QGK117" s="0"/>
      <c r="QGL117" s="0"/>
      <c r="QGM117" s="0"/>
      <c r="QGN117" s="0"/>
      <c r="QGO117" s="0"/>
      <c r="QGP117" s="0"/>
      <c r="QGQ117" s="0"/>
      <c r="QGR117" s="0"/>
      <c r="QGS117" s="0"/>
      <c r="QGT117" s="0"/>
      <c r="QGU117" s="0"/>
      <c r="QGV117" s="0"/>
      <c r="QGW117" s="0"/>
      <c r="QGX117" s="0"/>
      <c r="QGY117" s="0"/>
      <c r="QGZ117" s="0"/>
      <c r="QHA117" s="0"/>
      <c r="QHB117" s="0"/>
      <c r="QHC117" s="0"/>
      <c r="QHD117" s="0"/>
      <c r="QHE117" s="0"/>
      <c r="QHF117" s="0"/>
      <c r="QHG117" s="0"/>
      <c r="QHH117" s="0"/>
      <c r="QHI117" s="0"/>
      <c r="QHJ117" s="0"/>
      <c r="QHK117" s="0"/>
      <c r="QHL117" s="0"/>
      <c r="QHM117" s="0"/>
      <c r="QHN117" s="0"/>
      <c r="QHO117" s="0"/>
      <c r="QHP117" s="0"/>
      <c r="QHQ117" s="0"/>
      <c r="QHR117" s="0"/>
      <c r="QHS117" s="0"/>
      <c r="QHT117" s="0"/>
      <c r="QHU117" s="0"/>
      <c r="QHV117" s="0"/>
      <c r="QHW117" s="0"/>
      <c r="QHX117" s="0"/>
      <c r="QHY117" s="0"/>
      <c r="QHZ117" s="0"/>
      <c r="QIA117" s="0"/>
      <c r="QIB117" s="0"/>
      <c r="QIC117" s="0"/>
      <c r="QID117" s="0"/>
      <c r="QIE117" s="0"/>
      <c r="QIF117" s="0"/>
      <c r="QIG117" s="0"/>
      <c r="QIH117" s="0"/>
      <c r="QII117" s="0"/>
      <c r="QIJ117" s="0"/>
      <c r="QIK117" s="0"/>
      <c r="QIL117" s="0"/>
      <c r="QIM117" s="0"/>
      <c r="QIN117" s="0"/>
      <c r="QIO117" s="0"/>
      <c r="QIP117" s="0"/>
      <c r="QIQ117" s="0"/>
      <c r="QIR117" s="0"/>
      <c r="QIS117" s="0"/>
      <c r="QIT117" s="0"/>
      <c r="QIU117" s="0"/>
      <c r="QIV117" s="0"/>
      <c r="QIW117" s="0"/>
      <c r="QIX117" s="0"/>
      <c r="QIY117" s="0"/>
      <c r="QIZ117" s="0"/>
      <c r="QJA117" s="0"/>
      <c r="QJB117" s="0"/>
      <c r="QJC117" s="0"/>
      <c r="QJD117" s="0"/>
      <c r="QJE117" s="0"/>
      <c r="QJF117" s="0"/>
      <c r="QJG117" s="0"/>
      <c r="QJH117" s="0"/>
      <c r="QJI117" s="0"/>
      <c r="QJJ117" s="0"/>
      <c r="QJK117" s="0"/>
      <c r="QJL117" s="0"/>
      <c r="QJM117" s="0"/>
      <c r="QJN117" s="0"/>
      <c r="QJO117" s="0"/>
      <c r="QJP117" s="0"/>
      <c r="QJQ117" s="0"/>
      <c r="QJR117" s="0"/>
      <c r="QJS117" s="0"/>
      <c r="QJT117" s="0"/>
      <c r="QJU117" s="0"/>
      <c r="QJV117" s="0"/>
      <c r="QJW117" s="0"/>
      <c r="QJX117" s="0"/>
      <c r="QJY117" s="0"/>
      <c r="QJZ117" s="0"/>
      <c r="QKA117" s="0"/>
      <c r="QKB117" s="0"/>
      <c r="QKC117" s="0"/>
      <c r="QKD117" s="0"/>
      <c r="QKE117" s="0"/>
      <c r="QKF117" s="0"/>
      <c r="QKG117" s="0"/>
      <c r="QKH117" s="0"/>
      <c r="QKI117" s="0"/>
      <c r="QKJ117" s="0"/>
      <c r="QKK117" s="0"/>
      <c r="QKL117" s="0"/>
      <c r="QKM117" s="0"/>
      <c r="QKN117" s="0"/>
      <c r="QKO117" s="0"/>
      <c r="QKP117" s="0"/>
      <c r="QKQ117" s="0"/>
      <c r="QKR117" s="0"/>
      <c r="QKS117" s="0"/>
      <c r="QKT117" s="0"/>
      <c r="QKU117" s="0"/>
      <c r="QKV117" s="0"/>
      <c r="QKW117" s="0"/>
      <c r="QKX117" s="0"/>
      <c r="QKY117" s="0"/>
      <c r="QKZ117" s="0"/>
      <c r="QLA117" s="0"/>
      <c r="QLB117" s="0"/>
      <c r="QLC117" s="0"/>
      <c r="QLD117" s="0"/>
      <c r="QLE117" s="0"/>
      <c r="QLF117" s="0"/>
      <c r="QLG117" s="0"/>
      <c r="QLH117" s="0"/>
      <c r="QLI117" s="0"/>
      <c r="QLJ117" s="0"/>
      <c r="QLK117" s="0"/>
      <c r="QLL117" s="0"/>
      <c r="QLM117" s="0"/>
      <c r="QLN117" s="0"/>
      <c r="QLO117" s="0"/>
      <c r="QLP117" s="0"/>
      <c r="QLQ117" s="0"/>
      <c r="QLR117" s="0"/>
      <c r="QLS117" s="0"/>
      <c r="QLT117" s="0"/>
      <c r="QLU117" s="0"/>
      <c r="QLV117" s="0"/>
      <c r="QLW117" s="0"/>
      <c r="QLX117" s="0"/>
      <c r="QLY117" s="0"/>
      <c r="QLZ117" s="0"/>
      <c r="QMA117" s="0"/>
      <c r="QMB117" s="0"/>
      <c r="QMC117" s="0"/>
      <c r="QMD117" s="0"/>
      <c r="QME117" s="0"/>
      <c r="QMF117" s="0"/>
      <c r="QMG117" s="0"/>
      <c r="QMH117" s="0"/>
      <c r="QMI117" s="0"/>
      <c r="QMJ117" s="0"/>
      <c r="QMK117" s="0"/>
      <c r="QML117" s="0"/>
      <c r="QMM117" s="0"/>
      <c r="QMN117" s="0"/>
      <c r="QMO117" s="0"/>
      <c r="QMP117" s="0"/>
      <c r="QMQ117" s="0"/>
      <c r="QMR117" s="0"/>
      <c r="QMS117" s="0"/>
      <c r="QMT117" s="0"/>
      <c r="QMU117" s="0"/>
      <c r="QMV117" s="0"/>
      <c r="QMW117" s="0"/>
      <c r="QMX117" s="0"/>
      <c r="QMY117" s="0"/>
      <c r="QMZ117" s="0"/>
      <c r="QNA117" s="0"/>
      <c r="QNB117" s="0"/>
      <c r="QNC117" s="0"/>
      <c r="QND117" s="0"/>
      <c r="QNE117" s="0"/>
      <c r="QNF117" s="0"/>
      <c r="QNG117" s="0"/>
      <c r="QNH117" s="0"/>
      <c r="QNI117" s="0"/>
      <c r="QNJ117" s="0"/>
      <c r="QNK117" s="0"/>
      <c r="QNL117" s="0"/>
      <c r="QNM117" s="0"/>
      <c r="QNN117" s="0"/>
      <c r="QNO117" s="0"/>
      <c r="QNP117" s="0"/>
      <c r="QNQ117" s="0"/>
      <c r="QNR117" s="0"/>
      <c r="QNS117" s="0"/>
      <c r="QNT117" s="0"/>
      <c r="QNU117" s="0"/>
      <c r="QNV117" s="0"/>
      <c r="QNW117" s="0"/>
      <c r="QNX117" s="0"/>
      <c r="QNY117" s="0"/>
      <c r="QNZ117" s="0"/>
      <c r="QOA117" s="0"/>
      <c r="QOB117" s="0"/>
      <c r="QOC117" s="0"/>
      <c r="QOD117" s="0"/>
      <c r="QOE117" s="0"/>
      <c r="QOF117" s="0"/>
      <c r="QOG117" s="0"/>
      <c r="QOH117" s="0"/>
      <c r="QOI117" s="0"/>
      <c r="QOJ117" s="0"/>
      <c r="QOK117" s="0"/>
      <c r="QOL117" s="0"/>
      <c r="QOM117" s="0"/>
      <c r="QON117" s="0"/>
      <c r="QOO117" s="0"/>
      <c r="QOP117" s="0"/>
      <c r="QOQ117" s="0"/>
      <c r="QOR117" s="0"/>
      <c r="QOS117" s="0"/>
      <c r="QOT117" s="0"/>
      <c r="QOU117" s="0"/>
      <c r="QOV117" s="0"/>
      <c r="QOW117" s="0"/>
      <c r="QOX117" s="0"/>
      <c r="QOY117" s="0"/>
      <c r="QOZ117" s="0"/>
      <c r="QPA117" s="0"/>
      <c r="QPB117" s="0"/>
      <c r="QPC117" s="0"/>
      <c r="QPD117" s="0"/>
      <c r="QPE117" s="0"/>
      <c r="QPF117" s="0"/>
      <c r="QPG117" s="0"/>
      <c r="QPH117" s="0"/>
      <c r="QPI117" s="0"/>
      <c r="QPJ117" s="0"/>
      <c r="QPK117" s="0"/>
      <c r="QPL117" s="0"/>
      <c r="QPM117" s="0"/>
      <c r="QPN117" s="0"/>
      <c r="QPO117" s="0"/>
      <c r="QPP117" s="0"/>
      <c r="QPQ117" s="0"/>
      <c r="QPR117" s="0"/>
      <c r="QPS117" s="0"/>
      <c r="QPT117" s="0"/>
      <c r="QPU117" s="0"/>
      <c r="QPV117" s="0"/>
      <c r="QPW117" s="0"/>
      <c r="QPX117" s="0"/>
      <c r="QPY117" s="0"/>
      <c r="QPZ117" s="0"/>
      <c r="QQA117" s="0"/>
      <c r="QQB117" s="0"/>
      <c r="QQC117" s="0"/>
      <c r="QQD117" s="0"/>
      <c r="QQE117" s="0"/>
      <c r="QQF117" s="0"/>
      <c r="QQG117" s="0"/>
      <c r="QQH117" s="0"/>
      <c r="QQI117" s="0"/>
      <c r="QQJ117" s="0"/>
      <c r="QQK117" s="0"/>
      <c r="QQL117" s="0"/>
      <c r="QQM117" s="0"/>
      <c r="QQN117" s="0"/>
      <c r="QQO117" s="0"/>
      <c r="QQP117" s="0"/>
      <c r="QQQ117" s="0"/>
      <c r="QQR117" s="0"/>
      <c r="QQS117" s="0"/>
      <c r="QQT117" s="0"/>
      <c r="QQU117" s="0"/>
      <c r="QQV117" s="0"/>
      <c r="QQW117" s="0"/>
      <c r="QQX117" s="0"/>
      <c r="QQY117" s="0"/>
      <c r="QQZ117" s="0"/>
      <c r="QRA117" s="0"/>
      <c r="QRB117" s="0"/>
      <c r="QRC117" s="0"/>
      <c r="QRD117" s="0"/>
      <c r="QRE117" s="0"/>
      <c r="QRF117" s="0"/>
      <c r="QRG117" s="0"/>
      <c r="QRH117" s="0"/>
      <c r="QRI117" s="0"/>
      <c r="QRJ117" s="0"/>
      <c r="QRK117" s="0"/>
      <c r="QRL117" s="0"/>
      <c r="QRM117" s="0"/>
      <c r="QRN117" s="0"/>
      <c r="QRO117" s="0"/>
      <c r="QRP117" s="0"/>
      <c r="QRQ117" s="0"/>
      <c r="QRR117" s="0"/>
      <c r="QRS117" s="0"/>
      <c r="QRT117" s="0"/>
      <c r="QRU117" s="0"/>
      <c r="QRV117" s="0"/>
      <c r="QRW117" s="0"/>
      <c r="QRX117" s="0"/>
      <c r="QRY117" s="0"/>
      <c r="QRZ117" s="0"/>
      <c r="QSA117" s="0"/>
      <c r="QSB117" s="0"/>
      <c r="QSC117" s="0"/>
      <c r="QSD117" s="0"/>
      <c r="QSE117" s="0"/>
      <c r="QSF117" s="0"/>
      <c r="QSG117" s="0"/>
      <c r="QSH117" s="0"/>
      <c r="QSI117" s="0"/>
      <c r="QSJ117" s="0"/>
      <c r="QSK117" s="0"/>
      <c r="QSL117" s="0"/>
      <c r="QSM117" s="0"/>
      <c r="QSN117" s="0"/>
      <c r="QSO117" s="0"/>
      <c r="QSP117" s="0"/>
      <c r="QSQ117" s="0"/>
      <c r="QSR117" s="0"/>
      <c r="QSS117" s="0"/>
      <c r="QST117" s="0"/>
      <c r="QSU117" s="0"/>
      <c r="QSV117" s="0"/>
      <c r="QSW117" s="0"/>
      <c r="QSX117" s="0"/>
      <c r="QSY117" s="0"/>
      <c r="QSZ117" s="0"/>
      <c r="QTA117" s="0"/>
      <c r="QTB117" s="0"/>
      <c r="QTC117" s="0"/>
      <c r="QTD117" s="0"/>
      <c r="QTE117" s="0"/>
      <c r="QTF117" s="0"/>
      <c r="QTG117" s="0"/>
      <c r="QTH117" s="0"/>
      <c r="QTI117" s="0"/>
      <c r="QTJ117" s="0"/>
      <c r="QTK117" s="0"/>
      <c r="QTL117" s="0"/>
      <c r="QTM117" s="0"/>
      <c r="QTN117" s="0"/>
      <c r="QTO117" s="0"/>
      <c r="QTP117" s="0"/>
      <c r="QTQ117" s="0"/>
      <c r="QTR117" s="0"/>
      <c r="QTS117" s="0"/>
      <c r="QTT117" s="0"/>
      <c r="QTU117" s="0"/>
      <c r="QTV117" s="0"/>
      <c r="QTW117" s="0"/>
      <c r="QTX117" s="0"/>
      <c r="QTY117" s="0"/>
      <c r="QTZ117" s="0"/>
      <c r="QUA117" s="0"/>
      <c r="QUB117" s="0"/>
      <c r="QUC117" s="0"/>
      <c r="QUD117" s="0"/>
      <c r="QUE117" s="0"/>
      <c r="QUF117" s="0"/>
      <c r="QUG117" s="0"/>
      <c r="QUH117" s="0"/>
      <c r="QUI117" s="0"/>
      <c r="QUJ117" s="0"/>
      <c r="QUK117" s="0"/>
      <c r="QUL117" s="0"/>
      <c r="QUM117" s="0"/>
      <c r="QUN117" s="0"/>
      <c r="QUO117" s="0"/>
      <c r="QUP117" s="0"/>
      <c r="QUQ117" s="0"/>
      <c r="QUR117" s="0"/>
      <c r="QUS117" s="0"/>
      <c r="QUT117" s="0"/>
      <c r="QUU117" s="0"/>
      <c r="QUV117" s="0"/>
      <c r="QUW117" s="0"/>
      <c r="QUX117" s="0"/>
      <c r="QUY117" s="0"/>
      <c r="QUZ117" s="0"/>
      <c r="QVA117" s="0"/>
      <c r="QVB117" s="0"/>
      <c r="QVC117" s="0"/>
      <c r="QVD117" s="0"/>
      <c r="QVE117" s="0"/>
      <c r="QVF117" s="0"/>
      <c r="QVG117" s="0"/>
      <c r="QVH117" s="0"/>
      <c r="QVI117" s="0"/>
      <c r="QVJ117" s="0"/>
      <c r="QVK117" s="0"/>
      <c r="QVL117" s="0"/>
      <c r="QVM117" s="0"/>
      <c r="QVN117" s="0"/>
      <c r="QVO117" s="0"/>
      <c r="QVP117" s="0"/>
      <c r="QVQ117" s="0"/>
      <c r="QVR117" s="0"/>
      <c r="QVS117" s="0"/>
      <c r="QVT117" s="0"/>
      <c r="QVU117" s="0"/>
      <c r="QVV117" s="0"/>
      <c r="QVW117" s="0"/>
      <c r="QVX117" s="0"/>
      <c r="QVY117" s="0"/>
      <c r="QVZ117" s="0"/>
      <c r="QWA117" s="0"/>
      <c r="QWB117" s="0"/>
      <c r="QWC117" s="0"/>
      <c r="QWD117" s="0"/>
      <c r="QWE117" s="0"/>
      <c r="QWF117" s="0"/>
      <c r="QWG117" s="0"/>
      <c r="QWH117" s="0"/>
      <c r="QWI117" s="0"/>
      <c r="QWJ117" s="0"/>
      <c r="QWK117" s="0"/>
      <c r="QWL117" s="0"/>
      <c r="QWM117" s="0"/>
      <c r="QWN117" s="0"/>
      <c r="QWO117" s="0"/>
      <c r="QWP117" s="0"/>
      <c r="QWQ117" s="0"/>
      <c r="QWR117" s="0"/>
      <c r="QWS117" s="0"/>
      <c r="QWT117" s="0"/>
      <c r="QWU117" s="0"/>
      <c r="QWV117" s="0"/>
      <c r="QWW117" s="0"/>
      <c r="QWX117" s="0"/>
      <c r="QWY117" s="0"/>
      <c r="QWZ117" s="0"/>
      <c r="QXA117" s="0"/>
      <c r="QXB117" s="0"/>
      <c r="QXC117" s="0"/>
      <c r="QXD117" s="0"/>
      <c r="QXE117" s="0"/>
      <c r="QXF117" s="0"/>
      <c r="QXG117" s="0"/>
      <c r="QXH117" s="0"/>
      <c r="QXI117" s="0"/>
      <c r="QXJ117" s="0"/>
      <c r="QXK117" s="0"/>
      <c r="QXL117" s="0"/>
      <c r="QXM117" s="0"/>
      <c r="QXN117" s="0"/>
      <c r="QXO117" s="0"/>
      <c r="QXP117" s="0"/>
      <c r="QXQ117" s="0"/>
      <c r="QXR117" s="0"/>
      <c r="QXS117" s="0"/>
      <c r="QXT117" s="0"/>
      <c r="QXU117" s="0"/>
      <c r="QXV117" s="0"/>
      <c r="QXW117" s="0"/>
      <c r="QXX117" s="0"/>
      <c r="QXY117" s="0"/>
      <c r="QXZ117" s="0"/>
      <c r="QYA117" s="0"/>
      <c r="QYB117" s="0"/>
      <c r="QYC117" s="0"/>
      <c r="QYD117" s="0"/>
      <c r="QYE117" s="0"/>
      <c r="QYF117" s="0"/>
      <c r="QYG117" s="0"/>
      <c r="QYH117" s="0"/>
      <c r="QYI117" s="0"/>
      <c r="QYJ117" s="0"/>
      <c r="QYK117" s="0"/>
      <c r="QYL117" s="0"/>
      <c r="QYM117" s="0"/>
      <c r="QYN117" s="0"/>
      <c r="QYO117" s="0"/>
      <c r="QYP117" s="0"/>
      <c r="QYQ117" s="0"/>
      <c r="QYR117" s="0"/>
      <c r="QYS117" s="0"/>
      <c r="QYT117" s="0"/>
      <c r="QYU117" s="0"/>
      <c r="QYV117" s="0"/>
      <c r="QYW117" s="0"/>
      <c r="QYX117" s="0"/>
      <c r="QYY117" s="0"/>
      <c r="QYZ117" s="0"/>
      <c r="QZA117" s="0"/>
      <c r="QZB117" s="0"/>
      <c r="QZC117" s="0"/>
      <c r="QZD117" s="0"/>
      <c r="QZE117" s="0"/>
      <c r="QZF117" s="0"/>
      <c r="QZG117" s="0"/>
      <c r="QZH117" s="0"/>
      <c r="QZI117" s="0"/>
      <c r="QZJ117" s="0"/>
      <c r="QZK117" s="0"/>
      <c r="QZL117" s="0"/>
      <c r="QZM117" s="0"/>
      <c r="QZN117" s="0"/>
      <c r="QZO117" s="0"/>
      <c r="QZP117" s="0"/>
      <c r="QZQ117" s="0"/>
      <c r="QZR117" s="0"/>
      <c r="QZS117" s="0"/>
      <c r="QZT117" s="0"/>
      <c r="QZU117" s="0"/>
      <c r="QZV117" s="0"/>
      <c r="QZW117" s="0"/>
      <c r="QZX117" s="0"/>
      <c r="QZY117" s="0"/>
      <c r="QZZ117" s="0"/>
      <c r="RAA117" s="0"/>
      <c r="RAB117" s="0"/>
      <c r="RAC117" s="0"/>
      <c r="RAD117" s="0"/>
      <c r="RAE117" s="0"/>
      <c r="RAF117" s="0"/>
      <c r="RAG117" s="0"/>
      <c r="RAH117" s="0"/>
      <c r="RAI117" s="0"/>
      <c r="RAJ117" s="0"/>
      <c r="RAK117" s="0"/>
      <c r="RAL117" s="0"/>
      <c r="RAM117" s="0"/>
      <c r="RAN117" s="0"/>
      <c r="RAO117" s="0"/>
      <c r="RAP117" s="0"/>
      <c r="RAQ117" s="0"/>
      <c r="RAR117" s="0"/>
      <c r="RAS117" s="0"/>
      <c r="RAT117" s="0"/>
      <c r="RAU117" s="0"/>
      <c r="RAV117" s="0"/>
      <c r="RAW117" s="0"/>
      <c r="RAX117" s="0"/>
      <c r="RAY117" s="0"/>
      <c r="RAZ117" s="0"/>
      <c r="RBA117" s="0"/>
      <c r="RBB117" s="0"/>
      <c r="RBC117" s="0"/>
      <c r="RBD117" s="0"/>
      <c r="RBE117" s="0"/>
      <c r="RBF117" s="0"/>
      <c r="RBG117" s="0"/>
      <c r="RBH117" s="0"/>
      <c r="RBI117" s="0"/>
      <c r="RBJ117" s="0"/>
      <c r="RBK117" s="0"/>
      <c r="RBL117" s="0"/>
      <c r="RBM117" s="0"/>
      <c r="RBN117" s="0"/>
      <c r="RBO117" s="0"/>
      <c r="RBP117" s="0"/>
      <c r="RBQ117" s="0"/>
      <c r="RBR117" s="0"/>
      <c r="RBS117" s="0"/>
      <c r="RBT117" s="0"/>
      <c r="RBU117" s="0"/>
      <c r="RBV117" s="0"/>
      <c r="RBW117" s="0"/>
      <c r="RBX117" s="0"/>
      <c r="RBY117" s="0"/>
      <c r="RBZ117" s="0"/>
      <c r="RCA117" s="0"/>
      <c r="RCB117" s="0"/>
      <c r="RCC117" s="0"/>
      <c r="RCD117" s="0"/>
      <c r="RCE117" s="0"/>
      <c r="RCF117" s="0"/>
      <c r="RCG117" s="0"/>
      <c r="RCH117" s="0"/>
      <c r="RCI117" s="0"/>
      <c r="RCJ117" s="0"/>
      <c r="RCK117" s="0"/>
      <c r="RCL117" s="0"/>
      <c r="RCM117" s="0"/>
      <c r="RCN117" s="0"/>
      <c r="RCO117" s="0"/>
      <c r="RCP117" s="0"/>
      <c r="RCQ117" s="0"/>
      <c r="RCR117" s="0"/>
      <c r="RCS117" s="0"/>
      <c r="RCT117" s="0"/>
      <c r="RCU117" s="0"/>
      <c r="RCV117" s="0"/>
      <c r="RCW117" s="0"/>
      <c r="RCX117" s="0"/>
      <c r="RCY117" s="0"/>
      <c r="RCZ117" s="0"/>
      <c r="RDA117" s="0"/>
      <c r="RDB117" s="0"/>
      <c r="RDC117" s="0"/>
      <c r="RDD117" s="0"/>
      <c r="RDE117" s="0"/>
      <c r="RDF117" s="0"/>
      <c r="RDG117" s="0"/>
      <c r="RDH117" s="0"/>
      <c r="RDI117" s="0"/>
      <c r="RDJ117" s="0"/>
      <c r="RDK117" s="0"/>
      <c r="RDL117" s="0"/>
      <c r="RDM117" s="0"/>
      <c r="RDN117" s="0"/>
      <c r="RDO117" s="0"/>
      <c r="RDP117" s="0"/>
      <c r="RDQ117" s="0"/>
      <c r="RDR117" s="0"/>
      <c r="RDS117" s="0"/>
      <c r="RDT117" s="0"/>
      <c r="RDU117" s="0"/>
      <c r="RDV117" s="0"/>
      <c r="RDW117" s="0"/>
      <c r="RDX117" s="0"/>
      <c r="RDY117" s="0"/>
      <c r="RDZ117" s="0"/>
      <c r="REA117" s="0"/>
      <c r="REB117" s="0"/>
      <c r="REC117" s="0"/>
      <c r="RED117" s="0"/>
      <c r="REE117" s="0"/>
      <c r="REF117" s="0"/>
      <c r="REG117" s="0"/>
      <c r="REH117" s="0"/>
      <c r="REI117" s="0"/>
      <c r="REJ117" s="0"/>
      <c r="REK117" s="0"/>
      <c r="REL117" s="0"/>
      <c r="REM117" s="0"/>
      <c r="REN117" s="0"/>
      <c r="REO117" s="0"/>
      <c r="REP117" s="0"/>
      <c r="REQ117" s="0"/>
      <c r="RER117" s="0"/>
      <c r="RES117" s="0"/>
      <c r="RET117" s="0"/>
      <c r="REU117" s="0"/>
      <c r="REV117" s="0"/>
      <c r="REW117" s="0"/>
      <c r="REX117" s="0"/>
      <c r="REY117" s="0"/>
      <c r="REZ117" s="0"/>
      <c r="RFA117" s="0"/>
      <c r="RFB117" s="0"/>
      <c r="RFC117" s="0"/>
      <c r="RFD117" s="0"/>
      <c r="RFE117" s="0"/>
      <c r="RFF117" s="0"/>
      <c r="RFG117" s="0"/>
      <c r="RFH117" s="0"/>
      <c r="RFI117" s="0"/>
      <c r="RFJ117" s="0"/>
      <c r="RFK117" s="0"/>
      <c r="RFL117" s="0"/>
      <c r="RFM117" s="0"/>
      <c r="RFN117" s="0"/>
      <c r="RFO117" s="0"/>
      <c r="RFP117" s="0"/>
      <c r="RFQ117" s="0"/>
      <c r="RFR117" s="0"/>
      <c r="RFS117" s="0"/>
      <c r="RFT117" s="0"/>
      <c r="RFU117" s="0"/>
      <c r="RFV117" s="0"/>
      <c r="RFW117" s="0"/>
      <c r="RFX117" s="0"/>
      <c r="RFY117" s="0"/>
      <c r="RFZ117" s="0"/>
      <c r="RGA117" s="0"/>
      <c r="RGB117" s="0"/>
      <c r="RGC117" s="0"/>
      <c r="RGD117" s="0"/>
      <c r="RGE117" s="0"/>
      <c r="RGF117" s="0"/>
      <c r="RGG117" s="0"/>
      <c r="RGH117" s="0"/>
      <c r="RGI117" s="0"/>
      <c r="RGJ117" s="0"/>
      <c r="RGK117" s="0"/>
      <c r="RGL117" s="0"/>
      <c r="RGM117" s="0"/>
      <c r="RGN117" s="0"/>
      <c r="RGO117" s="0"/>
      <c r="RGP117" s="0"/>
      <c r="RGQ117" s="0"/>
      <c r="RGR117" s="0"/>
      <c r="RGS117" s="0"/>
      <c r="RGT117" s="0"/>
      <c r="RGU117" s="0"/>
      <c r="RGV117" s="0"/>
      <c r="RGW117" s="0"/>
      <c r="RGX117" s="0"/>
      <c r="RGY117" s="0"/>
      <c r="RGZ117" s="0"/>
      <c r="RHA117" s="0"/>
      <c r="RHB117" s="0"/>
      <c r="RHC117" s="0"/>
      <c r="RHD117" s="0"/>
      <c r="RHE117" s="0"/>
      <c r="RHF117" s="0"/>
      <c r="RHG117" s="0"/>
      <c r="RHH117" s="0"/>
      <c r="RHI117" s="0"/>
      <c r="RHJ117" s="0"/>
      <c r="RHK117" s="0"/>
      <c r="RHL117" s="0"/>
      <c r="RHM117" s="0"/>
      <c r="RHN117" s="0"/>
      <c r="RHO117" s="0"/>
      <c r="RHP117" s="0"/>
      <c r="RHQ117" s="0"/>
      <c r="RHR117" s="0"/>
      <c r="RHS117" s="0"/>
      <c r="RHT117" s="0"/>
      <c r="RHU117" s="0"/>
      <c r="RHV117" s="0"/>
      <c r="RHW117" s="0"/>
      <c r="RHX117" s="0"/>
      <c r="RHY117" s="0"/>
      <c r="RHZ117" s="0"/>
      <c r="RIA117" s="0"/>
      <c r="RIB117" s="0"/>
      <c r="RIC117" s="0"/>
      <c r="RID117" s="0"/>
      <c r="RIE117" s="0"/>
      <c r="RIF117" s="0"/>
      <c r="RIG117" s="0"/>
      <c r="RIH117" s="0"/>
      <c r="RII117" s="0"/>
      <c r="RIJ117" s="0"/>
      <c r="RIK117" s="0"/>
      <c r="RIL117" s="0"/>
      <c r="RIM117" s="0"/>
      <c r="RIN117" s="0"/>
      <c r="RIO117" s="0"/>
      <c r="RIP117" s="0"/>
      <c r="RIQ117" s="0"/>
      <c r="RIR117" s="0"/>
      <c r="RIS117" s="0"/>
      <c r="RIT117" s="0"/>
      <c r="RIU117" s="0"/>
      <c r="RIV117" s="0"/>
      <c r="RIW117" s="0"/>
      <c r="RIX117" s="0"/>
      <c r="RIY117" s="0"/>
      <c r="RIZ117" s="0"/>
      <c r="RJA117" s="0"/>
      <c r="RJB117" s="0"/>
      <c r="RJC117" s="0"/>
      <c r="RJD117" s="0"/>
      <c r="RJE117" s="0"/>
      <c r="RJF117" s="0"/>
      <c r="RJG117" s="0"/>
      <c r="RJH117" s="0"/>
      <c r="RJI117" s="0"/>
      <c r="RJJ117" s="0"/>
      <c r="RJK117" s="0"/>
      <c r="RJL117" s="0"/>
      <c r="RJM117" s="0"/>
      <c r="RJN117" s="0"/>
      <c r="RJO117" s="0"/>
      <c r="RJP117" s="0"/>
      <c r="RJQ117" s="0"/>
      <c r="RJR117" s="0"/>
      <c r="RJS117" s="0"/>
      <c r="RJT117" s="0"/>
      <c r="RJU117" s="0"/>
      <c r="RJV117" s="0"/>
      <c r="RJW117" s="0"/>
      <c r="RJX117" s="0"/>
      <c r="RJY117" s="0"/>
      <c r="RJZ117" s="0"/>
      <c r="RKA117" s="0"/>
      <c r="RKB117" s="0"/>
      <c r="RKC117" s="0"/>
      <c r="RKD117" s="0"/>
      <c r="RKE117" s="0"/>
      <c r="RKF117" s="0"/>
      <c r="RKG117" s="0"/>
      <c r="RKH117" s="0"/>
      <c r="RKI117" s="0"/>
      <c r="RKJ117" s="0"/>
      <c r="RKK117" s="0"/>
      <c r="RKL117" s="0"/>
      <c r="RKM117" s="0"/>
      <c r="RKN117" s="0"/>
      <c r="RKO117" s="0"/>
      <c r="RKP117" s="0"/>
      <c r="RKQ117" s="0"/>
      <c r="RKR117" s="0"/>
      <c r="RKS117" s="0"/>
      <c r="RKT117" s="0"/>
      <c r="RKU117" s="0"/>
      <c r="RKV117" s="0"/>
      <c r="RKW117" s="0"/>
      <c r="RKX117" s="0"/>
      <c r="RKY117" s="0"/>
      <c r="RKZ117" s="0"/>
      <c r="RLA117" s="0"/>
      <c r="RLB117" s="0"/>
      <c r="RLC117" s="0"/>
      <c r="RLD117" s="0"/>
      <c r="RLE117" s="0"/>
      <c r="RLF117" s="0"/>
      <c r="RLG117" s="0"/>
      <c r="RLH117" s="0"/>
      <c r="RLI117" s="0"/>
      <c r="RLJ117" s="0"/>
      <c r="RLK117" s="0"/>
      <c r="RLL117" s="0"/>
      <c r="RLM117" s="0"/>
      <c r="RLN117" s="0"/>
      <c r="RLO117" s="0"/>
      <c r="RLP117" s="0"/>
      <c r="RLQ117" s="0"/>
      <c r="RLR117" s="0"/>
      <c r="RLS117" s="0"/>
      <c r="RLT117" s="0"/>
      <c r="RLU117" s="0"/>
      <c r="RLV117" s="0"/>
      <c r="RLW117" s="0"/>
      <c r="RLX117" s="0"/>
      <c r="RLY117" s="0"/>
      <c r="RLZ117" s="0"/>
      <c r="RMA117" s="0"/>
      <c r="RMB117" s="0"/>
      <c r="RMC117" s="0"/>
      <c r="RMD117" s="0"/>
      <c r="RME117" s="0"/>
      <c r="RMF117" s="0"/>
      <c r="RMG117" s="0"/>
      <c r="RMH117" s="0"/>
      <c r="RMI117" s="0"/>
      <c r="RMJ117" s="0"/>
      <c r="RMK117" s="0"/>
      <c r="RML117" s="0"/>
      <c r="RMM117" s="0"/>
      <c r="RMN117" s="0"/>
      <c r="RMO117" s="0"/>
      <c r="RMP117" s="0"/>
      <c r="RMQ117" s="0"/>
      <c r="RMR117" s="0"/>
      <c r="RMS117" s="0"/>
      <c r="RMT117" s="0"/>
      <c r="RMU117" s="0"/>
      <c r="RMV117" s="0"/>
      <c r="RMW117" s="0"/>
      <c r="RMX117" s="0"/>
      <c r="RMY117" s="0"/>
      <c r="RMZ117" s="0"/>
      <c r="RNA117" s="0"/>
      <c r="RNB117" s="0"/>
      <c r="RNC117" s="0"/>
      <c r="RND117" s="0"/>
      <c r="RNE117" s="0"/>
      <c r="RNF117" s="0"/>
      <c r="RNG117" s="0"/>
      <c r="RNH117" s="0"/>
      <c r="RNI117" s="0"/>
      <c r="RNJ117" s="0"/>
      <c r="RNK117" s="0"/>
      <c r="RNL117" s="0"/>
      <c r="RNM117" s="0"/>
      <c r="RNN117" s="0"/>
      <c r="RNO117" s="0"/>
      <c r="RNP117" s="0"/>
      <c r="RNQ117" s="0"/>
      <c r="RNR117" s="0"/>
      <c r="RNS117" s="0"/>
      <c r="RNT117" s="0"/>
      <c r="RNU117" s="0"/>
      <c r="RNV117" s="0"/>
      <c r="RNW117" s="0"/>
      <c r="RNX117" s="0"/>
      <c r="RNY117" s="0"/>
      <c r="RNZ117" s="0"/>
      <c r="ROA117" s="0"/>
      <c r="ROB117" s="0"/>
      <c r="ROC117" s="0"/>
      <c r="ROD117" s="0"/>
      <c r="ROE117" s="0"/>
      <c r="ROF117" s="0"/>
      <c r="ROG117" s="0"/>
      <c r="ROH117" s="0"/>
      <c r="ROI117" s="0"/>
      <c r="ROJ117" s="0"/>
      <c r="ROK117" s="0"/>
      <c r="ROL117" s="0"/>
      <c r="ROM117" s="0"/>
      <c r="RON117" s="0"/>
      <c r="ROO117" s="0"/>
      <c r="ROP117" s="0"/>
      <c r="ROQ117" s="0"/>
      <c r="ROR117" s="0"/>
      <c r="ROS117" s="0"/>
      <c r="ROT117" s="0"/>
      <c r="ROU117" s="0"/>
      <c r="ROV117" s="0"/>
      <c r="ROW117" s="0"/>
      <c r="ROX117" s="0"/>
      <c r="ROY117" s="0"/>
      <c r="ROZ117" s="0"/>
      <c r="RPA117" s="0"/>
      <c r="RPB117" s="0"/>
      <c r="RPC117" s="0"/>
      <c r="RPD117" s="0"/>
      <c r="RPE117" s="0"/>
      <c r="RPF117" s="0"/>
      <c r="RPG117" s="0"/>
      <c r="RPH117" s="0"/>
      <c r="RPI117" s="0"/>
      <c r="RPJ117" s="0"/>
      <c r="RPK117" s="0"/>
      <c r="RPL117" s="0"/>
      <c r="RPM117" s="0"/>
      <c r="RPN117" s="0"/>
      <c r="RPO117" s="0"/>
      <c r="RPP117" s="0"/>
      <c r="RPQ117" s="0"/>
      <c r="RPR117" s="0"/>
      <c r="RPS117" s="0"/>
      <c r="RPT117" s="0"/>
      <c r="RPU117" s="0"/>
      <c r="RPV117" s="0"/>
      <c r="RPW117" s="0"/>
      <c r="RPX117" s="0"/>
      <c r="RPY117" s="0"/>
      <c r="RPZ117" s="0"/>
      <c r="RQA117" s="0"/>
      <c r="RQB117" s="0"/>
      <c r="RQC117" s="0"/>
      <c r="RQD117" s="0"/>
      <c r="RQE117" s="0"/>
      <c r="RQF117" s="0"/>
      <c r="RQG117" s="0"/>
      <c r="RQH117" s="0"/>
      <c r="RQI117" s="0"/>
      <c r="RQJ117" s="0"/>
      <c r="RQK117" s="0"/>
      <c r="RQL117" s="0"/>
      <c r="RQM117" s="0"/>
      <c r="RQN117" s="0"/>
      <c r="RQO117" s="0"/>
      <c r="RQP117" s="0"/>
      <c r="RQQ117" s="0"/>
      <c r="RQR117" s="0"/>
      <c r="RQS117" s="0"/>
      <c r="RQT117" s="0"/>
      <c r="RQU117" s="0"/>
      <c r="RQV117" s="0"/>
      <c r="RQW117" s="0"/>
      <c r="RQX117" s="0"/>
      <c r="RQY117" s="0"/>
      <c r="RQZ117" s="0"/>
      <c r="RRA117" s="0"/>
      <c r="RRB117" s="0"/>
      <c r="RRC117" s="0"/>
      <c r="RRD117" s="0"/>
      <c r="RRE117" s="0"/>
      <c r="RRF117" s="0"/>
      <c r="RRG117" s="0"/>
      <c r="RRH117" s="0"/>
      <c r="RRI117" s="0"/>
      <c r="RRJ117" s="0"/>
      <c r="RRK117" s="0"/>
      <c r="RRL117" s="0"/>
      <c r="RRM117" s="0"/>
      <c r="RRN117" s="0"/>
      <c r="RRO117" s="0"/>
      <c r="RRP117" s="0"/>
      <c r="RRQ117" s="0"/>
      <c r="RRR117" s="0"/>
      <c r="RRS117" s="0"/>
      <c r="RRT117" s="0"/>
      <c r="RRU117" s="0"/>
      <c r="RRV117" s="0"/>
      <c r="RRW117" s="0"/>
      <c r="RRX117" s="0"/>
      <c r="RRY117" s="0"/>
      <c r="RRZ117" s="0"/>
      <c r="RSA117" s="0"/>
      <c r="RSB117" s="0"/>
      <c r="RSC117" s="0"/>
      <c r="RSD117" s="0"/>
      <c r="RSE117" s="0"/>
      <c r="RSF117" s="0"/>
      <c r="RSG117" s="0"/>
      <c r="RSH117" s="0"/>
      <c r="RSI117" s="0"/>
      <c r="RSJ117" s="0"/>
      <c r="RSK117" s="0"/>
      <c r="RSL117" s="0"/>
      <c r="RSM117" s="0"/>
      <c r="RSN117" s="0"/>
      <c r="RSO117" s="0"/>
      <c r="RSP117" s="0"/>
      <c r="RSQ117" s="0"/>
      <c r="RSR117" s="0"/>
      <c r="RSS117" s="0"/>
      <c r="RST117" s="0"/>
      <c r="RSU117" s="0"/>
      <c r="RSV117" s="0"/>
      <c r="RSW117" s="0"/>
      <c r="RSX117" s="0"/>
      <c r="RSY117" s="0"/>
      <c r="RSZ117" s="0"/>
      <c r="RTA117" s="0"/>
      <c r="RTB117" s="0"/>
      <c r="RTC117" s="0"/>
      <c r="RTD117" s="0"/>
      <c r="RTE117" s="0"/>
      <c r="RTF117" s="0"/>
      <c r="RTG117" s="0"/>
      <c r="RTH117" s="0"/>
      <c r="RTI117" s="0"/>
      <c r="RTJ117" s="0"/>
      <c r="RTK117" s="0"/>
      <c r="RTL117" s="0"/>
      <c r="RTM117" s="0"/>
      <c r="RTN117" s="0"/>
      <c r="RTO117" s="0"/>
      <c r="RTP117" s="0"/>
      <c r="RTQ117" s="0"/>
      <c r="RTR117" s="0"/>
      <c r="RTS117" s="0"/>
      <c r="RTT117" s="0"/>
      <c r="RTU117" s="0"/>
      <c r="RTV117" s="0"/>
      <c r="RTW117" s="0"/>
      <c r="RTX117" s="0"/>
      <c r="RTY117" s="0"/>
      <c r="RTZ117" s="0"/>
      <c r="RUA117" s="0"/>
      <c r="RUB117" s="0"/>
      <c r="RUC117" s="0"/>
      <c r="RUD117" s="0"/>
      <c r="RUE117" s="0"/>
      <c r="RUF117" s="0"/>
      <c r="RUG117" s="0"/>
      <c r="RUH117" s="0"/>
      <c r="RUI117" s="0"/>
      <c r="RUJ117" s="0"/>
      <c r="RUK117" s="0"/>
      <c r="RUL117" s="0"/>
      <c r="RUM117" s="0"/>
      <c r="RUN117" s="0"/>
      <c r="RUO117" s="0"/>
      <c r="RUP117" s="0"/>
      <c r="RUQ117" s="0"/>
      <c r="RUR117" s="0"/>
      <c r="RUS117" s="0"/>
      <c r="RUT117" s="0"/>
      <c r="RUU117" s="0"/>
      <c r="RUV117" s="0"/>
      <c r="RUW117" s="0"/>
      <c r="RUX117" s="0"/>
      <c r="RUY117" s="0"/>
      <c r="RUZ117" s="0"/>
      <c r="RVA117" s="0"/>
      <c r="RVB117" s="0"/>
      <c r="RVC117" s="0"/>
      <c r="RVD117" s="0"/>
      <c r="RVE117" s="0"/>
      <c r="RVF117" s="0"/>
      <c r="RVG117" s="0"/>
      <c r="RVH117" s="0"/>
      <c r="RVI117" s="0"/>
      <c r="RVJ117" s="0"/>
      <c r="RVK117" s="0"/>
      <c r="RVL117" s="0"/>
      <c r="RVM117" s="0"/>
      <c r="RVN117" s="0"/>
      <c r="RVO117" s="0"/>
      <c r="RVP117" s="0"/>
      <c r="RVQ117" s="0"/>
      <c r="RVR117" s="0"/>
      <c r="RVS117" s="0"/>
      <c r="RVT117" s="0"/>
      <c r="RVU117" s="0"/>
      <c r="RVV117" s="0"/>
      <c r="RVW117" s="0"/>
      <c r="RVX117" s="0"/>
      <c r="RVY117" s="0"/>
      <c r="RVZ117" s="0"/>
      <c r="RWA117" s="0"/>
      <c r="RWB117" s="0"/>
      <c r="RWC117" s="0"/>
      <c r="RWD117" s="0"/>
      <c r="RWE117" s="0"/>
      <c r="RWF117" s="0"/>
      <c r="RWG117" s="0"/>
      <c r="RWH117" s="0"/>
      <c r="RWI117" s="0"/>
      <c r="RWJ117" s="0"/>
      <c r="RWK117" s="0"/>
      <c r="RWL117" s="0"/>
      <c r="RWM117" s="0"/>
      <c r="RWN117" s="0"/>
      <c r="RWO117" s="0"/>
      <c r="RWP117" s="0"/>
      <c r="RWQ117" s="0"/>
      <c r="RWR117" s="0"/>
      <c r="RWS117" s="0"/>
      <c r="RWT117" s="0"/>
      <c r="RWU117" s="0"/>
      <c r="RWV117" s="0"/>
      <c r="RWW117" s="0"/>
      <c r="RWX117" s="0"/>
      <c r="RWY117" s="0"/>
      <c r="RWZ117" s="0"/>
      <c r="RXA117" s="0"/>
      <c r="RXB117" s="0"/>
      <c r="RXC117" s="0"/>
      <c r="RXD117" s="0"/>
      <c r="RXE117" s="0"/>
      <c r="RXF117" s="0"/>
      <c r="RXG117" s="0"/>
      <c r="RXH117" s="0"/>
      <c r="RXI117" s="0"/>
      <c r="RXJ117" s="0"/>
      <c r="RXK117" s="0"/>
      <c r="RXL117" s="0"/>
      <c r="RXM117" s="0"/>
      <c r="RXN117" s="0"/>
      <c r="RXO117" s="0"/>
      <c r="RXP117" s="0"/>
      <c r="RXQ117" s="0"/>
      <c r="RXR117" s="0"/>
      <c r="RXS117" s="0"/>
      <c r="RXT117" s="0"/>
      <c r="RXU117" s="0"/>
      <c r="RXV117" s="0"/>
      <c r="RXW117" s="0"/>
      <c r="RXX117" s="0"/>
      <c r="RXY117" s="0"/>
      <c r="RXZ117" s="0"/>
      <c r="RYA117" s="0"/>
      <c r="RYB117" s="0"/>
      <c r="RYC117" s="0"/>
      <c r="RYD117" s="0"/>
      <c r="RYE117" s="0"/>
      <c r="RYF117" s="0"/>
      <c r="RYG117" s="0"/>
      <c r="RYH117" s="0"/>
      <c r="RYI117" s="0"/>
      <c r="RYJ117" s="0"/>
      <c r="RYK117" s="0"/>
      <c r="RYL117" s="0"/>
      <c r="RYM117" s="0"/>
      <c r="RYN117" s="0"/>
      <c r="RYO117" s="0"/>
      <c r="RYP117" s="0"/>
      <c r="RYQ117" s="0"/>
      <c r="RYR117" s="0"/>
      <c r="RYS117" s="0"/>
      <c r="RYT117" s="0"/>
      <c r="RYU117" s="0"/>
      <c r="RYV117" s="0"/>
      <c r="RYW117" s="0"/>
      <c r="RYX117" s="0"/>
      <c r="RYY117" s="0"/>
      <c r="RYZ117" s="0"/>
      <c r="RZA117" s="0"/>
      <c r="RZB117" s="0"/>
      <c r="RZC117" s="0"/>
      <c r="RZD117" s="0"/>
      <c r="RZE117" s="0"/>
      <c r="RZF117" s="0"/>
      <c r="RZG117" s="0"/>
      <c r="RZH117" s="0"/>
      <c r="RZI117" s="0"/>
      <c r="RZJ117" s="0"/>
      <c r="RZK117" s="0"/>
      <c r="RZL117" s="0"/>
      <c r="RZM117" s="0"/>
      <c r="RZN117" s="0"/>
      <c r="RZO117" s="0"/>
      <c r="RZP117" s="0"/>
      <c r="RZQ117" s="0"/>
      <c r="RZR117" s="0"/>
      <c r="RZS117" s="0"/>
      <c r="RZT117" s="0"/>
      <c r="RZU117" s="0"/>
      <c r="RZV117" s="0"/>
      <c r="RZW117" s="0"/>
      <c r="RZX117" s="0"/>
      <c r="RZY117" s="0"/>
      <c r="RZZ117" s="0"/>
      <c r="SAA117" s="0"/>
      <c r="SAB117" s="0"/>
      <c r="SAC117" s="0"/>
      <c r="SAD117" s="0"/>
      <c r="SAE117" s="0"/>
      <c r="SAF117" s="0"/>
      <c r="SAG117" s="0"/>
      <c r="SAH117" s="0"/>
      <c r="SAI117" s="0"/>
      <c r="SAJ117" s="0"/>
      <c r="SAK117" s="0"/>
      <c r="SAL117" s="0"/>
      <c r="SAM117" s="0"/>
      <c r="SAN117" s="0"/>
      <c r="SAO117" s="0"/>
      <c r="SAP117" s="0"/>
      <c r="SAQ117" s="0"/>
      <c r="SAR117" s="0"/>
      <c r="SAS117" s="0"/>
      <c r="SAT117" s="0"/>
      <c r="SAU117" s="0"/>
      <c r="SAV117" s="0"/>
      <c r="SAW117" s="0"/>
      <c r="SAX117" s="0"/>
      <c r="SAY117" s="0"/>
      <c r="SAZ117" s="0"/>
      <c r="SBA117" s="0"/>
      <c r="SBB117" s="0"/>
      <c r="SBC117" s="0"/>
      <c r="SBD117" s="0"/>
      <c r="SBE117" s="0"/>
      <c r="SBF117" s="0"/>
      <c r="SBG117" s="0"/>
      <c r="SBH117" s="0"/>
      <c r="SBI117" s="0"/>
      <c r="SBJ117" s="0"/>
      <c r="SBK117" s="0"/>
      <c r="SBL117" s="0"/>
      <c r="SBM117" s="0"/>
      <c r="SBN117" s="0"/>
      <c r="SBO117" s="0"/>
      <c r="SBP117" s="0"/>
      <c r="SBQ117" s="0"/>
      <c r="SBR117" s="0"/>
      <c r="SBS117" s="0"/>
      <c r="SBT117" s="0"/>
      <c r="SBU117" s="0"/>
      <c r="SBV117" s="0"/>
      <c r="SBW117" s="0"/>
      <c r="SBX117" s="0"/>
      <c r="SBY117" s="0"/>
      <c r="SBZ117" s="0"/>
      <c r="SCA117" s="0"/>
      <c r="SCB117" s="0"/>
      <c r="SCC117" s="0"/>
      <c r="SCD117" s="0"/>
      <c r="SCE117" s="0"/>
      <c r="SCF117" s="0"/>
      <c r="SCG117" s="0"/>
      <c r="SCH117" s="0"/>
      <c r="SCI117" s="0"/>
      <c r="SCJ117" s="0"/>
      <c r="SCK117" s="0"/>
      <c r="SCL117" s="0"/>
      <c r="SCM117" s="0"/>
      <c r="SCN117" s="0"/>
      <c r="SCO117" s="0"/>
      <c r="SCP117" s="0"/>
      <c r="SCQ117" s="0"/>
      <c r="SCR117" s="0"/>
      <c r="SCS117" s="0"/>
      <c r="SCT117" s="0"/>
      <c r="SCU117" s="0"/>
      <c r="SCV117" s="0"/>
      <c r="SCW117" s="0"/>
      <c r="SCX117" s="0"/>
      <c r="SCY117" s="0"/>
      <c r="SCZ117" s="0"/>
      <c r="SDA117" s="0"/>
      <c r="SDB117" s="0"/>
      <c r="SDC117" s="0"/>
      <c r="SDD117" s="0"/>
      <c r="SDE117" s="0"/>
      <c r="SDF117" s="0"/>
      <c r="SDG117" s="0"/>
      <c r="SDH117" s="0"/>
      <c r="SDI117" s="0"/>
      <c r="SDJ117" s="0"/>
      <c r="SDK117" s="0"/>
      <c r="SDL117" s="0"/>
      <c r="SDM117" s="0"/>
      <c r="SDN117" s="0"/>
      <c r="SDO117" s="0"/>
      <c r="SDP117" s="0"/>
      <c r="SDQ117" s="0"/>
      <c r="SDR117" s="0"/>
      <c r="SDS117" s="0"/>
      <c r="SDT117" s="0"/>
      <c r="SDU117" s="0"/>
      <c r="SDV117" s="0"/>
      <c r="SDW117" s="0"/>
      <c r="SDX117" s="0"/>
      <c r="SDY117" s="0"/>
      <c r="SDZ117" s="0"/>
      <c r="SEA117" s="0"/>
      <c r="SEB117" s="0"/>
      <c r="SEC117" s="0"/>
      <c r="SED117" s="0"/>
      <c r="SEE117" s="0"/>
      <c r="SEF117" s="0"/>
      <c r="SEG117" s="0"/>
      <c r="SEH117" s="0"/>
      <c r="SEI117" s="0"/>
      <c r="SEJ117" s="0"/>
      <c r="SEK117" s="0"/>
      <c r="SEL117" s="0"/>
      <c r="SEM117" s="0"/>
      <c r="SEN117" s="0"/>
      <c r="SEO117" s="0"/>
      <c r="SEP117" s="0"/>
      <c r="SEQ117" s="0"/>
      <c r="SER117" s="0"/>
      <c r="SES117" s="0"/>
      <c r="SET117" s="0"/>
      <c r="SEU117" s="0"/>
      <c r="SEV117" s="0"/>
      <c r="SEW117" s="0"/>
      <c r="SEX117" s="0"/>
      <c r="SEY117" s="0"/>
      <c r="SEZ117" s="0"/>
      <c r="SFA117" s="0"/>
      <c r="SFB117" s="0"/>
      <c r="SFC117" s="0"/>
      <c r="SFD117" s="0"/>
      <c r="SFE117" s="0"/>
      <c r="SFF117" s="0"/>
      <c r="SFG117" s="0"/>
      <c r="SFH117" s="0"/>
      <c r="SFI117" s="0"/>
      <c r="SFJ117" s="0"/>
      <c r="SFK117" s="0"/>
      <c r="SFL117" s="0"/>
      <c r="SFM117" s="0"/>
      <c r="SFN117" s="0"/>
      <c r="SFO117" s="0"/>
      <c r="SFP117" s="0"/>
      <c r="SFQ117" s="0"/>
      <c r="SFR117" s="0"/>
      <c r="SFS117" s="0"/>
      <c r="SFT117" s="0"/>
      <c r="SFU117" s="0"/>
      <c r="SFV117" s="0"/>
      <c r="SFW117" s="0"/>
      <c r="SFX117" s="0"/>
      <c r="SFY117" s="0"/>
      <c r="SFZ117" s="0"/>
      <c r="SGA117" s="0"/>
      <c r="SGB117" s="0"/>
      <c r="SGC117" s="0"/>
      <c r="SGD117" s="0"/>
      <c r="SGE117" s="0"/>
      <c r="SGF117" s="0"/>
      <c r="SGG117" s="0"/>
      <c r="SGH117" s="0"/>
      <c r="SGI117" s="0"/>
      <c r="SGJ117" s="0"/>
      <c r="SGK117" s="0"/>
      <c r="SGL117" s="0"/>
      <c r="SGM117" s="0"/>
      <c r="SGN117" s="0"/>
      <c r="SGO117" s="0"/>
      <c r="SGP117" s="0"/>
      <c r="SGQ117" s="0"/>
      <c r="SGR117" s="0"/>
      <c r="SGS117" s="0"/>
      <c r="SGT117" s="0"/>
      <c r="SGU117" s="0"/>
      <c r="SGV117" s="0"/>
      <c r="SGW117" s="0"/>
      <c r="SGX117" s="0"/>
      <c r="SGY117" s="0"/>
      <c r="SGZ117" s="0"/>
      <c r="SHA117" s="0"/>
      <c r="SHB117" s="0"/>
      <c r="SHC117" s="0"/>
      <c r="SHD117" s="0"/>
      <c r="SHE117" s="0"/>
      <c r="SHF117" s="0"/>
      <c r="SHG117" s="0"/>
      <c r="SHH117" s="0"/>
      <c r="SHI117" s="0"/>
      <c r="SHJ117" s="0"/>
      <c r="SHK117" s="0"/>
      <c r="SHL117" s="0"/>
      <c r="SHM117" s="0"/>
      <c r="SHN117" s="0"/>
      <c r="SHO117" s="0"/>
      <c r="SHP117" s="0"/>
      <c r="SHQ117" s="0"/>
      <c r="SHR117" s="0"/>
      <c r="SHS117" s="0"/>
      <c r="SHT117" s="0"/>
      <c r="SHU117" s="0"/>
      <c r="SHV117" s="0"/>
      <c r="SHW117" s="0"/>
      <c r="SHX117" s="0"/>
      <c r="SHY117" s="0"/>
      <c r="SHZ117" s="0"/>
      <c r="SIA117" s="0"/>
      <c r="SIB117" s="0"/>
      <c r="SIC117" s="0"/>
      <c r="SID117" s="0"/>
      <c r="SIE117" s="0"/>
      <c r="SIF117" s="0"/>
      <c r="SIG117" s="0"/>
      <c r="SIH117" s="0"/>
      <c r="SII117" s="0"/>
      <c r="SIJ117" s="0"/>
      <c r="SIK117" s="0"/>
      <c r="SIL117" s="0"/>
      <c r="SIM117" s="0"/>
      <c r="SIN117" s="0"/>
      <c r="SIO117" s="0"/>
      <c r="SIP117" s="0"/>
      <c r="SIQ117" s="0"/>
      <c r="SIR117" s="0"/>
      <c r="SIS117" s="0"/>
      <c r="SIT117" s="0"/>
      <c r="SIU117" s="0"/>
      <c r="SIV117" s="0"/>
      <c r="SIW117" s="0"/>
      <c r="SIX117" s="0"/>
      <c r="SIY117" s="0"/>
      <c r="SIZ117" s="0"/>
      <c r="SJA117" s="0"/>
      <c r="SJB117" s="0"/>
      <c r="SJC117" s="0"/>
      <c r="SJD117" s="0"/>
      <c r="SJE117" s="0"/>
      <c r="SJF117" s="0"/>
      <c r="SJG117" s="0"/>
      <c r="SJH117" s="0"/>
      <c r="SJI117" s="0"/>
      <c r="SJJ117" s="0"/>
      <c r="SJK117" s="0"/>
      <c r="SJL117" s="0"/>
      <c r="SJM117" s="0"/>
      <c r="SJN117" s="0"/>
      <c r="SJO117" s="0"/>
      <c r="SJP117" s="0"/>
      <c r="SJQ117" s="0"/>
      <c r="SJR117" s="0"/>
      <c r="SJS117" s="0"/>
      <c r="SJT117" s="0"/>
      <c r="SJU117" s="0"/>
      <c r="SJV117" s="0"/>
      <c r="SJW117" s="0"/>
      <c r="SJX117" s="0"/>
      <c r="SJY117" s="0"/>
      <c r="SJZ117" s="0"/>
      <c r="SKA117" s="0"/>
      <c r="SKB117" s="0"/>
      <c r="SKC117" s="0"/>
      <c r="SKD117" s="0"/>
      <c r="SKE117" s="0"/>
      <c r="SKF117" s="0"/>
      <c r="SKG117" s="0"/>
      <c r="SKH117" s="0"/>
      <c r="SKI117" s="0"/>
      <c r="SKJ117" s="0"/>
      <c r="SKK117" s="0"/>
      <c r="SKL117" s="0"/>
      <c r="SKM117" s="0"/>
      <c r="SKN117" s="0"/>
      <c r="SKO117" s="0"/>
      <c r="SKP117" s="0"/>
      <c r="SKQ117" s="0"/>
      <c r="SKR117" s="0"/>
      <c r="SKS117" s="0"/>
      <c r="SKT117" s="0"/>
      <c r="SKU117" s="0"/>
      <c r="SKV117" s="0"/>
      <c r="SKW117" s="0"/>
      <c r="SKX117" s="0"/>
      <c r="SKY117" s="0"/>
      <c r="SKZ117" s="0"/>
      <c r="SLA117" s="0"/>
      <c r="SLB117" s="0"/>
      <c r="SLC117" s="0"/>
      <c r="SLD117" s="0"/>
      <c r="SLE117" s="0"/>
      <c r="SLF117" s="0"/>
      <c r="SLG117" s="0"/>
      <c r="SLH117" s="0"/>
      <c r="SLI117" s="0"/>
      <c r="SLJ117" s="0"/>
      <c r="SLK117" s="0"/>
      <c r="SLL117" s="0"/>
      <c r="SLM117" s="0"/>
      <c r="SLN117" s="0"/>
      <c r="SLO117" s="0"/>
      <c r="SLP117" s="0"/>
      <c r="SLQ117" s="0"/>
      <c r="SLR117" s="0"/>
      <c r="SLS117" s="0"/>
      <c r="SLT117" s="0"/>
      <c r="SLU117" s="0"/>
      <c r="SLV117" s="0"/>
      <c r="SLW117" s="0"/>
      <c r="SLX117" s="0"/>
      <c r="SLY117" s="0"/>
      <c r="SLZ117" s="0"/>
      <c r="SMA117" s="0"/>
      <c r="SMB117" s="0"/>
      <c r="SMC117" s="0"/>
      <c r="SMD117" s="0"/>
      <c r="SME117" s="0"/>
      <c r="SMF117" s="0"/>
      <c r="SMG117" s="0"/>
      <c r="SMH117" s="0"/>
      <c r="SMI117" s="0"/>
      <c r="SMJ117" s="0"/>
      <c r="SMK117" s="0"/>
      <c r="SML117" s="0"/>
      <c r="SMM117" s="0"/>
      <c r="SMN117" s="0"/>
      <c r="SMO117" s="0"/>
      <c r="SMP117" s="0"/>
      <c r="SMQ117" s="0"/>
      <c r="SMR117" s="0"/>
      <c r="SMS117" s="0"/>
      <c r="SMT117" s="0"/>
      <c r="SMU117" s="0"/>
      <c r="SMV117" s="0"/>
      <c r="SMW117" s="0"/>
      <c r="SMX117" s="0"/>
      <c r="SMY117" s="0"/>
      <c r="SMZ117" s="0"/>
      <c r="SNA117" s="0"/>
      <c r="SNB117" s="0"/>
      <c r="SNC117" s="0"/>
      <c r="SND117" s="0"/>
      <c r="SNE117" s="0"/>
      <c r="SNF117" s="0"/>
      <c r="SNG117" s="0"/>
      <c r="SNH117" s="0"/>
      <c r="SNI117" s="0"/>
      <c r="SNJ117" s="0"/>
      <c r="SNK117" s="0"/>
      <c r="SNL117" s="0"/>
      <c r="SNM117" s="0"/>
      <c r="SNN117" s="0"/>
      <c r="SNO117" s="0"/>
      <c r="SNP117" s="0"/>
      <c r="SNQ117" s="0"/>
      <c r="SNR117" s="0"/>
      <c r="SNS117" s="0"/>
      <c r="SNT117" s="0"/>
      <c r="SNU117" s="0"/>
      <c r="SNV117" s="0"/>
      <c r="SNW117" s="0"/>
      <c r="SNX117" s="0"/>
      <c r="SNY117" s="0"/>
      <c r="SNZ117" s="0"/>
      <c r="SOA117" s="0"/>
      <c r="SOB117" s="0"/>
      <c r="SOC117" s="0"/>
      <c r="SOD117" s="0"/>
      <c r="SOE117" s="0"/>
      <c r="SOF117" s="0"/>
      <c r="SOG117" s="0"/>
      <c r="SOH117" s="0"/>
      <c r="SOI117" s="0"/>
      <c r="SOJ117" s="0"/>
      <c r="SOK117" s="0"/>
      <c r="SOL117" s="0"/>
      <c r="SOM117" s="0"/>
      <c r="SON117" s="0"/>
      <c r="SOO117" s="0"/>
      <c r="SOP117" s="0"/>
      <c r="SOQ117" s="0"/>
      <c r="SOR117" s="0"/>
      <c r="SOS117" s="0"/>
      <c r="SOT117" s="0"/>
      <c r="SOU117" s="0"/>
      <c r="SOV117" s="0"/>
      <c r="SOW117" s="0"/>
      <c r="SOX117" s="0"/>
      <c r="SOY117" s="0"/>
      <c r="SOZ117" s="0"/>
      <c r="SPA117" s="0"/>
      <c r="SPB117" s="0"/>
      <c r="SPC117" s="0"/>
      <c r="SPD117" s="0"/>
      <c r="SPE117" s="0"/>
      <c r="SPF117" s="0"/>
      <c r="SPG117" s="0"/>
      <c r="SPH117" s="0"/>
      <c r="SPI117" s="0"/>
      <c r="SPJ117" s="0"/>
      <c r="SPK117" s="0"/>
      <c r="SPL117" s="0"/>
      <c r="SPM117" s="0"/>
      <c r="SPN117" s="0"/>
      <c r="SPO117" s="0"/>
      <c r="SPP117" s="0"/>
      <c r="SPQ117" s="0"/>
      <c r="SPR117" s="0"/>
      <c r="SPS117" s="0"/>
      <c r="SPT117" s="0"/>
      <c r="SPU117" s="0"/>
      <c r="SPV117" s="0"/>
      <c r="SPW117" s="0"/>
      <c r="SPX117" s="0"/>
      <c r="SPY117" s="0"/>
      <c r="SPZ117" s="0"/>
      <c r="SQA117" s="0"/>
      <c r="SQB117" s="0"/>
      <c r="SQC117" s="0"/>
      <c r="SQD117" s="0"/>
      <c r="SQE117" s="0"/>
      <c r="SQF117" s="0"/>
      <c r="SQG117" s="0"/>
      <c r="SQH117" s="0"/>
      <c r="SQI117" s="0"/>
      <c r="SQJ117" s="0"/>
      <c r="SQK117" s="0"/>
      <c r="SQL117" s="0"/>
      <c r="SQM117" s="0"/>
      <c r="SQN117" s="0"/>
      <c r="SQO117" s="0"/>
      <c r="SQP117" s="0"/>
      <c r="SQQ117" s="0"/>
      <c r="SQR117" s="0"/>
      <c r="SQS117" s="0"/>
      <c r="SQT117" s="0"/>
      <c r="SQU117" s="0"/>
      <c r="SQV117" s="0"/>
      <c r="SQW117" s="0"/>
      <c r="SQX117" s="0"/>
      <c r="SQY117" s="0"/>
      <c r="SQZ117" s="0"/>
      <c r="SRA117" s="0"/>
      <c r="SRB117" s="0"/>
      <c r="SRC117" s="0"/>
      <c r="SRD117" s="0"/>
      <c r="SRE117" s="0"/>
      <c r="SRF117" s="0"/>
      <c r="SRG117" s="0"/>
      <c r="SRH117" s="0"/>
      <c r="SRI117" s="0"/>
      <c r="SRJ117" s="0"/>
      <c r="SRK117" s="0"/>
      <c r="SRL117" s="0"/>
      <c r="SRM117" s="0"/>
      <c r="SRN117" s="0"/>
      <c r="SRO117" s="0"/>
      <c r="SRP117" s="0"/>
      <c r="SRQ117" s="0"/>
      <c r="SRR117" s="0"/>
      <c r="SRS117" s="0"/>
      <c r="SRT117" s="0"/>
      <c r="SRU117" s="0"/>
      <c r="SRV117" s="0"/>
      <c r="SRW117" s="0"/>
      <c r="SRX117" s="0"/>
      <c r="SRY117" s="0"/>
      <c r="SRZ117" s="0"/>
      <c r="SSA117" s="0"/>
      <c r="SSB117" s="0"/>
      <c r="SSC117" s="0"/>
      <c r="SSD117" s="0"/>
      <c r="SSE117" s="0"/>
      <c r="SSF117" s="0"/>
      <c r="SSG117" s="0"/>
      <c r="SSH117" s="0"/>
      <c r="SSI117" s="0"/>
      <c r="SSJ117" s="0"/>
      <c r="SSK117" s="0"/>
      <c r="SSL117" s="0"/>
      <c r="SSM117" s="0"/>
      <c r="SSN117" s="0"/>
      <c r="SSO117" s="0"/>
      <c r="SSP117" s="0"/>
      <c r="SSQ117" s="0"/>
      <c r="SSR117" s="0"/>
      <c r="SSS117" s="0"/>
      <c r="SST117" s="0"/>
      <c r="SSU117" s="0"/>
      <c r="SSV117" s="0"/>
      <c r="SSW117" s="0"/>
      <c r="SSX117" s="0"/>
      <c r="SSY117" s="0"/>
      <c r="SSZ117" s="0"/>
      <c r="STA117" s="0"/>
      <c r="STB117" s="0"/>
      <c r="STC117" s="0"/>
      <c r="STD117" s="0"/>
      <c r="STE117" s="0"/>
      <c r="STF117" s="0"/>
      <c r="STG117" s="0"/>
      <c r="STH117" s="0"/>
      <c r="STI117" s="0"/>
      <c r="STJ117" s="0"/>
      <c r="STK117" s="0"/>
      <c r="STL117" s="0"/>
      <c r="STM117" s="0"/>
      <c r="STN117" s="0"/>
      <c r="STO117" s="0"/>
      <c r="STP117" s="0"/>
      <c r="STQ117" s="0"/>
      <c r="STR117" s="0"/>
      <c r="STS117" s="0"/>
      <c r="STT117" s="0"/>
      <c r="STU117" s="0"/>
      <c r="STV117" s="0"/>
      <c r="STW117" s="0"/>
      <c r="STX117" s="0"/>
      <c r="STY117" s="0"/>
      <c r="STZ117" s="0"/>
      <c r="SUA117" s="0"/>
      <c r="SUB117" s="0"/>
      <c r="SUC117" s="0"/>
      <c r="SUD117" s="0"/>
      <c r="SUE117" s="0"/>
      <c r="SUF117" s="0"/>
      <c r="SUG117" s="0"/>
      <c r="SUH117" s="0"/>
      <c r="SUI117" s="0"/>
      <c r="SUJ117" s="0"/>
      <c r="SUK117" s="0"/>
      <c r="SUL117" s="0"/>
      <c r="SUM117" s="0"/>
      <c r="SUN117" s="0"/>
      <c r="SUO117" s="0"/>
      <c r="SUP117" s="0"/>
      <c r="SUQ117" s="0"/>
      <c r="SUR117" s="0"/>
      <c r="SUS117" s="0"/>
      <c r="SUT117" s="0"/>
      <c r="SUU117" s="0"/>
      <c r="SUV117" s="0"/>
      <c r="SUW117" s="0"/>
      <c r="SUX117" s="0"/>
      <c r="SUY117" s="0"/>
      <c r="SUZ117" s="0"/>
      <c r="SVA117" s="0"/>
      <c r="SVB117" s="0"/>
      <c r="SVC117" s="0"/>
      <c r="SVD117" s="0"/>
      <c r="SVE117" s="0"/>
      <c r="SVF117" s="0"/>
      <c r="SVG117" s="0"/>
      <c r="SVH117" s="0"/>
      <c r="SVI117" s="0"/>
      <c r="SVJ117" s="0"/>
      <c r="SVK117" s="0"/>
      <c r="SVL117" s="0"/>
      <c r="SVM117" s="0"/>
      <c r="SVN117" s="0"/>
      <c r="SVO117" s="0"/>
      <c r="SVP117" s="0"/>
      <c r="SVQ117" s="0"/>
      <c r="SVR117" s="0"/>
      <c r="SVS117" s="0"/>
      <c r="SVT117" s="0"/>
      <c r="SVU117" s="0"/>
      <c r="SVV117" s="0"/>
      <c r="SVW117" s="0"/>
      <c r="SVX117" s="0"/>
      <c r="SVY117" s="0"/>
      <c r="SVZ117" s="0"/>
      <c r="SWA117" s="0"/>
      <c r="SWB117" s="0"/>
      <c r="SWC117" s="0"/>
      <c r="SWD117" s="0"/>
      <c r="SWE117" s="0"/>
      <c r="SWF117" s="0"/>
      <c r="SWG117" s="0"/>
      <c r="SWH117" s="0"/>
      <c r="SWI117" s="0"/>
      <c r="SWJ117" s="0"/>
      <c r="SWK117" s="0"/>
      <c r="SWL117" s="0"/>
      <c r="SWM117" s="0"/>
      <c r="SWN117" s="0"/>
      <c r="SWO117" s="0"/>
      <c r="SWP117" s="0"/>
      <c r="SWQ117" s="0"/>
      <c r="SWR117" s="0"/>
      <c r="SWS117" s="0"/>
      <c r="SWT117" s="0"/>
      <c r="SWU117" s="0"/>
      <c r="SWV117" s="0"/>
      <c r="SWW117" s="0"/>
      <c r="SWX117" s="0"/>
      <c r="SWY117" s="0"/>
      <c r="SWZ117" s="0"/>
      <c r="SXA117" s="0"/>
      <c r="SXB117" s="0"/>
      <c r="SXC117" s="0"/>
      <c r="SXD117" s="0"/>
      <c r="SXE117" s="0"/>
      <c r="SXF117" s="0"/>
      <c r="SXG117" s="0"/>
      <c r="SXH117" s="0"/>
      <c r="SXI117" s="0"/>
      <c r="SXJ117" s="0"/>
      <c r="SXK117" s="0"/>
      <c r="SXL117" s="0"/>
      <c r="SXM117" s="0"/>
      <c r="SXN117" s="0"/>
      <c r="SXO117" s="0"/>
      <c r="SXP117" s="0"/>
      <c r="SXQ117" s="0"/>
      <c r="SXR117" s="0"/>
      <c r="SXS117" s="0"/>
      <c r="SXT117" s="0"/>
      <c r="SXU117" s="0"/>
      <c r="SXV117" s="0"/>
      <c r="SXW117" s="0"/>
      <c r="SXX117" s="0"/>
      <c r="SXY117" s="0"/>
      <c r="SXZ117" s="0"/>
      <c r="SYA117" s="0"/>
      <c r="SYB117" s="0"/>
      <c r="SYC117" s="0"/>
      <c r="SYD117" s="0"/>
      <c r="SYE117" s="0"/>
      <c r="SYF117" s="0"/>
      <c r="SYG117" s="0"/>
      <c r="SYH117" s="0"/>
      <c r="SYI117" s="0"/>
      <c r="SYJ117" s="0"/>
      <c r="SYK117" s="0"/>
      <c r="SYL117" s="0"/>
      <c r="SYM117" s="0"/>
      <c r="SYN117" s="0"/>
      <c r="SYO117" s="0"/>
      <c r="SYP117" s="0"/>
      <c r="SYQ117" s="0"/>
      <c r="SYR117" s="0"/>
      <c r="SYS117" s="0"/>
      <c r="SYT117" s="0"/>
      <c r="SYU117" s="0"/>
      <c r="SYV117" s="0"/>
      <c r="SYW117" s="0"/>
      <c r="SYX117" s="0"/>
      <c r="SYY117" s="0"/>
      <c r="SYZ117" s="0"/>
      <c r="SZA117" s="0"/>
      <c r="SZB117" s="0"/>
      <c r="SZC117" s="0"/>
      <c r="SZD117" s="0"/>
      <c r="SZE117" s="0"/>
      <c r="SZF117" s="0"/>
      <c r="SZG117" s="0"/>
      <c r="SZH117" s="0"/>
      <c r="SZI117" s="0"/>
      <c r="SZJ117" s="0"/>
      <c r="SZK117" s="0"/>
      <c r="SZL117" s="0"/>
      <c r="SZM117" s="0"/>
      <c r="SZN117" s="0"/>
      <c r="SZO117" s="0"/>
      <c r="SZP117" s="0"/>
      <c r="SZQ117" s="0"/>
      <c r="SZR117" s="0"/>
      <c r="SZS117" s="0"/>
      <c r="SZT117" s="0"/>
      <c r="SZU117" s="0"/>
      <c r="SZV117" s="0"/>
      <c r="SZW117" s="0"/>
      <c r="SZX117" s="0"/>
      <c r="SZY117" s="0"/>
      <c r="SZZ117" s="0"/>
      <c r="TAA117" s="0"/>
      <c r="TAB117" s="0"/>
      <c r="TAC117" s="0"/>
      <c r="TAD117" s="0"/>
      <c r="TAE117" s="0"/>
      <c r="TAF117" s="0"/>
      <c r="TAG117" s="0"/>
      <c r="TAH117" s="0"/>
      <c r="TAI117" s="0"/>
      <c r="TAJ117" s="0"/>
      <c r="TAK117" s="0"/>
      <c r="TAL117" s="0"/>
      <c r="TAM117" s="0"/>
      <c r="TAN117" s="0"/>
      <c r="TAO117" s="0"/>
      <c r="TAP117" s="0"/>
      <c r="TAQ117" s="0"/>
      <c r="TAR117" s="0"/>
      <c r="TAS117" s="0"/>
      <c r="TAT117" s="0"/>
      <c r="TAU117" s="0"/>
      <c r="TAV117" s="0"/>
      <c r="TAW117" s="0"/>
      <c r="TAX117" s="0"/>
      <c r="TAY117" s="0"/>
      <c r="TAZ117" s="0"/>
      <c r="TBA117" s="0"/>
      <c r="TBB117" s="0"/>
      <c r="TBC117" s="0"/>
      <c r="TBD117" s="0"/>
      <c r="TBE117" s="0"/>
      <c r="TBF117" s="0"/>
      <c r="TBG117" s="0"/>
      <c r="TBH117" s="0"/>
      <c r="TBI117" s="0"/>
      <c r="TBJ117" s="0"/>
      <c r="TBK117" s="0"/>
      <c r="TBL117" s="0"/>
      <c r="TBM117" s="0"/>
      <c r="TBN117" s="0"/>
      <c r="TBO117" s="0"/>
      <c r="TBP117" s="0"/>
      <c r="TBQ117" s="0"/>
      <c r="TBR117" s="0"/>
      <c r="TBS117" s="0"/>
      <c r="TBT117" s="0"/>
      <c r="TBU117" s="0"/>
      <c r="TBV117" s="0"/>
      <c r="TBW117" s="0"/>
      <c r="TBX117" s="0"/>
      <c r="TBY117" s="0"/>
      <c r="TBZ117" s="0"/>
      <c r="TCA117" s="0"/>
      <c r="TCB117" s="0"/>
      <c r="TCC117" s="0"/>
      <c r="TCD117" s="0"/>
      <c r="TCE117" s="0"/>
      <c r="TCF117" s="0"/>
      <c r="TCG117" s="0"/>
      <c r="TCH117" s="0"/>
      <c r="TCI117" s="0"/>
      <c r="TCJ117" s="0"/>
      <c r="TCK117" s="0"/>
      <c r="TCL117" s="0"/>
      <c r="TCM117" s="0"/>
      <c r="TCN117" s="0"/>
      <c r="TCO117" s="0"/>
      <c r="TCP117" s="0"/>
      <c r="TCQ117" s="0"/>
      <c r="TCR117" s="0"/>
      <c r="TCS117" s="0"/>
      <c r="TCT117" s="0"/>
      <c r="TCU117" s="0"/>
      <c r="TCV117" s="0"/>
      <c r="TCW117" s="0"/>
      <c r="TCX117" s="0"/>
      <c r="TCY117" s="0"/>
      <c r="TCZ117" s="0"/>
      <c r="TDA117" s="0"/>
      <c r="TDB117" s="0"/>
      <c r="TDC117" s="0"/>
      <c r="TDD117" s="0"/>
      <c r="TDE117" s="0"/>
      <c r="TDF117" s="0"/>
      <c r="TDG117" s="0"/>
      <c r="TDH117" s="0"/>
      <c r="TDI117" s="0"/>
      <c r="TDJ117" s="0"/>
      <c r="TDK117" s="0"/>
      <c r="TDL117" s="0"/>
      <c r="TDM117" s="0"/>
      <c r="TDN117" s="0"/>
      <c r="TDO117" s="0"/>
      <c r="TDP117" s="0"/>
      <c r="TDQ117" s="0"/>
      <c r="TDR117" s="0"/>
      <c r="TDS117" s="0"/>
      <c r="TDT117" s="0"/>
      <c r="TDU117" s="0"/>
      <c r="TDV117" s="0"/>
      <c r="TDW117" s="0"/>
      <c r="TDX117" s="0"/>
      <c r="TDY117" s="0"/>
      <c r="TDZ117" s="0"/>
      <c r="TEA117" s="0"/>
      <c r="TEB117" s="0"/>
      <c r="TEC117" s="0"/>
      <c r="TED117" s="0"/>
      <c r="TEE117" s="0"/>
      <c r="TEF117" s="0"/>
      <c r="TEG117" s="0"/>
      <c r="TEH117" s="0"/>
      <c r="TEI117" s="0"/>
      <c r="TEJ117" s="0"/>
      <c r="TEK117" s="0"/>
      <c r="TEL117" s="0"/>
      <c r="TEM117" s="0"/>
      <c r="TEN117" s="0"/>
      <c r="TEO117" s="0"/>
      <c r="TEP117" s="0"/>
      <c r="TEQ117" s="0"/>
      <c r="TER117" s="0"/>
      <c r="TES117" s="0"/>
      <c r="TET117" s="0"/>
      <c r="TEU117" s="0"/>
      <c r="TEV117" s="0"/>
      <c r="TEW117" s="0"/>
      <c r="TEX117" s="0"/>
      <c r="TEY117" s="0"/>
      <c r="TEZ117" s="0"/>
      <c r="TFA117" s="0"/>
      <c r="TFB117" s="0"/>
      <c r="TFC117" s="0"/>
      <c r="TFD117" s="0"/>
      <c r="TFE117" s="0"/>
      <c r="TFF117" s="0"/>
      <c r="TFG117" s="0"/>
      <c r="TFH117" s="0"/>
      <c r="TFI117" s="0"/>
      <c r="TFJ117" s="0"/>
      <c r="TFK117" s="0"/>
      <c r="TFL117" s="0"/>
      <c r="TFM117" s="0"/>
      <c r="TFN117" s="0"/>
      <c r="TFO117" s="0"/>
      <c r="TFP117" s="0"/>
      <c r="TFQ117" s="0"/>
      <c r="TFR117" s="0"/>
      <c r="TFS117" s="0"/>
      <c r="TFT117" s="0"/>
      <c r="TFU117" s="0"/>
      <c r="TFV117" s="0"/>
      <c r="TFW117" s="0"/>
      <c r="TFX117" s="0"/>
      <c r="TFY117" s="0"/>
      <c r="TFZ117" s="0"/>
      <c r="TGA117" s="0"/>
      <c r="TGB117" s="0"/>
      <c r="TGC117" s="0"/>
      <c r="TGD117" s="0"/>
      <c r="TGE117" s="0"/>
      <c r="TGF117" s="0"/>
      <c r="TGG117" s="0"/>
      <c r="TGH117" s="0"/>
      <c r="TGI117" s="0"/>
      <c r="TGJ117" s="0"/>
      <c r="TGK117" s="0"/>
      <c r="TGL117" s="0"/>
      <c r="TGM117" s="0"/>
      <c r="TGN117" s="0"/>
      <c r="TGO117" s="0"/>
      <c r="TGP117" s="0"/>
      <c r="TGQ117" s="0"/>
      <c r="TGR117" s="0"/>
      <c r="TGS117" s="0"/>
      <c r="TGT117" s="0"/>
      <c r="TGU117" s="0"/>
      <c r="TGV117" s="0"/>
      <c r="TGW117" s="0"/>
      <c r="TGX117" s="0"/>
      <c r="TGY117" s="0"/>
      <c r="TGZ117" s="0"/>
      <c r="THA117" s="0"/>
      <c r="THB117" s="0"/>
      <c r="THC117" s="0"/>
      <c r="THD117" s="0"/>
      <c r="THE117" s="0"/>
      <c r="THF117" s="0"/>
      <c r="THG117" s="0"/>
      <c r="THH117" s="0"/>
      <c r="THI117" s="0"/>
      <c r="THJ117" s="0"/>
      <c r="THK117" s="0"/>
      <c r="THL117" s="0"/>
      <c r="THM117" s="0"/>
      <c r="THN117" s="0"/>
      <c r="THO117" s="0"/>
      <c r="THP117" s="0"/>
      <c r="THQ117" s="0"/>
      <c r="THR117" s="0"/>
      <c r="THS117" s="0"/>
      <c r="THT117" s="0"/>
      <c r="THU117" s="0"/>
      <c r="THV117" s="0"/>
      <c r="THW117" s="0"/>
      <c r="THX117" s="0"/>
      <c r="THY117" s="0"/>
      <c r="THZ117" s="0"/>
      <c r="TIA117" s="0"/>
      <c r="TIB117" s="0"/>
      <c r="TIC117" s="0"/>
      <c r="TID117" s="0"/>
      <c r="TIE117" s="0"/>
      <c r="TIF117" s="0"/>
      <c r="TIG117" s="0"/>
      <c r="TIH117" s="0"/>
      <c r="TII117" s="0"/>
      <c r="TIJ117" s="0"/>
      <c r="TIK117" s="0"/>
      <c r="TIL117" s="0"/>
      <c r="TIM117" s="0"/>
      <c r="TIN117" s="0"/>
      <c r="TIO117" s="0"/>
      <c r="TIP117" s="0"/>
      <c r="TIQ117" s="0"/>
      <c r="TIR117" s="0"/>
      <c r="TIS117" s="0"/>
      <c r="TIT117" s="0"/>
      <c r="TIU117" s="0"/>
      <c r="TIV117" s="0"/>
      <c r="TIW117" s="0"/>
      <c r="TIX117" s="0"/>
      <c r="TIY117" s="0"/>
      <c r="TIZ117" s="0"/>
      <c r="TJA117" s="0"/>
      <c r="TJB117" s="0"/>
      <c r="TJC117" s="0"/>
      <c r="TJD117" s="0"/>
      <c r="TJE117" s="0"/>
      <c r="TJF117" s="0"/>
      <c r="TJG117" s="0"/>
      <c r="TJH117" s="0"/>
      <c r="TJI117" s="0"/>
      <c r="TJJ117" s="0"/>
      <c r="TJK117" s="0"/>
      <c r="TJL117" s="0"/>
      <c r="TJM117" s="0"/>
      <c r="TJN117" s="0"/>
      <c r="TJO117" s="0"/>
      <c r="TJP117" s="0"/>
      <c r="TJQ117" s="0"/>
      <c r="TJR117" s="0"/>
      <c r="TJS117" s="0"/>
      <c r="TJT117" s="0"/>
      <c r="TJU117" s="0"/>
      <c r="TJV117" s="0"/>
      <c r="TJW117" s="0"/>
      <c r="TJX117" s="0"/>
      <c r="TJY117" s="0"/>
      <c r="TJZ117" s="0"/>
      <c r="TKA117" s="0"/>
      <c r="TKB117" s="0"/>
      <c r="TKC117" s="0"/>
      <c r="TKD117" s="0"/>
      <c r="TKE117" s="0"/>
      <c r="TKF117" s="0"/>
      <c r="TKG117" s="0"/>
      <c r="TKH117" s="0"/>
      <c r="TKI117" s="0"/>
      <c r="TKJ117" s="0"/>
      <c r="TKK117" s="0"/>
      <c r="TKL117" s="0"/>
      <c r="TKM117" s="0"/>
      <c r="TKN117" s="0"/>
      <c r="TKO117" s="0"/>
      <c r="TKP117" s="0"/>
      <c r="TKQ117" s="0"/>
      <c r="TKR117" s="0"/>
      <c r="TKS117" s="0"/>
      <c r="TKT117" s="0"/>
      <c r="TKU117" s="0"/>
      <c r="TKV117" s="0"/>
      <c r="TKW117" s="0"/>
      <c r="TKX117" s="0"/>
      <c r="TKY117" s="0"/>
      <c r="TKZ117" s="0"/>
      <c r="TLA117" s="0"/>
      <c r="TLB117" s="0"/>
      <c r="TLC117" s="0"/>
      <c r="TLD117" s="0"/>
      <c r="TLE117" s="0"/>
      <c r="TLF117" s="0"/>
      <c r="TLG117" s="0"/>
      <c r="TLH117" s="0"/>
      <c r="TLI117" s="0"/>
      <c r="TLJ117" s="0"/>
      <c r="TLK117" s="0"/>
      <c r="TLL117" s="0"/>
      <c r="TLM117" s="0"/>
      <c r="TLN117" s="0"/>
      <c r="TLO117" s="0"/>
      <c r="TLP117" s="0"/>
      <c r="TLQ117" s="0"/>
      <c r="TLR117" s="0"/>
      <c r="TLS117" s="0"/>
      <c r="TLT117" s="0"/>
      <c r="TLU117" s="0"/>
      <c r="TLV117" s="0"/>
      <c r="TLW117" s="0"/>
      <c r="TLX117" s="0"/>
      <c r="TLY117" s="0"/>
      <c r="TLZ117" s="0"/>
      <c r="TMA117" s="0"/>
      <c r="TMB117" s="0"/>
      <c r="TMC117" s="0"/>
      <c r="TMD117" s="0"/>
      <c r="TME117" s="0"/>
      <c r="TMF117" s="0"/>
      <c r="TMG117" s="0"/>
      <c r="TMH117" s="0"/>
      <c r="TMI117" s="0"/>
      <c r="TMJ117" s="0"/>
      <c r="TMK117" s="0"/>
      <c r="TML117" s="0"/>
      <c r="TMM117" s="0"/>
      <c r="TMN117" s="0"/>
      <c r="TMO117" s="0"/>
      <c r="TMP117" s="0"/>
      <c r="TMQ117" s="0"/>
      <c r="TMR117" s="0"/>
      <c r="TMS117" s="0"/>
      <c r="TMT117" s="0"/>
      <c r="TMU117" s="0"/>
      <c r="TMV117" s="0"/>
      <c r="TMW117" s="0"/>
      <c r="TMX117" s="0"/>
      <c r="TMY117" s="0"/>
      <c r="TMZ117" s="0"/>
      <c r="TNA117" s="0"/>
      <c r="TNB117" s="0"/>
      <c r="TNC117" s="0"/>
      <c r="TND117" s="0"/>
      <c r="TNE117" s="0"/>
      <c r="TNF117" s="0"/>
      <c r="TNG117" s="0"/>
      <c r="TNH117" s="0"/>
      <c r="TNI117" s="0"/>
      <c r="TNJ117" s="0"/>
      <c r="TNK117" s="0"/>
      <c r="TNL117" s="0"/>
      <c r="TNM117" s="0"/>
      <c r="TNN117" s="0"/>
      <c r="TNO117" s="0"/>
      <c r="TNP117" s="0"/>
      <c r="TNQ117" s="0"/>
      <c r="TNR117" s="0"/>
      <c r="TNS117" s="0"/>
      <c r="TNT117" s="0"/>
      <c r="TNU117" s="0"/>
      <c r="TNV117" s="0"/>
      <c r="TNW117" s="0"/>
      <c r="TNX117" s="0"/>
      <c r="TNY117" s="0"/>
      <c r="TNZ117" s="0"/>
      <c r="TOA117" s="0"/>
      <c r="TOB117" s="0"/>
      <c r="TOC117" s="0"/>
      <c r="TOD117" s="0"/>
      <c r="TOE117" s="0"/>
      <c r="TOF117" s="0"/>
      <c r="TOG117" s="0"/>
      <c r="TOH117" s="0"/>
      <c r="TOI117" s="0"/>
      <c r="TOJ117" s="0"/>
      <c r="TOK117" s="0"/>
      <c r="TOL117" s="0"/>
      <c r="TOM117" s="0"/>
      <c r="TON117" s="0"/>
      <c r="TOO117" s="0"/>
      <c r="TOP117" s="0"/>
      <c r="TOQ117" s="0"/>
      <c r="TOR117" s="0"/>
      <c r="TOS117" s="0"/>
      <c r="TOT117" s="0"/>
      <c r="TOU117" s="0"/>
      <c r="TOV117" s="0"/>
      <c r="TOW117" s="0"/>
      <c r="TOX117" s="0"/>
      <c r="TOY117" s="0"/>
      <c r="TOZ117" s="0"/>
      <c r="TPA117" s="0"/>
      <c r="TPB117" s="0"/>
      <c r="TPC117" s="0"/>
      <c r="TPD117" s="0"/>
      <c r="TPE117" s="0"/>
      <c r="TPF117" s="0"/>
      <c r="TPG117" s="0"/>
      <c r="TPH117" s="0"/>
      <c r="TPI117" s="0"/>
      <c r="TPJ117" s="0"/>
      <c r="TPK117" s="0"/>
      <c r="TPL117" s="0"/>
      <c r="TPM117" s="0"/>
      <c r="TPN117" s="0"/>
      <c r="TPO117" s="0"/>
      <c r="TPP117" s="0"/>
      <c r="TPQ117" s="0"/>
      <c r="TPR117" s="0"/>
      <c r="TPS117" s="0"/>
      <c r="TPT117" s="0"/>
      <c r="TPU117" s="0"/>
      <c r="TPV117" s="0"/>
      <c r="TPW117" s="0"/>
      <c r="TPX117" s="0"/>
      <c r="TPY117" s="0"/>
      <c r="TPZ117" s="0"/>
      <c r="TQA117" s="0"/>
      <c r="TQB117" s="0"/>
      <c r="TQC117" s="0"/>
      <c r="TQD117" s="0"/>
      <c r="TQE117" s="0"/>
      <c r="TQF117" s="0"/>
      <c r="TQG117" s="0"/>
      <c r="TQH117" s="0"/>
      <c r="TQI117" s="0"/>
      <c r="TQJ117" s="0"/>
      <c r="TQK117" s="0"/>
      <c r="TQL117" s="0"/>
      <c r="TQM117" s="0"/>
      <c r="TQN117" s="0"/>
      <c r="TQO117" s="0"/>
      <c r="TQP117" s="0"/>
      <c r="TQQ117" s="0"/>
      <c r="TQR117" s="0"/>
      <c r="TQS117" s="0"/>
      <c r="TQT117" s="0"/>
      <c r="TQU117" s="0"/>
      <c r="TQV117" s="0"/>
      <c r="TQW117" s="0"/>
      <c r="TQX117" s="0"/>
      <c r="TQY117" s="0"/>
      <c r="TQZ117" s="0"/>
      <c r="TRA117" s="0"/>
      <c r="TRB117" s="0"/>
      <c r="TRC117" s="0"/>
      <c r="TRD117" s="0"/>
      <c r="TRE117" s="0"/>
      <c r="TRF117" s="0"/>
      <c r="TRG117" s="0"/>
      <c r="TRH117" s="0"/>
      <c r="TRI117" s="0"/>
      <c r="TRJ117" s="0"/>
      <c r="TRK117" s="0"/>
      <c r="TRL117" s="0"/>
      <c r="TRM117" s="0"/>
      <c r="TRN117" s="0"/>
      <c r="TRO117" s="0"/>
      <c r="TRP117" s="0"/>
      <c r="TRQ117" s="0"/>
      <c r="TRR117" s="0"/>
      <c r="TRS117" s="0"/>
      <c r="TRT117" s="0"/>
      <c r="TRU117" s="0"/>
      <c r="TRV117" s="0"/>
      <c r="TRW117" s="0"/>
      <c r="TRX117" s="0"/>
      <c r="TRY117" s="0"/>
      <c r="TRZ117" s="0"/>
      <c r="TSA117" s="0"/>
      <c r="TSB117" s="0"/>
      <c r="TSC117" s="0"/>
      <c r="TSD117" s="0"/>
      <c r="TSE117" s="0"/>
      <c r="TSF117" s="0"/>
      <c r="TSG117" s="0"/>
      <c r="TSH117" s="0"/>
      <c r="TSI117" s="0"/>
      <c r="TSJ117" s="0"/>
      <c r="TSK117" s="0"/>
      <c r="TSL117" s="0"/>
      <c r="TSM117" s="0"/>
      <c r="TSN117" s="0"/>
      <c r="TSO117" s="0"/>
      <c r="TSP117" s="0"/>
      <c r="TSQ117" s="0"/>
      <c r="TSR117" s="0"/>
      <c r="TSS117" s="0"/>
      <c r="TST117" s="0"/>
      <c r="TSU117" s="0"/>
      <c r="TSV117" s="0"/>
      <c r="TSW117" s="0"/>
      <c r="TSX117" s="0"/>
      <c r="TSY117" s="0"/>
      <c r="TSZ117" s="0"/>
      <c r="TTA117" s="0"/>
      <c r="TTB117" s="0"/>
      <c r="TTC117" s="0"/>
      <c r="TTD117" s="0"/>
      <c r="TTE117" s="0"/>
      <c r="TTF117" s="0"/>
      <c r="TTG117" s="0"/>
      <c r="TTH117" s="0"/>
      <c r="TTI117" s="0"/>
      <c r="TTJ117" s="0"/>
      <c r="TTK117" s="0"/>
      <c r="TTL117" s="0"/>
      <c r="TTM117" s="0"/>
      <c r="TTN117" s="0"/>
      <c r="TTO117" s="0"/>
      <c r="TTP117" s="0"/>
      <c r="TTQ117" s="0"/>
      <c r="TTR117" s="0"/>
      <c r="TTS117" s="0"/>
      <c r="TTT117" s="0"/>
      <c r="TTU117" s="0"/>
      <c r="TTV117" s="0"/>
      <c r="TTW117" s="0"/>
      <c r="TTX117" s="0"/>
      <c r="TTY117" s="0"/>
      <c r="TTZ117" s="0"/>
      <c r="TUA117" s="0"/>
      <c r="TUB117" s="0"/>
      <c r="TUC117" s="0"/>
      <c r="TUD117" s="0"/>
      <c r="TUE117" s="0"/>
      <c r="TUF117" s="0"/>
      <c r="TUG117" s="0"/>
      <c r="TUH117" s="0"/>
      <c r="TUI117" s="0"/>
      <c r="TUJ117" s="0"/>
      <c r="TUK117" s="0"/>
      <c r="TUL117" s="0"/>
      <c r="TUM117" s="0"/>
      <c r="TUN117" s="0"/>
      <c r="TUO117" s="0"/>
      <c r="TUP117" s="0"/>
      <c r="TUQ117" s="0"/>
      <c r="TUR117" s="0"/>
      <c r="TUS117" s="0"/>
      <c r="TUT117" s="0"/>
      <c r="TUU117" s="0"/>
      <c r="TUV117" s="0"/>
      <c r="TUW117" s="0"/>
      <c r="TUX117" s="0"/>
      <c r="TUY117" s="0"/>
      <c r="TUZ117" s="0"/>
      <c r="TVA117" s="0"/>
      <c r="TVB117" s="0"/>
      <c r="TVC117" s="0"/>
      <c r="TVD117" s="0"/>
      <c r="TVE117" s="0"/>
      <c r="TVF117" s="0"/>
      <c r="TVG117" s="0"/>
      <c r="TVH117" s="0"/>
      <c r="TVI117" s="0"/>
      <c r="TVJ117" s="0"/>
      <c r="TVK117" s="0"/>
      <c r="TVL117" s="0"/>
      <c r="TVM117" s="0"/>
      <c r="TVN117" s="0"/>
      <c r="TVO117" s="0"/>
      <c r="TVP117" s="0"/>
      <c r="TVQ117" s="0"/>
      <c r="TVR117" s="0"/>
      <c r="TVS117" s="0"/>
      <c r="TVT117" s="0"/>
      <c r="TVU117" s="0"/>
      <c r="TVV117" s="0"/>
      <c r="TVW117" s="0"/>
      <c r="TVX117" s="0"/>
      <c r="TVY117" s="0"/>
      <c r="TVZ117" s="0"/>
      <c r="TWA117" s="0"/>
      <c r="TWB117" s="0"/>
      <c r="TWC117" s="0"/>
      <c r="TWD117" s="0"/>
      <c r="TWE117" s="0"/>
      <c r="TWF117" s="0"/>
      <c r="TWG117" s="0"/>
      <c r="TWH117" s="0"/>
      <c r="TWI117" s="0"/>
      <c r="TWJ117" s="0"/>
      <c r="TWK117" s="0"/>
      <c r="TWL117" s="0"/>
      <c r="TWM117" s="0"/>
      <c r="TWN117" s="0"/>
      <c r="TWO117" s="0"/>
      <c r="TWP117" s="0"/>
      <c r="TWQ117" s="0"/>
      <c r="TWR117" s="0"/>
      <c r="TWS117" s="0"/>
      <c r="TWT117" s="0"/>
      <c r="TWU117" s="0"/>
      <c r="TWV117" s="0"/>
      <c r="TWW117" s="0"/>
      <c r="TWX117" s="0"/>
      <c r="TWY117" s="0"/>
      <c r="TWZ117" s="0"/>
      <c r="TXA117" s="0"/>
      <c r="TXB117" s="0"/>
      <c r="TXC117" s="0"/>
      <c r="TXD117" s="0"/>
      <c r="TXE117" s="0"/>
      <c r="TXF117" s="0"/>
      <c r="TXG117" s="0"/>
      <c r="TXH117" s="0"/>
      <c r="TXI117" s="0"/>
      <c r="TXJ117" s="0"/>
      <c r="TXK117" s="0"/>
      <c r="TXL117" s="0"/>
      <c r="TXM117" s="0"/>
      <c r="TXN117" s="0"/>
      <c r="TXO117" s="0"/>
      <c r="TXP117" s="0"/>
      <c r="TXQ117" s="0"/>
      <c r="TXR117" s="0"/>
      <c r="TXS117" s="0"/>
      <c r="TXT117" s="0"/>
      <c r="TXU117" s="0"/>
      <c r="TXV117" s="0"/>
      <c r="TXW117" s="0"/>
      <c r="TXX117" s="0"/>
      <c r="TXY117" s="0"/>
      <c r="TXZ117" s="0"/>
      <c r="TYA117" s="0"/>
      <c r="TYB117" s="0"/>
      <c r="TYC117" s="0"/>
      <c r="TYD117" s="0"/>
      <c r="TYE117" s="0"/>
      <c r="TYF117" s="0"/>
      <c r="TYG117" s="0"/>
      <c r="TYH117" s="0"/>
      <c r="TYI117" s="0"/>
      <c r="TYJ117" s="0"/>
      <c r="TYK117" s="0"/>
      <c r="TYL117" s="0"/>
      <c r="TYM117" s="0"/>
      <c r="TYN117" s="0"/>
      <c r="TYO117" s="0"/>
      <c r="TYP117" s="0"/>
      <c r="TYQ117" s="0"/>
      <c r="TYR117" s="0"/>
      <c r="TYS117" s="0"/>
      <c r="TYT117" s="0"/>
      <c r="TYU117" s="0"/>
      <c r="TYV117" s="0"/>
      <c r="TYW117" s="0"/>
      <c r="TYX117" s="0"/>
      <c r="TYY117" s="0"/>
      <c r="TYZ117" s="0"/>
      <c r="TZA117" s="0"/>
      <c r="TZB117" s="0"/>
      <c r="TZC117" s="0"/>
      <c r="TZD117" s="0"/>
      <c r="TZE117" s="0"/>
      <c r="TZF117" s="0"/>
      <c r="TZG117" s="0"/>
      <c r="TZH117" s="0"/>
      <c r="TZI117" s="0"/>
      <c r="TZJ117" s="0"/>
      <c r="TZK117" s="0"/>
      <c r="TZL117" s="0"/>
      <c r="TZM117" s="0"/>
      <c r="TZN117" s="0"/>
      <c r="TZO117" s="0"/>
      <c r="TZP117" s="0"/>
      <c r="TZQ117" s="0"/>
      <c r="TZR117" s="0"/>
      <c r="TZS117" s="0"/>
      <c r="TZT117" s="0"/>
      <c r="TZU117" s="0"/>
      <c r="TZV117" s="0"/>
      <c r="TZW117" s="0"/>
      <c r="TZX117" s="0"/>
      <c r="TZY117" s="0"/>
      <c r="TZZ117" s="0"/>
      <c r="UAA117" s="0"/>
      <c r="UAB117" s="0"/>
      <c r="UAC117" s="0"/>
      <c r="UAD117" s="0"/>
      <c r="UAE117" s="0"/>
      <c r="UAF117" s="0"/>
      <c r="UAG117" s="0"/>
      <c r="UAH117" s="0"/>
      <c r="UAI117" s="0"/>
      <c r="UAJ117" s="0"/>
      <c r="UAK117" s="0"/>
      <c r="UAL117" s="0"/>
      <c r="UAM117" s="0"/>
      <c r="UAN117" s="0"/>
      <c r="UAO117" s="0"/>
      <c r="UAP117" s="0"/>
      <c r="UAQ117" s="0"/>
      <c r="UAR117" s="0"/>
      <c r="UAS117" s="0"/>
      <c r="UAT117" s="0"/>
      <c r="UAU117" s="0"/>
      <c r="UAV117" s="0"/>
      <c r="UAW117" s="0"/>
      <c r="UAX117" s="0"/>
      <c r="UAY117" s="0"/>
      <c r="UAZ117" s="0"/>
      <c r="UBA117" s="0"/>
      <c r="UBB117" s="0"/>
      <c r="UBC117" s="0"/>
      <c r="UBD117" s="0"/>
      <c r="UBE117" s="0"/>
      <c r="UBF117" s="0"/>
      <c r="UBG117" s="0"/>
      <c r="UBH117" s="0"/>
      <c r="UBI117" s="0"/>
      <c r="UBJ117" s="0"/>
      <c r="UBK117" s="0"/>
      <c r="UBL117" s="0"/>
      <c r="UBM117" s="0"/>
      <c r="UBN117" s="0"/>
      <c r="UBO117" s="0"/>
      <c r="UBP117" s="0"/>
      <c r="UBQ117" s="0"/>
      <c r="UBR117" s="0"/>
      <c r="UBS117" s="0"/>
      <c r="UBT117" s="0"/>
      <c r="UBU117" s="0"/>
      <c r="UBV117" s="0"/>
      <c r="UBW117" s="0"/>
      <c r="UBX117" s="0"/>
      <c r="UBY117" s="0"/>
      <c r="UBZ117" s="0"/>
      <c r="UCA117" s="0"/>
      <c r="UCB117" s="0"/>
      <c r="UCC117" s="0"/>
      <c r="UCD117" s="0"/>
      <c r="UCE117" s="0"/>
      <c r="UCF117" s="0"/>
      <c r="UCG117" s="0"/>
      <c r="UCH117" s="0"/>
      <c r="UCI117" s="0"/>
      <c r="UCJ117" s="0"/>
      <c r="UCK117" s="0"/>
      <c r="UCL117" s="0"/>
      <c r="UCM117" s="0"/>
      <c r="UCN117" s="0"/>
      <c r="UCO117" s="0"/>
      <c r="UCP117" s="0"/>
      <c r="UCQ117" s="0"/>
      <c r="UCR117" s="0"/>
      <c r="UCS117" s="0"/>
      <c r="UCT117" s="0"/>
      <c r="UCU117" s="0"/>
      <c r="UCV117" s="0"/>
      <c r="UCW117" s="0"/>
      <c r="UCX117" s="0"/>
      <c r="UCY117" s="0"/>
      <c r="UCZ117" s="0"/>
      <c r="UDA117" s="0"/>
      <c r="UDB117" s="0"/>
      <c r="UDC117" s="0"/>
      <c r="UDD117" s="0"/>
      <c r="UDE117" s="0"/>
      <c r="UDF117" s="0"/>
      <c r="UDG117" s="0"/>
      <c r="UDH117" s="0"/>
      <c r="UDI117" s="0"/>
      <c r="UDJ117" s="0"/>
      <c r="UDK117" s="0"/>
      <c r="UDL117" s="0"/>
      <c r="UDM117" s="0"/>
      <c r="UDN117" s="0"/>
      <c r="UDO117" s="0"/>
      <c r="UDP117" s="0"/>
      <c r="UDQ117" s="0"/>
      <c r="UDR117" s="0"/>
      <c r="UDS117" s="0"/>
      <c r="UDT117" s="0"/>
      <c r="UDU117" s="0"/>
      <c r="UDV117" s="0"/>
      <c r="UDW117" s="0"/>
      <c r="UDX117" s="0"/>
      <c r="UDY117" s="0"/>
      <c r="UDZ117" s="0"/>
      <c r="UEA117" s="0"/>
      <c r="UEB117" s="0"/>
      <c r="UEC117" s="0"/>
      <c r="UED117" s="0"/>
      <c r="UEE117" s="0"/>
      <c r="UEF117" s="0"/>
      <c r="UEG117" s="0"/>
      <c r="UEH117" s="0"/>
      <c r="UEI117" s="0"/>
      <c r="UEJ117" s="0"/>
      <c r="UEK117" s="0"/>
      <c r="UEL117" s="0"/>
      <c r="UEM117" s="0"/>
      <c r="UEN117" s="0"/>
      <c r="UEO117" s="0"/>
      <c r="UEP117" s="0"/>
      <c r="UEQ117" s="0"/>
      <c r="UER117" s="0"/>
      <c r="UES117" s="0"/>
      <c r="UET117" s="0"/>
      <c r="UEU117" s="0"/>
      <c r="UEV117" s="0"/>
      <c r="UEW117" s="0"/>
      <c r="UEX117" s="0"/>
      <c r="UEY117" s="0"/>
      <c r="UEZ117" s="0"/>
      <c r="UFA117" s="0"/>
      <c r="UFB117" s="0"/>
      <c r="UFC117" s="0"/>
      <c r="UFD117" s="0"/>
      <c r="UFE117" s="0"/>
      <c r="UFF117" s="0"/>
      <c r="UFG117" s="0"/>
      <c r="UFH117" s="0"/>
      <c r="UFI117" s="0"/>
      <c r="UFJ117" s="0"/>
      <c r="UFK117" s="0"/>
      <c r="UFL117" s="0"/>
      <c r="UFM117" s="0"/>
      <c r="UFN117" s="0"/>
      <c r="UFO117" s="0"/>
      <c r="UFP117" s="0"/>
      <c r="UFQ117" s="0"/>
      <c r="UFR117" s="0"/>
      <c r="UFS117" s="0"/>
      <c r="UFT117" s="0"/>
      <c r="UFU117" s="0"/>
      <c r="UFV117" s="0"/>
      <c r="UFW117" s="0"/>
      <c r="UFX117" s="0"/>
      <c r="UFY117" s="0"/>
      <c r="UFZ117" s="0"/>
      <c r="UGA117" s="0"/>
      <c r="UGB117" s="0"/>
      <c r="UGC117" s="0"/>
      <c r="UGD117" s="0"/>
      <c r="UGE117" s="0"/>
      <c r="UGF117" s="0"/>
      <c r="UGG117" s="0"/>
      <c r="UGH117" s="0"/>
      <c r="UGI117" s="0"/>
      <c r="UGJ117" s="0"/>
      <c r="UGK117" s="0"/>
      <c r="UGL117" s="0"/>
      <c r="UGM117" s="0"/>
      <c r="UGN117" s="0"/>
      <c r="UGO117" s="0"/>
      <c r="UGP117" s="0"/>
      <c r="UGQ117" s="0"/>
      <c r="UGR117" s="0"/>
      <c r="UGS117" s="0"/>
      <c r="UGT117" s="0"/>
      <c r="UGU117" s="0"/>
      <c r="UGV117" s="0"/>
      <c r="UGW117" s="0"/>
      <c r="UGX117" s="0"/>
      <c r="UGY117" s="0"/>
      <c r="UGZ117" s="0"/>
      <c r="UHA117" s="0"/>
      <c r="UHB117" s="0"/>
      <c r="UHC117" s="0"/>
      <c r="UHD117" s="0"/>
      <c r="UHE117" s="0"/>
      <c r="UHF117" s="0"/>
      <c r="UHG117" s="0"/>
      <c r="UHH117" s="0"/>
      <c r="UHI117" s="0"/>
      <c r="UHJ117" s="0"/>
      <c r="UHK117" s="0"/>
      <c r="UHL117" s="0"/>
      <c r="UHM117" s="0"/>
      <c r="UHN117" s="0"/>
      <c r="UHO117" s="0"/>
      <c r="UHP117" s="0"/>
      <c r="UHQ117" s="0"/>
      <c r="UHR117" s="0"/>
      <c r="UHS117" s="0"/>
      <c r="UHT117" s="0"/>
      <c r="UHU117" s="0"/>
      <c r="UHV117" s="0"/>
      <c r="UHW117" s="0"/>
      <c r="UHX117" s="0"/>
      <c r="UHY117" s="0"/>
      <c r="UHZ117" s="0"/>
      <c r="UIA117" s="0"/>
      <c r="UIB117" s="0"/>
      <c r="UIC117" s="0"/>
      <c r="UID117" s="0"/>
      <c r="UIE117" s="0"/>
      <c r="UIF117" s="0"/>
      <c r="UIG117" s="0"/>
      <c r="UIH117" s="0"/>
      <c r="UII117" s="0"/>
      <c r="UIJ117" s="0"/>
      <c r="UIK117" s="0"/>
      <c r="UIL117" s="0"/>
      <c r="UIM117" s="0"/>
      <c r="UIN117" s="0"/>
      <c r="UIO117" s="0"/>
      <c r="UIP117" s="0"/>
      <c r="UIQ117" s="0"/>
      <c r="UIR117" s="0"/>
      <c r="UIS117" s="0"/>
      <c r="UIT117" s="0"/>
      <c r="UIU117" s="0"/>
      <c r="UIV117" s="0"/>
      <c r="UIW117" s="0"/>
      <c r="UIX117" s="0"/>
      <c r="UIY117" s="0"/>
      <c r="UIZ117" s="0"/>
      <c r="UJA117" s="0"/>
      <c r="UJB117" s="0"/>
      <c r="UJC117" s="0"/>
      <c r="UJD117" s="0"/>
      <c r="UJE117" s="0"/>
      <c r="UJF117" s="0"/>
      <c r="UJG117" s="0"/>
      <c r="UJH117" s="0"/>
      <c r="UJI117" s="0"/>
      <c r="UJJ117" s="0"/>
      <c r="UJK117" s="0"/>
      <c r="UJL117" s="0"/>
      <c r="UJM117" s="0"/>
      <c r="UJN117" s="0"/>
      <c r="UJO117" s="0"/>
      <c r="UJP117" s="0"/>
      <c r="UJQ117" s="0"/>
      <c r="UJR117" s="0"/>
      <c r="UJS117" s="0"/>
      <c r="UJT117" s="0"/>
      <c r="UJU117" s="0"/>
      <c r="UJV117" s="0"/>
      <c r="UJW117" s="0"/>
      <c r="UJX117" s="0"/>
      <c r="UJY117" s="0"/>
      <c r="UJZ117" s="0"/>
      <c r="UKA117" s="0"/>
      <c r="UKB117" s="0"/>
      <c r="UKC117" s="0"/>
      <c r="UKD117" s="0"/>
      <c r="UKE117" s="0"/>
      <c r="UKF117" s="0"/>
      <c r="UKG117" s="0"/>
      <c r="UKH117" s="0"/>
      <c r="UKI117" s="0"/>
      <c r="UKJ117" s="0"/>
      <c r="UKK117" s="0"/>
      <c r="UKL117" s="0"/>
      <c r="UKM117" s="0"/>
      <c r="UKN117" s="0"/>
      <c r="UKO117" s="0"/>
      <c r="UKP117" s="0"/>
      <c r="UKQ117" s="0"/>
      <c r="UKR117" s="0"/>
      <c r="UKS117" s="0"/>
      <c r="UKT117" s="0"/>
      <c r="UKU117" s="0"/>
      <c r="UKV117" s="0"/>
      <c r="UKW117" s="0"/>
      <c r="UKX117" s="0"/>
      <c r="UKY117" s="0"/>
      <c r="UKZ117" s="0"/>
      <c r="ULA117" s="0"/>
      <c r="ULB117" s="0"/>
      <c r="ULC117" s="0"/>
      <c r="ULD117" s="0"/>
      <c r="ULE117" s="0"/>
      <c r="ULF117" s="0"/>
      <c r="ULG117" s="0"/>
      <c r="ULH117" s="0"/>
      <c r="ULI117" s="0"/>
      <c r="ULJ117" s="0"/>
      <c r="ULK117" s="0"/>
      <c r="ULL117" s="0"/>
      <c r="ULM117" s="0"/>
      <c r="ULN117" s="0"/>
      <c r="ULO117" s="0"/>
      <c r="ULP117" s="0"/>
      <c r="ULQ117" s="0"/>
      <c r="ULR117" s="0"/>
      <c r="ULS117" s="0"/>
      <c r="ULT117" s="0"/>
      <c r="ULU117" s="0"/>
      <c r="ULV117" s="0"/>
      <c r="ULW117" s="0"/>
      <c r="ULX117" s="0"/>
      <c r="ULY117" s="0"/>
      <c r="ULZ117" s="0"/>
      <c r="UMA117" s="0"/>
      <c r="UMB117" s="0"/>
      <c r="UMC117" s="0"/>
      <c r="UMD117" s="0"/>
      <c r="UME117" s="0"/>
      <c r="UMF117" s="0"/>
      <c r="UMG117" s="0"/>
      <c r="UMH117" s="0"/>
      <c r="UMI117" s="0"/>
      <c r="UMJ117" s="0"/>
      <c r="UMK117" s="0"/>
      <c r="UML117" s="0"/>
      <c r="UMM117" s="0"/>
      <c r="UMN117" s="0"/>
      <c r="UMO117" s="0"/>
      <c r="UMP117" s="0"/>
      <c r="UMQ117" s="0"/>
      <c r="UMR117" s="0"/>
      <c r="UMS117" s="0"/>
      <c r="UMT117" s="0"/>
      <c r="UMU117" s="0"/>
      <c r="UMV117" s="0"/>
      <c r="UMW117" s="0"/>
      <c r="UMX117" s="0"/>
      <c r="UMY117" s="0"/>
      <c r="UMZ117" s="0"/>
      <c r="UNA117" s="0"/>
      <c r="UNB117" s="0"/>
      <c r="UNC117" s="0"/>
      <c r="UND117" s="0"/>
      <c r="UNE117" s="0"/>
      <c r="UNF117" s="0"/>
      <c r="UNG117" s="0"/>
      <c r="UNH117" s="0"/>
      <c r="UNI117" s="0"/>
      <c r="UNJ117" s="0"/>
      <c r="UNK117" s="0"/>
      <c r="UNL117" s="0"/>
      <c r="UNM117" s="0"/>
      <c r="UNN117" s="0"/>
      <c r="UNO117" s="0"/>
      <c r="UNP117" s="0"/>
      <c r="UNQ117" s="0"/>
      <c r="UNR117" s="0"/>
      <c r="UNS117" s="0"/>
      <c r="UNT117" s="0"/>
      <c r="UNU117" s="0"/>
      <c r="UNV117" s="0"/>
      <c r="UNW117" s="0"/>
      <c r="UNX117" s="0"/>
      <c r="UNY117" s="0"/>
      <c r="UNZ117" s="0"/>
      <c r="UOA117" s="0"/>
      <c r="UOB117" s="0"/>
      <c r="UOC117" s="0"/>
      <c r="UOD117" s="0"/>
      <c r="UOE117" s="0"/>
      <c r="UOF117" s="0"/>
      <c r="UOG117" s="0"/>
      <c r="UOH117" s="0"/>
      <c r="UOI117" s="0"/>
      <c r="UOJ117" s="0"/>
      <c r="UOK117" s="0"/>
      <c r="UOL117" s="0"/>
      <c r="UOM117" s="0"/>
      <c r="UON117" s="0"/>
      <c r="UOO117" s="0"/>
      <c r="UOP117" s="0"/>
      <c r="UOQ117" s="0"/>
      <c r="UOR117" s="0"/>
      <c r="UOS117" s="0"/>
      <c r="UOT117" s="0"/>
      <c r="UOU117" s="0"/>
      <c r="UOV117" s="0"/>
      <c r="UOW117" s="0"/>
      <c r="UOX117" s="0"/>
      <c r="UOY117" s="0"/>
      <c r="UOZ117" s="0"/>
      <c r="UPA117" s="0"/>
      <c r="UPB117" s="0"/>
      <c r="UPC117" s="0"/>
      <c r="UPD117" s="0"/>
      <c r="UPE117" s="0"/>
      <c r="UPF117" s="0"/>
      <c r="UPG117" s="0"/>
      <c r="UPH117" s="0"/>
      <c r="UPI117" s="0"/>
      <c r="UPJ117" s="0"/>
      <c r="UPK117" s="0"/>
      <c r="UPL117" s="0"/>
      <c r="UPM117" s="0"/>
      <c r="UPN117" s="0"/>
      <c r="UPO117" s="0"/>
      <c r="UPP117" s="0"/>
      <c r="UPQ117" s="0"/>
      <c r="UPR117" s="0"/>
      <c r="UPS117" s="0"/>
      <c r="UPT117" s="0"/>
      <c r="UPU117" s="0"/>
      <c r="UPV117" s="0"/>
      <c r="UPW117" s="0"/>
      <c r="UPX117" s="0"/>
      <c r="UPY117" s="0"/>
      <c r="UPZ117" s="0"/>
      <c r="UQA117" s="0"/>
      <c r="UQB117" s="0"/>
      <c r="UQC117" s="0"/>
      <c r="UQD117" s="0"/>
      <c r="UQE117" s="0"/>
      <c r="UQF117" s="0"/>
      <c r="UQG117" s="0"/>
      <c r="UQH117" s="0"/>
      <c r="UQI117" s="0"/>
      <c r="UQJ117" s="0"/>
      <c r="UQK117" s="0"/>
      <c r="UQL117" s="0"/>
      <c r="UQM117" s="0"/>
      <c r="UQN117" s="0"/>
      <c r="UQO117" s="0"/>
      <c r="UQP117" s="0"/>
      <c r="UQQ117" s="0"/>
      <c r="UQR117" s="0"/>
      <c r="UQS117" s="0"/>
      <c r="UQT117" s="0"/>
      <c r="UQU117" s="0"/>
      <c r="UQV117" s="0"/>
      <c r="UQW117" s="0"/>
      <c r="UQX117" s="0"/>
      <c r="UQY117" s="0"/>
      <c r="UQZ117" s="0"/>
      <c r="URA117" s="0"/>
      <c r="URB117" s="0"/>
      <c r="URC117" s="0"/>
      <c r="URD117" s="0"/>
      <c r="URE117" s="0"/>
      <c r="URF117" s="0"/>
      <c r="URG117" s="0"/>
      <c r="URH117" s="0"/>
      <c r="URI117" s="0"/>
      <c r="URJ117" s="0"/>
      <c r="URK117" s="0"/>
      <c r="URL117" s="0"/>
      <c r="URM117" s="0"/>
      <c r="URN117" s="0"/>
      <c r="URO117" s="0"/>
      <c r="URP117" s="0"/>
      <c r="URQ117" s="0"/>
      <c r="URR117" s="0"/>
      <c r="URS117" s="0"/>
      <c r="URT117" s="0"/>
      <c r="URU117" s="0"/>
      <c r="URV117" s="0"/>
      <c r="URW117" s="0"/>
      <c r="URX117" s="0"/>
      <c r="URY117" s="0"/>
      <c r="URZ117" s="0"/>
      <c r="USA117" s="0"/>
      <c r="USB117" s="0"/>
      <c r="USC117" s="0"/>
      <c r="USD117" s="0"/>
      <c r="USE117" s="0"/>
      <c r="USF117" s="0"/>
      <c r="USG117" s="0"/>
      <c r="USH117" s="0"/>
      <c r="USI117" s="0"/>
      <c r="USJ117" s="0"/>
      <c r="USK117" s="0"/>
      <c r="USL117" s="0"/>
      <c r="USM117" s="0"/>
      <c r="USN117" s="0"/>
      <c r="USO117" s="0"/>
      <c r="USP117" s="0"/>
      <c r="USQ117" s="0"/>
      <c r="USR117" s="0"/>
      <c r="USS117" s="0"/>
      <c r="UST117" s="0"/>
      <c r="USU117" s="0"/>
      <c r="USV117" s="0"/>
      <c r="USW117" s="0"/>
      <c r="USX117" s="0"/>
      <c r="USY117" s="0"/>
      <c r="USZ117" s="0"/>
      <c r="UTA117" s="0"/>
      <c r="UTB117" s="0"/>
      <c r="UTC117" s="0"/>
      <c r="UTD117" s="0"/>
      <c r="UTE117" s="0"/>
      <c r="UTF117" s="0"/>
      <c r="UTG117" s="0"/>
      <c r="UTH117" s="0"/>
      <c r="UTI117" s="0"/>
      <c r="UTJ117" s="0"/>
      <c r="UTK117" s="0"/>
      <c r="UTL117" s="0"/>
      <c r="UTM117" s="0"/>
      <c r="UTN117" s="0"/>
      <c r="UTO117" s="0"/>
      <c r="UTP117" s="0"/>
      <c r="UTQ117" s="0"/>
      <c r="UTR117" s="0"/>
      <c r="UTS117" s="0"/>
      <c r="UTT117" s="0"/>
      <c r="UTU117" s="0"/>
      <c r="UTV117" s="0"/>
      <c r="UTW117" s="0"/>
      <c r="UTX117" s="0"/>
      <c r="UTY117" s="0"/>
      <c r="UTZ117" s="0"/>
      <c r="UUA117" s="0"/>
      <c r="UUB117" s="0"/>
      <c r="UUC117" s="0"/>
      <c r="UUD117" s="0"/>
      <c r="UUE117" s="0"/>
      <c r="UUF117" s="0"/>
      <c r="UUG117" s="0"/>
      <c r="UUH117" s="0"/>
      <c r="UUI117" s="0"/>
      <c r="UUJ117" s="0"/>
      <c r="UUK117" s="0"/>
      <c r="UUL117" s="0"/>
      <c r="UUM117" s="0"/>
      <c r="UUN117" s="0"/>
      <c r="UUO117" s="0"/>
      <c r="UUP117" s="0"/>
      <c r="UUQ117" s="0"/>
      <c r="UUR117" s="0"/>
      <c r="UUS117" s="0"/>
      <c r="UUT117" s="0"/>
      <c r="UUU117" s="0"/>
      <c r="UUV117" s="0"/>
      <c r="UUW117" s="0"/>
      <c r="UUX117" s="0"/>
      <c r="UUY117" s="0"/>
      <c r="UUZ117" s="0"/>
      <c r="UVA117" s="0"/>
      <c r="UVB117" s="0"/>
      <c r="UVC117" s="0"/>
      <c r="UVD117" s="0"/>
      <c r="UVE117" s="0"/>
      <c r="UVF117" s="0"/>
      <c r="UVG117" s="0"/>
      <c r="UVH117" s="0"/>
      <c r="UVI117" s="0"/>
      <c r="UVJ117" s="0"/>
      <c r="UVK117" s="0"/>
      <c r="UVL117" s="0"/>
      <c r="UVM117" s="0"/>
      <c r="UVN117" s="0"/>
      <c r="UVO117" s="0"/>
      <c r="UVP117" s="0"/>
      <c r="UVQ117" s="0"/>
      <c r="UVR117" s="0"/>
      <c r="UVS117" s="0"/>
      <c r="UVT117" s="0"/>
      <c r="UVU117" s="0"/>
      <c r="UVV117" s="0"/>
      <c r="UVW117" s="0"/>
      <c r="UVX117" s="0"/>
      <c r="UVY117" s="0"/>
      <c r="UVZ117" s="0"/>
      <c r="UWA117" s="0"/>
      <c r="UWB117" s="0"/>
      <c r="UWC117" s="0"/>
      <c r="UWD117" s="0"/>
      <c r="UWE117" s="0"/>
      <c r="UWF117" s="0"/>
      <c r="UWG117" s="0"/>
      <c r="UWH117" s="0"/>
      <c r="UWI117" s="0"/>
      <c r="UWJ117" s="0"/>
      <c r="UWK117" s="0"/>
      <c r="UWL117" s="0"/>
      <c r="UWM117" s="0"/>
      <c r="UWN117" s="0"/>
      <c r="UWO117" s="0"/>
      <c r="UWP117" s="0"/>
      <c r="UWQ117" s="0"/>
      <c r="UWR117" s="0"/>
      <c r="UWS117" s="0"/>
      <c r="UWT117" s="0"/>
      <c r="UWU117" s="0"/>
      <c r="UWV117" s="0"/>
      <c r="UWW117" s="0"/>
      <c r="UWX117" s="0"/>
      <c r="UWY117" s="0"/>
      <c r="UWZ117" s="0"/>
      <c r="UXA117" s="0"/>
      <c r="UXB117" s="0"/>
      <c r="UXC117" s="0"/>
      <c r="UXD117" s="0"/>
      <c r="UXE117" s="0"/>
      <c r="UXF117" s="0"/>
      <c r="UXG117" s="0"/>
      <c r="UXH117" s="0"/>
      <c r="UXI117" s="0"/>
      <c r="UXJ117" s="0"/>
      <c r="UXK117" s="0"/>
      <c r="UXL117" s="0"/>
      <c r="UXM117" s="0"/>
      <c r="UXN117" s="0"/>
      <c r="UXO117" s="0"/>
      <c r="UXP117" s="0"/>
      <c r="UXQ117" s="0"/>
      <c r="UXR117" s="0"/>
      <c r="UXS117" s="0"/>
      <c r="UXT117" s="0"/>
      <c r="UXU117" s="0"/>
      <c r="UXV117" s="0"/>
      <c r="UXW117" s="0"/>
      <c r="UXX117" s="0"/>
      <c r="UXY117" s="0"/>
      <c r="UXZ117" s="0"/>
      <c r="UYA117" s="0"/>
      <c r="UYB117" s="0"/>
      <c r="UYC117" s="0"/>
      <c r="UYD117" s="0"/>
      <c r="UYE117" s="0"/>
      <c r="UYF117" s="0"/>
      <c r="UYG117" s="0"/>
      <c r="UYH117" s="0"/>
      <c r="UYI117" s="0"/>
      <c r="UYJ117" s="0"/>
      <c r="UYK117" s="0"/>
      <c r="UYL117" s="0"/>
      <c r="UYM117" s="0"/>
      <c r="UYN117" s="0"/>
      <c r="UYO117" s="0"/>
      <c r="UYP117" s="0"/>
      <c r="UYQ117" s="0"/>
      <c r="UYR117" s="0"/>
      <c r="UYS117" s="0"/>
      <c r="UYT117" s="0"/>
      <c r="UYU117" s="0"/>
      <c r="UYV117" s="0"/>
      <c r="UYW117" s="0"/>
      <c r="UYX117" s="0"/>
      <c r="UYY117" s="0"/>
      <c r="UYZ117" s="0"/>
      <c r="UZA117" s="0"/>
      <c r="UZB117" s="0"/>
      <c r="UZC117" s="0"/>
      <c r="UZD117" s="0"/>
      <c r="UZE117" s="0"/>
      <c r="UZF117" s="0"/>
      <c r="UZG117" s="0"/>
      <c r="UZH117" s="0"/>
      <c r="UZI117" s="0"/>
      <c r="UZJ117" s="0"/>
      <c r="UZK117" s="0"/>
      <c r="UZL117" s="0"/>
      <c r="UZM117" s="0"/>
      <c r="UZN117" s="0"/>
      <c r="UZO117" s="0"/>
      <c r="UZP117" s="0"/>
      <c r="UZQ117" s="0"/>
      <c r="UZR117" s="0"/>
      <c r="UZS117" s="0"/>
      <c r="UZT117" s="0"/>
      <c r="UZU117" s="0"/>
      <c r="UZV117" s="0"/>
      <c r="UZW117" s="0"/>
      <c r="UZX117" s="0"/>
      <c r="UZY117" s="0"/>
      <c r="UZZ117" s="0"/>
      <c r="VAA117" s="0"/>
      <c r="VAB117" s="0"/>
      <c r="VAC117" s="0"/>
      <c r="VAD117" s="0"/>
      <c r="VAE117" s="0"/>
      <c r="VAF117" s="0"/>
      <c r="VAG117" s="0"/>
      <c r="VAH117" s="0"/>
      <c r="VAI117" s="0"/>
      <c r="VAJ117" s="0"/>
      <c r="VAK117" s="0"/>
      <c r="VAL117" s="0"/>
      <c r="VAM117" s="0"/>
      <c r="VAN117" s="0"/>
      <c r="VAO117" s="0"/>
      <c r="VAP117" s="0"/>
      <c r="VAQ117" s="0"/>
      <c r="VAR117" s="0"/>
      <c r="VAS117" s="0"/>
      <c r="VAT117" s="0"/>
      <c r="VAU117" s="0"/>
      <c r="VAV117" s="0"/>
      <c r="VAW117" s="0"/>
      <c r="VAX117" s="0"/>
      <c r="VAY117" s="0"/>
      <c r="VAZ117" s="0"/>
      <c r="VBA117" s="0"/>
      <c r="VBB117" s="0"/>
      <c r="VBC117" s="0"/>
      <c r="VBD117" s="0"/>
      <c r="VBE117" s="0"/>
      <c r="VBF117" s="0"/>
      <c r="VBG117" s="0"/>
      <c r="VBH117" s="0"/>
      <c r="VBI117" s="0"/>
      <c r="VBJ117" s="0"/>
      <c r="VBK117" s="0"/>
      <c r="VBL117" s="0"/>
      <c r="VBM117" s="0"/>
      <c r="VBN117" s="0"/>
      <c r="VBO117" s="0"/>
      <c r="VBP117" s="0"/>
      <c r="VBQ117" s="0"/>
      <c r="VBR117" s="0"/>
      <c r="VBS117" s="0"/>
      <c r="VBT117" s="0"/>
      <c r="VBU117" s="0"/>
      <c r="VBV117" s="0"/>
      <c r="VBW117" s="0"/>
      <c r="VBX117" s="0"/>
      <c r="VBY117" s="0"/>
      <c r="VBZ117" s="0"/>
      <c r="VCA117" s="0"/>
      <c r="VCB117" s="0"/>
      <c r="VCC117" s="0"/>
      <c r="VCD117" s="0"/>
      <c r="VCE117" s="0"/>
      <c r="VCF117" s="0"/>
      <c r="VCG117" s="0"/>
      <c r="VCH117" s="0"/>
      <c r="VCI117" s="0"/>
      <c r="VCJ117" s="0"/>
      <c r="VCK117" s="0"/>
      <c r="VCL117" s="0"/>
      <c r="VCM117" s="0"/>
      <c r="VCN117" s="0"/>
      <c r="VCO117" s="0"/>
      <c r="VCP117" s="0"/>
      <c r="VCQ117" s="0"/>
      <c r="VCR117" s="0"/>
      <c r="VCS117" s="0"/>
      <c r="VCT117" s="0"/>
      <c r="VCU117" s="0"/>
      <c r="VCV117" s="0"/>
      <c r="VCW117" s="0"/>
      <c r="VCX117" s="0"/>
      <c r="VCY117" s="0"/>
      <c r="VCZ117" s="0"/>
      <c r="VDA117" s="0"/>
      <c r="VDB117" s="0"/>
      <c r="VDC117" s="0"/>
      <c r="VDD117" s="0"/>
      <c r="VDE117" s="0"/>
      <c r="VDF117" s="0"/>
      <c r="VDG117" s="0"/>
      <c r="VDH117" s="0"/>
      <c r="VDI117" s="0"/>
      <c r="VDJ117" s="0"/>
      <c r="VDK117" s="0"/>
      <c r="VDL117" s="0"/>
      <c r="VDM117" s="0"/>
      <c r="VDN117" s="0"/>
      <c r="VDO117" s="0"/>
      <c r="VDP117" s="0"/>
      <c r="VDQ117" s="0"/>
      <c r="VDR117" s="0"/>
      <c r="VDS117" s="0"/>
      <c r="VDT117" s="0"/>
      <c r="VDU117" s="0"/>
      <c r="VDV117" s="0"/>
      <c r="VDW117" s="0"/>
      <c r="VDX117" s="0"/>
      <c r="VDY117" s="0"/>
      <c r="VDZ117" s="0"/>
      <c r="VEA117" s="0"/>
      <c r="VEB117" s="0"/>
      <c r="VEC117" s="0"/>
      <c r="VED117" s="0"/>
      <c r="VEE117" s="0"/>
      <c r="VEF117" s="0"/>
      <c r="VEG117" s="0"/>
      <c r="VEH117" s="0"/>
      <c r="VEI117" s="0"/>
      <c r="VEJ117" s="0"/>
      <c r="VEK117" s="0"/>
      <c r="VEL117" s="0"/>
      <c r="VEM117" s="0"/>
      <c r="VEN117" s="0"/>
      <c r="VEO117" s="0"/>
      <c r="VEP117" s="0"/>
      <c r="VEQ117" s="0"/>
      <c r="VER117" s="0"/>
      <c r="VES117" s="0"/>
      <c r="VET117" s="0"/>
      <c r="VEU117" s="0"/>
      <c r="VEV117" s="0"/>
      <c r="VEW117" s="0"/>
      <c r="VEX117" s="0"/>
      <c r="VEY117" s="0"/>
      <c r="VEZ117" s="0"/>
      <c r="VFA117" s="0"/>
      <c r="VFB117" s="0"/>
      <c r="VFC117" s="0"/>
      <c r="VFD117" s="0"/>
      <c r="VFE117" s="0"/>
      <c r="VFF117" s="0"/>
      <c r="VFG117" s="0"/>
      <c r="VFH117" s="0"/>
      <c r="VFI117" s="0"/>
      <c r="VFJ117" s="0"/>
      <c r="VFK117" s="0"/>
      <c r="VFL117" s="0"/>
      <c r="VFM117" s="0"/>
      <c r="VFN117" s="0"/>
      <c r="VFO117" s="0"/>
      <c r="VFP117" s="0"/>
      <c r="VFQ117" s="0"/>
      <c r="VFR117" s="0"/>
      <c r="VFS117" s="0"/>
      <c r="VFT117" s="0"/>
      <c r="VFU117" s="0"/>
      <c r="VFV117" s="0"/>
      <c r="VFW117" s="0"/>
      <c r="VFX117" s="0"/>
      <c r="VFY117" s="0"/>
      <c r="VFZ117" s="0"/>
      <c r="VGA117" s="0"/>
      <c r="VGB117" s="0"/>
      <c r="VGC117" s="0"/>
      <c r="VGD117" s="0"/>
      <c r="VGE117" s="0"/>
      <c r="VGF117" s="0"/>
      <c r="VGG117" s="0"/>
      <c r="VGH117" s="0"/>
      <c r="VGI117" s="0"/>
      <c r="VGJ117" s="0"/>
      <c r="VGK117" s="0"/>
      <c r="VGL117" s="0"/>
      <c r="VGM117" s="0"/>
      <c r="VGN117" s="0"/>
      <c r="VGO117" s="0"/>
      <c r="VGP117" s="0"/>
      <c r="VGQ117" s="0"/>
      <c r="VGR117" s="0"/>
      <c r="VGS117" s="0"/>
      <c r="VGT117" s="0"/>
      <c r="VGU117" s="0"/>
      <c r="VGV117" s="0"/>
      <c r="VGW117" s="0"/>
      <c r="VGX117" s="0"/>
      <c r="VGY117" s="0"/>
      <c r="VGZ117" s="0"/>
      <c r="VHA117" s="0"/>
      <c r="VHB117" s="0"/>
      <c r="VHC117" s="0"/>
      <c r="VHD117" s="0"/>
      <c r="VHE117" s="0"/>
      <c r="VHF117" s="0"/>
      <c r="VHG117" s="0"/>
      <c r="VHH117" s="0"/>
      <c r="VHI117" s="0"/>
      <c r="VHJ117" s="0"/>
      <c r="VHK117" s="0"/>
      <c r="VHL117" s="0"/>
      <c r="VHM117" s="0"/>
      <c r="VHN117" s="0"/>
      <c r="VHO117" s="0"/>
      <c r="VHP117" s="0"/>
      <c r="VHQ117" s="0"/>
      <c r="VHR117" s="0"/>
      <c r="VHS117" s="0"/>
      <c r="VHT117" s="0"/>
      <c r="VHU117" s="0"/>
      <c r="VHV117" s="0"/>
      <c r="VHW117" s="0"/>
      <c r="VHX117" s="0"/>
      <c r="VHY117" s="0"/>
      <c r="VHZ117" s="0"/>
      <c r="VIA117" s="0"/>
      <c r="VIB117" s="0"/>
      <c r="VIC117" s="0"/>
      <c r="VID117" s="0"/>
      <c r="VIE117" s="0"/>
      <c r="VIF117" s="0"/>
      <c r="VIG117" s="0"/>
      <c r="VIH117" s="0"/>
      <c r="VII117" s="0"/>
      <c r="VIJ117" s="0"/>
      <c r="VIK117" s="0"/>
      <c r="VIL117" s="0"/>
      <c r="VIM117" s="0"/>
      <c r="VIN117" s="0"/>
      <c r="VIO117" s="0"/>
      <c r="VIP117" s="0"/>
      <c r="VIQ117" s="0"/>
      <c r="VIR117" s="0"/>
      <c r="VIS117" s="0"/>
      <c r="VIT117" s="0"/>
      <c r="VIU117" s="0"/>
      <c r="VIV117" s="0"/>
      <c r="VIW117" s="0"/>
      <c r="VIX117" s="0"/>
      <c r="VIY117" s="0"/>
      <c r="VIZ117" s="0"/>
      <c r="VJA117" s="0"/>
      <c r="VJB117" s="0"/>
      <c r="VJC117" s="0"/>
      <c r="VJD117" s="0"/>
      <c r="VJE117" s="0"/>
      <c r="VJF117" s="0"/>
      <c r="VJG117" s="0"/>
      <c r="VJH117" s="0"/>
      <c r="VJI117" s="0"/>
      <c r="VJJ117" s="0"/>
      <c r="VJK117" s="0"/>
      <c r="VJL117" s="0"/>
      <c r="VJM117" s="0"/>
      <c r="VJN117" s="0"/>
      <c r="VJO117" s="0"/>
      <c r="VJP117" s="0"/>
      <c r="VJQ117" s="0"/>
      <c r="VJR117" s="0"/>
      <c r="VJS117" s="0"/>
      <c r="VJT117" s="0"/>
      <c r="VJU117" s="0"/>
      <c r="VJV117" s="0"/>
      <c r="VJW117" s="0"/>
      <c r="VJX117" s="0"/>
      <c r="VJY117" s="0"/>
      <c r="VJZ117" s="0"/>
      <c r="VKA117" s="0"/>
      <c r="VKB117" s="0"/>
      <c r="VKC117" s="0"/>
      <c r="VKD117" s="0"/>
      <c r="VKE117" s="0"/>
      <c r="VKF117" s="0"/>
      <c r="VKG117" s="0"/>
      <c r="VKH117" s="0"/>
      <c r="VKI117" s="0"/>
      <c r="VKJ117" s="0"/>
      <c r="VKK117" s="0"/>
      <c r="VKL117" s="0"/>
      <c r="VKM117" s="0"/>
      <c r="VKN117" s="0"/>
      <c r="VKO117" s="0"/>
      <c r="VKP117" s="0"/>
      <c r="VKQ117" s="0"/>
      <c r="VKR117" s="0"/>
      <c r="VKS117" s="0"/>
      <c r="VKT117" s="0"/>
      <c r="VKU117" s="0"/>
      <c r="VKV117" s="0"/>
      <c r="VKW117" s="0"/>
      <c r="VKX117" s="0"/>
      <c r="VKY117" s="0"/>
      <c r="VKZ117" s="0"/>
      <c r="VLA117" s="0"/>
      <c r="VLB117" s="0"/>
      <c r="VLC117" s="0"/>
      <c r="VLD117" s="0"/>
      <c r="VLE117" s="0"/>
      <c r="VLF117" s="0"/>
      <c r="VLG117" s="0"/>
      <c r="VLH117" s="0"/>
      <c r="VLI117" s="0"/>
      <c r="VLJ117" s="0"/>
      <c r="VLK117" s="0"/>
      <c r="VLL117" s="0"/>
      <c r="VLM117" s="0"/>
      <c r="VLN117" s="0"/>
      <c r="VLO117" s="0"/>
      <c r="VLP117" s="0"/>
      <c r="VLQ117" s="0"/>
      <c r="VLR117" s="0"/>
      <c r="VLS117" s="0"/>
      <c r="VLT117" s="0"/>
      <c r="VLU117" s="0"/>
      <c r="VLV117" s="0"/>
      <c r="VLW117" s="0"/>
      <c r="VLX117" s="0"/>
      <c r="VLY117" s="0"/>
      <c r="VLZ117" s="0"/>
      <c r="VMA117" s="0"/>
      <c r="VMB117" s="0"/>
      <c r="VMC117" s="0"/>
      <c r="VMD117" s="0"/>
      <c r="VME117" s="0"/>
      <c r="VMF117" s="0"/>
      <c r="VMG117" s="0"/>
      <c r="VMH117" s="0"/>
      <c r="VMI117" s="0"/>
      <c r="VMJ117" s="0"/>
      <c r="VMK117" s="0"/>
      <c r="VML117" s="0"/>
      <c r="VMM117" s="0"/>
      <c r="VMN117" s="0"/>
      <c r="VMO117" s="0"/>
      <c r="VMP117" s="0"/>
      <c r="VMQ117" s="0"/>
      <c r="VMR117" s="0"/>
      <c r="VMS117" s="0"/>
      <c r="VMT117" s="0"/>
      <c r="VMU117" s="0"/>
      <c r="VMV117" s="0"/>
      <c r="VMW117" s="0"/>
      <c r="VMX117" s="0"/>
      <c r="VMY117" s="0"/>
      <c r="VMZ117" s="0"/>
      <c r="VNA117" s="0"/>
      <c r="VNB117" s="0"/>
      <c r="VNC117" s="0"/>
      <c r="VND117" s="0"/>
      <c r="VNE117" s="0"/>
      <c r="VNF117" s="0"/>
      <c r="VNG117" s="0"/>
      <c r="VNH117" s="0"/>
      <c r="VNI117" s="0"/>
      <c r="VNJ117" s="0"/>
      <c r="VNK117" s="0"/>
      <c r="VNL117" s="0"/>
      <c r="VNM117" s="0"/>
      <c r="VNN117" s="0"/>
      <c r="VNO117" s="0"/>
      <c r="VNP117" s="0"/>
      <c r="VNQ117" s="0"/>
      <c r="VNR117" s="0"/>
      <c r="VNS117" s="0"/>
      <c r="VNT117" s="0"/>
      <c r="VNU117" s="0"/>
      <c r="VNV117" s="0"/>
      <c r="VNW117" s="0"/>
      <c r="VNX117" s="0"/>
      <c r="VNY117" s="0"/>
      <c r="VNZ117" s="0"/>
      <c r="VOA117" s="0"/>
      <c r="VOB117" s="0"/>
      <c r="VOC117" s="0"/>
      <c r="VOD117" s="0"/>
      <c r="VOE117" s="0"/>
      <c r="VOF117" s="0"/>
      <c r="VOG117" s="0"/>
      <c r="VOH117" s="0"/>
      <c r="VOI117" s="0"/>
      <c r="VOJ117" s="0"/>
      <c r="VOK117" s="0"/>
      <c r="VOL117" s="0"/>
      <c r="VOM117" s="0"/>
      <c r="VON117" s="0"/>
      <c r="VOO117" s="0"/>
      <c r="VOP117" s="0"/>
      <c r="VOQ117" s="0"/>
      <c r="VOR117" s="0"/>
      <c r="VOS117" s="0"/>
      <c r="VOT117" s="0"/>
      <c r="VOU117" s="0"/>
      <c r="VOV117" s="0"/>
      <c r="VOW117" s="0"/>
      <c r="VOX117" s="0"/>
      <c r="VOY117" s="0"/>
      <c r="VOZ117" s="0"/>
      <c r="VPA117" s="0"/>
      <c r="VPB117" s="0"/>
      <c r="VPC117" s="0"/>
      <c r="VPD117" s="0"/>
      <c r="VPE117" s="0"/>
      <c r="VPF117" s="0"/>
      <c r="VPG117" s="0"/>
      <c r="VPH117" s="0"/>
      <c r="VPI117" s="0"/>
      <c r="VPJ117" s="0"/>
      <c r="VPK117" s="0"/>
      <c r="VPL117" s="0"/>
      <c r="VPM117" s="0"/>
      <c r="VPN117" s="0"/>
      <c r="VPO117" s="0"/>
      <c r="VPP117" s="0"/>
      <c r="VPQ117" s="0"/>
      <c r="VPR117" s="0"/>
      <c r="VPS117" s="0"/>
      <c r="VPT117" s="0"/>
      <c r="VPU117" s="0"/>
      <c r="VPV117" s="0"/>
      <c r="VPW117" s="0"/>
      <c r="VPX117" s="0"/>
      <c r="VPY117" s="0"/>
      <c r="VPZ117" s="0"/>
      <c r="VQA117" s="0"/>
      <c r="VQB117" s="0"/>
      <c r="VQC117" s="0"/>
      <c r="VQD117" s="0"/>
      <c r="VQE117" s="0"/>
      <c r="VQF117" s="0"/>
      <c r="VQG117" s="0"/>
      <c r="VQH117" s="0"/>
      <c r="VQI117" s="0"/>
      <c r="VQJ117" s="0"/>
      <c r="VQK117" s="0"/>
      <c r="VQL117" s="0"/>
      <c r="VQM117" s="0"/>
      <c r="VQN117" s="0"/>
      <c r="VQO117" s="0"/>
      <c r="VQP117" s="0"/>
      <c r="VQQ117" s="0"/>
      <c r="VQR117" s="0"/>
      <c r="VQS117" s="0"/>
      <c r="VQT117" s="0"/>
      <c r="VQU117" s="0"/>
      <c r="VQV117" s="0"/>
      <c r="VQW117" s="0"/>
      <c r="VQX117" s="0"/>
      <c r="VQY117" s="0"/>
      <c r="VQZ117" s="0"/>
      <c r="VRA117" s="0"/>
      <c r="VRB117" s="0"/>
      <c r="VRC117" s="0"/>
      <c r="VRD117" s="0"/>
      <c r="VRE117" s="0"/>
      <c r="VRF117" s="0"/>
      <c r="VRG117" s="0"/>
      <c r="VRH117" s="0"/>
      <c r="VRI117" s="0"/>
      <c r="VRJ117" s="0"/>
      <c r="VRK117" s="0"/>
      <c r="VRL117" s="0"/>
      <c r="VRM117" s="0"/>
      <c r="VRN117" s="0"/>
      <c r="VRO117" s="0"/>
      <c r="VRP117" s="0"/>
      <c r="VRQ117" s="0"/>
      <c r="VRR117" s="0"/>
      <c r="VRS117" s="0"/>
      <c r="VRT117" s="0"/>
      <c r="VRU117" s="0"/>
      <c r="VRV117" s="0"/>
      <c r="VRW117" s="0"/>
      <c r="VRX117" s="0"/>
      <c r="VRY117" s="0"/>
      <c r="VRZ117" s="0"/>
      <c r="VSA117" s="0"/>
      <c r="VSB117" s="0"/>
      <c r="VSC117" s="0"/>
      <c r="VSD117" s="0"/>
      <c r="VSE117" s="0"/>
      <c r="VSF117" s="0"/>
      <c r="VSG117" s="0"/>
      <c r="VSH117" s="0"/>
      <c r="VSI117" s="0"/>
      <c r="VSJ117" s="0"/>
      <c r="VSK117" s="0"/>
      <c r="VSL117" s="0"/>
      <c r="VSM117" s="0"/>
      <c r="VSN117" s="0"/>
      <c r="VSO117" s="0"/>
      <c r="VSP117" s="0"/>
      <c r="VSQ117" s="0"/>
      <c r="VSR117" s="0"/>
      <c r="VSS117" s="0"/>
      <c r="VST117" s="0"/>
      <c r="VSU117" s="0"/>
      <c r="VSV117" s="0"/>
      <c r="VSW117" s="0"/>
      <c r="VSX117" s="0"/>
      <c r="VSY117" s="0"/>
      <c r="VSZ117" s="0"/>
      <c r="VTA117" s="0"/>
      <c r="VTB117" s="0"/>
      <c r="VTC117" s="0"/>
      <c r="VTD117" s="0"/>
      <c r="VTE117" s="0"/>
      <c r="VTF117" s="0"/>
      <c r="VTG117" s="0"/>
      <c r="VTH117" s="0"/>
      <c r="VTI117" s="0"/>
      <c r="VTJ117" s="0"/>
      <c r="VTK117" s="0"/>
      <c r="VTL117" s="0"/>
      <c r="VTM117" s="0"/>
      <c r="VTN117" s="0"/>
      <c r="VTO117" s="0"/>
      <c r="VTP117" s="0"/>
      <c r="VTQ117" s="0"/>
      <c r="VTR117" s="0"/>
      <c r="VTS117" s="0"/>
      <c r="VTT117" s="0"/>
      <c r="VTU117" s="0"/>
      <c r="VTV117" s="0"/>
      <c r="VTW117" s="0"/>
      <c r="VTX117" s="0"/>
      <c r="VTY117" s="0"/>
      <c r="VTZ117" s="0"/>
      <c r="VUA117" s="0"/>
      <c r="VUB117" s="0"/>
      <c r="VUC117" s="0"/>
      <c r="VUD117" s="0"/>
      <c r="VUE117" s="0"/>
      <c r="VUF117" s="0"/>
      <c r="VUG117" s="0"/>
      <c r="VUH117" s="0"/>
      <c r="VUI117" s="0"/>
      <c r="VUJ117" s="0"/>
      <c r="VUK117" s="0"/>
      <c r="VUL117" s="0"/>
      <c r="VUM117" s="0"/>
      <c r="VUN117" s="0"/>
      <c r="VUO117" s="0"/>
      <c r="VUP117" s="0"/>
      <c r="VUQ117" s="0"/>
      <c r="VUR117" s="0"/>
      <c r="VUS117" s="0"/>
      <c r="VUT117" s="0"/>
      <c r="VUU117" s="0"/>
      <c r="VUV117" s="0"/>
      <c r="VUW117" s="0"/>
      <c r="VUX117" s="0"/>
      <c r="VUY117" s="0"/>
      <c r="VUZ117" s="0"/>
      <c r="VVA117" s="0"/>
      <c r="VVB117" s="0"/>
      <c r="VVC117" s="0"/>
      <c r="VVD117" s="0"/>
      <c r="VVE117" s="0"/>
      <c r="VVF117" s="0"/>
      <c r="VVG117" s="0"/>
      <c r="VVH117" s="0"/>
      <c r="VVI117" s="0"/>
      <c r="VVJ117" s="0"/>
      <c r="VVK117" s="0"/>
      <c r="VVL117" s="0"/>
      <c r="VVM117" s="0"/>
      <c r="VVN117" s="0"/>
      <c r="VVO117" s="0"/>
      <c r="VVP117" s="0"/>
      <c r="VVQ117" s="0"/>
      <c r="VVR117" s="0"/>
      <c r="VVS117" s="0"/>
      <c r="VVT117" s="0"/>
      <c r="VVU117" s="0"/>
      <c r="VVV117" s="0"/>
      <c r="VVW117" s="0"/>
      <c r="VVX117" s="0"/>
      <c r="VVY117" s="0"/>
      <c r="VVZ117" s="0"/>
      <c r="VWA117" s="0"/>
      <c r="VWB117" s="0"/>
      <c r="VWC117" s="0"/>
      <c r="VWD117" s="0"/>
      <c r="VWE117" s="0"/>
      <c r="VWF117" s="0"/>
      <c r="VWG117" s="0"/>
      <c r="VWH117" s="0"/>
      <c r="VWI117" s="0"/>
      <c r="VWJ117" s="0"/>
      <c r="VWK117" s="0"/>
      <c r="VWL117" s="0"/>
      <c r="VWM117" s="0"/>
      <c r="VWN117" s="0"/>
      <c r="VWO117" s="0"/>
      <c r="VWP117" s="0"/>
      <c r="VWQ117" s="0"/>
      <c r="VWR117" s="0"/>
      <c r="VWS117" s="0"/>
      <c r="VWT117" s="0"/>
      <c r="VWU117" s="0"/>
      <c r="VWV117" s="0"/>
      <c r="VWW117" s="0"/>
      <c r="VWX117" s="0"/>
      <c r="VWY117" s="0"/>
      <c r="VWZ117" s="0"/>
      <c r="VXA117" s="0"/>
      <c r="VXB117" s="0"/>
      <c r="VXC117" s="0"/>
      <c r="VXD117" s="0"/>
      <c r="VXE117" s="0"/>
      <c r="VXF117" s="0"/>
      <c r="VXG117" s="0"/>
      <c r="VXH117" s="0"/>
      <c r="VXI117" s="0"/>
      <c r="VXJ117" s="0"/>
      <c r="VXK117" s="0"/>
      <c r="VXL117" s="0"/>
      <c r="VXM117" s="0"/>
      <c r="VXN117" s="0"/>
      <c r="VXO117" s="0"/>
      <c r="VXP117" s="0"/>
      <c r="VXQ117" s="0"/>
      <c r="VXR117" s="0"/>
      <c r="VXS117" s="0"/>
      <c r="VXT117" s="0"/>
      <c r="VXU117" s="0"/>
      <c r="VXV117" s="0"/>
      <c r="VXW117" s="0"/>
      <c r="VXX117" s="0"/>
      <c r="VXY117" s="0"/>
      <c r="VXZ117" s="0"/>
      <c r="VYA117" s="0"/>
      <c r="VYB117" s="0"/>
      <c r="VYC117" s="0"/>
      <c r="VYD117" s="0"/>
      <c r="VYE117" s="0"/>
      <c r="VYF117" s="0"/>
      <c r="VYG117" s="0"/>
      <c r="VYH117" s="0"/>
      <c r="VYI117" s="0"/>
      <c r="VYJ117" s="0"/>
      <c r="VYK117" s="0"/>
      <c r="VYL117" s="0"/>
      <c r="VYM117" s="0"/>
      <c r="VYN117" s="0"/>
      <c r="VYO117" s="0"/>
      <c r="VYP117" s="0"/>
      <c r="VYQ117" s="0"/>
      <c r="VYR117" s="0"/>
      <c r="VYS117" s="0"/>
      <c r="VYT117" s="0"/>
      <c r="VYU117" s="0"/>
      <c r="VYV117" s="0"/>
      <c r="VYW117" s="0"/>
      <c r="VYX117" s="0"/>
      <c r="VYY117" s="0"/>
      <c r="VYZ117" s="0"/>
      <c r="VZA117" s="0"/>
      <c r="VZB117" s="0"/>
      <c r="VZC117" s="0"/>
      <c r="VZD117" s="0"/>
      <c r="VZE117" s="0"/>
      <c r="VZF117" s="0"/>
      <c r="VZG117" s="0"/>
      <c r="VZH117" s="0"/>
      <c r="VZI117" s="0"/>
      <c r="VZJ117" s="0"/>
      <c r="VZK117" s="0"/>
      <c r="VZL117" s="0"/>
      <c r="VZM117" s="0"/>
      <c r="VZN117" s="0"/>
      <c r="VZO117" s="0"/>
      <c r="VZP117" s="0"/>
      <c r="VZQ117" s="0"/>
      <c r="VZR117" s="0"/>
      <c r="VZS117" s="0"/>
      <c r="VZT117" s="0"/>
      <c r="VZU117" s="0"/>
      <c r="VZV117" s="0"/>
      <c r="VZW117" s="0"/>
      <c r="VZX117" s="0"/>
      <c r="VZY117" s="0"/>
      <c r="VZZ117" s="0"/>
      <c r="WAA117" s="0"/>
      <c r="WAB117" s="0"/>
      <c r="WAC117" s="0"/>
      <c r="WAD117" s="0"/>
      <c r="WAE117" s="0"/>
      <c r="WAF117" s="0"/>
      <c r="WAG117" s="0"/>
      <c r="WAH117" s="0"/>
      <c r="WAI117" s="0"/>
      <c r="WAJ117" s="0"/>
      <c r="WAK117" s="0"/>
      <c r="WAL117" s="0"/>
      <c r="WAM117" s="0"/>
      <c r="WAN117" s="0"/>
      <c r="WAO117" s="0"/>
      <c r="WAP117" s="0"/>
      <c r="WAQ117" s="0"/>
      <c r="WAR117" s="0"/>
      <c r="WAS117" s="0"/>
      <c r="WAT117" s="0"/>
      <c r="WAU117" s="0"/>
      <c r="WAV117" s="0"/>
      <c r="WAW117" s="0"/>
      <c r="WAX117" s="0"/>
      <c r="WAY117" s="0"/>
      <c r="WAZ117" s="0"/>
      <c r="WBA117" s="0"/>
      <c r="WBB117" s="0"/>
      <c r="WBC117" s="0"/>
      <c r="WBD117" s="0"/>
      <c r="WBE117" s="0"/>
      <c r="WBF117" s="0"/>
      <c r="WBG117" s="0"/>
      <c r="WBH117" s="0"/>
      <c r="WBI117" s="0"/>
      <c r="WBJ117" s="0"/>
      <c r="WBK117" s="0"/>
      <c r="WBL117" s="0"/>
      <c r="WBM117" s="0"/>
      <c r="WBN117" s="0"/>
      <c r="WBO117" s="0"/>
      <c r="WBP117" s="0"/>
      <c r="WBQ117" s="0"/>
      <c r="WBR117" s="0"/>
      <c r="WBS117" s="0"/>
      <c r="WBT117" s="0"/>
      <c r="WBU117" s="0"/>
      <c r="WBV117" s="0"/>
      <c r="WBW117" s="0"/>
      <c r="WBX117" s="0"/>
      <c r="WBY117" s="0"/>
      <c r="WBZ117" s="0"/>
      <c r="WCA117" s="0"/>
      <c r="WCB117" s="0"/>
      <c r="WCC117" s="0"/>
      <c r="WCD117" s="0"/>
      <c r="WCE117" s="0"/>
      <c r="WCF117" s="0"/>
      <c r="WCG117" s="0"/>
      <c r="WCH117" s="0"/>
      <c r="WCI117" s="0"/>
      <c r="WCJ117" s="0"/>
      <c r="WCK117" s="0"/>
      <c r="WCL117" s="0"/>
      <c r="WCM117" s="0"/>
      <c r="WCN117" s="0"/>
      <c r="WCO117" s="0"/>
      <c r="WCP117" s="0"/>
      <c r="WCQ117" s="0"/>
      <c r="WCR117" s="0"/>
      <c r="WCS117" s="0"/>
      <c r="WCT117" s="0"/>
      <c r="WCU117" s="0"/>
      <c r="WCV117" s="0"/>
      <c r="WCW117" s="0"/>
      <c r="WCX117" s="0"/>
      <c r="WCY117" s="0"/>
      <c r="WCZ117" s="0"/>
      <c r="WDA117" s="0"/>
      <c r="WDB117" s="0"/>
      <c r="WDC117" s="0"/>
      <c r="WDD117" s="0"/>
      <c r="WDE117" s="0"/>
      <c r="WDF117" s="0"/>
      <c r="WDG117" s="0"/>
      <c r="WDH117" s="0"/>
      <c r="WDI117" s="0"/>
      <c r="WDJ117" s="0"/>
      <c r="WDK117" s="0"/>
      <c r="WDL117" s="0"/>
      <c r="WDM117" s="0"/>
      <c r="WDN117" s="0"/>
      <c r="WDO117" s="0"/>
      <c r="WDP117" s="0"/>
      <c r="WDQ117" s="0"/>
      <c r="WDR117" s="0"/>
      <c r="WDS117" s="0"/>
      <c r="WDT117" s="0"/>
      <c r="WDU117" s="0"/>
      <c r="WDV117" s="0"/>
      <c r="WDW117" s="0"/>
      <c r="WDX117" s="0"/>
      <c r="WDY117" s="0"/>
      <c r="WDZ117" s="0"/>
      <c r="WEA117" s="0"/>
      <c r="WEB117" s="0"/>
      <c r="WEC117" s="0"/>
      <c r="WED117" s="0"/>
      <c r="WEE117" s="0"/>
      <c r="WEF117" s="0"/>
      <c r="WEG117" s="0"/>
      <c r="WEH117" s="0"/>
      <c r="WEI117" s="0"/>
      <c r="WEJ117" s="0"/>
      <c r="WEK117" s="0"/>
      <c r="WEL117" s="0"/>
      <c r="WEM117" s="0"/>
      <c r="WEN117" s="0"/>
      <c r="WEO117" s="0"/>
      <c r="WEP117" s="0"/>
      <c r="WEQ117" s="0"/>
      <c r="WER117" s="0"/>
      <c r="WES117" s="0"/>
      <c r="WET117" s="0"/>
      <c r="WEU117" s="0"/>
      <c r="WEV117" s="0"/>
      <c r="WEW117" s="0"/>
      <c r="WEX117" s="0"/>
      <c r="WEY117" s="0"/>
      <c r="WEZ117" s="0"/>
      <c r="WFA117" s="0"/>
      <c r="WFB117" s="0"/>
      <c r="WFC117" s="0"/>
      <c r="WFD117" s="0"/>
      <c r="WFE117" s="0"/>
      <c r="WFF117" s="0"/>
      <c r="WFG117" s="0"/>
      <c r="WFH117" s="0"/>
      <c r="WFI117" s="0"/>
      <c r="WFJ117" s="0"/>
      <c r="WFK117" s="0"/>
      <c r="WFL117" s="0"/>
      <c r="WFM117" s="0"/>
      <c r="WFN117" s="0"/>
      <c r="WFO117" s="0"/>
      <c r="WFP117" s="0"/>
      <c r="WFQ117" s="0"/>
      <c r="WFR117" s="0"/>
      <c r="WFS117" s="0"/>
      <c r="WFT117" s="0"/>
      <c r="WFU117" s="0"/>
      <c r="WFV117" s="0"/>
      <c r="WFW117" s="0"/>
      <c r="WFX117" s="0"/>
      <c r="WFY117" s="0"/>
      <c r="WFZ117" s="0"/>
      <c r="WGA117" s="0"/>
      <c r="WGB117" s="0"/>
      <c r="WGC117" s="0"/>
      <c r="WGD117" s="0"/>
      <c r="WGE117" s="0"/>
      <c r="WGF117" s="0"/>
      <c r="WGG117" s="0"/>
      <c r="WGH117" s="0"/>
      <c r="WGI117" s="0"/>
      <c r="WGJ117" s="0"/>
      <c r="WGK117" s="0"/>
      <c r="WGL117" s="0"/>
      <c r="WGM117" s="0"/>
      <c r="WGN117" s="0"/>
      <c r="WGO117" s="0"/>
      <c r="WGP117" s="0"/>
      <c r="WGQ117" s="0"/>
      <c r="WGR117" s="0"/>
      <c r="WGS117" s="0"/>
      <c r="WGT117" s="0"/>
      <c r="WGU117" s="0"/>
      <c r="WGV117" s="0"/>
      <c r="WGW117" s="0"/>
      <c r="WGX117" s="0"/>
      <c r="WGY117" s="0"/>
      <c r="WGZ117" s="0"/>
      <c r="WHA117" s="0"/>
      <c r="WHB117" s="0"/>
      <c r="WHC117" s="0"/>
      <c r="WHD117" s="0"/>
      <c r="WHE117" s="0"/>
      <c r="WHF117" s="0"/>
      <c r="WHG117" s="0"/>
      <c r="WHH117" s="0"/>
      <c r="WHI117" s="0"/>
      <c r="WHJ117" s="0"/>
      <c r="WHK117" s="0"/>
      <c r="WHL117" s="0"/>
      <c r="WHM117" s="0"/>
      <c r="WHN117" s="0"/>
      <c r="WHO117" s="0"/>
      <c r="WHP117" s="0"/>
      <c r="WHQ117" s="0"/>
      <c r="WHR117" s="0"/>
      <c r="WHS117" s="0"/>
      <c r="WHT117" s="0"/>
      <c r="WHU117" s="0"/>
      <c r="WHV117" s="0"/>
      <c r="WHW117" s="0"/>
      <c r="WHX117" s="0"/>
      <c r="WHY117" s="0"/>
      <c r="WHZ117" s="0"/>
      <c r="WIA117" s="0"/>
      <c r="WIB117" s="0"/>
      <c r="WIC117" s="0"/>
      <c r="WID117" s="0"/>
      <c r="WIE117" s="0"/>
      <c r="WIF117" s="0"/>
      <c r="WIG117" s="0"/>
      <c r="WIH117" s="0"/>
      <c r="WII117" s="0"/>
      <c r="WIJ117" s="0"/>
      <c r="WIK117" s="0"/>
      <c r="WIL117" s="0"/>
      <c r="WIM117" s="0"/>
      <c r="WIN117" s="0"/>
      <c r="WIO117" s="0"/>
      <c r="WIP117" s="0"/>
      <c r="WIQ117" s="0"/>
      <c r="WIR117" s="0"/>
      <c r="WIS117" s="0"/>
      <c r="WIT117" s="0"/>
      <c r="WIU117" s="0"/>
      <c r="WIV117" s="0"/>
      <c r="WIW117" s="0"/>
      <c r="WIX117" s="0"/>
      <c r="WIY117" s="0"/>
      <c r="WIZ117" s="0"/>
      <c r="WJA117" s="0"/>
      <c r="WJB117" s="0"/>
      <c r="WJC117" s="0"/>
      <c r="WJD117" s="0"/>
      <c r="WJE117" s="0"/>
      <c r="WJF117" s="0"/>
      <c r="WJG117" s="0"/>
      <c r="WJH117" s="0"/>
      <c r="WJI117" s="0"/>
      <c r="WJJ117" s="0"/>
      <c r="WJK117" s="0"/>
      <c r="WJL117" s="0"/>
      <c r="WJM117" s="0"/>
      <c r="WJN117" s="0"/>
      <c r="WJO117" s="0"/>
      <c r="WJP117" s="0"/>
      <c r="WJQ117" s="0"/>
      <c r="WJR117" s="0"/>
      <c r="WJS117" s="0"/>
      <c r="WJT117" s="0"/>
      <c r="WJU117" s="0"/>
      <c r="WJV117" s="0"/>
      <c r="WJW117" s="0"/>
      <c r="WJX117" s="0"/>
      <c r="WJY117" s="0"/>
      <c r="WJZ117" s="0"/>
      <c r="WKA117" s="0"/>
      <c r="WKB117" s="0"/>
      <c r="WKC117" s="0"/>
      <c r="WKD117" s="0"/>
      <c r="WKE117" s="0"/>
      <c r="WKF117" s="0"/>
      <c r="WKG117" s="0"/>
      <c r="WKH117" s="0"/>
      <c r="WKI117" s="0"/>
      <c r="WKJ117" s="0"/>
      <c r="WKK117" s="0"/>
      <c r="WKL117" s="0"/>
      <c r="WKM117" s="0"/>
      <c r="WKN117" s="0"/>
      <c r="WKO117" s="0"/>
      <c r="WKP117" s="0"/>
      <c r="WKQ117" s="0"/>
      <c r="WKR117" s="0"/>
      <c r="WKS117" s="0"/>
      <c r="WKT117" s="0"/>
      <c r="WKU117" s="0"/>
      <c r="WKV117" s="0"/>
      <c r="WKW117" s="0"/>
      <c r="WKX117" s="0"/>
      <c r="WKY117" s="0"/>
      <c r="WKZ117" s="0"/>
      <c r="WLA117" s="0"/>
      <c r="WLB117" s="0"/>
      <c r="WLC117" s="0"/>
      <c r="WLD117" s="0"/>
      <c r="WLE117" s="0"/>
      <c r="WLF117" s="0"/>
      <c r="WLG117" s="0"/>
      <c r="WLH117" s="0"/>
      <c r="WLI117" s="0"/>
      <c r="WLJ117" s="0"/>
      <c r="WLK117" s="0"/>
      <c r="WLL117" s="0"/>
      <c r="WLM117" s="0"/>
      <c r="WLN117" s="0"/>
      <c r="WLO117" s="0"/>
      <c r="WLP117" s="0"/>
      <c r="WLQ117" s="0"/>
      <c r="WLR117" s="0"/>
      <c r="WLS117" s="0"/>
      <c r="WLT117" s="0"/>
      <c r="WLU117" s="0"/>
      <c r="WLV117" s="0"/>
      <c r="WLW117" s="0"/>
      <c r="WLX117" s="0"/>
      <c r="WLY117" s="0"/>
      <c r="WLZ117" s="0"/>
      <c r="WMA117" s="0"/>
      <c r="WMB117" s="0"/>
      <c r="WMC117" s="0"/>
      <c r="WMD117" s="0"/>
      <c r="WME117" s="0"/>
      <c r="WMF117" s="0"/>
      <c r="WMG117" s="0"/>
      <c r="WMH117" s="0"/>
      <c r="WMI117" s="0"/>
      <c r="WMJ117" s="0"/>
      <c r="WMK117" s="0"/>
      <c r="WML117" s="0"/>
      <c r="WMM117" s="0"/>
      <c r="WMN117" s="0"/>
      <c r="WMO117" s="0"/>
      <c r="WMP117" s="0"/>
      <c r="WMQ117" s="0"/>
      <c r="WMR117" s="0"/>
      <c r="WMS117" s="0"/>
      <c r="WMT117" s="0"/>
      <c r="WMU117" s="0"/>
      <c r="WMV117" s="0"/>
      <c r="WMW117" s="0"/>
      <c r="WMX117" s="0"/>
      <c r="WMY117" s="0"/>
      <c r="WMZ117" s="0"/>
      <c r="WNA117" s="0"/>
      <c r="WNB117" s="0"/>
      <c r="WNC117" s="0"/>
      <c r="WND117" s="0"/>
      <c r="WNE117" s="0"/>
      <c r="WNF117" s="0"/>
      <c r="WNG117" s="0"/>
      <c r="WNH117" s="0"/>
      <c r="WNI117" s="0"/>
      <c r="WNJ117" s="0"/>
      <c r="WNK117" s="0"/>
      <c r="WNL117" s="0"/>
      <c r="WNM117" s="0"/>
      <c r="WNN117" s="0"/>
      <c r="WNO117" s="0"/>
      <c r="WNP117" s="0"/>
      <c r="WNQ117" s="0"/>
      <c r="WNR117" s="0"/>
      <c r="WNS117" s="0"/>
      <c r="WNT117" s="0"/>
      <c r="WNU117" s="0"/>
      <c r="WNV117" s="0"/>
      <c r="WNW117" s="0"/>
      <c r="WNX117" s="0"/>
      <c r="WNY117" s="0"/>
      <c r="WNZ117" s="0"/>
      <c r="WOA117" s="0"/>
      <c r="WOB117" s="0"/>
      <c r="WOC117" s="0"/>
      <c r="WOD117" s="0"/>
      <c r="WOE117" s="0"/>
      <c r="WOF117" s="0"/>
      <c r="WOG117" s="0"/>
      <c r="WOH117" s="0"/>
      <c r="WOI117" s="0"/>
      <c r="WOJ117" s="0"/>
      <c r="WOK117" s="0"/>
      <c r="WOL117" s="0"/>
      <c r="WOM117" s="0"/>
      <c r="WON117" s="0"/>
      <c r="WOO117" s="0"/>
      <c r="WOP117" s="0"/>
      <c r="WOQ117" s="0"/>
      <c r="WOR117" s="0"/>
      <c r="WOS117" s="0"/>
      <c r="WOT117" s="0"/>
      <c r="WOU117" s="0"/>
      <c r="WOV117" s="0"/>
      <c r="WOW117" s="0"/>
      <c r="WOX117" s="0"/>
      <c r="WOY117" s="0"/>
      <c r="WOZ117" s="0"/>
      <c r="WPA117" s="0"/>
      <c r="WPB117" s="0"/>
      <c r="WPC117" s="0"/>
      <c r="WPD117" s="0"/>
      <c r="WPE117" s="0"/>
      <c r="WPF117" s="0"/>
      <c r="WPG117" s="0"/>
      <c r="WPH117" s="0"/>
      <c r="WPI117" s="0"/>
      <c r="WPJ117" s="0"/>
      <c r="WPK117" s="0"/>
      <c r="WPL117" s="0"/>
      <c r="WPM117" s="0"/>
      <c r="WPN117" s="0"/>
      <c r="WPO117" s="0"/>
      <c r="WPP117" s="0"/>
      <c r="WPQ117" s="0"/>
      <c r="WPR117" s="0"/>
      <c r="WPS117" s="0"/>
      <c r="WPT117" s="0"/>
      <c r="WPU117" s="0"/>
      <c r="WPV117" s="0"/>
      <c r="WPW117" s="0"/>
      <c r="WPX117" s="0"/>
      <c r="WPY117" s="0"/>
      <c r="WPZ117" s="0"/>
      <c r="WQA117" s="0"/>
      <c r="WQB117" s="0"/>
      <c r="WQC117" s="0"/>
      <c r="WQD117" s="0"/>
      <c r="WQE117" s="0"/>
      <c r="WQF117" s="0"/>
      <c r="WQG117" s="0"/>
      <c r="WQH117" s="0"/>
      <c r="WQI117" s="0"/>
      <c r="WQJ117" s="0"/>
      <c r="WQK117" s="0"/>
      <c r="WQL117" s="0"/>
      <c r="WQM117" s="0"/>
      <c r="WQN117" s="0"/>
      <c r="WQO117" s="0"/>
      <c r="WQP117" s="0"/>
      <c r="WQQ117" s="0"/>
      <c r="WQR117" s="0"/>
      <c r="WQS117" s="0"/>
      <c r="WQT117" s="0"/>
      <c r="WQU117" s="0"/>
      <c r="WQV117" s="0"/>
      <c r="WQW117" s="0"/>
      <c r="WQX117" s="0"/>
      <c r="WQY117" s="0"/>
      <c r="WQZ117" s="0"/>
      <c r="WRA117" s="0"/>
      <c r="WRB117" s="0"/>
      <c r="WRC117" s="0"/>
      <c r="WRD117" s="0"/>
      <c r="WRE117" s="0"/>
      <c r="WRF117" s="0"/>
      <c r="WRG117" s="0"/>
      <c r="WRH117" s="0"/>
      <c r="WRI117" s="0"/>
      <c r="WRJ117" s="0"/>
      <c r="WRK117" s="0"/>
      <c r="WRL117" s="0"/>
      <c r="WRM117" s="0"/>
      <c r="WRN117" s="0"/>
      <c r="WRO117" s="0"/>
      <c r="WRP117" s="0"/>
      <c r="WRQ117" s="0"/>
      <c r="WRR117" s="0"/>
      <c r="WRS117" s="0"/>
      <c r="WRT117" s="0"/>
      <c r="WRU117" s="0"/>
      <c r="WRV117" s="0"/>
      <c r="WRW117" s="0"/>
      <c r="WRX117" s="0"/>
      <c r="WRY117" s="0"/>
      <c r="WRZ117" s="0"/>
      <c r="WSA117" s="0"/>
      <c r="WSB117" s="0"/>
      <c r="WSC117" s="0"/>
      <c r="WSD117" s="0"/>
      <c r="WSE117" s="0"/>
      <c r="WSF117" s="0"/>
      <c r="WSG117" s="0"/>
      <c r="WSH117" s="0"/>
      <c r="WSI117" s="0"/>
      <c r="WSJ117" s="0"/>
      <c r="WSK117" s="0"/>
      <c r="WSL117" s="0"/>
      <c r="WSM117" s="0"/>
      <c r="WSN117" s="0"/>
      <c r="WSO117" s="0"/>
      <c r="WSP117" s="0"/>
      <c r="WSQ117" s="0"/>
      <c r="WSR117" s="0"/>
      <c r="WSS117" s="0"/>
      <c r="WST117" s="0"/>
      <c r="WSU117" s="0"/>
      <c r="WSV117" s="0"/>
      <c r="WSW117" s="0"/>
      <c r="WSX117" s="0"/>
      <c r="WSY117" s="0"/>
      <c r="WSZ117" s="0"/>
      <c r="WTA117" s="0"/>
      <c r="WTB117" s="0"/>
      <c r="WTC117" s="0"/>
      <c r="WTD117" s="0"/>
      <c r="WTE117" s="0"/>
      <c r="WTF117" s="0"/>
      <c r="WTG117" s="0"/>
      <c r="WTH117" s="0"/>
      <c r="WTI117" s="0"/>
      <c r="WTJ117" s="0"/>
      <c r="WTK117" s="0"/>
      <c r="WTL117" s="0"/>
      <c r="WTM117" s="0"/>
      <c r="WTN117" s="0"/>
      <c r="WTO117" s="0"/>
      <c r="WTP117" s="0"/>
      <c r="WTQ117" s="0"/>
      <c r="WTR117" s="0"/>
      <c r="WTS117" s="0"/>
      <c r="WTT117" s="0"/>
      <c r="WTU117" s="0"/>
      <c r="WTV117" s="0"/>
      <c r="WTW117" s="0"/>
      <c r="WTX117" s="0"/>
      <c r="WTY117" s="0"/>
      <c r="WTZ117" s="0"/>
      <c r="WUA117" s="0"/>
      <c r="WUB117" s="0"/>
      <c r="WUC117" s="0"/>
      <c r="WUD117" s="0"/>
      <c r="WUE117" s="0"/>
      <c r="WUF117" s="0"/>
      <c r="WUG117" s="0"/>
      <c r="WUH117" s="0"/>
      <c r="WUI117" s="0"/>
      <c r="WUJ117" s="0"/>
      <c r="WUK117" s="0"/>
      <c r="WUL117" s="0"/>
      <c r="WUM117" s="0"/>
      <c r="WUN117" s="0"/>
      <c r="WUO117" s="0"/>
      <c r="WUP117" s="0"/>
      <c r="WUQ117" s="0"/>
      <c r="WUR117" s="0"/>
      <c r="WUS117" s="0"/>
      <c r="WUT117" s="0"/>
      <c r="WUU117" s="0"/>
      <c r="WUV117" s="0"/>
      <c r="WUW117" s="0"/>
      <c r="WUX117" s="0"/>
      <c r="WUY117" s="0"/>
      <c r="WUZ117" s="0"/>
      <c r="WVA117" s="0"/>
      <c r="WVB117" s="0"/>
      <c r="WVC117" s="0"/>
      <c r="WVD117" s="0"/>
      <c r="WVE117" s="0"/>
      <c r="WVF117" s="0"/>
      <c r="WVG117" s="0"/>
      <c r="WVH117" s="0"/>
      <c r="WVI117" s="0"/>
      <c r="WVJ117" s="0"/>
      <c r="WVK117" s="0"/>
      <c r="WVL117" s="0"/>
      <c r="WVM117" s="0"/>
      <c r="WVN117" s="0"/>
      <c r="WVO117" s="0"/>
      <c r="WVP117" s="0"/>
      <c r="WVQ117" s="0"/>
      <c r="WVR117" s="0"/>
      <c r="WVS117" s="0"/>
      <c r="WVT117" s="0"/>
      <c r="WVU117" s="0"/>
      <c r="WVV117" s="0"/>
      <c r="WVW117" s="0"/>
      <c r="WVX117" s="0"/>
      <c r="WVY117" s="0"/>
      <c r="WVZ117" s="0"/>
      <c r="WWA117" s="0"/>
      <c r="WWB117" s="0"/>
      <c r="WWC117" s="0"/>
      <c r="WWD117" s="0"/>
      <c r="WWE117" s="0"/>
      <c r="WWF117" s="0"/>
      <c r="WWG117" s="0"/>
      <c r="WWH117" s="0"/>
      <c r="WWI117" s="0"/>
      <c r="WWJ117" s="0"/>
      <c r="WWK117" s="0"/>
      <c r="WWL117" s="0"/>
      <c r="WWM117" s="0"/>
      <c r="WWN117" s="0"/>
      <c r="WWO117" s="0"/>
      <c r="WWP117" s="0"/>
      <c r="WWQ117" s="0"/>
      <c r="WWR117" s="0"/>
      <c r="WWS117" s="0"/>
      <c r="WWT117" s="0"/>
      <c r="WWU117" s="0"/>
      <c r="WWV117" s="0"/>
      <c r="WWW117" s="0"/>
      <c r="WWX117" s="0"/>
      <c r="WWY117" s="0"/>
      <c r="WWZ117" s="0"/>
      <c r="WXA117" s="0"/>
      <c r="WXB117" s="0"/>
      <c r="WXC117" s="0"/>
      <c r="WXD117" s="0"/>
      <c r="WXE117" s="0"/>
      <c r="WXF117" s="0"/>
      <c r="WXG117" s="0"/>
      <c r="WXH117" s="0"/>
      <c r="WXI117" s="0"/>
      <c r="WXJ117" s="0"/>
      <c r="WXK117" s="0"/>
      <c r="WXL117" s="0"/>
      <c r="WXM117" s="0"/>
      <c r="WXN117" s="0"/>
      <c r="WXO117" s="0"/>
      <c r="WXP117" s="0"/>
      <c r="WXQ117" s="0"/>
      <c r="WXR117" s="0"/>
      <c r="WXS117" s="0"/>
      <c r="WXT117" s="0"/>
      <c r="WXU117" s="0"/>
      <c r="WXV117" s="0"/>
      <c r="WXW117" s="0"/>
      <c r="WXX117" s="0"/>
      <c r="WXY117" s="0"/>
      <c r="WXZ117" s="0"/>
      <c r="WYA117" s="0"/>
      <c r="WYB117" s="0"/>
      <c r="WYC117" s="0"/>
      <c r="WYD117" s="0"/>
      <c r="WYE117" s="0"/>
      <c r="WYF117" s="0"/>
      <c r="WYG117" s="0"/>
      <c r="WYH117" s="0"/>
      <c r="WYI117" s="0"/>
      <c r="WYJ117" s="0"/>
      <c r="WYK117" s="0"/>
      <c r="WYL117" s="0"/>
      <c r="WYM117" s="0"/>
      <c r="WYN117" s="0"/>
      <c r="WYO117" s="0"/>
      <c r="WYP117" s="0"/>
      <c r="WYQ117" s="0"/>
      <c r="WYR117" s="0"/>
      <c r="WYS117" s="0"/>
      <c r="WYT117" s="0"/>
      <c r="WYU117" s="0"/>
      <c r="WYV117" s="0"/>
      <c r="WYW117" s="0"/>
      <c r="WYX117" s="0"/>
      <c r="WYY117" s="0"/>
      <c r="WYZ117" s="0"/>
      <c r="WZA117" s="0"/>
      <c r="WZB117" s="0"/>
      <c r="WZC117" s="0"/>
      <c r="WZD117" s="0"/>
      <c r="WZE117" s="0"/>
      <c r="WZF117" s="0"/>
      <c r="WZG117" s="0"/>
      <c r="WZH117" s="0"/>
      <c r="WZI117" s="0"/>
      <c r="WZJ117" s="0"/>
      <c r="WZK117" s="0"/>
      <c r="WZL117" s="0"/>
      <c r="WZM117" s="0"/>
      <c r="WZN117" s="0"/>
      <c r="WZO117" s="0"/>
      <c r="WZP117" s="0"/>
      <c r="WZQ117" s="0"/>
      <c r="WZR117" s="0"/>
      <c r="WZS117" s="0"/>
      <c r="WZT117" s="0"/>
      <c r="WZU117" s="0"/>
      <c r="WZV117" s="0"/>
      <c r="WZW117" s="0"/>
      <c r="WZX117" s="0"/>
      <c r="WZY117" s="0"/>
      <c r="WZZ117" s="0"/>
      <c r="XAA117" s="0"/>
      <c r="XAB117" s="0"/>
      <c r="XAC117" s="0"/>
      <c r="XAD117" s="0"/>
      <c r="XAE117" s="0"/>
      <c r="XAF117" s="0"/>
      <c r="XAG117" s="0"/>
      <c r="XAH117" s="0"/>
      <c r="XAI117" s="0"/>
      <c r="XAJ117" s="0"/>
      <c r="XAK117" s="0"/>
      <c r="XAL117" s="0"/>
      <c r="XAM117" s="0"/>
      <c r="XAN117" s="0"/>
      <c r="XAO117" s="0"/>
      <c r="XAP117" s="0"/>
      <c r="XAQ117" s="0"/>
      <c r="XAR117" s="0"/>
      <c r="XAS117" s="0"/>
      <c r="XAT117" s="0"/>
      <c r="XAU117" s="0"/>
      <c r="XAV117" s="0"/>
      <c r="XAW117" s="0"/>
      <c r="XAX117" s="0"/>
      <c r="XAY117" s="0"/>
      <c r="XAZ117" s="0"/>
      <c r="XBA117" s="0"/>
      <c r="XBB117" s="0"/>
      <c r="XBC117" s="0"/>
      <c r="XBD117" s="0"/>
      <c r="XBE117" s="0"/>
      <c r="XBF117" s="0"/>
      <c r="XBG117" s="0"/>
      <c r="XBH117" s="0"/>
      <c r="XBI117" s="0"/>
      <c r="XBJ117" s="0"/>
      <c r="XBK117" s="0"/>
      <c r="XBL117" s="0"/>
      <c r="XBM117" s="0"/>
      <c r="XBN117" s="0"/>
      <c r="XBO117" s="0"/>
      <c r="XBP117" s="0"/>
      <c r="XBQ117" s="0"/>
      <c r="XBR117" s="0"/>
      <c r="XBS117" s="0"/>
      <c r="XBT117" s="0"/>
      <c r="XBU117" s="0"/>
      <c r="XBV117" s="0"/>
      <c r="XBW117" s="0"/>
      <c r="XBX117" s="0"/>
      <c r="XBY117" s="0"/>
      <c r="XBZ117" s="0"/>
      <c r="XCA117" s="0"/>
      <c r="XCB117" s="0"/>
      <c r="XCC117" s="0"/>
      <c r="XCD117" s="0"/>
      <c r="XCE117" s="0"/>
      <c r="XCF117" s="0"/>
      <c r="XCG117" s="0"/>
      <c r="XCH117" s="0"/>
      <c r="XCI117" s="0"/>
      <c r="XCJ117" s="0"/>
      <c r="XCK117" s="0"/>
      <c r="XCL117" s="0"/>
      <c r="XCM117" s="0"/>
      <c r="XCN117" s="0"/>
      <c r="XCO117" s="0"/>
      <c r="XCP117" s="0"/>
      <c r="XCQ117" s="0"/>
      <c r="XCR117" s="0"/>
      <c r="XCS117" s="0"/>
      <c r="XCT117" s="0"/>
      <c r="XCU117" s="0"/>
      <c r="XCV117" s="0"/>
      <c r="XCW117" s="0"/>
      <c r="XCX117" s="0"/>
      <c r="XCY117" s="0"/>
      <c r="XCZ117" s="0"/>
      <c r="XDA117" s="0"/>
      <c r="XDB117" s="0"/>
      <c r="XDC117" s="0"/>
      <c r="XDD117" s="0"/>
      <c r="XDE117" s="0"/>
      <c r="XDF117" s="0"/>
      <c r="XDG117" s="0"/>
      <c r="XDH117" s="0"/>
      <c r="XDI117" s="0"/>
      <c r="XDJ117" s="0"/>
      <c r="XDK117" s="0"/>
      <c r="XDL117" s="0"/>
      <c r="XDM117" s="0"/>
      <c r="XDN117" s="0"/>
      <c r="XDO117" s="0"/>
      <c r="XDP117" s="0"/>
      <c r="XDQ117" s="0"/>
      <c r="XDR117" s="0"/>
      <c r="XDS117" s="0"/>
      <c r="XDT117" s="0"/>
      <c r="XDU117" s="0"/>
      <c r="XDV117" s="0"/>
      <c r="XDW117" s="0"/>
      <c r="XDX117" s="0"/>
      <c r="XDY117" s="0"/>
      <c r="XDZ117" s="0"/>
      <c r="XEA117" s="0"/>
      <c r="XEB117" s="0"/>
      <c r="XEC117" s="0"/>
      <c r="XED117" s="0"/>
      <c r="XEE117" s="0"/>
      <c r="XEF117" s="0"/>
      <c r="XEG117" s="0"/>
      <c r="XEH117" s="0"/>
      <c r="XEI117" s="0"/>
      <c r="XEJ117" s="0"/>
      <c r="XEK117" s="0"/>
      <c r="XEL117" s="0"/>
      <c r="XEM117" s="0"/>
      <c r="XEN117" s="0"/>
      <c r="XEO117" s="0"/>
      <c r="XEP117" s="0"/>
      <c r="XEQ117" s="0"/>
      <c r="XER117" s="0"/>
      <c r="XES117" s="0"/>
      <c r="XET117" s="0"/>
      <c r="XEU117" s="0"/>
      <c r="XEV117" s="0"/>
      <c r="XEW117" s="0"/>
      <c r="XEX117" s="0"/>
      <c r="XEY117" s="0"/>
      <c r="XEZ117" s="0"/>
      <c r="XFA117" s="0"/>
      <c r="XFB117" s="0"/>
      <c r="XFC117" s="0"/>
      <c r="XFD117" s="0"/>
    </row>
    <row r="118" customFormat="false" ht="15" hidden="false" customHeight="true" outlineLevel="0" collapsed="false">
      <c r="B118" s="717" t="s">
        <v>1654</v>
      </c>
      <c r="C118" s="1403" t="s">
        <v>1655</v>
      </c>
      <c r="D118" s="719"/>
      <c r="E118" s="722" t="n">
        <f aca="false">D119-V114</f>
        <v>0</v>
      </c>
      <c r="G118" s="1835"/>
      <c r="H118" s="1630"/>
      <c r="I118" s="732" t="n">
        <f aca="false">I117-E124</f>
        <v>0</v>
      </c>
      <c r="J118" s="1630"/>
      <c r="K118" s="732" t="n">
        <f aca="false">K117-E126</f>
        <v>0</v>
      </c>
      <c r="L118" s="1630"/>
      <c r="M118" s="732" t="n">
        <f aca="false">M117-E127</f>
        <v>0</v>
      </c>
      <c r="N118" s="1630"/>
      <c r="O118" s="732" t="n">
        <f aca="false">O117-E153</f>
        <v>0</v>
      </c>
      <c r="Z118" s="16"/>
      <c r="AA118" s="16"/>
      <c r="AE118" s="16" t="n">
        <f aca="false">90000*1.3</f>
        <v>117000</v>
      </c>
    </row>
    <row r="119" customFormat="false" ht="15" hidden="false" customHeight="true" outlineLevel="0" collapsed="false">
      <c r="B119" s="733" t="str">
        <f aca="false">Summary!T73</f>
        <v>04</v>
      </c>
      <c r="C119" s="735"/>
      <c r="D119" s="736" t="n">
        <f aca="false">SUM(E120:E177)-E153-E163</f>
        <v>0</v>
      </c>
      <c r="E119" s="736"/>
      <c r="G119" s="1836"/>
      <c r="H119" s="1837" t="s">
        <v>1055</v>
      </c>
      <c r="I119" s="1838" t="s">
        <v>721</v>
      </c>
      <c r="J119" s="1839"/>
      <c r="K119" s="1838" t="s">
        <v>1093</v>
      </c>
      <c r="L119" s="1837" t="s">
        <v>1055</v>
      </c>
      <c r="M119" s="1838" t="s">
        <v>738</v>
      </c>
      <c r="N119" s="1837" t="s">
        <v>1055</v>
      </c>
      <c r="O119" s="1838" t="s">
        <v>1146</v>
      </c>
      <c r="AA119" s="16"/>
    </row>
    <row r="120" customFormat="false" ht="15" hidden="false" customHeight="true" outlineLevel="0" collapsed="false">
      <c r="B120" s="1404" t="n">
        <f aca="false">Summary!T74</f>
        <v>40001</v>
      </c>
      <c r="C120" s="741" t="str">
        <f aca="false">Summary!U74</f>
        <v>General Requirements</v>
      </c>
      <c r="D120" s="318"/>
      <c r="E120" s="742"/>
      <c r="G120" s="1840" t="n">
        <v>1</v>
      </c>
      <c r="H120" s="1841" t="n">
        <f aca="false">40000+(100*G120)+5</f>
        <v>40105</v>
      </c>
      <c r="I120" s="1842" t="n">
        <f aca="false">CO10</f>
        <v>0</v>
      </c>
      <c r="J120" s="1843" t="n">
        <f aca="false">40000+(100*G120)+7</f>
        <v>40107</v>
      </c>
      <c r="K120" s="1842" t="n">
        <f aca="false">DA10</f>
        <v>0</v>
      </c>
      <c r="L120" s="1843" t="n">
        <f aca="false">40000+(100*G120)+8</f>
        <v>40108</v>
      </c>
      <c r="M120" s="1842" t="n">
        <f aca="false">CN10</f>
        <v>0</v>
      </c>
      <c r="N120" s="1843" t="n">
        <f aca="false">40000+(100*G120)+40</f>
        <v>40140</v>
      </c>
      <c r="O120" s="1842" t="n">
        <f aca="false">SUM(CP10:CT10)+DB10</f>
        <v>0</v>
      </c>
      <c r="S120" s="1844"/>
    </row>
    <row r="121" customFormat="false" ht="15" hidden="false" customHeight="true" outlineLevel="0" collapsed="false">
      <c r="B121" s="1404" t="n">
        <f aca="false">Summary!T75</f>
        <v>40002</v>
      </c>
      <c r="C121" s="741" t="str">
        <f aca="false">Summary!U75</f>
        <v>Lumber</v>
      </c>
      <c r="D121" s="318"/>
      <c r="E121" s="751" t="n">
        <f aca="false">SUM(Z66:Z86)+Z109</f>
        <v>0</v>
      </c>
      <c r="G121" s="1840" t="n">
        <v>2</v>
      </c>
      <c r="H121" s="1841" t="n">
        <f aca="false">40000+(100*G121)+5</f>
        <v>40205</v>
      </c>
      <c r="I121" s="1845" t="n">
        <f aca="false">CO11</f>
        <v>0</v>
      </c>
      <c r="J121" s="1843" t="n">
        <f aca="false">40000+(100*G121)+7</f>
        <v>40207</v>
      </c>
      <c r="K121" s="1845" t="n">
        <f aca="false">DA11</f>
        <v>0</v>
      </c>
      <c r="L121" s="1843" t="n">
        <f aca="false">40000+(100*G121)+8</f>
        <v>40208</v>
      </c>
      <c r="M121" s="1845" t="n">
        <f aca="false">CN11</f>
        <v>0</v>
      </c>
      <c r="N121" s="1843" t="n">
        <f aca="false">40000+(100*G121)+40</f>
        <v>40240</v>
      </c>
      <c r="O121" s="1842" t="n">
        <f aca="false">SUM(CP11:CT11)+DB11</f>
        <v>0</v>
      </c>
    </row>
    <row r="122" customFormat="false" ht="15" hidden="false" customHeight="true" outlineLevel="0" collapsed="false">
      <c r="B122" s="1404" t="n">
        <f aca="false">Summary!T76</f>
        <v>40003</v>
      </c>
      <c r="C122" s="741" t="str">
        <f aca="false">Summary!U76</f>
        <v>Sand Material</v>
      </c>
      <c r="D122" s="318"/>
      <c r="E122" s="751" t="n">
        <f aca="false">O73</f>
        <v>0</v>
      </c>
      <c r="G122" s="1840" t="n">
        <v>3</v>
      </c>
      <c r="H122" s="1841" t="n">
        <f aca="false">40000+(100*G122)+5</f>
        <v>40305</v>
      </c>
      <c r="I122" s="1845" t="n">
        <f aca="false">CO12</f>
        <v>0</v>
      </c>
      <c r="J122" s="1843" t="n">
        <f aca="false">40000+(100*G122)+7</f>
        <v>40307</v>
      </c>
      <c r="K122" s="1845" t="n">
        <f aca="false">DA12</f>
        <v>0</v>
      </c>
      <c r="L122" s="1843" t="n">
        <f aca="false">40000+(100*G122)+8</f>
        <v>40308</v>
      </c>
      <c r="M122" s="1845" t="n">
        <f aca="false">CN12</f>
        <v>0</v>
      </c>
      <c r="N122" s="1843" t="n">
        <f aca="false">40000+(100*G122)+40</f>
        <v>40340</v>
      </c>
      <c r="O122" s="1842" t="n">
        <f aca="false">SUM(CP12:CT12)+DB12</f>
        <v>0</v>
      </c>
    </row>
    <row r="123" customFormat="false" ht="15" hidden="false" customHeight="true" outlineLevel="0" collapsed="false">
      <c r="B123" s="1404" t="n">
        <f aca="false">Summary!T77</f>
        <v>40004</v>
      </c>
      <c r="C123" s="741" t="str">
        <f aca="false">Summary!U77</f>
        <v>Rock Material</v>
      </c>
      <c r="D123" s="318"/>
      <c r="E123" s="751"/>
      <c r="G123" s="1840" t="n">
        <v>4</v>
      </c>
      <c r="H123" s="1841" t="n">
        <f aca="false">40000+(100*G123)+5</f>
        <v>40405</v>
      </c>
      <c r="I123" s="1845" t="n">
        <f aca="false">CO13</f>
        <v>0</v>
      </c>
      <c r="J123" s="1843" t="n">
        <f aca="false">40000+(100*G123)+7</f>
        <v>40407</v>
      </c>
      <c r="K123" s="1845" t="n">
        <f aca="false">DA13</f>
        <v>0</v>
      </c>
      <c r="L123" s="1843" t="n">
        <f aca="false">40000+(100*G123)+8</f>
        <v>40408</v>
      </c>
      <c r="M123" s="1845" t="n">
        <f aca="false">CN13</f>
        <v>0</v>
      </c>
      <c r="N123" s="1843" t="n">
        <f aca="false">40000+(100*G123)+40</f>
        <v>40440</v>
      </c>
      <c r="O123" s="1842" t="n">
        <f aca="false">SUM(CP13:CT13)+DB13</f>
        <v>0</v>
      </c>
    </row>
    <row r="124" customFormat="false" ht="15" hidden="false" customHeight="true" outlineLevel="0" collapsed="false">
      <c r="B124" s="1404" t="n">
        <f aca="false">Summary!T78</f>
        <v>40005</v>
      </c>
      <c r="C124" s="741" t="str">
        <f aca="false">Summary!U78</f>
        <v>Reinforcement Material</v>
      </c>
      <c r="D124" s="318"/>
      <c r="E124" s="751" t="n">
        <f aca="false">I117+O71</f>
        <v>0</v>
      </c>
      <c r="G124" s="1840" t="n">
        <v>5</v>
      </c>
      <c r="H124" s="1841" t="n">
        <f aca="false">40000+(100*G124)+5</f>
        <v>40505</v>
      </c>
      <c r="I124" s="1845" t="n">
        <f aca="false">CO14</f>
        <v>0</v>
      </c>
      <c r="J124" s="1843" t="n">
        <f aca="false">40000+(100*G124)+7</f>
        <v>40507</v>
      </c>
      <c r="K124" s="1845" t="n">
        <f aca="false">DA14</f>
        <v>0</v>
      </c>
      <c r="L124" s="1843" t="n">
        <f aca="false">40000+(100*G124)+8</f>
        <v>40508</v>
      </c>
      <c r="M124" s="1845" t="n">
        <f aca="false">CN14</f>
        <v>0</v>
      </c>
      <c r="N124" s="1843" t="n">
        <f aca="false">40000+(100*G124)+40</f>
        <v>40540</v>
      </c>
      <c r="O124" s="1842" t="n">
        <f aca="false">SUM(CP14:CT14)+DB14</f>
        <v>0</v>
      </c>
    </row>
    <row r="125" customFormat="false" ht="15" hidden="false" customHeight="true" outlineLevel="0" collapsed="false">
      <c r="B125" s="1404" t="n">
        <f aca="false">Summary!T79</f>
        <v>40006</v>
      </c>
      <c r="C125" s="741" t="str">
        <f aca="false">Summary!U79</f>
        <v>Reinforcement Accessories</v>
      </c>
      <c r="D125" s="318"/>
      <c r="E125" s="751" t="n">
        <f aca="false">SUM(Z98:Z100)</f>
        <v>0</v>
      </c>
      <c r="G125" s="1840" t="n">
        <v>6</v>
      </c>
      <c r="H125" s="1841" t="n">
        <f aca="false">40000+(100*G125)+5</f>
        <v>40605</v>
      </c>
      <c r="I125" s="1845" t="n">
        <f aca="false">CO15</f>
        <v>0</v>
      </c>
      <c r="J125" s="1843" t="n">
        <f aca="false">40000+(100*G125)+7</f>
        <v>40607</v>
      </c>
      <c r="K125" s="1845" t="n">
        <f aca="false">DA15</f>
        <v>0</v>
      </c>
      <c r="L125" s="1843" t="n">
        <f aca="false">40000+(100*G125)+8</f>
        <v>40608</v>
      </c>
      <c r="M125" s="1845" t="n">
        <f aca="false">CN15</f>
        <v>0</v>
      </c>
      <c r="N125" s="1843" t="n">
        <f aca="false">40000+(100*G125)+40</f>
        <v>40640</v>
      </c>
      <c r="O125" s="1842" t="n">
        <f aca="false">SUM(CP15:CT15)+DB15</f>
        <v>0</v>
      </c>
    </row>
    <row r="126" customFormat="false" ht="15" hidden="false" customHeight="true" outlineLevel="0" collapsed="false">
      <c r="B126" s="1404" t="n">
        <f aca="false">Summary!T80</f>
        <v>40007</v>
      </c>
      <c r="C126" s="741" t="str">
        <f aca="false">Summary!U80</f>
        <v>PT Cables</v>
      </c>
      <c r="D126" s="318"/>
      <c r="E126" s="751" t="n">
        <f aca="false">K117</f>
        <v>0</v>
      </c>
      <c r="G126" s="1840" t="n">
        <v>7</v>
      </c>
      <c r="H126" s="1841" t="n">
        <f aca="false">40000+(100*G126)+5</f>
        <v>40705</v>
      </c>
      <c r="I126" s="1845" t="n">
        <f aca="false">CO16</f>
        <v>0</v>
      </c>
      <c r="J126" s="1843" t="n">
        <f aca="false">40000+(100*G126)+7</f>
        <v>40707</v>
      </c>
      <c r="K126" s="1845" t="n">
        <f aca="false">DA16</f>
        <v>0</v>
      </c>
      <c r="L126" s="1843" t="n">
        <f aca="false">40000+(100*G126)+8</f>
        <v>40708</v>
      </c>
      <c r="M126" s="1845" t="n">
        <f aca="false">CN16</f>
        <v>0</v>
      </c>
      <c r="N126" s="1843" t="n">
        <f aca="false">40000+(100*G126)+40</f>
        <v>40740</v>
      </c>
      <c r="O126" s="1842" t="n">
        <f aca="false">SUM(CP16:CT16)+DB16</f>
        <v>0</v>
      </c>
    </row>
    <row r="127" customFormat="false" ht="15" hidden="false" customHeight="true" outlineLevel="0" collapsed="false">
      <c r="B127" s="1404" t="n">
        <f aca="false">Summary!T81</f>
        <v>40008</v>
      </c>
      <c r="C127" s="741" t="str">
        <f aca="false">Summary!U81</f>
        <v>Concrete Material</v>
      </c>
      <c r="D127" s="318"/>
      <c r="E127" s="751" t="n">
        <f aca="false">SUM(O65:P69)</f>
        <v>0</v>
      </c>
      <c r="G127" s="1840" t="n">
        <v>8</v>
      </c>
      <c r="H127" s="1841" t="n">
        <f aca="false">40000+(100*G127)+5</f>
        <v>40805</v>
      </c>
      <c r="I127" s="1845" t="n">
        <f aca="false">CO17</f>
        <v>0</v>
      </c>
      <c r="J127" s="1843" t="n">
        <f aca="false">40000+(100*G127)+7</f>
        <v>40807</v>
      </c>
      <c r="K127" s="1845" t="n">
        <f aca="false">DA17</f>
        <v>0</v>
      </c>
      <c r="L127" s="1843" t="n">
        <f aca="false">40000+(100*G127)+8</f>
        <v>40808</v>
      </c>
      <c r="M127" s="1845" t="n">
        <f aca="false">CN17</f>
        <v>0</v>
      </c>
      <c r="N127" s="1843" t="n">
        <f aca="false">40000+(100*G127)+40</f>
        <v>40840</v>
      </c>
      <c r="O127" s="1842" t="n">
        <f aca="false">SUM(CP17:CT17)+DB17</f>
        <v>0</v>
      </c>
    </row>
    <row r="128" customFormat="false" ht="15" hidden="false" customHeight="true" outlineLevel="0" collapsed="false">
      <c r="B128" s="1404" t="n">
        <f aca="false">Summary!T82</f>
        <v>40009</v>
      </c>
      <c r="C128" s="741" t="str">
        <f aca="false">Summary!U82</f>
        <v>Carton Forms</v>
      </c>
      <c r="D128" s="318"/>
      <c r="E128" s="751" t="n">
        <f aca="false">SUM(O74:P76)</f>
        <v>0</v>
      </c>
      <c r="G128" s="1840" t="n">
        <v>9</v>
      </c>
      <c r="H128" s="1841" t="n">
        <f aca="false">40000+(100*G128)+5</f>
        <v>40905</v>
      </c>
      <c r="I128" s="1845" t="n">
        <f aca="false">CO18</f>
        <v>0</v>
      </c>
      <c r="J128" s="1843" t="n">
        <f aca="false">40000+(100*G128)+7</f>
        <v>40907</v>
      </c>
      <c r="K128" s="1845" t="n">
        <f aca="false">DA18</f>
        <v>0</v>
      </c>
      <c r="L128" s="1843" t="n">
        <f aca="false">40000+(100*G128)+8</f>
        <v>40908</v>
      </c>
      <c r="M128" s="1845" t="n">
        <f aca="false">CN18</f>
        <v>0</v>
      </c>
      <c r="N128" s="1843" t="n">
        <f aca="false">40000+(100*G128)+40</f>
        <v>40940</v>
      </c>
      <c r="O128" s="1842" t="n">
        <f aca="false">SUM(CP18:CT18)+DB18</f>
        <v>0</v>
      </c>
    </row>
    <row r="129" customFormat="false" ht="15" hidden="false" customHeight="true" outlineLevel="0" collapsed="false">
      <c r="B129" s="1404" t="n">
        <f aca="false">Summary!T83</f>
        <v>40010</v>
      </c>
      <c r="C129" s="741" t="str">
        <f aca="false">Summary!U83</f>
        <v>Cure/Sealers</v>
      </c>
      <c r="D129" s="318"/>
      <c r="E129" s="751" t="n">
        <f aca="false">SUM(Z104:Z106)</f>
        <v>0</v>
      </c>
      <c r="G129" s="1840" t="n">
        <v>10</v>
      </c>
      <c r="H129" s="1841" t="n">
        <f aca="false">40000+(100*G129)+5</f>
        <v>41005</v>
      </c>
      <c r="I129" s="1845" t="n">
        <f aca="false">CO19</f>
        <v>0</v>
      </c>
      <c r="J129" s="1843" t="n">
        <f aca="false">40000+(100*G129)+7</f>
        <v>41007</v>
      </c>
      <c r="K129" s="1845" t="n">
        <f aca="false">DA19</f>
        <v>0</v>
      </c>
      <c r="L129" s="1843" t="n">
        <f aca="false">40000+(100*G129)+8</f>
        <v>41008</v>
      </c>
      <c r="M129" s="1845" t="n">
        <f aca="false">CN19</f>
        <v>0</v>
      </c>
      <c r="N129" s="1843" t="n">
        <f aca="false">40000+(100*G129)+40</f>
        <v>41040</v>
      </c>
      <c r="O129" s="1842" t="n">
        <f aca="false">SUM(CP19:CT19)+DB19</f>
        <v>0</v>
      </c>
    </row>
    <row r="130" customFormat="false" ht="15" hidden="false" customHeight="true" outlineLevel="0" collapsed="false">
      <c r="B130" s="1404" t="n">
        <f aca="false">Summary!T84</f>
        <v>40011</v>
      </c>
      <c r="C130" s="741" t="str">
        <f aca="false">Summary!U84</f>
        <v>Patch/Grout</v>
      </c>
      <c r="D130" s="318"/>
      <c r="E130" s="751" t="n">
        <f aca="false">SUM(Z92:Z97)</f>
        <v>0</v>
      </c>
      <c r="G130" s="1840" t="n">
        <v>11</v>
      </c>
      <c r="H130" s="1841" t="n">
        <f aca="false">40000+(100*G130)+5</f>
        <v>41105</v>
      </c>
      <c r="I130" s="1845" t="n">
        <f aca="false">CO20</f>
        <v>0</v>
      </c>
      <c r="J130" s="1843" t="n">
        <f aca="false">40000+(100*G130)+7</f>
        <v>41107</v>
      </c>
      <c r="K130" s="1845" t="n">
        <f aca="false">DA20</f>
        <v>0</v>
      </c>
      <c r="L130" s="1843" t="n">
        <f aca="false">40000+(100*G130)+8</f>
        <v>41108</v>
      </c>
      <c r="M130" s="1845" t="n">
        <f aca="false">CN20</f>
        <v>0</v>
      </c>
      <c r="N130" s="1843" t="n">
        <f aca="false">40000+(100*G130)+40</f>
        <v>41140</v>
      </c>
      <c r="O130" s="1842" t="n">
        <f aca="false">SUM(CP20:CT20)+DB20</f>
        <v>0</v>
      </c>
    </row>
    <row r="131" customFormat="false" ht="15" hidden="false" customHeight="true" outlineLevel="0" collapsed="false">
      <c r="B131" s="1404" t="n">
        <f aca="false">Summary!T85</f>
        <v>40012</v>
      </c>
      <c r="C131" s="741" t="str">
        <f aca="false">Summary!U85</f>
        <v>Poly/Vapor Barrier</v>
      </c>
      <c r="D131" s="318"/>
      <c r="E131" s="751" t="n">
        <f aca="false">SUM(Z87:Z90)</f>
        <v>0</v>
      </c>
      <c r="G131" s="1840" t="n">
        <v>12</v>
      </c>
      <c r="H131" s="1841" t="n">
        <f aca="false">40000+(100*G131)+5</f>
        <v>41205</v>
      </c>
      <c r="I131" s="1845" t="n">
        <f aca="false">CO21</f>
        <v>0</v>
      </c>
      <c r="J131" s="1843" t="n">
        <f aca="false">40000+(100*G131)+7</f>
        <v>41207</v>
      </c>
      <c r="K131" s="1845" t="n">
        <f aca="false">DA21</f>
        <v>0</v>
      </c>
      <c r="L131" s="1843" t="n">
        <f aca="false">40000+(100*G131)+8</f>
        <v>41208</v>
      </c>
      <c r="M131" s="1845" t="n">
        <f aca="false">CN21</f>
        <v>0</v>
      </c>
      <c r="N131" s="1843" t="n">
        <f aca="false">40000+(100*G131)+40</f>
        <v>41240</v>
      </c>
      <c r="O131" s="1842" t="n">
        <f aca="false">SUM(CP21:CT21)+DB21</f>
        <v>0</v>
      </c>
    </row>
    <row r="132" customFormat="false" ht="15" hidden="false" customHeight="true" outlineLevel="0" collapsed="false">
      <c r="B132" s="1404" t="n">
        <f aca="false">Summary!T86</f>
        <v>40013</v>
      </c>
      <c r="C132" s="741" t="str">
        <f aca="false">Summary!U86</f>
        <v>Special Material</v>
      </c>
      <c r="D132" s="318"/>
      <c r="E132" s="751" t="n">
        <f aca="false">Z101</f>
        <v>0</v>
      </c>
      <c r="G132" s="1840" t="n">
        <v>13</v>
      </c>
      <c r="H132" s="1841" t="n">
        <f aca="false">40000+(100*G132)+5</f>
        <v>41305</v>
      </c>
      <c r="I132" s="1845" t="n">
        <f aca="false">CO22</f>
        <v>0</v>
      </c>
      <c r="J132" s="1843" t="n">
        <f aca="false">40000+(100*G132)+7</f>
        <v>41307</v>
      </c>
      <c r="K132" s="1845" t="n">
        <f aca="false">DA22</f>
        <v>0</v>
      </c>
      <c r="L132" s="1843" t="n">
        <f aca="false">40000+(100*G132)+8</f>
        <v>41308</v>
      </c>
      <c r="M132" s="1845" t="n">
        <f aca="false">CN22</f>
        <v>0</v>
      </c>
      <c r="N132" s="1843" t="n">
        <f aca="false">40000+(100*G132)+40</f>
        <v>41340</v>
      </c>
      <c r="O132" s="1842" t="n">
        <f aca="false">SUM(CP22:CT22)+DB22</f>
        <v>0</v>
      </c>
    </row>
    <row r="133" customFormat="false" ht="15" hidden="false" customHeight="true" outlineLevel="0" collapsed="false">
      <c r="B133" s="1404" t="n">
        <f aca="false">Summary!T87</f>
        <v>40014</v>
      </c>
      <c r="C133" s="741" t="str">
        <f aca="false">Summary!U87</f>
        <v>Special Material</v>
      </c>
      <c r="D133" s="318"/>
      <c r="E133" s="751" t="n">
        <f aca="false">Z102</f>
        <v>0</v>
      </c>
      <c r="G133" s="1840" t="n">
        <v>14</v>
      </c>
      <c r="H133" s="1841" t="n">
        <f aca="false">40000+(100*G133)+5</f>
        <v>41405</v>
      </c>
      <c r="I133" s="1845" t="n">
        <f aca="false">CO23</f>
        <v>0</v>
      </c>
      <c r="J133" s="1843" t="n">
        <f aca="false">40000+(100*G133)+7</f>
        <v>41407</v>
      </c>
      <c r="K133" s="1845" t="n">
        <f aca="false">DA23</f>
        <v>0</v>
      </c>
      <c r="L133" s="1843" t="n">
        <f aca="false">40000+(100*G133)+8</f>
        <v>41408</v>
      </c>
      <c r="M133" s="1845" t="n">
        <f aca="false">CN23</f>
        <v>0</v>
      </c>
      <c r="N133" s="1843" t="n">
        <f aca="false">40000+(100*G133)+40</f>
        <v>41440</v>
      </c>
      <c r="O133" s="1842" t="n">
        <f aca="false">SUM(CP23:CT23)+DB23</f>
        <v>0</v>
      </c>
    </row>
    <row r="134" customFormat="false" ht="15" hidden="false" customHeight="true" outlineLevel="0" collapsed="false">
      <c r="B134" s="1404" t="n">
        <f aca="false">Summary!T88</f>
        <v>40015</v>
      </c>
      <c r="C134" s="741" t="str">
        <f aca="false">Summary!U88</f>
        <v>PPE/Safety</v>
      </c>
      <c r="D134" s="318"/>
      <c r="E134" s="751" t="n">
        <f aca="false">Z103</f>
        <v>0</v>
      </c>
      <c r="G134" s="1840" t="n">
        <v>15</v>
      </c>
      <c r="H134" s="1841" t="n">
        <f aca="false">40000+(100*G134)+5</f>
        <v>41505</v>
      </c>
      <c r="I134" s="1845" t="n">
        <f aca="false">CO24</f>
        <v>0</v>
      </c>
      <c r="J134" s="1843" t="n">
        <f aca="false">40000+(100*G134)+7</f>
        <v>41507</v>
      </c>
      <c r="K134" s="1845" t="n">
        <f aca="false">DA24</f>
        <v>0</v>
      </c>
      <c r="L134" s="1843" t="n">
        <f aca="false">40000+(100*G134)+8</f>
        <v>41508</v>
      </c>
      <c r="M134" s="1845" t="n">
        <f aca="false">CN24</f>
        <v>0</v>
      </c>
      <c r="N134" s="1843" t="n">
        <f aca="false">40000+(100*G134)+40</f>
        <v>41540</v>
      </c>
      <c r="O134" s="1842" t="n">
        <f aca="false">SUM(CP24:CT24)+DB24</f>
        <v>0</v>
      </c>
    </row>
    <row r="135" customFormat="false" ht="15" hidden="false" customHeight="true" outlineLevel="0" collapsed="false">
      <c r="B135" s="1404" t="n">
        <f aca="false">Summary!T89</f>
        <v>40020</v>
      </c>
      <c r="C135" s="741" t="str">
        <f aca="false">Summary!U89</f>
        <v>Supervision</v>
      </c>
      <c r="D135" s="318"/>
      <c r="E135" s="751" t="n">
        <f aca="false">SUM(O91:P92)</f>
        <v>0</v>
      </c>
      <c r="G135" s="1840" t="n">
        <v>16</v>
      </c>
      <c r="H135" s="1841" t="n">
        <f aca="false">40000+(100*G135)+5</f>
        <v>41605</v>
      </c>
      <c r="I135" s="1845" t="n">
        <f aca="false">CO25</f>
        <v>0</v>
      </c>
      <c r="J135" s="1843" t="n">
        <f aca="false">40000+(100*G135)+7</f>
        <v>41607</v>
      </c>
      <c r="K135" s="1845" t="n">
        <f aca="false">DA25</f>
        <v>0</v>
      </c>
      <c r="L135" s="1843" t="n">
        <f aca="false">40000+(100*G135)+8</f>
        <v>41608</v>
      </c>
      <c r="M135" s="1845" t="n">
        <f aca="false">CN25</f>
        <v>0</v>
      </c>
      <c r="N135" s="1843" t="n">
        <f aca="false">40000+(100*G135)+40</f>
        <v>41640</v>
      </c>
      <c r="O135" s="1842" t="n">
        <f aca="false">SUM(CP25:CT25)+DB25</f>
        <v>0</v>
      </c>
    </row>
    <row r="136" customFormat="false" ht="15" hidden="false" customHeight="true" outlineLevel="0" collapsed="false">
      <c r="B136" s="1404" t="n">
        <f aca="false">Summary!T90</f>
        <v>40021</v>
      </c>
      <c r="C136" s="741" t="str">
        <f aca="false">Summary!U90</f>
        <v>Supervision Expense</v>
      </c>
      <c r="D136" s="318"/>
      <c r="E136" s="751" t="n">
        <f aca="false">O93</f>
        <v>0</v>
      </c>
      <c r="G136" s="1840" t="n">
        <v>17</v>
      </c>
      <c r="H136" s="1841" t="n">
        <f aca="false">40000+(100*G136)+5</f>
        <v>41705</v>
      </c>
      <c r="I136" s="1845" t="n">
        <f aca="false">CO26</f>
        <v>0</v>
      </c>
      <c r="J136" s="1843" t="n">
        <f aca="false">40000+(100*G136)+7</f>
        <v>41707</v>
      </c>
      <c r="K136" s="1845" t="n">
        <f aca="false">DA26</f>
        <v>0</v>
      </c>
      <c r="L136" s="1843" t="n">
        <f aca="false">40000+(100*G136)+8</f>
        <v>41708</v>
      </c>
      <c r="M136" s="1845" t="n">
        <f aca="false">CN26</f>
        <v>0</v>
      </c>
      <c r="N136" s="1843" t="n">
        <f aca="false">40000+(100*G136)+40</f>
        <v>41740</v>
      </c>
      <c r="O136" s="1842" t="n">
        <f aca="false">SUM(CP26:CT26)+DB26</f>
        <v>0</v>
      </c>
    </row>
    <row r="137" customFormat="false" ht="15" hidden="false" customHeight="true" outlineLevel="0" collapsed="false">
      <c r="B137" s="1404" t="n">
        <f aca="false">Summary!T91</f>
        <v>40022</v>
      </c>
      <c r="C137" s="741" t="str">
        <f aca="false">Summary!U91</f>
        <v>Project Management</v>
      </c>
      <c r="D137" s="318"/>
      <c r="E137" s="751" t="n">
        <f aca="false">O94</f>
        <v>0</v>
      </c>
      <c r="G137" s="1840" t="n">
        <v>18</v>
      </c>
      <c r="H137" s="1841" t="n">
        <f aca="false">40000+(100*G137)+5</f>
        <v>41805</v>
      </c>
      <c r="I137" s="1845" t="n">
        <f aca="false">CO27</f>
        <v>0</v>
      </c>
      <c r="J137" s="1843" t="n">
        <f aca="false">40000+(100*G137)+7</f>
        <v>41807</v>
      </c>
      <c r="K137" s="1845" t="n">
        <f aca="false">DA27</f>
        <v>0</v>
      </c>
      <c r="L137" s="1843" t="n">
        <f aca="false">40000+(100*G137)+8</f>
        <v>41808</v>
      </c>
      <c r="M137" s="1845" t="n">
        <f aca="false">CN27</f>
        <v>0</v>
      </c>
      <c r="N137" s="1843" t="n">
        <f aca="false">40000+(100*G137)+40</f>
        <v>41840</v>
      </c>
      <c r="O137" s="1842" t="n">
        <f aca="false">SUM(CP27:CT27)+DB27</f>
        <v>0</v>
      </c>
    </row>
    <row r="138" customFormat="false" ht="15" hidden="false" customHeight="true" outlineLevel="0" collapsed="false">
      <c r="B138" s="1404" t="n">
        <f aca="false">Summary!T92</f>
        <v>40023</v>
      </c>
      <c r="C138" s="741" t="str">
        <f aca="false">Summary!U92</f>
        <v>Labor Grade, Poly, Reinf.</v>
      </c>
      <c r="D138" s="318"/>
      <c r="E138" s="751" t="n">
        <f aca="false">L80</f>
        <v>0</v>
      </c>
      <c r="G138" s="1840" t="n">
        <v>19</v>
      </c>
      <c r="H138" s="1841" t="n">
        <f aca="false">40000+(100*G138)+5</f>
        <v>41905</v>
      </c>
      <c r="I138" s="1845" t="n">
        <f aca="false">CO28</f>
        <v>0</v>
      </c>
      <c r="J138" s="1843" t="n">
        <f aca="false">40000+(100*G138)+7</f>
        <v>41907</v>
      </c>
      <c r="K138" s="1845" t="n">
        <f aca="false">DA28</f>
        <v>0</v>
      </c>
      <c r="L138" s="1843" t="n">
        <f aca="false">40000+(100*G138)+8</f>
        <v>41908</v>
      </c>
      <c r="M138" s="1845" t="n">
        <f aca="false">CN28</f>
        <v>0</v>
      </c>
      <c r="N138" s="1843" t="n">
        <f aca="false">40000+(100*G138)+40</f>
        <v>41940</v>
      </c>
      <c r="O138" s="1842" t="n">
        <f aca="false">SUM(CP28:CT28)+DB28</f>
        <v>0</v>
      </c>
    </row>
    <row r="139" customFormat="false" ht="15" hidden="false" customHeight="false" outlineLevel="0" collapsed="false">
      <c r="B139" s="1404" t="n">
        <f aca="false">Summary!T93</f>
        <v>40024</v>
      </c>
      <c r="C139" s="741" t="str">
        <f aca="false">Summary!U93</f>
        <v>Labor Place &amp; Finish</v>
      </c>
      <c r="D139" s="318"/>
      <c r="E139" s="751" t="n">
        <f aca="false">L81</f>
        <v>0</v>
      </c>
      <c r="G139" s="1840" t="n">
        <v>20</v>
      </c>
      <c r="H139" s="1841" t="n">
        <f aca="false">40000+(100*G139)+5</f>
        <v>42005</v>
      </c>
      <c r="I139" s="1845" t="n">
        <f aca="false">CO29</f>
        <v>0</v>
      </c>
      <c r="J139" s="1843" t="n">
        <f aca="false">40000+(100*G139)+7</f>
        <v>42007</v>
      </c>
      <c r="K139" s="1845" t="n">
        <f aca="false">DA29</f>
        <v>0</v>
      </c>
      <c r="L139" s="1843" t="n">
        <f aca="false">40000+(100*G139)+8</f>
        <v>42008</v>
      </c>
      <c r="M139" s="1845" t="n">
        <f aca="false">CN29</f>
        <v>0</v>
      </c>
      <c r="N139" s="1843" t="n">
        <f aca="false">40000+(100*G139)+40</f>
        <v>42040</v>
      </c>
      <c r="O139" s="1842" t="n">
        <f aca="false">SUM(CP29:CT29)+DB29</f>
        <v>0</v>
      </c>
    </row>
    <row r="140" customFormat="false" ht="15" hidden="false" customHeight="false" outlineLevel="0" collapsed="false">
      <c r="B140" s="1404" t="n">
        <f aca="false">Summary!T94</f>
        <v>40025</v>
      </c>
      <c r="C140" s="741" t="str">
        <f aca="false">Summary!U94</f>
        <v>Labor Drops</v>
      </c>
      <c r="D140" s="318"/>
      <c r="E140" s="751" t="n">
        <f aca="false">L83</f>
        <v>0</v>
      </c>
      <c r="G140" s="1840" t="n">
        <v>21</v>
      </c>
      <c r="H140" s="1841" t="n">
        <f aca="false">40000+(100*G140)+5</f>
        <v>42105</v>
      </c>
      <c r="I140" s="1845" t="n">
        <f aca="false">CO30</f>
        <v>0</v>
      </c>
      <c r="J140" s="1843" t="n">
        <f aca="false">40000+(100*G140)+7</f>
        <v>42107</v>
      </c>
      <c r="K140" s="1845" t="n">
        <f aca="false">DA30</f>
        <v>0</v>
      </c>
      <c r="L140" s="1843" t="n">
        <f aca="false">40000+(100*G140)+8</f>
        <v>42108</v>
      </c>
      <c r="M140" s="1845" t="n">
        <f aca="false">CN30</f>
        <v>0</v>
      </c>
      <c r="N140" s="1843" t="n">
        <f aca="false">40000+(100*G140)+40</f>
        <v>42140</v>
      </c>
      <c r="O140" s="1842" t="n">
        <f aca="false">SUM(CP30:CT30)+DB30</f>
        <v>0</v>
      </c>
    </row>
    <row r="141" customFormat="false" ht="15" hidden="false" customHeight="false" outlineLevel="0" collapsed="false">
      <c r="B141" s="1404" t="n">
        <f aca="false">Summary!T95</f>
        <v>40026</v>
      </c>
      <c r="C141" s="741" t="str">
        <f aca="false">Summary!U95</f>
        <v>Labor Strip Forms</v>
      </c>
      <c r="D141" s="318"/>
      <c r="E141" s="751" t="n">
        <f aca="false">L82</f>
        <v>0</v>
      </c>
      <c r="G141" s="1840" t="n">
        <v>22</v>
      </c>
      <c r="H141" s="1841" t="n">
        <f aca="false">40000+(100*G141)+5</f>
        <v>42205</v>
      </c>
      <c r="I141" s="1845" t="n">
        <f aca="false">CO31</f>
        <v>0</v>
      </c>
      <c r="J141" s="1843" t="n">
        <f aca="false">40000+(100*G141)+7</f>
        <v>42207</v>
      </c>
      <c r="K141" s="1845" t="n">
        <f aca="false">DA31</f>
        <v>0</v>
      </c>
      <c r="L141" s="1843" t="n">
        <f aca="false">40000+(100*G141)+8</f>
        <v>42208</v>
      </c>
      <c r="M141" s="1845" t="n">
        <f aca="false">CN31</f>
        <v>0</v>
      </c>
      <c r="N141" s="1843" t="n">
        <f aca="false">40000+(100*G141)+40</f>
        <v>42240</v>
      </c>
      <c r="O141" s="1842" t="n">
        <f aca="false">SUM(CP31:CT31)+DB31</f>
        <v>0</v>
      </c>
    </row>
    <row r="142" customFormat="false" ht="15" hidden="false" customHeight="false" outlineLevel="0" collapsed="false">
      <c r="B142" s="1404" t="n">
        <f aca="false">Summary!T96</f>
        <v>40027</v>
      </c>
      <c r="C142" s="741" t="str">
        <f aca="false">Summary!U96</f>
        <v>Labor Burden</v>
      </c>
      <c r="D142" s="318"/>
      <c r="E142" s="751" t="n">
        <f aca="false">L86</f>
        <v>0</v>
      </c>
      <c r="G142" s="1840" t="n">
        <v>23</v>
      </c>
      <c r="H142" s="1841" t="n">
        <f aca="false">40000+(100*G142)+5</f>
        <v>42305</v>
      </c>
      <c r="I142" s="1845" t="n">
        <f aca="false">CO32</f>
        <v>0</v>
      </c>
      <c r="J142" s="1843" t="n">
        <f aca="false">40000+(100*G142)+7</f>
        <v>42307</v>
      </c>
      <c r="K142" s="1845" t="n">
        <f aca="false">DA32</f>
        <v>0</v>
      </c>
      <c r="L142" s="1843" t="n">
        <f aca="false">40000+(100*G142)+8</f>
        <v>42308</v>
      </c>
      <c r="M142" s="1845" t="n">
        <f aca="false">CN32</f>
        <v>0</v>
      </c>
      <c r="N142" s="1843" t="n">
        <f aca="false">40000+(100*G142)+40</f>
        <v>42340</v>
      </c>
      <c r="O142" s="1842" t="n">
        <f aca="false">SUM(CP32:CT32)+DB32</f>
        <v>0</v>
      </c>
    </row>
    <row r="143" customFormat="false" ht="15" hidden="false" customHeight="false" outlineLevel="0" collapsed="false">
      <c r="B143" s="1404" t="n">
        <f aca="false">Summary!T97</f>
        <v>40028</v>
      </c>
      <c r="C143" s="741" t="str">
        <f aca="false">Summary!U97</f>
        <v>Surveying</v>
      </c>
      <c r="D143" s="318"/>
      <c r="E143" s="751"/>
      <c r="G143" s="1840" t="n">
        <v>24</v>
      </c>
      <c r="H143" s="1841" t="n">
        <f aca="false">40000+(100*G143)+5</f>
        <v>42405</v>
      </c>
      <c r="I143" s="1845" t="n">
        <f aca="false">CO33</f>
        <v>0</v>
      </c>
      <c r="J143" s="1843" t="n">
        <f aca="false">40000+(100*G143)+7</f>
        <v>42407</v>
      </c>
      <c r="K143" s="1845" t="n">
        <f aca="false">DA33</f>
        <v>0</v>
      </c>
      <c r="L143" s="1843" t="n">
        <f aca="false">40000+(100*G143)+8</f>
        <v>42408</v>
      </c>
      <c r="M143" s="1845" t="n">
        <f aca="false">CN33</f>
        <v>0</v>
      </c>
      <c r="N143" s="1843" t="n">
        <f aca="false">40000+(100*G143)+40</f>
        <v>42440</v>
      </c>
      <c r="O143" s="1842" t="n">
        <f aca="false">SUM(CP33:CT33)+DB33</f>
        <v>0</v>
      </c>
    </row>
    <row r="144" customFormat="false" ht="15" hidden="false" customHeight="false" outlineLevel="0" collapsed="false">
      <c r="B144" s="1404" t="n">
        <f aca="false">Summary!T98</f>
        <v>40030</v>
      </c>
      <c r="C144" s="741" t="str">
        <f aca="false">Summary!U98</f>
        <v>Pumping</v>
      </c>
      <c r="D144" s="318"/>
      <c r="E144" s="751" t="n">
        <f aca="false">O106</f>
        <v>0</v>
      </c>
      <c r="G144" s="1840" t="n">
        <v>25</v>
      </c>
      <c r="H144" s="1841" t="n">
        <f aca="false">40000+(100*G144)+5</f>
        <v>42505</v>
      </c>
      <c r="I144" s="1845" t="n">
        <f aca="false">CO34</f>
        <v>0</v>
      </c>
      <c r="J144" s="1843" t="n">
        <f aca="false">40000+(100*G144)+7</f>
        <v>42507</v>
      </c>
      <c r="K144" s="1845" t="n">
        <f aca="false">DA34</f>
        <v>0</v>
      </c>
      <c r="L144" s="1843" t="n">
        <f aca="false">40000+(100*G144)+8</f>
        <v>42508</v>
      </c>
      <c r="M144" s="1845" t="n">
        <f aca="false">CN34</f>
        <v>0</v>
      </c>
      <c r="N144" s="1843" t="n">
        <f aca="false">40000+(100*G144)+40</f>
        <v>42540</v>
      </c>
      <c r="O144" s="1842" t="n">
        <f aca="false">SUM(CP34:CT34)+DB34</f>
        <v>0</v>
      </c>
    </row>
    <row r="145" customFormat="false" ht="15" hidden="false" customHeight="false" outlineLevel="0" collapsed="false">
      <c r="B145" s="1404" t="n">
        <f aca="false">Summary!T99</f>
        <v>40031</v>
      </c>
      <c r="C145" s="741" t="str">
        <f aca="false">Summary!U99</f>
        <v>Earth Work/Excavation</v>
      </c>
      <c r="D145" s="318"/>
      <c r="E145" s="751"/>
      <c r="G145" s="1840" t="n">
        <v>26</v>
      </c>
      <c r="H145" s="1841" t="n">
        <f aca="false">40000+(100*G145)+5</f>
        <v>42605</v>
      </c>
      <c r="I145" s="1845" t="n">
        <f aca="false">CO35</f>
        <v>0</v>
      </c>
      <c r="J145" s="1843" t="n">
        <f aca="false">40000+(100*G145)+7</f>
        <v>42607</v>
      </c>
      <c r="K145" s="1845" t="n">
        <f aca="false">DA35</f>
        <v>0</v>
      </c>
      <c r="L145" s="1843" t="n">
        <f aca="false">40000+(100*G145)+8</f>
        <v>42608</v>
      </c>
      <c r="M145" s="1845" t="n">
        <f aca="false">CN35</f>
        <v>0</v>
      </c>
      <c r="N145" s="1843" t="n">
        <f aca="false">40000+(100*G145)+40</f>
        <v>42640</v>
      </c>
      <c r="O145" s="1842" t="n">
        <f aca="false">SUM(CP35:CT35)+DB35</f>
        <v>0</v>
      </c>
    </row>
    <row r="146" customFormat="false" ht="15" hidden="false" customHeight="false" outlineLevel="0" collapsed="false">
      <c r="B146" s="1404" t="n">
        <f aca="false">Summary!T100</f>
        <v>40032</v>
      </c>
      <c r="C146" s="741" t="str">
        <f aca="false">Summary!U100</f>
        <v>Drilling</v>
      </c>
      <c r="D146" s="318"/>
      <c r="E146" s="751"/>
      <c r="G146" s="1840" t="n">
        <v>27</v>
      </c>
      <c r="H146" s="1841" t="n">
        <f aca="false">40000+(100*G146)+5</f>
        <v>42705</v>
      </c>
      <c r="I146" s="1845" t="n">
        <f aca="false">CO36</f>
        <v>0</v>
      </c>
      <c r="J146" s="1843" t="n">
        <f aca="false">40000+(100*G146)+7</f>
        <v>42707</v>
      </c>
      <c r="K146" s="1845" t="n">
        <f aca="false">DA36</f>
        <v>0</v>
      </c>
      <c r="L146" s="1843" t="n">
        <f aca="false">40000+(100*G146)+8</f>
        <v>42708</v>
      </c>
      <c r="M146" s="1845" t="n">
        <f aca="false">CN36</f>
        <v>0</v>
      </c>
      <c r="N146" s="1843" t="n">
        <f aca="false">40000+(100*G146)+40</f>
        <v>42740</v>
      </c>
      <c r="O146" s="1842" t="n">
        <f aca="false">SUM(CP36:CT36)+DB36</f>
        <v>0</v>
      </c>
    </row>
    <row r="147" customFormat="false" ht="15" hidden="false" customHeight="false" outlineLevel="0" collapsed="false">
      <c r="B147" s="1404" t="n">
        <f aca="false">Summary!T101</f>
        <v>40033</v>
      </c>
      <c r="C147" s="741" t="str">
        <f aca="false">Summary!U101</f>
        <v>Haul off</v>
      </c>
      <c r="D147" s="318"/>
      <c r="E147" s="751" t="n">
        <f aca="false">O107</f>
        <v>0</v>
      </c>
      <c r="G147" s="1840" t="n">
        <v>28</v>
      </c>
      <c r="H147" s="1841" t="n">
        <f aca="false">40000+(100*G147)+5</f>
        <v>42805</v>
      </c>
      <c r="I147" s="1845" t="n">
        <f aca="false">CO37</f>
        <v>0</v>
      </c>
      <c r="J147" s="1843" t="n">
        <f aca="false">40000+(100*G147)+7</f>
        <v>42807</v>
      </c>
      <c r="K147" s="1845" t="n">
        <f aca="false">DA37</f>
        <v>0</v>
      </c>
      <c r="L147" s="1843" t="n">
        <f aca="false">40000+(100*G147)+8</f>
        <v>42808</v>
      </c>
      <c r="M147" s="1845" t="n">
        <f aca="false">CN37</f>
        <v>0</v>
      </c>
      <c r="N147" s="1843" t="n">
        <f aca="false">40000+(100*G147)+40</f>
        <v>42840</v>
      </c>
      <c r="O147" s="1842" t="n">
        <f aca="false">SUM(CP37:CT37)+DB37</f>
        <v>0</v>
      </c>
    </row>
    <row r="148" customFormat="false" ht="15" hidden="false" customHeight="false" outlineLevel="0" collapsed="false">
      <c r="B148" s="1404" t="n">
        <f aca="false">Summary!T102</f>
        <v>40034</v>
      </c>
      <c r="C148" s="741" t="str">
        <f aca="false">Summary!U102</f>
        <v>Saw Cutting/Sealing</v>
      </c>
      <c r="D148" s="318"/>
      <c r="E148" s="751" t="n">
        <f aca="false">O104+O105</f>
        <v>0</v>
      </c>
      <c r="G148" s="1840" t="n">
        <v>29</v>
      </c>
      <c r="H148" s="1841" t="n">
        <f aca="false">40000+(100*G148)+5</f>
        <v>42905</v>
      </c>
      <c r="I148" s="1845" t="n">
        <f aca="false">CO38</f>
        <v>0</v>
      </c>
      <c r="J148" s="1843" t="n">
        <f aca="false">40000+(100*G148)+7</f>
        <v>42907</v>
      </c>
      <c r="K148" s="1845" t="n">
        <f aca="false">DA38</f>
        <v>0</v>
      </c>
      <c r="L148" s="1843" t="n">
        <f aca="false">40000+(100*G148)+8</f>
        <v>42908</v>
      </c>
      <c r="M148" s="1845" t="n">
        <f aca="false">CN38</f>
        <v>0</v>
      </c>
      <c r="N148" s="1843" t="n">
        <f aca="false">40000+(100*G148)+40</f>
        <v>42940</v>
      </c>
      <c r="O148" s="1842" t="n">
        <f aca="false">SUM(CP38:CT38)+DB38</f>
        <v>0</v>
      </c>
    </row>
    <row r="149" customFormat="false" ht="15" hidden="false" customHeight="false" outlineLevel="0" collapsed="false">
      <c r="B149" s="1404" t="n">
        <f aca="false">Summary!T103</f>
        <v>40035</v>
      </c>
      <c r="C149" s="741" t="str">
        <f aca="false">Summary!U103</f>
        <v>Demolition</v>
      </c>
      <c r="D149" s="318"/>
      <c r="E149" s="751"/>
      <c r="G149" s="1840" t="n">
        <v>30</v>
      </c>
      <c r="H149" s="1841" t="n">
        <f aca="false">40000+(100*G149)+5</f>
        <v>43005</v>
      </c>
      <c r="I149" s="1845" t="n">
        <f aca="false">CO39</f>
        <v>0</v>
      </c>
      <c r="J149" s="1843" t="n">
        <f aca="false">40000+(100*G149)+7</f>
        <v>43007</v>
      </c>
      <c r="K149" s="1845" t="n">
        <f aca="false">DA39</f>
        <v>0</v>
      </c>
      <c r="L149" s="1843" t="n">
        <f aca="false">40000+(100*G149)+8</f>
        <v>43008</v>
      </c>
      <c r="M149" s="1845" t="n">
        <f aca="false">CN39</f>
        <v>0</v>
      </c>
      <c r="N149" s="1843" t="n">
        <f aca="false">40000+(100*G149)+40</f>
        <v>43040</v>
      </c>
      <c r="O149" s="1842" t="n">
        <f aca="false">SUM(CP39:CT39)+DB39</f>
        <v>0</v>
      </c>
    </row>
    <row r="150" customFormat="false" ht="15" hidden="false" customHeight="false" outlineLevel="0" collapsed="false">
      <c r="B150" s="1404" t="n">
        <f aca="false">Summary!T104</f>
        <v>40037</v>
      </c>
      <c r="C150" s="741" t="str">
        <f aca="false">Summary!U104</f>
        <v>Waterproofing</v>
      </c>
      <c r="D150" s="318"/>
      <c r="E150" s="751"/>
      <c r="G150" s="1840" t="n">
        <v>31</v>
      </c>
      <c r="H150" s="1841" t="n">
        <f aca="false">40000+(100*G150)+5</f>
        <v>43105</v>
      </c>
      <c r="I150" s="1845" t="n">
        <f aca="false">CO40</f>
        <v>0</v>
      </c>
      <c r="J150" s="1843" t="n">
        <f aca="false">40000+(100*G150)+7</f>
        <v>43107</v>
      </c>
      <c r="K150" s="1845" t="n">
        <f aca="false">DA40</f>
        <v>0</v>
      </c>
      <c r="L150" s="1843" t="n">
        <f aca="false">40000+(100*G150)+8</f>
        <v>43108</v>
      </c>
      <c r="M150" s="1845" t="n">
        <f aca="false">CN40</f>
        <v>0</v>
      </c>
      <c r="N150" s="1843" t="n">
        <f aca="false">40000+(100*G150)+40</f>
        <v>43140</v>
      </c>
      <c r="O150" s="1842" t="n">
        <f aca="false">SUM(CP40:CT40)+DB40</f>
        <v>0</v>
      </c>
    </row>
    <row r="151" customFormat="false" ht="15" hidden="false" customHeight="false" outlineLevel="0" collapsed="false">
      <c r="B151" s="1404" t="n">
        <f aca="false">Summary!T105</f>
        <v>40038</v>
      </c>
      <c r="C151" s="543" t="str">
        <f aca="false">Summary!U105</f>
        <v>Crain/Hoisting</v>
      </c>
      <c r="D151" s="749"/>
      <c r="E151" s="751"/>
      <c r="G151" s="1840" t="n">
        <v>32</v>
      </c>
      <c r="H151" s="1841" t="n">
        <f aca="false">40000+(100*G151)+5</f>
        <v>43205</v>
      </c>
      <c r="I151" s="1845" t="n">
        <f aca="false">CO41</f>
        <v>0</v>
      </c>
      <c r="J151" s="1843" t="n">
        <f aca="false">40000+(100*G151)+7</f>
        <v>43207</v>
      </c>
      <c r="K151" s="1845" t="n">
        <f aca="false">DA41</f>
        <v>0</v>
      </c>
      <c r="L151" s="1843" t="n">
        <f aca="false">40000+(100*G151)+8</f>
        <v>43208</v>
      </c>
      <c r="M151" s="1845" t="n">
        <f aca="false">CN41</f>
        <v>0</v>
      </c>
      <c r="N151" s="1843" t="n">
        <f aca="false">40000+(100*G151)+40</f>
        <v>43240</v>
      </c>
      <c r="O151" s="1842" t="n">
        <f aca="false">SUM(CP41:CT41)+DB41</f>
        <v>0</v>
      </c>
    </row>
    <row r="152" customFormat="false" ht="15" hidden="false" customHeight="false" outlineLevel="0" collapsed="false">
      <c r="B152" s="1406" t="n">
        <f aca="false">Summary!T106</f>
        <v>40039</v>
      </c>
      <c r="C152" s="788" t="str">
        <f aca="false">Summary!U106</f>
        <v>Forming Systems</v>
      </c>
      <c r="D152" s="265"/>
      <c r="E152" s="772"/>
      <c r="G152" s="1847"/>
      <c r="H152" s="1848"/>
      <c r="I152" s="373"/>
      <c r="J152" s="1849"/>
      <c r="K152" s="373"/>
      <c r="L152" s="1849"/>
      <c r="M152" s="373"/>
      <c r="N152" s="1849"/>
      <c r="O152" s="373"/>
    </row>
    <row r="153" customFormat="false" ht="15" hidden="false" customHeight="false" outlineLevel="0" collapsed="false">
      <c r="B153" s="1871" t="n">
        <f aca="false">Summary!T107</f>
        <v>40040</v>
      </c>
      <c r="C153" s="1872" t="str">
        <f aca="false">Summary!U107</f>
        <v>Total Sub Labor</v>
      </c>
      <c r="D153" s="1873"/>
      <c r="E153" s="1874" t="n">
        <f aca="false">O117</f>
        <v>0</v>
      </c>
    </row>
    <row r="154" customFormat="false" ht="15" hidden="false" customHeight="false" outlineLevel="0" collapsed="false">
      <c r="B154" s="1404" t="n">
        <f aca="false">Summary!T108</f>
        <v>40041</v>
      </c>
      <c r="C154" s="741" t="str">
        <f aca="false">Summary!U108</f>
        <v>Labor Forming</v>
      </c>
      <c r="D154" s="318"/>
      <c r="E154" s="742" t="n">
        <f aca="false">O79</f>
        <v>0</v>
      </c>
    </row>
    <row r="155" customFormat="false" ht="15" hidden="false" customHeight="false" outlineLevel="0" collapsed="false">
      <c r="B155" s="1404" t="n">
        <f aca="false">Summary!T109</f>
        <v>40042</v>
      </c>
      <c r="C155" s="741" t="str">
        <f aca="false">Summary!U109</f>
        <v>Labor Grade, Poly, Reinf.</v>
      </c>
      <c r="D155" s="318"/>
      <c r="E155" s="751" t="n">
        <f aca="false">O80+O85</f>
        <v>0</v>
      </c>
      <c r="Q155" s="170" t="s">
        <v>1656</v>
      </c>
    </row>
    <row r="156" customFormat="false" ht="15" hidden="false" customHeight="false" outlineLevel="0" collapsed="false">
      <c r="B156" s="1404" t="n">
        <f aca="false">Summary!T110</f>
        <v>40043</v>
      </c>
      <c r="C156" s="741" t="str">
        <f aca="false">Summary!U110</f>
        <v>Labor Place &amp; Finish</v>
      </c>
      <c r="D156" s="318"/>
      <c r="E156" s="751" t="n">
        <f aca="false">O81</f>
        <v>0</v>
      </c>
      <c r="G156" s="1847"/>
      <c r="H156" s="1848"/>
      <c r="I156" s="373"/>
      <c r="J156" s="373"/>
      <c r="K156" s="373"/>
      <c r="L156" s="373"/>
    </row>
    <row r="157" customFormat="false" ht="15" hidden="false" customHeight="false" outlineLevel="0" collapsed="false">
      <c r="B157" s="1404" t="n">
        <f aca="false">Summary!T111</f>
        <v>40044</v>
      </c>
      <c r="C157" s="741" t="str">
        <f aca="false">Summary!U111</f>
        <v>Labor Drops</v>
      </c>
      <c r="D157" s="749"/>
      <c r="E157" s="742" t="n">
        <f aca="false">O83</f>
        <v>0</v>
      </c>
      <c r="G157" s="1847"/>
      <c r="H157" s="1848"/>
      <c r="I157" s="373"/>
      <c r="J157" s="373"/>
      <c r="K157" s="373"/>
      <c r="L157" s="373"/>
    </row>
    <row r="158" customFormat="false" ht="15" hidden="false" customHeight="false" outlineLevel="0" collapsed="false">
      <c r="B158" s="1404" t="n">
        <f aca="false">Summary!T112</f>
        <v>40045</v>
      </c>
      <c r="C158" s="741" t="str">
        <f aca="false">Summary!U112</f>
        <v>Labor Strip Forms</v>
      </c>
      <c r="D158" s="318"/>
      <c r="E158" s="751" t="n">
        <f aca="false">O82</f>
        <v>0</v>
      </c>
      <c r="G158" s="1847"/>
      <c r="H158" s="1848"/>
      <c r="I158" s="373"/>
      <c r="J158" s="373"/>
      <c r="K158" s="373"/>
      <c r="L158" s="373"/>
    </row>
    <row r="159" customFormat="false" ht="15" hidden="false" customHeight="false" outlineLevel="0" collapsed="false">
      <c r="B159" s="1404" t="n">
        <f aca="false">Summary!T113</f>
        <v>40046</v>
      </c>
      <c r="C159" s="741" t="str">
        <f aca="false">Summary!U113</f>
        <v>Labor Burden</v>
      </c>
      <c r="D159" s="318"/>
      <c r="E159" s="751" t="n">
        <f aca="false">O84</f>
        <v>0</v>
      </c>
      <c r="G159" s="1847"/>
      <c r="H159" s="1848"/>
      <c r="I159" s="373"/>
      <c r="J159" s="373"/>
      <c r="K159" s="373"/>
      <c r="L159" s="373"/>
    </row>
    <row r="160" customFormat="false" ht="15" hidden="false" customHeight="false" outlineLevel="0" collapsed="false">
      <c r="B160" s="1404" t="n">
        <f aca="false">Summary!T114</f>
        <v>40047</v>
      </c>
      <c r="C160" s="741" t="str">
        <f aca="false">Summary!U114</f>
        <v>Rebar</v>
      </c>
      <c r="D160" s="749"/>
      <c r="E160" s="742" t="n">
        <f aca="false">O87</f>
        <v>0</v>
      </c>
      <c r="G160" s="1847"/>
      <c r="H160" s="1848"/>
      <c r="I160" s="373"/>
      <c r="J160" s="373"/>
      <c r="K160" s="373"/>
      <c r="L160" s="373"/>
    </row>
    <row r="161" customFormat="false" ht="15" hidden="false" customHeight="false" outlineLevel="0" collapsed="false">
      <c r="B161" s="1854" t="n">
        <f aca="false">Summary!T115</f>
        <v>40048</v>
      </c>
      <c r="C161" s="543" t="str">
        <f aca="false">Summary!U115</f>
        <v>PT Installation</v>
      </c>
      <c r="D161" s="749"/>
      <c r="E161" s="751" t="n">
        <f aca="false">O86</f>
        <v>0</v>
      </c>
    </row>
    <row r="162" customFormat="false" ht="15" hidden="false" customHeight="false" outlineLevel="0" collapsed="false">
      <c r="B162" s="1855" t="n">
        <f aca="false">Summary!T116</f>
        <v>40049</v>
      </c>
      <c r="C162" s="770" t="str">
        <f aca="false">Summary!U116</f>
        <v>Extra Hours</v>
      </c>
      <c r="D162" s="265"/>
      <c r="E162" s="772" t="n">
        <f aca="false">O88</f>
        <v>0</v>
      </c>
    </row>
    <row r="163" customFormat="false" ht="15" hidden="false" customHeight="false" outlineLevel="0" collapsed="false">
      <c r="B163" s="1407" t="n">
        <f aca="false">Summary!T117</f>
        <v>40060</v>
      </c>
      <c r="C163" s="1408" t="str">
        <f aca="false">Summary!U117</f>
        <v>Total Equipment Rental</v>
      </c>
      <c r="D163" s="1409"/>
      <c r="E163" s="1410" t="n">
        <f aca="false">SUM(E164:E171)</f>
        <v>0</v>
      </c>
    </row>
    <row r="164" customFormat="false" ht="15" hidden="false" customHeight="false" outlineLevel="0" collapsed="false">
      <c r="B164" s="1404" t="n">
        <f aca="false">Summary!T118</f>
        <v>40061</v>
      </c>
      <c r="C164" s="741" t="str">
        <f aca="false">Summary!U118</f>
        <v>SkyTrack</v>
      </c>
      <c r="D164" s="318"/>
      <c r="E164" s="742" t="n">
        <f aca="false">O96/(1+$Y$44+J$98)</f>
        <v>0</v>
      </c>
    </row>
    <row r="165" customFormat="false" ht="15" hidden="false" customHeight="false" outlineLevel="0" collapsed="false">
      <c r="B165" s="1404" t="n">
        <f aca="false">Summary!T119</f>
        <v>40062</v>
      </c>
      <c r="C165" s="741" t="str">
        <f aca="false">Summary!U119</f>
        <v>Mini Ex</v>
      </c>
      <c r="D165" s="318"/>
      <c r="E165" s="742" t="n">
        <f aca="false">O97/(1+$Y$44+J$98)</f>
        <v>0</v>
      </c>
    </row>
    <row r="166" customFormat="false" ht="15" hidden="false" customHeight="false" outlineLevel="0" collapsed="false">
      <c r="B166" s="1404" t="n">
        <f aca="false">Summary!T120</f>
        <v>40063</v>
      </c>
      <c r="C166" s="741" t="str">
        <f aca="false">Summary!U120</f>
        <v>Trencher</v>
      </c>
      <c r="D166" s="318"/>
      <c r="E166" s="742" t="n">
        <f aca="false">O98/(1+$Y$44+J$98)</f>
        <v>0</v>
      </c>
    </row>
    <row r="167" customFormat="false" ht="15" hidden="false" customHeight="false" outlineLevel="0" collapsed="false">
      <c r="B167" s="1404" t="n">
        <f aca="false">Summary!T121</f>
        <v>40064</v>
      </c>
      <c r="C167" s="741" t="str">
        <f aca="false">Summary!U121</f>
        <v>Skid Steer</v>
      </c>
      <c r="D167" s="318"/>
      <c r="E167" s="742" t="n">
        <f aca="false">O99/(1+$Y$44+J$98)</f>
        <v>0</v>
      </c>
    </row>
    <row r="168" customFormat="false" ht="15" hidden="false" customHeight="false" outlineLevel="0" collapsed="false">
      <c r="B168" s="1404" t="n">
        <f aca="false">Summary!T122</f>
        <v>40065</v>
      </c>
      <c r="C168" s="741" t="str">
        <f aca="false">Summary!U122</f>
        <v>General Equipment Rental</v>
      </c>
      <c r="D168" s="318"/>
      <c r="E168" s="742" t="n">
        <f aca="false">(O100+O101)/(1+$Y$44+J$98)</f>
        <v>0</v>
      </c>
    </row>
    <row r="169" customFormat="false" ht="15" hidden="false" customHeight="false" outlineLevel="0" collapsed="false">
      <c r="B169" s="1404" t="n">
        <f aca="false">Summary!T123</f>
        <v>40066</v>
      </c>
      <c r="C169" s="741" t="str">
        <f aca="false">Summary!U123</f>
        <v>Fuel</v>
      </c>
      <c r="D169" s="318"/>
      <c r="E169" s="742" t="n">
        <f aca="false">M98-SUM(E164:E168)</f>
        <v>0</v>
      </c>
    </row>
    <row r="170" customFormat="false" ht="15" hidden="false" customHeight="false" outlineLevel="0" collapsed="false">
      <c r="B170" s="1404" t="n">
        <f aca="false">Summary!T124</f>
        <v>40067</v>
      </c>
      <c r="C170" s="741" t="str">
        <f aca="false">Summary!U124</f>
        <v>Purchased Tools</v>
      </c>
      <c r="D170" s="318"/>
      <c r="E170" s="742"/>
    </row>
    <row r="171" customFormat="false" ht="15" hidden="false" customHeight="false" outlineLevel="0" collapsed="false">
      <c r="B171" s="1404" t="n">
        <f aca="false">Summary!T125</f>
        <v>40068</v>
      </c>
      <c r="C171" s="741" t="str">
        <f aca="false">Summary!U125</f>
        <v>Stolen/Damaged</v>
      </c>
      <c r="D171" s="318"/>
      <c r="E171" s="742"/>
    </row>
    <row r="172" customFormat="false" ht="15" hidden="false" customHeight="false" outlineLevel="0" collapsed="false">
      <c r="B172" s="1404" t="n">
        <f aca="false">Summary!T126</f>
        <v>40070</v>
      </c>
      <c r="C172" s="741" t="str">
        <f aca="false">Summary!U126</f>
        <v>Out of Town Expense</v>
      </c>
      <c r="D172" s="318"/>
      <c r="E172" s="742" t="n">
        <f aca="false">O108</f>
        <v>0</v>
      </c>
    </row>
    <row r="173" customFormat="false" ht="15" hidden="false" customHeight="false" outlineLevel="0" collapsed="false">
      <c r="B173" s="1404" t="n">
        <f aca="false">Summary!T127</f>
        <v>40071</v>
      </c>
      <c r="C173" s="741" t="str">
        <f aca="false">Summary!U127</f>
        <v>Miscellaneous</v>
      </c>
      <c r="D173" s="318"/>
      <c r="E173" s="742" t="n">
        <f aca="false">O109</f>
        <v>0</v>
      </c>
    </row>
    <row r="174" customFormat="false" ht="15" hidden="false" customHeight="false" outlineLevel="0" collapsed="false">
      <c r="B174" s="1404" t="n">
        <f aca="false">Summary!T128</f>
        <v>40072</v>
      </c>
      <c r="C174" s="741" t="str">
        <f aca="false">Summary!U128</f>
        <v>Repairs</v>
      </c>
      <c r="D174" s="318"/>
      <c r="E174" s="751"/>
    </row>
    <row r="175" customFormat="false" ht="15" hidden="false" customHeight="false" outlineLevel="0" collapsed="false">
      <c r="B175" s="1404" t="n">
        <f aca="false">Summary!T129</f>
        <v>40073</v>
      </c>
      <c r="C175" s="741" t="str">
        <f aca="false">Summary!U129</f>
        <v>Engineering</v>
      </c>
      <c r="D175" s="318"/>
      <c r="E175" s="751" t="n">
        <f aca="false">O103</f>
        <v>0</v>
      </c>
    </row>
    <row r="176" customFormat="false" ht="15" hidden="false" customHeight="false" outlineLevel="0" collapsed="false">
      <c r="B176" s="1404" t="n">
        <f aca="false">Summary!T130</f>
        <v>40090</v>
      </c>
      <c r="C176" s="741" t="str">
        <f aca="false">Summary!U130</f>
        <v>Not Used</v>
      </c>
      <c r="D176" s="318"/>
      <c r="E176" s="751"/>
    </row>
    <row r="177" customFormat="false" ht="15" hidden="false" customHeight="false" outlineLevel="0" collapsed="false">
      <c r="B177" s="1404" t="n">
        <f aca="false">Summary!T131</f>
        <v>40091</v>
      </c>
      <c r="C177" s="741" t="str">
        <f aca="false">Summary!U131</f>
        <v>Margin Contingency</v>
      </c>
      <c r="D177" s="318"/>
      <c r="E177" s="751" t="n">
        <f aca="false">O110</f>
        <v>0</v>
      </c>
    </row>
  </sheetData>
  <mergeCells count="119">
    <mergeCell ref="AR7:BB7"/>
    <mergeCell ref="BC7:BM7"/>
    <mergeCell ref="CM8:DE8"/>
    <mergeCell ref="T9:V9"/>
    <mergeCell ref="D42:E42"/>
    <mergeCell ref="E43:F43"/>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C72:D72"/>
    <mergeCell ref="E72:F72"/>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E114:F114"/>
    <mergeCell ref="H114:I114"/>
    <mergeCell ref="V114:W114"/>
    <mergeCell ref="D119:E119"/>
  </mergeCells>
  <conditionalFormatting sqref="L64:M64">
    <cfRule type="containsText" priority="2" operator="containsText" aboveAverage="0" equalAverage="0" bottom="0" percent="0" rank="0" text="Missing Concrete" dxfId="4">
      <formula>NOT(ISERROR(SEARCH("Missing Concrete",L64)))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59" man="true" max="16383" min="0"/>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L161"/>
  <sheetViews>
    <sheetView showFormulas="false" showGridLines="true" showRowColHeaders="true" showZeros="true" rightToLeft="false" tabSelected="false" showOutlineSymbols="true" defaultGridColor="true" view="normal" topLeftCell="A32" colorId="64" zoomScale="70" zoomScaleNormal="70" zoomScalePageLayoutView="80" workbookViewId="0">
      <selection pane="topLeft" activeCell="D79" activeCellId="0" sqref="D79"/>
    </sheetView>
  </sheetViews>
  <sheetFormatPr defaultColWidth="2.453125" defaultRowHeight="15" customHeight="false" zeroHeight="false" outlineLevelRow="0" outlineLevelCol="0"/>
  <cols>
    <col collapsed="false" customWidth="true" hidden="false" outlineLevel="0" max="1" min="1" style="16" width="18.18"/>
    <col collapsed="false" customWidth="true" hidden="false" outlineLevel="0" max="2" min="2" style="16" width="19.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7.18"/>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4.82"/>
    <col collapsed="false" customWidth="true" hidden="false" outlineLevel="0" max="30" min="25"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14" customFormat="true" ht="15" hidden="false" customHeight="false" outlineLevel="0" collapsed="false">
      <c r="A1" s="710"/>
      <c r="B1" s="614"/>
      <c r="C1" s="614"/>
      <c r="D1" s="614"/>
      <c r="E1" s="614"/>
      <c r="F1" s="614"/>
      <c r="G1" s="614"/>
      <c r="H1" s="614"/>
      <c r="I1" s="614"/>
      <c r="J1" s="614"/>
      <c r="K1" s="614"/>
      <c r="L1" s="614"/>
      <c r="M1" s="614"/>
      <c r="N1" s="614"/>
      <c r="O1" s="614"/>
      <c r="P1" s="614"/>
      <c r="Q1" s="614"/>
      <c r="R1" s="614"/>
      <c r="S1" s="1068"/>
      <c r="T1" s="1197" t="s">
        <v>1193</v>
      </c>
      <c r="U1" s="1197"/>
      <c r="V1" s="1875" t="n">
        <v>37456</v>
      </c>
      <c r="W1" s="1198"/>
      <c r="AE1" s="1414" t="n">
        <f aca="false">SUM(AE67:AE127)</f>
        <v>0</v>
      </c>
    </row>
    <row r="2" s="1414" customFormat="true" ht="15" hidden="false" customHeight="false" outlineLevel="0" collapsed="false">
      <c r="A2" s="1415" t="str">
        <f aca="false">Summary!C1</f>
        <v>Trammell Crow – LBJ</v>
      </c>
      <c r="B2" s="1416"/>
      <c r="C2" s="1416"/>
      <c r="D2" s="1417"/>
      <c r="E2" s="654"/>
      <c r="F2" s="654"/>
      <c r="G2" s="406"/>
      <c r="H2" s="1268" t="s">
        <v>56</v>
      </c>
      <c r="I2" s="1068"/>
      <c r="J2" s="1202" t="s">
        <v>57</v>
      </c>
      <c r="K2" s="614"/>
      <c r="L2" s="614"/>
      <c r="M2" s="614"/>
      <c r="N2" s="1202" t="s">
        <v>1</v>
      </c>
      <c r="O2" s="1202"/>
      <c r="P2" s="1202" t="s">
        <v>1194</v>
      </c>
      <c r="Q2" s="865"/>
      <c r="R2" s="654"/>
      <c r="S2" s="654"/>
      <c r="T2" s="836" t="s">
        <v>957</v>
      </c>
      <c r="U2" s="695"/>
      <c r="V2" s="837" t="n">
        <f aca="false">Information!C7</f>
        <v>0</v>
      </c>
      <c r="W2" s="838"/>
    </row>
    <row r="3" s="1414" customFormat="true" ht="15" hidden="false" customHeight="false" outlineLevel="0" collapsed="false">
      <c r="A3" s="1420" t="n">
        <f aca="false">Summary!C2</f>
        <v>0</v>
      </c>
      <c r="B3" s="1421"/>
      <c r="C3" s="1421"/>
      <c r="D3" s="1422"/>
      <c r="E3" s="654"/>
      <c r="F3" s="654"/>
      <c r="G3" s="421"/>
      <c r="H3" s="1004" t="s">
        <v>955</v>
      </c>
      <c r="I3" s="1876" t="n">
        <f aca="false">Summary!K2</f>
        <v>0</v>
      </c>
      <c r="J3" s="1877"/>
      <c r="K3" s="1877"/>
      <c r="L3" s="1877"/>
      <c r="M3" s="1877"/>
      <c r="N3" s="1878" t="n">
        <f aca="false">Summary!O2</f>
        <v>0</v>
      </c>
      <c r="O3" s="1878"/>
      <c r="P3" s="1423" t="n">
        <f aca="false">Summary!P2</f>
        <v>0</v>
      </c>
      <c r="Q3" s="1424"/>
      <c r="R3" s="654"/>
      <c r="S3" s="654"/>
      <c r="T3" s="599"/>
      <c r="U3" s="16"/>
      <c r="V3" s="16"/>
      <c r="W3" s="843"/>
    </row>
    <row r="4" s="1414" customFormat="true" ht="15" hidden="false" customHeight="false" outlineLevel="0" collapsed="false">
      <c r="A4" s="1425" t="str">
        <f aca="false">Summary!C3</f>
        <v>Dallas, TX</v>
      </c>
      <c r="B4" s="1426"/>
      <c r="C4" s="1426"/>
      <c r="D4" s="1427"/>
      <c r="E4" s="654"/>
      <c r="F4" s="654"/>
      <c r="G4" s="421"/>
      <c r="H4" s="1004" t="s">
        <v>71</v>
      </c>
      <c r="I4" s="1879" t="n">
        <f aca="false">Summary!K3</f>
        <v>0</v>
      </c>
      <c r="J4" s="1880"/>
      <c r="K4" s="1880"/>
      <c r="L4" s="1880"/>
      <c r="M4" s="1880"/>
      <c r="N4" s="1881" t="n">
        <f aca="false">Summary!O3</f>
        <v>0</v>
      </c>
      <c r="O4" s="1881"/>
      <c r="P4" s="1428" t="n">
        <f aca="false">Summary!P3</f>
        <v>0</v>
      </c>
      <c r="Q4" s="1429"/>
      <c r="R4" s="654"/>
      <c r="S4" s="654"/>
      <c r="T4" s="599" t="s">
        <v>958</v>
      </c>
      <c r="U4" s="16"/>
      <c r="V4" s="848"/>
      <c r="W4" s="849"/>
    </row>
    <row r="5" s="1414" customFormat="true" ht="15" hidden="false" customHeight="false" outlineLevel="0" collapsed="false">
      <c r="A5" s="1041" t="s">
        <v>0</v>
      </c>
      <c r="B5" s="654"/>
      <c r="C5" s="405" t="s">
        <v>1</v>
      </c>
      <c r="D5" s="16"/>
      <c r="E5" s="654"/>
      <c r="F5" s="654"/>
      <c r="G5" s="421"/>
      <c r="H5" s="1004" t="s">
        <v>79</v>
      </c>
      <c r="I5" s="1882" t="n">
        <f aca="false">Summary!K4</f>
        <v>0</v>
      </c>
      <c r="J5" s="1883"/>
      <c r="K5" s="1883"/>
      <c r="L5" s="1883"/>
      <c r="M5" s="1883"/>
      <c r="N5" s="1432" t="n">
        <f aca="false">Summary!O4</f>
        <v>0</v>
      </c>
      <c r="O5" s="1432"/>
      <c r="P5" s="1884" t="n">
        <f aca="false">Summary!P4</f>
        <v>0</v>
      </c>
      <c r="Q5" s="1885"/>
      <c r="R5" s="654"/>
      <c r="S5" s="654"/>
      <c r="T5" s="599"/>
      <c r="U5" s="16"/>
      <c r="V5" s="16"/>
      <c r="W5" s="843"/>
    </row>
    <row r="6" s="1414" customFormat="true" ht="15" hidden="false" customHeight="false" outlineLevel="0" collapsed="false">
      <c r="A6" s="1211" t="n">
        <v>0</v>
      </c>
      <c r="B6" s="654"/>
      <c r="C6" s="851" t="n">
        <v>0</v>
      </c>
      <c r="D6" s="851"/>
      <c r="E6" s="654"/>
      <c r="F6" s="654"/>
      <c r="G6" s="685"/>
      <c r="H6" s="1212" t="s">
        <v>87</v>
      </c>
      <c r="I6" s="1886" t="n">
        <f aca="false">Summary!K5</f>
        <v>0</v>
      </c>
      <c r="J6" s="1887"/>
      <c r="K6" s="1887"/>
      <c r="L6" s="1887"/>
      <c r="M6" s="1887"/>
      <c r="N6" s="1888" t="n">
        <f aca="false">Summary!O5</f>
        <v>0</v>
      </c>
      <c r="O6" s="1888"/>
      <c r="P6" s="1889" t="n">
        <f aca="false">Summary!P5</f>
        <v>0</v>
      </c>
      <c r="Q6" s="1890"/>
      <c r="R6" s="654"/>
      <c r="S6" s="654"/>
      <c r="T6" s="602" t="s">
        <v>958</v>
      </c>
      <c r="U6" s="855"/>
      <c r="V6" s="855"/>
      <c r="W6" s="856"/>
    </row>
    <row r="7" s="1414" customFormat="true" ht="15" hidden="false" customHeight="false" outlineLevel="0" collapsed="false">
      <c r="A7" s="1214" t="n">
        <v>0</v>
      </c>
      <c r="B7" s="654"/>
      <c r="C7" s="1215" t="n">
        <v>0</v>
      </c>
      <c r="D7" s="1215"/>
      <c r="E7" s="654"/>
      <c r="F7" s="1212" t="s">
        <v>1196</v>
      </c>
      <c r="G7" s="1212"/>
      <c r="H7" s="1212"/>
      <c r="I7" s="860" t="str">
        <f aca="false">Pricing!A3</f>
        <v>SRM</v>
      </c>
      <c r="J7" s="860"/>
      <c r="K7" s="860"/>
      <c r="L7" s="860"/>
      <c r="M7" s="860"/>
      <c r="N7" s="726"/>
      <c r="O7" s="726"/>
      <c r="P7" s="726"/>
      <c r="Q7" s="726"/>
      <c r="R7" s="726"/>
      <c r="S7" s="654"/>
      <c r="T7" s="654"/>
      <c r="U7" s="654"/>
      <c r="V7" s="654"/>
      <c r="W7" s="1218"/>
    </row>
    <row r="8" s="1414" customFormat="true" ht="28.55" hidden="false" customHeight="false" outlineLevel="0" collapsed="false">
      <c r="A8" s="1219"/>
      <c r="B8" s="1891"/>
      <c r="C8" s="1892" t="s">
        <v>1660</v>
      </c>
      <c r="D8" s="1893" t="s">
        <v>1661</v>
      </c>
      <c r="E8" s="1894" t="s">
        <v>1662</v>
      </c>
      <c r="F8" s="1895"/>
      <c r="G8" s="1896"/>
      <c r="H8" s="1897" t="s">
        <v>1663</v>
      </c>
      <c r="I8" s="1895"/>
      <c r="J8" s="1896"/>
      <c r="K8" s="1897" t="s">
        <v>1664</v>
      </c>
      <c r="L8" s="1895"/>
      <c r="M8" s="1895"/>
      <c r="N8" s="1898" t="s">
        <v>1665</v>
      </c>
      <c r="O8" s="1457"/>
      <c r="P8" s="1457"/>
      <c r="Q8" s="1457" t="s">
        <v>785</v>
      </c>
      <c r="R8" s="1899" t="n">
        <v>3</v>
      </c>
      <c r="S8" s="1894" t="s">
        <v>1362</v>
      </c>
      <c r="T8" s="1457"/>
      <c r="U8" s="863"/>
      <c r="V8" s="1452" t="s">
        <v>1363</v>
      </c>
      <c r="W8" s="1673" t="s">
        <v>1219</v>
      </c>
      <c r="AI8" s="1414" t="s">
        <v>1666</v>
      </c>
      <c r="AS8" s="1414" t="s">
        <v>1667</v>
      </c>
      <c r="BJ8" s="1900" t="s">
        <v>1507</v>
      </c>
      <c r="BK8" s="1900"/>
      <c r="BL8" s="1900"/>
      <c r="BM8" s="1900"/>
      <c r="BN8" s="1900"/>
      <c r="BO8" s="1900"/>
      <c r="BP8" s="1900"/>
      <c r="BQ8" s="1900"/>
      <c r="BR8" s="1900"/>
      <c r="BS8" s="1901"/>
      <c r="BT8" s="1901"/>
      <c r="BU8" s="1901"/>
      <c r="BV8" s="1901"/>
      <c r="BW8" s="1902"/>
      <c r="DD8" s="1903" t="s">
        <v>1021</v>
      </c>
      <c r="DE8" s="1903"/>
      <c r="DF8" s="1903"/>
      <c r="DG8" s="1903"/>
      <c r="DH8" s="1904"/>
      <c r="DI8" s="1904"/>
      <c r="DJ8" s="1905"/>
    </row>
    <row r="9" s="1414" customFormat="true" ht="28.55" hidden="false" customHeight="true" outlineLevel="0" collapsed="false">
      <c r="A9" s="1906" t="s">
        <v>1668</v>
      </c>
      <c r="B9" s="1906"/>
      <c r="C9" s="1227" t="s">
        <v>1428</v>
      </c>
      <c r="D9" s="1907" t="s">
        <v>1669</v>
      </c>
      <c r="E9" s="1477" t="s">
        <v>1366</v>
      </c>
      <c r="F9" s="1226" t="s">
        <v>1670</v>
      </c>
      <c r="G9" s="1225" t="s">
        <v>1596</v>
      </c>
      <c r="H9" s="1226" t="s">
        <v>1216</v>
      </c>
      <c r="I9" s="1226" t="s">
        <v>1215</v>
      </c>
      <c r="J9" s="1477" t="s">
        <v>1671</v>
      </c>
      <c r="K9" s="1226" t="s">
        <v>1216</v>
      </c>
      <c r="L9" s="1227" t="s">
        <v>1215</v>
      </c>
      <c r="M9" s="1226" t="s">
        <v>1672</v>
      </c>
      <c r="N9" s="1908" t="s">
        <v>1673</v>
      </c>
      <c r="O9" s="1227" t="s">
        <v>1674</v>
      </c>
      <c r="P9" s="1227" t="s">
        <v>1216</v>
      </c>
      <c r="Q9" s="1227" t="s">
        <v>1215</v>
      </c>
      <c r="R9" s="1680" t="s">
        <v>1672</v>
      </c>
      <c r="S9" s="1230" t="s">
        <v>835</v>
      </c>
      <c r="T9" s="1227" t="s">
        <v>1675</v>
      </c>
      <c r="U9" s="1477" t="s">
        <v>1676</v>
      </c>
      <c r="V9" s="1480"/>
      <c r="W9" s="1682"/>
      <c r="AH9" s="1909" t="s">
        <v>1374</v>
      </c>
      <c r="AI9" s="1910" t="s">
        <v>1375</v>
      </c>
      <c r="AJ9" s="1910" t="s">
        <v>1376</v>
      </c>
      <c r="AK9" s="1910" t="s">
        <v>1377</v>
      </c>
      <c r="AL9" s="1910" t="s">
        <v>1378</v>
      </c>
      <c r="AM9" s="1910" t="s">
        <v>1522</v>
      </c>
      <c r="AN9" s="1910" t="s">
        <v>1523</v>
      </c>
      <c r="AO9" s="1910" t="s">
        <v>1524</v>
      </c>
      <c r="AP9" s="1910" t="s">
        <v>1525</v>
      </c>
      <c r="AQ9" s="1911" t="s">
        <v>1526</v>
      </c>
      <c r="AR9" s="1909" t="s">
        <v>1374</v>
      </c>
      <c r="AS9" s="1910" t="s">
        <v>1375</v>
      </c>
      <c r="AT9" s="1910" t="s">
        <v>1376</v>
      </c>
      <c r="AU9" s="1910" t="s">
        <v>1377</v>
      </c>
      <c r="AV9" s="1910" t="s">
        <v>1378</v>
      </c>
      <c r="AW9" s="1910" t="s">
        <v>1522</v>
      </c>
      <c r="AX9" s="1910" t="s">
        <v>1523</v>
      </c>
      <c r="AY9" s="1910" t="s">
        <v>1524</v>
      </c>
      <c r="AZ9" s="1910" t="s">
        <v>1525</v>
      </c>
      <c r="BA9" s="1911" t="s">
        <v>1526</v>
      </c>
      <c r="BB9" s="1414" t="s">
        <v>1677</v>
      </c>
      <c r="BC9" s="1414" t="s">
        <v>1678</v>
      </c>
      <c r="BD9" s="1414" t="s">
        <v>1385</v>
      </c>
      <c r="BE9" s="1414" t="s">
        <v>1386</v>
      </c>
      <c r="BF9" s="1414" t="s">
        <v>1387</v>
      </c>
      <c r="BG9" s="1414" t="s">
        <v>1679</v>
      </c>
      <c r="BH9" s="427" t="s">
        <v>1680</v>
      </c>
      <c r="BJ9" s="1912" t="s">
        <v>577</v>
      </c>
      <c r="BK9" s="1913" t="s">
        <v>1388</v>
      </c>
      <c r="BL9" s="1914" t="s">
        <v>1681</v>
      </c>
      <c r="BM9" s="1913" t="s">
        <v>1389</v>
      </c>
      <c r="BN9" s="1913" t="s">
        <v>1682</v>
      </c>
      <c r="BO9" s="1913" t="s">
        <v>1391</v>
      </c>
      <c r="BP9" s="1914" t="s">
        <v>1683</v>
      </c>
      <c r="BQ9" s="1913" t="s">
        <v>1393</v>
      </c>
      <c r="BR9" s="1915"/>
      <c r="BS9" s="1913" t="s">
        <v>1684</v>
      </c>
      <c r="BT9" s="1913"/>
      <c r="BU9" s="1913" t="s">
        <v>1685</v>
      </c>
      <c r="BV9" s="1913" t="s">
        <v>1686</v>
      </c>
      <c r="BW9" s="1915" t="s">
        <v>1687</v>
      </c>
      <c r="DB9" s="427" t="s">
        <v>1688</v>
      </c>
      <c r="DC9" s="427" t="s">
        <v>1689</v>
      </c>
      <c r="DD9" s="1916" t="s">
        <v>1250</v>
      </c>
      <c r="DE9" s="1917" t="s">
        <v>1396</v>
      </c>
      <c r="DF9" s="1917" t="s">
        <v>1397</v>
      </c>
      <c r="DG9" s="1917" t="s">
        <v>1690</v>
      </c>
      <c r="DH9" s="1917" t="s">
        <v>1141</v>
      </c>
      <c r="DI9" s="1917" t="s">
        <v>1691</v>
      </c>
      <c r="DJ9" s="1918" t="s">
        <v>1692</v>
      </c>
    </row>
    <row r="10" s="1414" customFormat="true" ht="15" hidden="false" customHeight="false" outlineLevel="0" collapsed="false">
      <c r="A10" s="507"/>
      <c r="B10" s="1312"/>
      <c r="C10" s="1919"/>
      <c r="D10" s="1920"/>
      <c r="E10" s="1921"/>
      <c r="F10" s="1234"/>
      <c r="G10" s="1235"/>
      <c r="H10" s="1236"/>
      <c r="I10" s="1234"/>
      <c r="J10" s="1235"/>
      <c r="K10" s="1236"/>
      <c r="L10" s="1234"/>
      <c r="M10" s="1234"/>
      <c r="N10" s="1922"/>
      <c r="O10" s="1234"/>
      <c r="P10" s="1234"/>
      <c r="Q10" s="1234"/>
      <c r="R10" s="1923"/>
      <c r="S10" s="1924"/>
      <c r="T10" s="78"/>
      <c r="U10" s="900"/>
      <c r="V10" s="1925" t="n">
        <f aca="false">((E10*I10/16*I10/16*10.680159*J10)*IF(H10=0,0,(G10/H10))+(G10/12*L10/16*L10/16*10.680159*M10)*IF(K10=0,0,(E10*12/K10))+(E10*IF(P10=0,0,N10/P10)*Q10/16*Q10/16*10.680159*R10)+(IF(P10=0,0,E10/P10*N10)*Q10/16*Q10/16*10.680159*R10)+((T10*U10*S10*0.03*0.2836*G10)/12+4)*IF(H10=0,0,(G10/H10))*I10/16*I10/16*10.680159)*(1+J$56)</f>
        <v>0</v>
      </c>
      <c r="W10" s="1926" t="n">
        <f aca="false">ROUNDUP((E10*F10/12*G10/324+ROUNDUP(S10*T10*U10*G10/46656,0)+N10*O10*E10/3888)*(1+J$51),0)</f>
        <v>0</v>
      </c>
      <c r="AH10" s="1927" t="n">
        <f aca="false">IF($R$8=1,ROUNDUP($N10*$O10*$E10/3888*(1+$J$51),0),0)</f>
        <v>0</v>
      </c>
      <c r="AI10" s="1928" t="n">
        <f aca="false">IF($R$8=2,ROUNDUP($N10*$O10*$E10/3888*(1+$J$51),0),0)</f>
        <v>0</v>
      </c>
      <c r="AJ10" s="1928" t="n">
        <f aca="false">IF($R$8=3,ROUNDUP($N10*$O10*$E10/3888*(1+$J$51),0),0)</f>
        <v>0</v>
      </c>
      <c r="AK10" s="1928" t="n">
        <f aca="false">IF($R$8=4,ROUNDUP($N10*$O10*$E10/3888*(1+$J$51),0),0)</f>
        <v>0</v>
      </c>
      <c r="AL10" s="1928" t="n">
        <f aca="false">IF($R$8=5,ROUNDUP($N10*$O10*$E10/3888*(1+$J$51),0),0)</f>
        <v>0</v>
      </c>
      <c r="AM10" s="1928" t="n">
        <f aca="false">IF($R$8=6,ROUNDUP($N10*$O10*$E10/3888*(1+$J$51),0),0)</f>
        <v>0</v>
      </c>
      <c r="AN10" s="1928" t="n">
        <f aca="false">IF($R$8=7,ROUNDUP($N10*$O10*$E10/3888*(1+$J$51),0),0)</f>
        <v>0</v>
      </c>
      <c r="AO10" s="1928" t="n">
        <f aca="false">IF($R$8=8,ROUNDUP($N10*$O10*$E10/3888*(1+$J$51),0),0)</f>
        <v>0</v>
      </c>
      <c r="AP10" s="1928" t="n">
        <f aca="false">IF($R$8=9,ROUNDUP($N10*$O10*$E10/3888*(1+$J$51),0),0)</f>
        <v>0</v>
      </c>
      <c r="AQ10" s="1928" t="n">
        <f aca="false">IF($R$8=10,ROUNDUP($N10*$O10*$E10/3888*(1+$J$51),0),0)</f>
        <v>0</v>
      </c>
      <c r="AR10" s="1929" t="n">
        <f aca="false">IF($D10=1,$W10-SUM($AH10:$AQ10),0)</f>
        <v>0</v>
      </c>
      <c r="AS10" s="1928" t="n">
        <f aca="false">IF($D10=2,W10-SUM($AH10:$AQ10),0)</f>
        <v>0</v>
      </c>
      <c r="AT10" s="1928" t="n">
        <f aca="false">IF($D10=3,W10-SUM($AH10:$AQ10),0)</f>
        <v>0</v>
      </c>
      <c r="AU10" s="1928" t="n">
        <f aca="false">IF($D10=4,W10-SUM($AH10:$AQ10),0)</f>
        <v>0</v>
      </c>
      <c r="AV10" s="1928" t="n">
        <f aca="false">IF($D10=5,W10-SUM($AH10:$AQ10),0)</f>
        <v>0</v>
      </c>
      <c r="AW10" s="1928" t="n">
        <f aca="false">IF($D10=6,W10-SUM($AH10:$AQ10),0)</f>
        <v>0</v>
      </c>
      <c r="AX10" s="1928" t="n">
        <f aca="false">IF($D10=7,W10-SUM($AH10:$AQ10),0)</f>
        <v>0</v>
      </c>
      <c r="AY10" s="1928" t="n">
        <f aca="false">IF($D10=8,W10-SUM($AH10:$AQ10),0)</f>
        <v>0</v>
      </c>
      <c r="AZ10" s="1928" t="n">
        <f aca="false">IF($D10=9,W10-SUM($AH10:$AQ10),0)</f>
        <v>0</v>
      </c>
      <c r="BA10" s="1930" t="n">
        <f aca="false">IF($D10=10,W10-SUM($AH10:$AQ10),0)</f>
        <v>0</v>
      </c>
      <c r="BB10" s="1928" t="n">
        <f aca="false">SUM(AH10:AQ10)</f>
        <v>0</v>
      </c>
      <c r="BC10" s="1928" t="n">
        <f aca="false">SUM(AR10:AW10)</f>
        <v>0</v>
      </c>
      <c r="BD10" s="1928" t="n">
        <f aca="false">V10</f>
        <v>0</v>
      </c>
      <c r="BE10" s="1928" t="n">
        <f aca="false">E10*G10/12*2+(U10*U10*G10/1728*S10)</f>
        <v>0</v>
      </c>
      <c r="BF10" s="1928" t="n">
        <f aca="false">BE10/2</f>
        <v>0</v>
      </c>
      <c r="BG10" s="1928" t="n">
        <f aca="false">N10*E10/12</f>
        <v>0</v>
      </c>
      <c r="BH10" s="1928" t="n">
        <f aca="false">ROUND(IF(C10="Y",BF10*3/27,0),0)</f>
        <v>0</v>
      </c>
      <c r="BJ10" s="1931" t="n">
        <f aca="false">V10*F$56*IF(T$39="N",(1+V$39),1)</f>
        <v>0</v>
      </c>
      <c r="BK10" s="1932" t="n">
        <f aca="false">(AR10*Pricing!F$3+AS10*Pricing!G$3+AT10*Pricing!H$3+AU10*Pricing!I$3+AV10*Pricing!J$3+AW10*Pricing!K$3+AH10*Pricing!F$3+AI10*Pricing!G$3+AJ10*Pricing!H$3+AK10*Pricing!I$3+AL10*Pricing!J$3+AM10*Pricing!K$3)*IF(T$39="N",(1+V$39),1)</f>
        <v>0</v>
      </c>
      <c r="BL10" s="1932" t="n">
        <f aca="false">IF(C10="Y",(N$59+N$60)/DF$36*DF10,0)</f>
        <v>0</v>
      </c>
      <c r="BM10" s="1932" t="n">
        <f aca="false">BF10*(G$67+D$70)</f>
        <v>0</v>
      </c>
      <c r="BN10" s="1932" t="n">
        <f aca="false">BG10*D$66</f>
        <v>0</v>
      </c>
      <c r="BO10" s="1932" t="n">
        <f aca="false">V10/2000*D$71</f>
        <v>0</v>
      </c>
      <c r="BP10" s="1932" t="n">
        <f aca="false">IF(C10="Y",(N$74+N$73+N$72)/DF$36*DF10,0)</f>
        <v>0</v>
      </c>
      <c r="BQ10" s="1932" t="n">
        <f aca="false">IF(SUM(BF$36:BG$36)=0,0,(SUM(N$78:O$81)+SUM(N$83:O$88)+SUM(N$90:O$96)+W$95)/SUM(BF$36:BG$36)*(BF10+BG10))</f>
        <v>0</v>
      </c>
      <c r="BR10" s="1933"/>
      <c r="BS10" s="1934" t="n">
        <f aca="false">IF(SUM(BF$36:BG$36)=0,0,(BQ$36-W$58-N$64-W77-(L$79*0.15))/SUM(BF$36:BG$36)*BG10+BN10)</f>
        <v>0</v>
      </c>
      <c r="BT10" s="1932" t="n">
        <f aca="false">(AH10*Pricing!F$3+AI10*Pricing!G$3+AJ10*Pricing!H$3+AK10*Pricing!I$3+AL10*Pricing!J$3+AM10*Pricing!K$3)*IF(T$39="N",(1+V$39),1)</f>
        <v>0</v>
      </c>
      <c r="BU10" s="1932" t="n">
        <f aca="false">IF(BG10=0,0,(BS10+BT10)/BG10)</f>
        <v>0</v>
      </c>
      <c r="BV10" s="1932" t="n">
        <f aca="false">SUM(BJ10:BQ10)-BS10-BT10</f>
        <v>0</v>
      </c>
      <c r="BW10" s="1933" t="n">
        <f aca="false">IF(BE10=0,0,BV10/BF10)</f>
        <v>0</v>
      </c>
      <c r="DB10" s="1935" t="n">
        <f aca="false">IF(W10=0,0,D$40/W$36*W10)</f>
        <v>0</v>
      </c>
      <c r="DC10" s="1932" t="e">
        <f aca="false">E10*N10/12*(D$40-7980)/H$66</f>
        <v>#DIV/0!</v>
      </c>
      <c r="DD10" s="179" t="n">
        <f aca="false">ROUND(N10*O10/3088*E10,0)</f>
        <v>0</v>
      </c>
      <c r="DE10" s="908" t="n">
        <f aca="false">ROUND(V10,0)</f>
        <v>0</v>
      </c>
      <c r="DF10" s="356" t="n">
        <f aca="false">ROUND(IF(C10="Y",(G10*0.25*E10+G10*G10/144*0.5*E10)/27*1.3,0),0)</f>
        <v>0</v>
      </c>
      <c r="DG10" s="908" t="n">
        <f aca="false">ROUND(E10*G10/12,0)</f>
        <v>0</v>
      </c>
      <c r="DH10" s="908" t="n">
        <f aca="false">IF(C10="y",ROUNDUP(E10*G10/12,0),0)</f>
        <v>0</v>
      </c>
      <c r="DI10" s="908" t="n">
        <f aca="false">IF(C10="Y",IF(E10&gt;0,E10,0),0)</f>
        <v>0</v>
      </c>
      <c r="DJ10" s="1936" t="n">
        <f aca="false">ROUND(E10*N10/12,0)</f>
        <v>0</v>
      </c>
    </row>
    <row r="11" s="1414" customFormat="true" ht="15" hidden="false" customHeight="false" outlineLevel="0" collapsed="false">
      <c r="A11" s="507"/>
      <c r="B11" s="1312"/>
      <c r="C11" s="1919"/>
      <c r="D11" s="1920"/>
      <c r="E11" s="1937"/>
      <c r="F11" s="1234"/>
      <c r="G11" s="1235"/>
      <c r="H11" s="1236"/>
      <c r="I11" s="1234"/>
      <c r="J11" s="1235"/>
      <c r="K11" s="1236"/>
      <c r="L11" s="1234"/>
      <c r="M11" s="1234"/>
      <c r="N11" s="1922"/>
      <c r="O11" s="1234"/>
      <c r="P11" s="1234"/>
      <c r="Q11" s="1237"/>
      <c r="R11" s="1923"/>
      <c r="S11" s="1924"/>
      <c r="T11" s="78"/>
      <c r="U11" s="900"/>
      <c r="V11" s="1925" t="n">
        <f aca="false">((E11*I11/16*I11/16*10.680159*J11)*IF(H11=0,0,(G11/H11))+(G11/12*L11/16*L11/16*10.680159*M11)*IF(K11=0,0,(E11*12/K11))+(E11*IF(P11=0,0,N11/P11)*Q11/16*Q11/16*10.680159*R11)+(IF(P11=0,0,E11/P11*N11)*Q11/16*Q11/16*10.680159*R11)+((T11*U11*S11*0.03*0.2836*G11)/12+4)*IF(H11=0,0,(G11/H11))*I11/16*I11/16*10.680159)*(1+J$56)</f>
        <v>0</v>
      </c>
      <c r="W11" s="1926" t="n">
        <f aca="false">ROUNDUP((E11*F11/12*G11/324+ROUNDUP(S11*T11*U11*G11/46656,0)+N11*O11*E11/3888)*(1+J$51),0)</f>
        <v>0</v>
      </c>
      <c r="AH11" s="1927" t="n">
        <f aca="false">IF($R$8=1,ROUNDUP($N11*$O11*$E11/3888*(1+$J$51),0),0)</f>
        <v>0</v>
      </c>
      <c r="AI11" s="1928" t="n">
        <f aca="false">IF($R$8=2,ROUNDUP($N11*$O11*$E11/3888*(1+$J$51),0),0)</f>
        <v>0</v>
      </c>
      <c r="AJ11" s="1928" t="n">
        <f aca="false">IF($R$8=3,ROUNDUP($N11*$O11*$E11/3888*(1+$J$51),0),0)</f>
        <v>0</v>
      </c>
      <c r="AK11" s="1928" t="n">
        <f aca="false">IF($R$8=4,ROUNDUP($N11*$O11*$E11/3888*(1+$J$51),0),0)</f>
        <v>0</v>
      </c>
      <c r="AL11" s="1928" t="n">
        <f aca="false">IF($R$8=5,ROUNDUP($N11*$O11*$E11/3888*(1+$J$51),0),0)</f>
        <v>0</v>
      </c>
      <c r="AM11" s="1928" t="n">
        <f aca="false">IF($R$8=6,ROUNDUP($N11*$O11*$E11/3888*(1+$J$51),0),0)</f>
        <v>0</v>
      </c>
      <c r="AN11" s="1928" t="n">
        <f aca="false">IF($R$8=7,ROUNDUP($N11*$O11*$E11/3888*(1+$J$51),0),0)</f>
        <v>0</v>
      </c>
      <c r="AO11" s="1928" t="n">
        <f aca="false">IF($R$8=8,ROUNDUP($N11*$O11*$E11/3888*(1+$J$51),0),0)</f>
        <v>0</v>
      </c>
      <c r="AP11" s="1928" t="n">
        <f aca="false">IF($R$8=9,ROUNDUP($N11*$O11*$E11/3888*(1+$J$51),0),0)</f>
        <v>0</v>
      </c>
      <c r="AQ11" s="1928" t="n">
        <f aca="false">IF($R$8=10,ROUNDUP($N11*$O11*$E11/3888*(1+$J$51),0),0)</f>
        <v>0</v>
      </c>
      <c r="AR11" s="1929" t="n">
        <f aca="false">IF($D11=1,$W11-SUM($AH11:$AQ11),0)</f>
        <v>0</v>
      </c>
      <c r="AS11" s="1928" t="n">
        <f aca="false">IF($D11=2,W11-SUM($AH11:$AQ11),0)</f>
        <v>0</v>
      </c>
      <c r="AT11" s="1928" t="n">
        <f aca="false">IF($D11=3,W11-SUM($AH11:$AQ11),0)</f>
        <v>0</v>
      </c>
      <c r="AU11" s="1928" t="n">
        <f aca="false">IF($D11=4,W11-SUM($AH11:$AQ11),0)</f>
        <v>0</v>
      </c>
      <c r="AV11" s="1928" t="n">
        <f aca="false">IF($D11=5,W11-SUM($AH11:$AQ11),0)</f>
        <v>0</v>
      </c>
      <c r="AW11" s="1928" t="n">
        <f aca="false">IF($D11=6,W11-SUM($AH11:$AQ11),0)</f>
        <v>0</v>
      </c>
      <c r="AX11" s="1928" t="n">
        <f aca="false">IF($D11=7,W11-SUM($AH11:$AQ11),0)</f>
        <v>0</v>
      </c>
      <c r="AY11" s="1928" t="n">
        <f aca="false">IF($D11=8,W11-SUM($AH11:$AQ11),0)</f>
        <v>0</v>
      </c>
      <c r="AZ11" s="1928" t="n">
        <f aca="false">IF($D11=9,W11-SUM($AH11:$AQ11),0)</f>
        <v>0</v>
      </c>
      <c r="BA11" s="1930" t="n">
        <f aca="false">IF($D11=10,W11-SUM($AH11:$AQ11),0)</f>
        <v>0</v>
      </c>
      <c r="BB11" s="1928" t="n">
        <f aca="false">SUM(AH11:AQ11)</f>
        <v>0</v>
      </c>
      <c r="BC11" s="1928" t="n">
        <f aca="false">SUM(AR11:AW11)</f>
        <v>0</v>
      </c>
      <c r="BD11" s="1928" t="n">
        <f aca="false">V11</f>
        <v>0</v>
      </c>
      <c r="BE11" s="1928" t="n">
        <f aca="false">E11*G11/12*2+(U11*U11*G11/1728*S11)</f>
        <v>0</v>
      </c>
      <c r="BF11" s="1928" t="n">
        <f aca="false">BE11/2</f>
        <v>0</v>
      </c>
      <c r="BG11" s="1928" t="n">
        <f aca="false">N11*E11/12</f>
        <v>0</v>
      </c>
      <c r="BH11" s="1928" t="n">
        <f aca="false">ROUND(IF(C11="Y",BF11*3/27,0),0)</f>
        <v>0</v>
      </c>
      <c r="BJ11" s="1931" t="n">
        <f aca="false">V11*F$56*IF(T$39="N",(1+V$39),1)</f>
        <v>0</v>
      </c>
      <c r="BK11" s="1932" t="n">
        <f aca="false">(AR11*Pricing!F$3+AS11*Pricing!G$3+AT11*Pricing!H$3+AU11*Pricing!I$3+AV11*Pricing!J$3+AW11*Pricing!K$3+AH11*Pricing!F$3+AI11*Pricing!G$3+AJ11*Pricing!H$3+AK11*Pricing!I$3+AL11*Pricing!J$3+AM11*Pricing!K$3)*IF(T$39="N",(1+V$39),1)</f>
        <v>0</v>
      </c>
      <c r="BL11" s="1932" t="n">
        <f aca="false">IF(C11="Y",(N$59+N$60)/DF$36*DF11,0)</f>
        <v>0</v>
      </c>
      <c r="BM11" s="1932" t="n">
        <f aca="false">BF11*(G$67+D$70)</f>
        <v>0</v>
      </c>
      <c r="BN11" s="1932" t="n">
        <f aca="false">BG11*D$66</f>
        <v>0</v>
      </c>
      <c r="BO11" s="1932" t="n">
        <f aca="false">V11/2000*D$71</f>
        <v>0</v>
      </c>
      <c r="BP11" s="1932" t="n">
        <f aca="false">IF(C11="Y",(N$74+N$73+N$72)/DF$36*DF11,0)</f>
        <v>0</v>
      </c>
      <c r="BQ11" s="1932" t="n">
        <f aca="false">IF(SUM(BF$36:BG$36)=0,0,(SUM(N$78:O$81)+SUM(N$83:O$88)+SUM(N$90:O$96)+W$95)/SUM(BF$36:BG$36)*(BF11+BG11))</f>
        <v>0</v>
      </c>
      <c r="BR11" s="1933"/>
      <c r="BS11" s="1934" t="n">
        <f aca="false">IF(SUM(BF$36:BG$36)=0,0,(BQ$36-W$58-N$64-W59-(L$79*0.15))/SUM(BF$36:BG$36)*BG11+BN11)</f>
        <v>0</v>
      </c>
      <c r="BT11" s="1932" t="n">
        <f aca="false">(AH11*Pricing!F$3+AI11*Pricing!G$3+AJ11*Pricing!H$3+AK11*Pricing!I$3+AL11*Pricing!J$3+AM11*Pricing!K$3)*IF(T$39="N",(1+V$39),1)</f>
        <v>0</v>
      </c>
      <c r="BU11" s="1932" t="n">
        <f aca="false">IF(BG11=0,0,(BS11+BT11)/BG11)</f>
        <v>0</v>
      </c>
      <c r="BV11" s="1932" t="n">
        <f aca="false">SUM(BJ11:BQ11)-BS11-BT11</f>
        <v>0</v>
      </c>
      <c r="BW11" s="1933" t="n">
        <f aca="false">IF(BE11=0,0,BV11/BF11)</f>
        <v>0</v>
      </c>
      <c r="DB11" s="1935" t="n">
        <f aca="false">IF(W11=0,0,D$40/W$36*W11)</f>
        <v>0</v>
      </c>
      <c r="DC11" s="1932" t="e">
        <f aca="false">E11*N11/12*(D$40-7980)/H$66</f>
        <v>#DIV/0!</v>
      </c>
      <c r="DD11" s="179" t="n">
        <f aca="false">ROUND(N11*O11/3088*E11,0)</f>
        <v>0</v>
      </c>
      <c r="DE11" s="908" t="n">
        <f aca="false">ROUND(V11,0)</f>
        <v>0</v>
      </c>
      <c r="DF11" s="356" t="n">
        <f aca="false">ROUND(IF(C11="Y",(G11*0.25*E11+G11*G11/144*0.5*E11)/27*1.3,0),0)</f>
        <v>0</v>
      </c>
      <c r="DG11" s="908" t="n">
        <f aca="false">ROUND(E11*G11/12,0)</f>
        <v>0</v>
      </c>
      <c r="DH11" s="908" t="n">
        <f aca="false">IF(C11="y",ROUNDUP(E11*G11/12,0),0)</f>
        <v>0</v>
      </c>
      <c r="DI11" s="908" t="n">
        <f aca="false">IF(C11="Y",IF(E11&gt;0,E11,0),0)</f>
        <v>0</v>
      </c>
      <c r="DJ11" s="1936" t="n">
        <f aca="false">ROUND(E11*N11/12,0)</f>
        <v>0</v>
      </c>
    </row>
    <row r="12" s="1414" customFormat="true" ht="15" hidden="false" customHeight="false" outlineLevel="0" collapsed="false">
      <c r="A12" s="507"/>
      <c r="B12" s="1312"/>
      <c r="C12" s="1919"/>
      <c r="D12" s="1920"/>
      <c r="E12" s="1937"/>
      <c r="F12" s="1234"/>
      <c r="G12" s="1235"/>
      <c r="H12" s="1236"/>
      <c r="I12" s="1234"/>
      <c r="J12" s="1235"/>
      <c r="K12" s="1236"/>
      <c r="L12" s="1234"/>
      <c r="M12" s="1234"/>
      <c r="N12" s="1922"/>
      <c r="O12" s="1234"/>
      <c r="P12" s="1234"/>
      <c r="Q12" s="1237"/>
      <c r="R12" s="1923"/>
      <c r="S12" s="1924"/>
      <c r="T12" s="78"/>
      <c r="U12" s="900"/>
      <c r="V12" s="1925" t="n">
        <f aca="false">((E12*I12/16*I12/16*10.680159*J12)*IF(H12=0,0,(G12/H12))+(G12/12*L12/16*L12/16*10.680159*M12)*IF(K12=0,0,(E12*12/K12))+(E12*IF(P12=0,0,N12/P12)*Q12/16*Q12/16*10.680159*R12)+(IF(P12=0,0,E12/P12*N12)*Q12/16*Q12/16*10.680159*R12)+((T12*U12*S12*0.03*0.2836*G12)/12+4)*IF(H12=0,0,(G12/H12))*I12/16*I12/16*10.680159)*(1+J$56)</f>
        <v>0</v>
      </c>
      <c r="W12" s="1926" t="n">
        <f aca="false">ROUNDUP((E12*F12/12*G12/324+ROUNDUP(S12*T12*U12*G12/46656,0)+N12*O12*E12/3888)*(1+J$51),0)</f>
        <v>0</v>
      </c>
      <c r="AH12" s="1927" t="n">
        <f aca="false">IF($R$8=1,ROUNDUP($N12*$O12*$E12/3888*(1+$J$51),0),0)</f>
        <v>0</v>
      </c>
      <c r="AI12" s="1928" t="n">
        <f aca="false">IF($R$8=2,ROUNDUP($N12*$O12*$E12/3888*(1+$J$51),0),0)</f>
        <v>0</v>
      </c>
      <c r="AJ12" s="1928" t="n">
        <f aca="false">IF($R$8=3,ROUNDUP($N12*$O12*$E12/3888*(1+$J$51),0),0)</f>
        <v>0</v>
      </c>
      <c r="AK12" s="1928" t="n">
        <f aca="false">IF($R$8=4,ROUNDUP($N12*$O12*$E12/3888*(1+$J$51),0),0)</f>
        <v>0</v>
      </c>
      <c r="AL12" s="1928" t="n">
        <f aca="false">IF($R$8=5,ROUNDUP($N12*$O12*$E12/3888*(1+$J$51),0),0)</f>
        <v>0</v>
      </c>
      <c r="AM12" s="1928" t="n">
        <f aca="false">IF($R$8=6,ROUNDUP($N12*$O12*$E12/3888*(1+$J$51),0),0)</f>
        <v>0</v>
      </c>
      <c r="AN12" s="1928" t="n">
        <f aca="false">IF($R$8=7,ROUNDUP($N12*$O12*$E12/3888*(1+$J$51),0),0)</f>
        <v>0</v>
      </c>
      <c r="AO12" s="1928" t="n">
        <f aca="false">IF($R$8=8,ROUNDUP($N12*$O12*$E12/3888*(1+$J$51),0),0)</f>
        <v>0</v>
      </c>
      <c r="AP12" s="1928" t="n">
        <f aca="false">IF($R$8=9,ROUNDUP($N12*$O12*$E12/3888*(1+$J$51),0),0)</f>
        <v>0</v>
      </c>
      <c r="AQ12" s="1928" t="n">
        <f aca="false">IF($R$8=10,ROUNDUP($N12*$O12*$E12/3888*(1+$J$51),0),0)</f>
        <v>0</v>
      </c>
      <c r="AR12" s="1929" t="n">
        <f aca="false">IF($D12=1,$W12-SUM($AH12:$AQ12),0)</f>
        <v>0</v>
      </c>
      <c r="AS12" s="1928" t="n">
        <f aca="false">IF($D12=2,W12-SUM($AH12:$AQ12),0)</f>
        <v>0</v>
      </c>
      <c r="AT12" s="1928" t="n">
        <f aca="false">IF($D12=3,W12-SUM($AH12:$AQ12),0)</f>
        <v>0</v>
      </c>
      <c r="AU12" s="1928" t="n">
        <f aca="false">IF($D12=4,W12-SUM($AH12:$AQ12),0)</f>
        <v>0</v>
      </c>
      <c r="AV12" s="1928" t="n">
        <f aca="false">IF($D12=5,W12-SUM($AH12:$AQ12),0)</f>
        <v>0</v>
      </c>
      <c r="AW12" s="1928" t="n">
        <f aca="false">IF($D12=6,W12-SUM($AH12:$AQ12),0)</f>
        <v>0</v>
      </c>
      <c r="AX12" s="1928" t="n">
        <f aca="false">IF($D12=7,W12-SUM($AH12:$AQ12),0)</f>
        <v>0</v>
      </c>
      <c r="AY12" s="1928" t="n">
        <f aca="false">IF($D12=8,W12-SUM($AH12:$AQ12),0)</f>
        <v>0</v>
      </c>
      <c r="AZ12" s="1928" t="n">
        <f aca="false">IF($D12=9,W12-SUM($AH12:$AQ12),0)</f>
        <v>0</v>
      </c>
      <c r="BA12" s="1930" t="n">
        <f aca="false">IF($D12=10,W12-SUM($AH12:$AQ12),0)</f>
        <v>0</v>
      </c>
      <c r="BB12" s="1928" t="n">
        <f aca="false">SUM(AH12:AQ12)</f>
        <v>0</v>
      </c>
      <c r="BC12" s="1928" t="n">
        <f aca="false">SUM(AR12:AW12)</f>
        <v>0</v>
      </c>
      <c r="BD12" s="1928" t="n">
        <f aca="false">V12</f>
        <v>0</v>
      </c>
      <c r="BE12" s="1928" t="n">
        <f aca="false">E12*G12/12*2+(U12*U12*G12/1728*S12)</f>
        <v>0</v>
      </c>
      <c r="BF12" s="1928" t="n">
        <f aca="false">BE12/2</f>
        <v>0</v>
      </c>
      <c r="BG12" s="1928" t="n">
        <f aca="false">N12*E12/12</f>
        <v>0</v>
      </c>
      <c r="BH12" s="1928" t="n">
        <f aca="false">ROUND(IF(C12="Y",BF12*3/27,0),0)</f>
        <v>0</v>
      </c>
      <c r="BJ12" s="1931" t="n">
        <f aca="false">V12*F$56*IF(T$39="N",(1+V$39),1)</f>
        <v>0</v>
      </c>
      <c r="BK12" s="1932" t="n">
        <f aca="false">(AR12*Pricing!F$3+AS12*Pricing!G$3+AT12*Pricing!H$3+AU12*Pricing!I$3+AV12*Pricing!J$3+AW12*Pricing!K$3+AH12*Pricing!F$3+AI12*Pricing!G$3+AJ12*Pricing!H$3+AK12*Pricing!I$3+AL12*Pricing!J$3+AM12*Pricing!K$3)*IF(T$39="N",(1+V$39),1)</f>
        <v>0</v>
      </c>
      <c r="BL12" s="1932" t="n">
        <f aca="false">IF(C12="Y",(N$59+N$60)/DF$36*DF12,0)</f>
        <v>0</v>
      </c>
      <c r="BM12" s="1932" t="n">
        <f aca="false">BF12*(G$67+D$70)</f>
        <v>0</v>
      </c>
      <c r="BN12" s="1932" t="n">
        <f aca="false">BG12*D$66</f>
        <v>0</v>
      </c>
      <c r="BO12" s="1932" t="n">
        <f aca="false">V12/2000*D$71</f>
        <v>0</v>
      </c>
      <c r="BP12" s="1932" t="n">
        <f aca="false">IF(C12="Y",(N$74+N$73+N$72)/DF$36*DF12,0)</f>
        <v>0</v>
      </c>
      <c r="BQ12" s="1932" t="n">
        <f aca="false">IF(SUM(BF$36:BG$36)=0,0,(SUM(N$78:O$81)+SUM(N$83:O$88)+SUM(N$90:O$96)+W$95)/SUM(BF$36:BG$36)*(BF12+BG12))</f>
        <v>0</v>
      </c>
      <c r="BR12" s="1933"/>
      <c r="BS12" s="1934" t="n">
        <f aca="false">IF(SUM(BF$36:BG$36)=0,0,(BQ$36-W$58-N$64-W56-(L$79*0.15))/SUM(BF$36:BG$36)*BG12+BN12)</f>
        <v>0</v>
      </c>
      <c r="BT12" s="1932" t="n">
        <f aca="false">(AH12*Pricing!F$3+AI12*Pricing!G$3+AJ12*Pricing!H$3+AK12*Pricing!I$3+AL12*Pricing!J$3+AM12*Pricing!K$3)*IF(T$39="N",(1+V$39),1)</f>
        <v>0</v>
      </c>
      <c r="BU12" s="1932" t="n">
        <f aca="false">IF(BG12=0,0,(BS12+BT12)/BG12)</f>
        <v>0</v>
      </c>
      <c r="BV12" s="1932" t="n">
        <f aca="false">SUM(BJ12:BQ12)-BS12-BT12</f>
        <v>0</v>
      </c>
      <c r="BW12" s="1933" t="n">
        <f aca="false">IF(BE12=0,0,BV12/BF12)</f>
        <v>0</v>
      </c>
      <c r="DB12" s="1935" t="n">
        <f aca="false">IF(W12=0,0,D$40/W$36*W12)</f>
        <v>0</v>
      </c>
      <c r="DC12" s="1932" t="e">
        <f aca="false">E12*N12/12*(D$40-7980)/H$66</f>
        <v>#DIV/0!</v>
      </c>
      <c r="DD12" s="179" t="n">
        <f aca="false">ROUND(N12*O12/3088*E12,0)</f>
        <v>0</v>
      </c>
      <c r="DE12" s="908" t="n">
        <f aca="false">ROUND(V12,0)</f>
        <v>0</v>
      </c>
      <c r="DF12" s="356" t="n">
        <f aca="false">ROUND(IF(C12="Y",(G12*0.25*E12+G12*G12/144*0.5*E12)/27*1.3,0),0)</f>
        <v>0</v>
      </c>
      <c r="DG12" s="908" t="n">
        <f aca="false">ROUND(E12*G12/12,0)</f>
        <v>0</v>
      </c>
      <c r="DH12" s="908" t="n">
        <f aca="false">IF(C12="y",ROUNDUP(E12*G12/12,0),0)</f>
        <v>0</v>
      </c>
      <c r="DI12" s="908" t="n">
        <f aca="false">IF(C12="Y",IF(E12&gt;0,E12,0),0)</f>
        <v>0</v>
      </c>
      <c r="DJ12" s="1936" t="n">
        <f aca="false">ROUND(E12*N12/12,0)</f>
        <v>0</v>
      </c>
      <c r="DL12" s="1414" t="n">
        <v>5.73</v>
      </c>
    </row>
    <row r="13" s="1414" customFormat="true" ht="15" hidden="false" customHeight="false" outlineLevel="0" collapsed="false">
      <c r="A13" s="507"/>
      <c r="B13" s="1312"/>
      <c r="C13" s="1919"/>
      <c r="D13" s="1920"/>
      <c r="E13" s="1937"/>
      <c r="F13" s="1234"/>
      <c r="G13" s="1235"/>
      <c r="H13" s="1236"/>
      <c r="I13" s="1234"/>
      <c r="J13" s="1235"/>
      <c r="K13" s="1236"/>
      <c r="L13" s="1234"/>
      <c r="M13" s="1234"/>
      <c r="N13" s="1922"/>
      <c r="O13" s="1234"/>
      <c r="P13" s="1234"/>
      <c r="Q13" s="1237"/>
      <c r="R13" s="1923"/>
      <c r="S13" s="1924"/>
      <c r="T13" s="78"/>
      <c r="U13" s="900"/>
      <c r="V13" s="1925" t="n">
        <f aca="false">((E13*I13/16*I13/16*10.680159*J13)*IF(H13=0,0,(G13/H13))+(G13/12*L13/16*L13/16*10.680159*M13)*IF(K13=0,0,(E13*12/K13))+(E13*IF(P13=0,0,N13/P13)*Q13/16*Q13/16*10.680159*R13)+(IF(P13=0,0,E13/P13*N13)*Q13/16*Q13/16*10.680159*R13)+((T13*U13*S13*0.03*0.2836*G13)/12+4)*IF(H13=0,0,(G13/H13))*I13/16*I13/16*10.680159)*(1+J$56)</f>
        <v>0</v>
      </c>
      <c r="W13" s="1926" t="n">
        <f aca="false">ROUNDUP((E13*F13/12*G13/324+ROUNDUP(S13*T13*U13*G13/46656,0)+N13*O13*E13/3888)*(1+J$51),0)</f>
        <v>0</v>
      </c>
      <c r="AH13" s="1927" t="n">
        <f aca="false">IF($R$8=1,ROUNDUP($N13*$O13*$E13/3888*(1+$J$51),0),0)</f>
        <v>0</v>
      </c>
      <c r="AI13" s="1928" t="n">
        <f aca="false">IF($R$8=2,ROUNDUP($N13*$O13*$E13/3888*(1+$J$51),0),0)</f>
        <v>0</v>
      </c>
      <c r="AJ13" s="1928" t="n">
        <f aca="false">IF($R$8=3,ROUNDUP($N13*$O13*$E13/3888*(1+$J$51),0),0)</f>
        <v>0</v>
      </c>
      <c r="AK13" s="1928" t="n">
        <f aca="false">IF($R$8=4,ROUNDUP($N13*$O13*$E13/3888*(1+$J$51),0),0)</f>
        <v>0</v>
      </c>
      <c r="AL13" s="1928" t="n">
        <f aca="false">IF($R$8=5,ROUNDUP($N13*$O13*$E13/3888*(1+$J$51),0),0)</f>
        <v>0</v>
      </c>
      <c r="AM13" s="1928" t="n">
        <f aca="false">IF($R$8=6,ROUNDUP($N13*$O13*$E13/3888*(1+$J$51),0),0)</f>
        <v>0</v>
      </c>
      <c r="AN13" s="1928" t="n">
        <f aca="false">IF($R$8=7,ROUNDUP($N13*$O13*$E13/3888*(1+$J$51),0),0)</f>
        <v>0</v>
      </c>
      <c r="AO13" s="1928" t="n">
        <f aca="false">IF($R$8=8,ROUNDUP($N13*$O13*$E13/3888*(1+$J$51),0),0)</f>
        <v>0</v>
      </c>
      <c r="AP13" s="1928" t="n">
        <f aca="false">IF($R$8=9,ROUNDUP($N13*$O13*$E13/3888*(1+$J$51),0),0)</f>
        <v>0</v>
      </c>
      <c r="AQ13" s="1928" t="n">
        <f aca="false">IF($R$8=10,ROUNDUP($N13*$O13*$E13/3888*(1+$J$51),0),0)</f>
        <v>0</v>
      </c>
      <c r="AR13" s="1929" t="n">
        <f aca="false">IF($D13=1,$W13-SUM($AH13:$AQ13),0)</f>
        <v>0</v>
      </c>
      <c r="AS13" s="1928" t="n">
        <f aca="false">IF($D13=2,W13-SUM($AH13:$AQ13),0)</f>
        <v>0</v>
      </c>
      <c r="AT13" s="1928" t="n">
        <f aca="false">IF($D13=3,W13-SUM($AH13:$AQ13),0)</f>
        <v>0</v>
      </c>
      <c r="AU13" s="1928" t="n">
        <f aca="false">IF($D13=4,W13-SUM($AH13:$AQ13),0)</f>
        <v>0</v>
      </c>
      <c r="AV13" s="1928" t="n">
        <f aca="false">IF($D13=5,W13-SUM($AH13:$AQ13),0)</f>
        <v>0</v>
      </c>
      <c r="AW13" s="1928" t="n">
        <f aca="false">IF($D13=6,W13-SUM($AH13:$AQ13),0)</f>
        <v>0</v>
      </c>
      <c r="AX13" s="1928" t="n">
        <f aca="false">IF($D13=7,W13-SUM($AH13:$AQ13),0)</f>
        <v>0</v>
      </c>
      <c r="AY13" s="1928" t="n">
        <f aca="false">IF($D13=8,W13-SUM($AH13:$AQ13),0)</f>
        <v>0</v>
      </c>
      <c r="AZ13" s="1928" t="n">
        <f aca="false">IF($D13=9,W13-SUM($AH13:$AQ13),0)</f>
        <v>0</v>
      </c>
      <c r="BA13" s="1930" t="n">
        <f aca="false">IF($D13=10,W13-SUM($AH13:$AQ13),0)</f>
        <v>0</v>
      </c>
      <c r="BB13" s="1928" t="n">
        <f aca="false">SUM(AH13:AQ13)</f>
        <v>0</v>
      </c>
      <c r="BC13" s="1928" t="n">
        <f aca="false">SUM(AR13:AW13)</f>
        <v>0</v>
      </c>
      <c r="BD13" s="1928" t="n">
        <f aca="false">V13</f>
        <v>0</v>
      </c>
      <c r="BE13" s="1928" t="n">
        <f aca="false">E13*G13/12*2+(U13*U13*G13/1728*S13)</f>
        <v>0</v>
      </c>
      <c r="BF13" s="1928" t="n">
        <f aca="false">BE13/2</f>
        <v>0</v>
      </c>
      <c r="BG13" s="1928" t="n">
        <f aca="false">N13*E13/12</f>
        <v>0</v>
      </c>
      <c r="BH13" s="1928" t="n">
        <f aca="false">ROUND(IF(C13="Y",BF13*3/27,0),0)</f>
        <v>0</v>
      </c>
      <c r="BJ13" s="1931" t="n">
        <f aca="false">V13*F$56*IF(T$39="N",(1+V$39),1)</f>
        <v>0</v>
      </c>
      <c r="BK13" s="1932" t="n">
        <f aca="false">(AR13*Pricing!F$3+AS13*Pricing!G$3+AT13*Pricing!H$3+AU13*Pricing!I$3+AV13*Pricing!J$3+AW13*Pricing!K$3+AH13*Pricing!F$3+AI13*Pricing!G$3+AJ13*Pricing!H$3+AK13*Pricing!I$3+AL13*Pricing!J$3+AM13*Pricing!K$3)*IF(T$39="N",(1+V$39),1)</f>
        <v>0</v>
      </c>
      <c r="BL13" s="1932" t="n">
        <f aca="false">IF(C13="Y",(N$59+N$60)/DF$36*DF13,0)</f>
        <v>0</v>
      </c>
      <c r="BM13" s="1932" t="n">
        <f aca="false">BF13*(G$67+D$70)</f>
        <v>0</v>
      </c>
      <c r="BN13" s="1932" t="n">
        <f aca="false">BG13*D$66</f>
        <v>0</v>
      </c>
      <c r="BO13" s="1932" t="n">
        <f aca="false">V13/2000*D$71</f>
        <v>0</v>
      </c>
      <c r="BP13" s="1932" t="n">
        <f aca="false">IF(C13="Y",(N$74+N$73+N$72)/DF$36*DF13,0)</f>
        <v>0</v>
      </c>
      <c r="BQ13" s="1932" t="n">
        <f aca="false">IF(SUM(BF$36:BG$36)=0,0,(SUM(N$78:O$81)+SUM(N$83:O$88)+SUM(N$90:O$96)+W$95)/SUM(BF$36:BG$36)*(BF13+BG13))</f>
        <v>0</v>
      </c>
      <c r="BR13" s="1933"/>
      <c r="BS13" s="1934" t="n">
        <f aca="false">IF(SUM(BF$36:BG$36)=0,0,(BQ$36-W$58-N$64-W58-(L$79*0.15))/SUM(BF$36:BG$36)*BG13+BN13)</f>
        <v>0</v>
      </c>
      <c r="BT13" s="1932" t="n">
        <f aca="false">(AH13*Pricing!F$3+AI13*Pricing!G$3+AJ13*Pricing!H$3+AK13*Pricing!I$3+AL13*Pricing!J$3+AM13*Pricing!K$3)*IF(T$39="N",(1+V$39),1)</f>
        <v>0</v>
      </c>
      <c r="BU13" s="1932" t="n">
        <f aca="false">IF(BG13=0,0,(BS13+BT13)/BG13)</f>
        <v>0</v>
      </c>
      <c r="BV13" s="1932" t="n">
        <f aca="false">SUM(BJ13:BQ13)-BS13-BT13</f>
        <v>0</v>
      </c>
      <c r="BW13" s="1933" t="n">
        <f aca="false">IF(BE13=0,0,BV13/BF13)</f>
        <v>0</v>
      </c>
      <c r="DB13" s="1935" t="n">
        <f aca="false">IF(W13=0,0,D$40/W$36*W13)</f>
        <v>0</v>
      </c>
      <c r="DC13" s="1932" t="e">
        <f aca="false">E13*N13/12*(D$40-7980)/H$66</f>
        <v>#DIV/0!</v>
      </c>
      <c r="DD13" s="179" t="n">
        <f aca="false">ROUND(N13*O13/3088*E13,0)</f>
        <v>0</v>
      </c>
      <c r="DE13" s="908" t="n">
        <f aca="false">ROUND(V13,0)</f>
        <v>0</v>
      </c>
      <c r="DF13" s="356" t="n">
        <f aca="false">ROUND(IF(C13="Y",(G13*0.25*E13+G13*G13/144*0.5*E13)/27*1.3,0),0)</f>
        <v>0</v>
      </c>
      <c r="DG13" s="908" t="n">
        <f aca="false">ROUND(E13*G13/12,0)</f>
        <v>0</v>
      </c>
      <c r="DH13" s="908" t="n">
        <f aca="false">IF(C13="y",ROUNDUP(E13*G13/12,0),0)</f>
        <v>0</v>
      </c>
      <c r="DI13" s="908" t="n">
        <f aca="false">IF(C13="Y",IF(E13&gt;0,E13,0),0)</f>
        <v>0</v>
      </c>
      <c r="DJ13" s="1936" t="n">
        <f aca="false">ROUND(E13*N13/12,0)</f>
        <v>0</v>
      </c>
      <c r="DL13" s="1414" t="n">
        <v>17.6</v>
      </c>
    </row>
    <row r="14" s="1414" customFormat="true" ht="15" hidden="false" customHeight="false" outlineLevel="0" collapsed="false">
      <c r="A14" s="507"/>
      <c r="B14" s="1312"/>
      <c r="C14" s="1919"/>
      <c r="D14" s="1920"/>
      <c r="E14" s="1937"/>
      <c r="F14" s="1234"/>
      <c r="G14" s="1235"/>
      <c r="H14" s="1236"/>
      <c r="I14" s="1234"/>
      <c r="J14" s="1235"/>
      <c r="K14" s="1236"/>
      <c r="L14" s="1234"/>
      <c r="M14" s="1234"/>
      <c r="N14" s="1922"/>
      <c r="O14" s="1234"/>
      <c r="P14" s="1234"/>
      <c r="Q14" s="1237"/>
      <c r="R14" s="1923"/>
      <c r="S14" s="1924"/>
      <c r="T14" s="78"/>
      <c r="U14" s="900"/>
      <c r="V14" s="1925" t="n">
        <f aca="false">((E14*I14/16*I14/16*10.680159*J14)*IF(H14=0,0,(G14/H14))+(G14/12*L14/16*L14/16*10.680159*M14)*IF(K14=0,0,(E14*12/K14))+(E14*IF(P14=0,0,N14/P14)*Q14/16*Q14/16*10.680159*R14)+(IF(P14=0,0,E14/P14*N14)*Q14/16*Q14/16*10.680159*R14)+((T14*U14*S14*0.03*0.2836*G14)/12+4)*IF(H14=0,0,(G14/H14))*I14/16*I14/16*10.680159)*(1+J$56)</f>
        <v>0</v>
      </c>
      <c r="W14" s="1926" t="n">
        <f aca="false">ROUNDUP((E14*F14/12*G14/324+ROUNDUP(S14*T14*U14*G14/46656,0)+N14*O14*E14/3888)*(1+J$51),0)</f>
        <v>0</v>
      </c>
      <c r="AH14" s="1927" t="n">
        <f aca="false">IF($R$8=1,ROUNDUP($N14*$O14*$E14/3888*(1+$J$51),0),0)</f>
        <v>0</v>
      </c>
      <c r="AI14" s="1928" t="n">
        <f aca="false">IF($R$8=2,ROUNDUP($N14*$O14*$E14/3888*(1+$J$51),0),0)</f>
        <v>0</v>
      </c>
      <c r="AJ14" s="1928" t="n">
        <f aca="false">IF($R$8=3,ROUNDUP($N14*$O14*$E14/3888*(1+$J$51),0),0)</f>
        <v>0</v>
      </c>
      <c r="AK14" s="1928" t="n">
        <f aca="false">IF($R$8=4,ROUNDUP($N14*$O14*$E14/3888*(1+$J$51),0),0)</f>
        <v>0</v>
      </c>
      <c r="AL14" s="1928" t="n">
        <f aca="false">IF($R$8=5,ROUNDUP($N14*$O14*$E14/3888*(1+$J$51),0),0)</f>
        <v>0</v>
      </c>
      <c r="AM14" s="1928" t="n">
        <f aca="false">IF($R$8=6,ROUNDUP($N14*$O14*$E14/3888*(1+$J$51),0),0)</f>
        <v>0</v>
      </c>
      <c r="AN14" s="1928" t="n">
        <f aca="false">IF($R$8=7,ROUNDUP($N14*$O14*$E14/3888*(1+$J$51),0),0)</f>
        <v>0</v>
      </c>
      <c r="AO14" s="1928" t="n">
        <f aca="false">IF($R$8=8,ROUNDUP($N14*$O14*$E14/3888*(1+$J$51),0),0)</f>
        <v>0</v>
      </c>
      <c r="AP14" s="1928" t="n">
        <f aca="false">IF($R$8=9,ROUNDUP($N14*$O14*$E14/3888*(1+$J$51),0),0)</f>
        <v>0</v>
      </c>
      <c r="AQ14" s="1928" t="n">
        <f aca="false">IF($R$8=10,ROUNDUP($N14*$O14*$E14/3888*(1+$J$51),0),0)</f>
        <v>0</v>
      </c>
      <c r="AR14" s="1929" t="n">
        <f aca="false">IF($D14=1,$W14-SUM($AH14:$AQ14),0)</f>
        <v>0</v>
      </c>
      <c r="AS14" s="1928" t="n">
        <f aca="false">IF($D14=2,W14-SUM($AH14:$AQ14),0)</f>
        <v>0</v>
      </c>
      <c r="AT14" s="1928" t="n">
        <f aca="false">IF($D14=3,W14-SUM($AH14:$AQ14),0)</f>
        <v>0</v>
      </c>
      <c r="AU14" s="1928" t="n">
        <f aca="false">IF($D14=4,W14-SUM($AH14:$AQ14),0)</f>
        <v>0</v>
      </c>
      <c r="AV14" s="1928" t="n">
        <f aca="false">IF($D14=5,W14-SUM($AH14:$AQ14),0)</f>
        <v>0</v>
      </c>
      <c r="AW14" s="1928" t="n">
        <f aca="false">IF($D14=6,W14-SUM($AH14:$AQ14),0)</f>
        <v>0</v>
      </c>
      <c r="AX14" s="1928" t="n">
        <f aca="false">IF($D14=7,W14-SUM($AH14:$AQ14),0)</f>
        <v>0</v>
      </c>
      <c r="AY14" s="1928" t="n">
        <f aca="false">IF($D14=8,W14-SUM($AH14:$AQ14),0)</f>
        <v>0</v>
      </c>
      <c r="AZ14" s="1928" t="n">
        <f aca="false">IF($D14=9,W14-SUM($AH14:$AQ14),0)</f>
        <v>0</v>
      </c>
      <c r="BA14" s="1930" t="n">
        <f aca="false">IF($D14=10,W14-SUM($AH14:$AQ14),0)</f>
        <v>0</v>
      </c>
      <c r="BB14" s="1928" t="n">
        <f aca="false">SUM(AH14:AQ14)</f>
        <v>0</v>
      </c>
      <c r="BC14" s="1928" t="n">
        <f aca="false">SUM(AR14:AW14)</f>
        <v>0</v>
      </c>
      <c r="BD14" s="1928" t="n">
        <f aca="false">V14</f>
        <v>0</v>
      </c>
      <c r="BE14" s="1928" t="n">
        <f aca="false">E14*G14/12*2+(U14*U14*G14/1728*S14)</f>
        <v>0</v>
      </c>
      <c r="BF14" s="1928" t="n">
        <f aca="false">BE14/2</f>
        <v>0</v>
      </c>
      <c r="BG14" s="1928" t="n">
        <f aca="false">N14*E14/12</f>
        <v>0</v>
      </c>
      <c r="BH14" s="1928" t="n">
        <f aca="false">ROUND(IF(C14="Y",BF14*3/27,0),0)</f>
        <v>0</v>
      </c>
      <c r="BJ14" s="1931" t="n">
        <f aca="false">V14*F$56*IF(T$39="N",(1+V$39),1)</f>
        <v>0</v>
      </c>
      <c r="BK14" s="1932" t="n">
        <f aca="false">(AR14*Pricing!F$3+AS14*Pricing!G$3+AT14*Pricing!H$3+AU14*Pricing!I$3+AV14*Pricing!J$3+AW14*Pricing!K$3+AH14*Pricing!F$3+AI14*Pricing!G$3+AJ14*Pricing!H$3+AK14*Pricing!I$3+AL14*Pricing!J$3+AM14*Pricing!K$3)*IF(T$39="N",(1+V$39),1)</f>
        <v>0</v>
      </c>
      <c r="BL14" s="1932" t="n">
        <f aca="false">IF(C14="Y",(N$59+N$60)/DF$36*DF14,0)</f>
        <v>0</v>
      </c>
      <c r="BM14" s="1932" t="n">
        <f aca="false">BF14*(G$67+D$70)</f>
        <v>0</v>
      </c>
      <c r="BN14" s="1932" t="n">
        <f aca="false">BG14*D$66</f>
        <v>0</v>
      </c>
      <c r="BO14" s="1932" t="n">
        <f aca="false">V14/2000*D$71</f>
        <v>0</v>
      </c>
      <c r="BP14" s="1932" t="n">
        <f aca="false">IF(C14="Y",(N$74+N$73+N$72)/DF$36*DF14,0)</f>
        <v>0</v>
      </c>
      <c r="BQ14" s="1932" t="n">
        <f aca="false">IF(SUM(BF$36:BG$36)=0,0,(SUM(N$78:O$81)+SUM(N$83:O$88)+SUM(N$90:O$96)+W$95)/SUM(BF$36:BG$36)*(BF14+BG14))</f>
        <v>0</v>
      </c>
      <c r="BR14" s="1933"/>
      <c r="BS14" s="1934" t="n">
        <f aca="false">IF(SUM(BF$36:BG$36)=0,0,(BQ$36-W$58-N$64-W78-(L$79*0.15))/SUM(BF$36:BG$36)*BG14+BN14)</f>
        <v>0</v>
      </c>
      <c r="BT14" s="1932" t="n">
        <f aca="false">(AH14*Pricing!F$3+AI14*Pricing!G$3+AJ14*Pricing!H$3+AK14*Pricing!I$3+AL14*Pricing!J$3+AM14*Pricing!K$3)*IF(T$39="N",(1+V$39),1)</f>
        <v>0</v>
      </c>
      <c r="BU14" s="1932" t="n">
        <f aca="false">IF(BG14=0,0,(BS14+BT14)/BG14)</f>
        <v>0</v>
      </c>
      <c r="BV14" s="1932" t="n">
        <f aca="false">SUM(BJ14:BQ14)-BS14-BT14</f>
        <v>0</v>
      </c>
      <c r="BW14" s="1933" t="n">
        <f aca="false">IF(BE14=0,0,BV14/BF14)</f>
        <v>0</v>
      </c>
      <c r="DB14" s="1935" t="n">
        <f aca="false">IF(W14=0,0,D$40/W$36*W14)</f>
        <v>0</v>
      </c>
      <c r="DC14" s="1932" t="e">
        <f aca="false">E14*N14/12*(D$40-7980)/H$66</f>
        <v>#DIV/0!</v>
      </c>
      <c r="DD14" s="179" t="n">
        <f aca="false">ROUND(N14*O14/3088*E14,0)</f>
        <v>0</v>
      </c>
      <c r="DE14" s="908" t="n">
        <f aca="false">ROUND(V14,0)</f>
        <v>0</v>
      </c>
      <c r="DF14" s="356" t="n">
        <f aca="false">ROUND(IF(C14="Y",(G14*0.25*E14+G14*G14/144*0.5*E14)/27*1.3,0),0)</f>
        <v>0</v>
      </c>
      <c r="DG14" s="908" t="n">
        <f aca="false">ROUND(E14*G14/12,0)</f>
        <v>0</v>
      </c>
      <c r="DH14" s="908" t="n">
        <f aca="false">IF(C14="y",ROUNDUP(E14*G14/12,0),0)</f>
        <v>0</v>
      </c>
      <c r="DI14" s="908" t="n">
        <f aca="false">IF(C14="Y",IF(E14&gt;0,E14,0),0)</f>
        <v>0</v>
      </c>
      <c r="DJ14" s="1936" t="n">
        <f aca="false">ROUND(E14*N14/12,0)</f>
        <v>0</v>
      </c>
      <c r="DL14" s="1414" t="n">
        <v>50.82</v>
      </c>
    </row>
    <row r="15" s="1414" customFormat="true" ht="15" hidden="false" customHeight="false" outlineLevel="0" collapsed="false">
      <c r="A15" s="507"/>
      <c r="B15" s="1312"/>
      <c r="C15" s="1919"/>
      <c r="D15" s="1920"/>
      <c r="E15" s="1937"/>
      <c r="F15" s="1234"/>
      <c r="G15" s="1235"/>
      <c r="H15" s="1236"/>
      <c r="I15" s="1234"/>
      <c r="J15" s="1235"/>
      <c r="K15" s="1236"/>
      <c r="L15" s="1234"/>
      <c r="M15" s="1234"/>
      <c r="N15" s="1922"/>
      <c r="O15" s="1234"/>
      <c r="P15" s="1234"/>
      <c r="Q15" s="1237"/>
      <c r="R15" s="1923"/>
      <c r="S15" s="1924"/>
      <c r="T15" s="78"/>
      <c r="U15" s="900"/>
      <c r="V15" s="1925" t="n">
        <f aca="false">((E15*I15/16*I15/16*10.680159*J15)*IF(H15=0,0,(G15/H15))+(G15/12*L15/16*L15/16*10.680159*M15)*IF(K15=0,0,(E15*12/K15))+(E15*IF(P15=0,0,N15/P15)*Q15/16*Q15/16*10.680159*R15)+(IF(P15=0,0,E15/P15*N15)*Q15/16*Q15/16*10.680159*R15)+((T15*U15*S15*0.03*0.2836*G15)/12+4)*IF(H15=0,0,(G15/H15))*I15/16*I15/16*10.680159)*(1+J$56)</f>
        <v>0</v>
      </c>
      <c r="W15" s="1926" t="n">
        <f aca="false">ROUNDUP((E15*F15/12*G15/324+ROUNDUP(S15*T15*U15*G15/46656,0)+N15*O15*E15/3888)*(1+J$51),0)</f>
        <v>0</v>
      </c>
      <c r="AH15" s="1927" t="n">
        <f aca="false">IF($R$8=1,ROUNDUP($N15*$O15*$E15/3888*(1+$J$51),0),0)</f>
        <v>0</v>
      </c>
      <c r="AI15" s="1928" t="n">
        <f aca="false">IF($R$8=2,ROUNDUP($N15*$O15*$E15/3888*(1+$J$51),0),0)</f>
        <v>0</v>
      </c>
      <c r="AJ15" s="1928" t="n">
        <f aca="false">IF($R$8=3,ROUNDUP($N15*$O15*$E15/3888*(1+$J$51),0),0)</f>
        <v>0</v>
      </c>
      <c r="AK15" s="1928" t="n">
        <f aca="false">IF($R$8=4,ROUNDUP($N15*$O15*$E15/3888*(1+$J$51),0),0)</f>
        <v>0</v>
      </c>
      <c r="AL15" s="1928" t="n">
        <f aca="false">IF($R$8=5,ROUNDUP($N15*$O15*$E15/3888*(1+$J$51),0),0)</f>
        <v>0</v>
      </c>
      <c r="AM15" s="1928" t="n">
        <f aca="false">IF($R$8=6,ROUNDUP($N15*$O15*$E15/3888*(1+$J$51),0),0)</f>
        <v>0</v>
      </c>
      <c r="AN15" s="1928" t="n">
        <f aca="false">IF($R$8=7,ROUNDUP($N15*$O15*$E15/3888*(1+$J$51),0),0)</f>
        <v>0</v>
      </c>
      <c r="AO15" s="1928" t="n">
        <f aca="false">IF($R$8=8,ROUNDUP($N15*$O15*$E15/3888*(1+$J$51),0),0)</f>
        <v>0</v>
      </c>
      <c r="AP15" s="1928" t="n">
        <f aca="false">IF($R$8=9,ROUNDUP($N15*$O15*$E15/3888*(1+$J$51),0),0)</f>
        <v>0</v>
      </c>
      <c r="AQ15" s="1928" t="n">
        <f aca="false">IF($R$8=10,ROUNDUP($N15*$O15*$E15/3888*(1+$J$51),0),0)</f>
        <v>0</v>
      </c>
      <c r="AR15" s="1929" t="n">
        <f aca="false">IF($D15=1,$W15-SUM($AH15:$AQ15),0)</f>
        <v>0</v>
      </c>
      <c r="AS15" s="1928" t="n">
        <f aca="false">IF($D15=2,W15-SUM($AH15:$AQ15),0)</f>
        <v>0</v>
      </c>
      <c r="AT15" s="1928" t="n">
        <f aca="false">IF($D15=3,W15-SUM($AH15:$AQ15),0)</f>
        <v>0</v>
      </c>
      <c r="AU15" s="1928" t="n">
        <f aca="false">IF($D15=4,W15-SUM($AH15:$AQ15),0)</f>
        <v>0</v>
      </c>
      <c r="AV15" s="1928" t="n">
        <f aca="false">IF($D15=5,W15-SUM($AH15:$AQ15),0)</f>
        <v>0</v>
      </c>
      <c r="AW15" s="1928" t="n">
        <f aca="false">IF($D15=6,W15-SUM($AH15:$AQ15),0)</f>
        <v>0</v>
      </c>
      <c r="AX15" s="1928" t="n">
        <f aca="false">IF($D15=7,W15-SUM($AH15:$AQ15),0)</f>
        <v>0</v>
      </c>
      <c r="AY15" s="1928" t="n">
        <f aca="false">IF($D15=8,W15-SUM($AH15:$AQ15),0)</f>
        <v>0</v>
      </c>
      <c r="AZ15" s="1928" t="n">
        <f aca="false">IF($D15=9,W15-SUM($AH15:$AQ15),0)</f>
        <v>0</v>
      </c>
      <c r="BA15" s="1930" t="n">
        <f aca="false">IF($D15=10,W15-SUM($AH15:$AQ15),0)</f>
        <v>0</v>
      </c>
      <c r="BB15" s="1928" t="n">
        <f aca="false">SUM(AH15:AQ15)</f>
        <v>0</v>
      </c>
      <c r="BC15" s="1928" t="n">
        <f aca="false">SUM(AR15:AW15)</f>
        <v>0</v>
      </c>
      <c r="BD15" s="1928" t="n">
        <f aca="false">V15</f>
        <v>0</v>
      </c>
      <c r="BE15" s="1928" t="n">
        <f aca="false">E15*G15/12*2+(U15*U15*G15/1728*S15)</f>
        <v>0</v>
      </c>
      <c r="BF15" s="1928" t="n">
        <f aca="false">BE15/2</f>
        <v>0</v>
      </c>
      <c r="BG15" s="1928" t="n">
        <f aca="false">N15*E15/12</f>
        <v>0</v>
      </c>
      <c r="BH15" s="1928" t="n">
        <f aca="false">ROUND(IF(C15="Y",BF15*3/27,0),0)</f>
        <v>0</v>
      </c>
      <c r="BJ15" s="1931" t="n">
        <f aca="false">V15*F$56*IF(T$39="N",(1+V$39),1)</f>
        <v>0</v>
      </c>
      <c r="BK15" s="1932" t="n">
        <f aca="false">(AR15*Pricing!F$3+AS15*Pricing!G$3+AT15*Pricing!H$3+AU15*Pricing!I$3+AV15*Pricing!J$3+AW15*Pricing!K$3+AH15*Pricing!F$3+AI15*Pricing!G$3+AJ15*Pricing!H$3+AK15*Pricing!I$3+AL15*Pricing!J$3+AM15*Pricing!K$3)*IF(T$39="N",(1+V$39),1)</f>
        <v>0</v>
      </c>
      <c r="BL15" s="1932" t="n">
        <f aca="false">IF(C15="Y",(N$59+N$60)/DF$36*DF15,0)</f>
        <v>0</v>
      </c>
      <c r="BM15" s="1932" t="n">
        <f aca="false">BF15*(G$67+D$70)</f>
        <v>0</v>
      </c>
      <c r="BN15" s="1932" t="n">
        <f aca="false">BG15*D$66</f>
        <v>0</v>
      </c>
      <c r="BO15" s="1932" t="n">
        <f aca="false">V15/2000*D$71</f>
        <v>0</v>
      </c>
      <c r="BP15" s="1932" t="n">
        <f aca="false">IF(C15="Y",(N$74+N$73+N$72)/DF$36*DF15,0)</f>
        <v>0</v>
      </c>
      <c r="BQ15" s="1932" t="n">
        <f aca="false">IF(SUM(BF$36:BG$36)=0,0,(SUM(N$78:O$81)+SUM(N$83:O$88)+SUM(N$90:O$96)+W$95)/SUM(BF$36:BG$36)*(BF15+BG15))</f>
        <v>0</v>
      </c>
      <c r="BR15" s="1933"/>
      <c r="BS15" s="1934" t="n">
        <f aca="false">IF(SUM(BF$36:BG$36)=0,0,(BQ$36-W$58-N$64-W79-(L$79*0.15))/SUM(BF$36:BG$36)*BG15+BN15)</f>
        <v>0</v>
      </c>
      <c r="BT15" s="1932" t="n">
        <f aca="false">(AH15*Pricing!F$3+AI15*Pricing!G$3+AJ15*Pricing!H$3+AK15*Pricing!I$3+AL15*Pricing!J$3+AM15*Pricing!K$3)*IF(T$39="N",(1+V$39),1)</f>
        <v>0</v>
      </c>
      <c r="BU15" s="1932" t="n">
        <f aca="false">IF(BG15=0,0,(BS15+BT15)/BG15)</f>
        <v>0</v>
      </c>
      <c r="BV15" s="1932" t="n">
        <f aca="false">SUM(BJ15:BQ15)-BS15-BT15</f>
        <v>0</v>
      </c>
      <c r="BW15" s="1933" t="n">
        <f aca="false">IF(BE15=0,0,BV15/BF15)</f>
        <v>0</v>
      </c>
      <c r="DB15" s="1935" t="n">
        <f aca="false">IF(W15=0,0,D$40/W$36*W15)</f>
        <v>0</v>
      </c>
      <c r="DC15" s="1932" t="e">
        <f aca="false">E15*N15/12*(D$40-7980)/H$66</f>
        <v>#DIV/0!</v>
      </c>
      <c r="DD15" s="179" t="n">
        <f aca="false">ROUND(N15*O15/3088*E15,0)</f>
        <v>0</v>
      </c>
      <c r="DE15" s="908" t="n">
        <f aca="false">ROUND(V15,0)</f>
        <v>0</v>
      </c>
      <c r="DF15" s="356" t="n">
        <f aca="false">ROUND(IF(C15="Y",(G15*0.25*E15+G15*G15/144*0.5*E15)/27*1.3,0),0)</f>
        <v>0</v>
      </c>
      <c r="DG15" s="908" t="n">
        <f aca="false">ROUND(E15*G15/12,0)</f>
        <v>0</v>
      </c>
      <c r="DH15" s="908" t="n">
        <f aca="false">IF(C15="y",ROUNDUP(E15*G15/12,0),0)</f>
        <v>0</v>
      </c>
      <c r="DI15" s="908" t="n">
        <f aca="false">IF(C15="Y",IF(E15&gt;0,E15,0),0)</f>
        <v>0</v>
      </c>
      <c r="DJ15" s="1936" t="n">
        <f aca="false">ROUND(E15*N15/12,0)</f>
        <v>0</v>
      </c>
      <c r="DL15" s="1414" t="n">
        <v>28.41</v>
      </c>
    </row>
    <row r="16" s="1414" customFormat="true" ht="15" hidden="false" customHeight="false" outlineLevel="0" collapsed="false">
      <c r="A16" s="507"/>
      <c r="B16" s="1312"/>
      <c r="C16" s="1919"/>
      <c r="D16" s="1920"/>
      <c r="E16" s="1937"/>
      <c r="F16" s="1234"/>
      <c r="G16" s="1235"/>
      <c r="H16" s="1236"/>
      <c r="I16" s="1234"/>
      <c r="J16" s="1235"/>
      <c r="K16" s="1236"/>
      <c r="L16" s="1234"/>
      <c r="M16" s="1234"/>
      <c r="N16" s="1922"/>
      <c r="O16" s="1234"/>
      <c r="P16" s="1234"/>
      <c r="Q16" s="1237"/>
      <c r="R16" s="1923"/>
      <c r="S16" s="1924"/>
      <c r="T16" s="78"/>
      <c r="U16" s="900"/>
      <c r="V16" s="1925" t="n">
        <f aca="false">((E16*I16/16*I16/16*10.680159*J16)*IF(H16=0,0,(G16/H16))+(G16/12*L16/16*L16/16*10.680159*M16)*IF(K16=0,0,(E16*12/K16))+(E16*IF(P16=0,0,N16/P16)*Q16/16*Q16/16*10.680159*R16)+(IF(P16=0,0,E16/P16*N16)*Q16/16*Q16/16*10.680159*R16)+((T16*U16*S16*0.03*0.2836*G16)/12+4)*IF(H16=0,0,(G16/H16))*I16/16*I16/16*10.680159)*(1+J$56)</f>
        <v>0</v>
      </c>
      <c r="W16" s="1926" t="n">
        <f aca="false">ROUNDUP((E16*F16/12*G16/324+ROUNDUP(S16*T16*U16*G16/46656,0)+N16*O16*E16/3888)*(1+J$51),0)</f>
        <v>0</v>
      </c>
      <c r="AH16" s="1927" t="n">
        <f aca="false">IF($R$8=1,ROUNDUP($N16*$O16*$E16/3888*(1+$J$51),0),0)</f>
        <v>0</v>
      </c>
      <c r="AI16" s="1928" t="n">
        <f aca="false">IF($R$8=2,ROUNDUP($N16*$O16*$E16/3888*(1+$J$51),0),0)</f>
        <v>0</v>
      </c>
      <c r="AJ16" s="1928" t="n">
        <f aca="false">IF($R$8=3,ROUNDUP($N16*$O16*$E16/3888*(1+$J$51),0),0)</f>
        <v>0</v>
      </c>
      <c r="AK16" s="1928" t="n">
        <f aca="false">IF($R$8=4,ROUNDUP($N16*$O16*$E16/3888*(1+$J$51),0),0)</f>
        <v>0</v>
      </c>
      <c r="AL16" s="1928" t="n">
        <f aca="false">IF($R$8=5,ROUNDUP($N16*$O16*$E16/3888*(1+$J$51),0),0)</f>
        <v>0</v>
      </c>
      <c r="AM16" s="1928" t="n">
        <f aca="false">IF($R$8=6,ROUNDUP($N16*$O16*$E16/3888*(1+$J$51),0),0)</f>
        <v>0</v>
      </c>
      <c r="AN16" s="1928" t="n">
        <f aca="false">IF($R$8=7,ROUNDUP($N16*$O16*$E16/3888*(1+$J$51),0),0)</f>
        <v>0</v>
      </c>
      <c r="AO16" s="1928" t="n">
        <f aca="false">IF($R$8=8,ROUNDUP($N16*$O16*$E16/3888*(1+$J$51),0),0)</f>
        <v>0</v>
      </c>
      <c r="AP16" s="1928" t="n">
        <f aca="false">IF($R$8=9,ROUNDUP($N16*$O16*$E16/3888*(1+$J$51),0),0)</f>
        <v>0</v>
      </c>
      <c r="AQ16" s="1928" t="n">
        <f aca="false">IF($R$8=10,ROUNDUP($N16*$O16*$E16/3888*(1+$J$51),0),0)</f>
        <v>0</v>
      </c>
      <c r="AR16" s="1929" t="n">
        <f aca="false">IF($D16=1,$W16-SUM($AH16:$AQ16),0)</f>
        <v>0</v>
      </c>
      <c r="AS16" s="1928" t="n">
        <f aca="false">IF($D16=2,W16-SUM($AH16:$AQ16),0)</f>
        <v>0</v>
      </c>
      <c r="AT16" s="1928" t="n">
        <f aca="false">IF($D16=3,W16-SUM($AH16:$AQ16),0)</f>
        <v>0</v>
      </c>
      <c r="AU16" s="1928" t="n">
        <f aca="false">IF($D16=4,W16-SUM($AH16:$AQ16),0)</f>
        <v>0</v>
      </c>
      <c r="AV16" s="1928" t="n">
        <f aca="false">IF($D16=5,W16-SUM($AH16:$AQ16),0)</f>
        <v>0</v>
      </c>
      <c r="AW16" s="1928" t="n">
        <f aca="false">IF($D16=6,W16-SUM($AH16:$AQ16),0)</f>
        <v>0</v>
      </c>
      <c r="AX16" s="1928" t="n">
        <f aca="false">IF($D16=7,W16-SUM($AH16:$AQ16),0)</f>
        <v>0</v>
      </c>
      <c r="AY16" s="1928" t="n">
        <f aca="false">IF($D16=8,W16-SUM($AH16:$AQ16),0)</f>
        <v>0</v>
      </c>
      <c r="AZ16" s="1928" t="n">
        <f aca="false">IF($D16=9,W16-SUM($AH16:$AQ16),0)</f>
        <v>0</v>
      </c>
      <c r="BA16" s="1930" t="n">
        <f aca="false">IF($D16=10,W16-SUM($AH16:$AQ16),0)</f>
        <v>0</v>
      </c>
      <c r="BB16" s="1928" t="n">
        <f aca="false">SUM(AH16:AQ16)</f>
        <v>0</v>
      </c>
      <c r="BC16" s="1928" t="n">
        <f aca="false">SUM(AR16:AW16)</f>
        <v>0</v>
      </c>
      <c r="BD16" s="1928" t="n">
        <f aca="false">V16</f>
        <v>0</v>
      </c>
      <c r="BE16" s="1928" t="n">
        <f aca="false">E16*G16/12*2+(U16*U16*G16/1728*S16)</f>
        <v>0</v>
      </c>
      <c r="BF16" s="1928" t="n">
        <f aca="false">BE16/2</f>
        <v>0</v>
      </c>
      <c r="BG16" s="1928" t="n">
        <f aca="false">N16*E16/12</f>
        <v>0</v>
      </c>
      <c r="BH16" s="1928" t="n">
        <f aca="false">ROUND(IF(C16="Y",BF16*3/27,0),0)</f>
        <v>0</v>
      </c>
      <c r="BJ16" s="1931" t="n">
        <f aca="false">V16*F$56*IF(T$39="N",(1+V$39),1)</f>
        <v>0</v>
      </c>
      <c r="BK16" s="1932" t="n">
        <f aca="false">(AR16*Pricing!F$3+AS16*Pricing!G$3+AT16*Pricing!H$3+AU16*Pricing!I$3+AV16*Pricing!J$3+AW16*Pricing!K$3+AH16*Pricing!F$3+AI16*Pricing!G$3+AJ16*Pricing!H$3+AK16*Pricing!I$3+AL16*Pricing!J$3+AM16*Pricing!K$3)*IF(T$39="N",(1+V$39),1)</f>
        <v>0</v>
      </c>
      <c r="BL16" s="1932" t="n">
        <f aca="false">IF(C16="Y",(N$59+N$60)/DF$36*DF16,0)</f>
        <v>0</v>
      </c>
      <c r="BM16" s="1932" t="n">
        <f aca="false">BF16*(G$67+D$70)</f>
        <v>0</v>
      </c>
      <c r="BN16" s="1932" t="n">
        <f aca="false">BG16*D$66</f>
        <v>0</v>
      </c>
      <c r="BO16" s="1932" t="n">
        <f aca="false">V16/2000*D$71</f>
        <v>0</v>
      </c>
      <c r="BP16" s="1932" t="n">
        <f aca="false">IF(C16="Y",(N$74+N$73+N$72)/DF$36*DF16,0)</f>
        <v>0</v>
      </c>
      <c r="BQ16" s="1932" t="n">
        <f aca="false">IF(SUM(BF$36:BG$36)=0,0,(SUM(N$78:O$81)+SUM(N$83:O$88)+SUM(N$90:O$96)+W$95)/SUM(BF$36:BG$36)*(BF16+BG16))</f>
        <v>0</v>
      </c>
      <c r="BR16" s="1933"/>
      <c r="BS16" s="1934" t="n">
        <f aca="false">IF(SUM(BF$36:BG$36)=0,0,(BQ$36-W$58-N$64-W71-(L$79*0.15))/SUM(BF$36:BG$36)*BG16+BN16)</f>
        <v>0</v>
      </c>
      <c r="BT16" s="1932" t="n">
        <f aca="false">(AH16*Pricing!F$3+AI16*Pricing!G$3+AJ16*Pricing!H$3+AK16*Pricing!I$3+AL16*Pricing!J$3+AM16*Pricing!K$3)*IF(T$39="N",(1+V$39),1)</f>
        <v>0</v>
      </c>
      <c r="BU16" s="1932" t="n">
        <f aca="false">IF(BG16=0,0,(BS16+BT16)/BG16)</f>
        <v>0</v>
      </c>
      <c r="BV16" s="1932" t="n">
        <f aca="false">SUM(BJ16:BQ16)-BS16-BT16</f>
        <v>0</v>
      </c>
      <c r="BW16" s="1933" t="n">
        <f aca="false">IF(BE16=0,0,BV16/BF16)</f>
        <v>0</v>
      </c>
      <c r="DB16" s="1935" t="n">
        <f aca="false">IF(W16=0,0,D$40/W$36*W16)</f>
        <v>0</v>
      </c>
      <c r="DC16" s="1932" t="e">
        <f aca="false">E16*N16/12*(D$40-7980)/H$66</f>
        <v>#DIV/0!</v>
      </c>
      <c r="DD16" s="179" t="n">
        <f aca="false">ROUND(N16*O16/3088*E16,0)</f>
        <v>0</v>
      </c>
      <c r="DE16" s="908" t="n">
        <f aca="false">ROUND(V16,0)</f>
        <v>0</v>
      </c>
      <c r="DF16" s="356" t="n">
        <f aca="false">ROUND(IF(C16="Y",(G16*0.25*E16+G16*G16/144*0.5*E16)/27*1.3,0),0)</f>
        <v>0</v>
      </c>
      <c r="DG16" s="908" t="n">
        <f aca="false">ROUND(E16*G16/12,0)</f>
        <v>0</v>
      </c>
      <c r="DH16" s="908" t="n">
        <f aca="false">IF(C16="y",ROUNDUP(E16*G16/12,0),0)</f>
        <v>0</v>
      </c>
      <c r="DI16" s="908" t="n">
        <f aca="false">IF(C16="Y",IF(E16&gt;0,E16,0),0)</f>
        <v>0</v>
      </c>
      <c r="DJ16" s="1936" t="n">
        <f aca="false">ROUND(E16*N16/12,0)</f>
        <v>0</v>
      </c>
      <c r="DL16" s="1414" t="n">
        <v>17.14</v>
      </c>
    </row>
    <row r="17" s="1414" customFormat="true" ht="15" hidden="false" customHeight="false" outlineLevel="0" collapsed="false">
      <c r="A17" s="507"/>
      <c r="B17" s="1312"/>
      <c r="C17" s="1919"/>
      <c r="D17" s="1920"/>
      <c r="E17" s="1921"/>
      <c r="F17" s="1234"/>
      <c r="G17" s="1235"/>
      <c r="H17" s="1236"/>
      <c r="I17" s="1234"/>
      <c r="J17" s="1235"/>
      <c r="K17" s="1236"/>
      <c r="L17" s="1234"/>
      <c r="M17" s="1234"/>
      <c r="N17" s="1922"/>
      <c r="O17" s="1234"/>
      <c r="P17" s="1234"/>
      <c r="Q17" s="1237"/>
      <c r="R17" s="1923"/>
      <c r="S17" s="1924"/>
      <c r="T17" s="78"/>
      <c r="U17" s="900"/>
      <c r="V17" s="1925" t="n">
        <f aca="false">((E17*I17/16*I17/16*10.680159*J17)*IF(H17=0,0,(G17/H17))+(G17/12*L17/16*L17/16*10.680159*M17)*IF(K17=0,0,(E17*12/K17))+(E17*IF(P17=0,0,N17/P17)*Q17/16*Q17/16*10.680159*R17)+(IF(P17=0,0,E17/P17*N17)*Q17/16*Q17/16*10.680159*R17)+((T17*U17*S17*0.03*0.2836*G17)/12+4)*IF(H17=0,0,(G17/H17))*I17/16*I17/16*10.680159)*(1+J$56)</f>
        <v>0</v>
      </c>
      <c r="W17" s="1926" t="n">
        <f aca="false">ROUNDUP((E17*F17/12*G17/324+ROUNDUP(S17*T17*U17*G17/46656,0)+N17*O17*E17/3888)*(1+J$51),0)</f>
        <v>0</v>
      </c>
      <c r="AH17" s="1927" t="n">
        <f aca="false">IF($R$8=1,ROUNDUP($N17*$O17*$E17/3888*(1+$J$51),0),0)</f>
        <v>0</v>
      </c>
      <c r="AI17" s="1928" t="n">
        <f aca="false">IF($R$8=2,ROUNDUP($N17*$O17*$E17/3888*(1+$J$51),0),0)</f>
        <v>0</v>
      </c>
      <c r="AJ17" s="1928" t="n">
        <f aca="false">IF($R$8=3,ROUNDUP($N17*$O17*$E17/3888*(1+$J$51),0),0)</f>
        <v>0</v>
      </c>
      <c r="AK17" s="1928" t="n">
        <f aca="false">IF($R$8=4,ROUNDUP($N17*$O17*$E17/3888*(1+$J$51),0),0)</f>
        <v>0</v>
      </c>
      <c r="AL17" s="1928" t="n">
        <f aca="false">IF($R$8=5,ROUNDUP($N17*$O17*$E17/3888*(1+$J$51),0),0)</f>
        <v>0</v>
      </c>
      <c r="AM17" s="1928" t="n">
        <f aca="false">IF($R$8=6,ROUNDUP($N17*$O17*$E17/3888*(1+$J$51),0),0)</f>
        <v>0</v>
      </c>
      <c r="AN17" s="1928" t="n">
        <f aca="false">IF($R$8=7,ROUNDUP($N17*$O17*$E17/3888*(1+$J$51),0),0)</f>
        <v>0</v>
      </c>
      <c r="AO17" s="1928" t="n">
        <f aca="false">IF($R$8=8,ROUNDUP($N17*$O17*$E17/3888*(1+$J$51),0),0)</f>
        <v>0</v>
      </c>
      <c r="AP17" s="1928" t="n">
        <f aca="false">IF($R$8=9,ROUNDUP($N17*$O17*$E17/3888*(1+$J$51),0),0)</f>
        <v>0</v>
      </c>
      <c r="AQ17" s="1928" t="n">
        <f aca="false">IF($R$8=10,ROUNDUP($N17*$O17*$E17/3888*(1+$J$51),0),0)</f>
        <v>0</v>
      </c>
      <c r="AR17" s="1929" t="n">
        <f aca="false">IF($D17=1,$W17-SUM($AH17:$AQ17),0)</f>
        <v>0</v>
      </c>
      <c r="AS17" s="1928" t="n">
        <f aca="false">IF($D17=2,W17-SUM($AH17:$AQ17),0)</f>
        <v>0</v>
      </c>
      <c r="AT17" s="1928" t="n">
        <f aca="false">IF($D17=3,W17-SUM($AH17:$AQ17),0)</f>
        <v>0</v>
      </c>
      <c r="AU17" s="1928" t="n">
        <f aca="false">IF($D17=4,W17-SUM($AH17:$AQ17),0)</f>
        <v>0</v>
      </c>
      <c r="AV17" s="1928" t="n">
        <f aca="false">IF($D17=5,W17-SUM($AH17:$AQ17),0)</f>
        <v>0</v>
      </c>
      <c r="AW17" s="1928" t="n">
        <f aca="false">IF($D17=6,W17-SUM($AH17:$AQ17),0)</f>
        <v>0</v>
      </c>
      <c r="AX17" s="1928" t="n">
        <f aca="false">IF($D17=7,W17-SUM($AH17:$AQ17),0)</f>
        <v>0</v>
      </c>
      <c r="AY17" s="1928" t="n">
        <f aca="false">IF($D17=8,W17-SUM($AH17:$AQ17),0)</f>
        <v>0</v>
      </c>
      <c r="AZ17" s="1928" t="n">
        <f aca="false">IF($D17=9,W17-SUM($AH17:$AQ17),0)</f>
        <v>0</v>
      </c>
      <c r="BA17" s="1930" t="n">
        <f aca="false">IF($D17=10,W17-SUM($AH17:$AQ17),0)</f>
        <v>0</v>
      </c>
      <c r="BB17" s="1928" t="n">
        <f aca="false">SUM(AH17:AQ17)</f>
        <v>0</v>
      </c>
      <c r="BC17" s="1928" t="n">
        <f aca="false">SUM(AR17:AW17)</f>
        <v>0</v>
      </c>
      <c r="BD17" s="1928" t="n">
        <f aca="false">V17</f>
        <v>0</v>
      </c>
      <c r="BE17" s="1928" t="n">
        <f aca="false">E17*G17/12*2+(U17*U17*G17/1728*S17)</f>
        <v>0</v>
      </c>
      <c r="BF17" s="1928" t="n">
        <f aca="false">BE17/2</f>
        <v>0</v>
      </c>
      <c r="BG17" s="1928" t="n">
        <f aca="false">N17*E17/12</f>
        <v>0</v>
      </c>
      <c r="BH17" s="1928" t="n">
        <f aca="false">ROUND(IF(C17="Y",BF17*3/27,0),0)</f>
        <v>0</v>
      </c>
      <c r="BJ17" s="1931" t="n">
        <f aca="false">V17*F$56*IF(T$39="N",(1+V$39),1)</f>
        <v>0</v>
      </c>
      <c r="BK17" s="1932" t="n">
        <f aca="false">(AR17*Pricing!F$3+AS17*Pricing!G$3+AT17*Pricing!H$3+AU17*Pricing!I$3+AV17*Pricing!J$3+AW17*Pricing!K$3+AH17*Pricing!F$3+AI17*Pricing!G$3+AJ17*Pricing!H$3+AK17*Pricing!I$3+AL17*Pricing!J$3+AM17*Pricing!K$3)*IF(T$39="N",(1+V$39),1)</f>
        <v>0</v>
      </c>
      <c r="BL17" s="1932" t="n">
        <f aca="false">IF(C17="Y",(N$59+N$60)/DF$36*DF17,0)</f>
        <v>0</v>
      </c>
      <c r="BM17" s="1932" t="n">
        <f aca="false">BF17*(G$67+D$70)</f>
        <v>0</v>
      </c>
      <c r="BN17" s="1932" t="n">
        <f aca="false">BG17*D$66</f>
        <v>0</v>
      </c>
      <c r="BO17" s="1932" t="n">
        <f aca="false">V17/2000*D$71</f>
        <v>0</v>
      </c>
      <c r="BP17" s="1932" t="n">
        <f aca="false">IF(C17="Y",(N$74+N$73+N$72)/DF$36*DF17,0)</f>
        <v>0</v>
      </c>
      <c r="BQ17" s="1932" t="n">
        <f aca="false">IF(SUM(BF$36:BG$36)=0,0,(SUM(N$78:O$81)+SUM(N$83:O$88)+SUM(N$90:O$96)+W$95)/SUM(BF$36:BG$36)*(BF17+BG17))</f>
        <v>0</v>
      </c>
      <c r="BR17" s="1933"/>
      <c r="BS17" s="1934" t="n">
        <f aca="false">IF(SUM(BF$36:BG$36)=0,0,(BQ$36-W$58-N$64-W64-(L$79*0.15))/SUM(BF$36:BG$36)*BG17+BN17)</f>
        <v>0</v>
      </c>
      <c r="BT17" s="1932" t="n">
        <f aca="false">(AH17*Pricing!F$3+AI17*Pricing!G$3+AJ17*Pricing!H$3+AK17*Pricing!I$3+AL17*Pricing!J$3+AM17*Pricing!K$3)*IF(T$39="N",(1+V$39),1)</f>
        <v>0</v>
      </c>
      <c r="BU17" s="1932" t="n">
        <f aca="false">IF(BG17=0,0,(BS17+BT17)/BG17)</f>
        <v>0</v>
      </c>
      <c r="BV17" s="1932" t="n">
        <f aca="false">SUM(BJ17:BQ17)-BS17-BT17</f>
        <v>0</v>
      </c>
      <c r="BW17" s="1933" t="n">
        <f aca="false">IF(BE17=0,0,BV17/BF17)</f>
        <v>0</v>
      </c>
      <c r="DB17" s="1935" t="n">
        <f aca="false">IF(W17=0,0,D$40/W$36*W17)</f>
        <v>0</v>
      </c>
      <c r="DC17" s="1932" t="e">
        <f aca="false">E17*N17/12*(D$40-7980)/H$66</f>
        <v>#DIV/0!</v>
      </c>
      <c r="DD17" s="179" t="n">
        <f aca="false">ROUND(N17*O17/3088*E17,0)</f>
        <v>0</v>
      </c>
      <c r="DE17" s="908" t="n">
        <f aca="false">ROUND(V17,0)</f>
        <v>0</v>
      </c>
      <c r="DF17" s="356" t="n">
        <f aca="false">ROUND(IF(C17="Y",(G17*0.25*E17+G17*G17/144*0.5*E17)/27*1.3,0),0)</f>
        <v>0</v>
      </c>
      <c r="DG17" s="908" t="n">
        <f aca="false">ROUND(E17*G17/12,0)</f>
        <v>0</v>
      </c>
      <c r="DH17" s="908" t="n">
        <f aca="false">IF(C17="y",ROUNDUP(E17*G17/12,0),0)</f>
        <v>0</v>
      </c>
      <c r="DI17" s="908" t="n">
        <f aca="false">IF(C17="Y",IF(E17&gt;0,E17,0),0)</f>
        <v>0</v>
      </c>
      <c r="DJ17" s="1936" t="n">
        <f aca="false">ROUND(E17*N17/12,0)</f>
        <v>0</v>
      </c>
      <c r="DL17" s="1414" t="n">
        <v>15.11</v>
      </c>
    </row>
    <row r="18" s="1414" customFormat="true" ht="15" hidden="false" customHeight="false" outlineLevel="0" collapsed="false">
      <c r="A18" s="507"/>
      <c r="B18" s="1312"/>
      <c r="C18" s="1919"/>
      <c r="D18" s="1920"/>
      <c r="E18" s="1921"/>
      <c r="F18" s="1234"/>
      <c r="G18" s="1235"/>
      <c r="H18" s="1236"/>
      <c r="I18" s="1234"/>
      <c r="J18" s="1235"/>
      <c r="K18" s="1236"/>
      <c r="L18" s="1234"/>
      <c r="M18" s="1234"/>
      <c r="N18" s="1922"/>
      <c r="O18" s="1234"/>
      <c r="P18" s="1234"/>
      <c r="Q18" s="1237"/>
      <c r="R18" s="1923"/>
      <c r="S18" s="1924"/>
      <c r="T18" s="78"/>
      <c r="U18" s="900"/>
      <c r="V18" s="1925" t="n">
        <f aca="false">((E18*I18/16*I18/16*10.680159*J18)*IF(H18=0,0,(G18/H18))+(G18/12*L18/16*L18/16*10.680159*M18)*IF(K18=0,0,(E18*12/K18))+(E18*IF(P18=0,0,N18/P18)*Q18/16*Q18/16*10.680159*R18)+(IF(P18=0,0,E18/P18*N18)*Q18/16*Q18/16*10.680159*R18)+((T18*U18*S18*0.03*0.2836*G18)/12+4)*IF(H18=0,0,(G18/H18))*I18/16*I18/16*10.680159)*(1+J$56)</f>
        <v>0</v>
      </c>
      <c r="W18" s="1926" t="n">
        <f aca="false">ROUNDUP((E18*F18/12*G18/324+ROUNDUP(S18*T18*U18*G18/46656,0)+N18*O18*E18/3888)*(1+J$51),0)</f>
        <v>0</v>
      </c>
      <c r="AH18" s="1927" t="n">
        <f aca="false">IF($R$8=1,ROUNDUP($N18*$O18*$E18/3888*(1+$J$51),0),0)</f>
        <v>0</v>
      </c>
      <c r="AI18" s="1928" t="n">
        <f aca="false">IF($R$8=2,ROUNDUP($N18*$O18*$E18/3888*(1+$J$51),0),0)</f>
        <v>0</v>
      </c>
      <c r="AJ18" s="1928" t="n">
        <f aca="false">IF($R$8=3,ROUNDUP($N18*$O18*$E18/3888*(1+$J$51),0),0)</f>
        <v>0</v>
      </c>
      <c r="AK18" s="1928" t="n">
        <f aca="false">IF($R$8=4,ROUNDUP($N18*$O18*$E18/3888*(1+$J$51),0),0)</f>
        <v>0</v>
      </c>
      <c r="AL18" s="1928" t="n">
        <f aca="false">IF($R$8=5,ROUNDUP($N18*$O18*$E18/3888*(1+$J$51),0),0)</f>
        <v>0</v>
      </c>
      <c r="AM18" s="1928" t="n">
        <f aca="false">IF($R$8=6,ROUNDUP($N18*$O18*$E18/3888*(1+$J$51),0),0)</f>
        <v>0</v>
      </c>
      <c r="AN18" s="1928" t="n">
        <f aca="false">IF($R$8=7,ROUNDUP($N18*$O18*$E18/3888*(1+$J$51),0),0)</f>
        <v>0</v>
      </c>
      <c r="AO18" s="1928" t="n">
        <f aca="false">IF($R$8=8,ROUNDUP($N18*$O18*$E18/3888*(1+$J$51),0),0)</f>
        <v>0</v>
      </c>
      <c r="AP18" s="1928" t="n">
        <f aca="false">IF($R$8=9,ROUNDUP($N18*$O18*$E18/3888*(1+$J$51),0),0)</f>
        <v>0</v>
      </c>
      <c r="AQ18" s="1928" t="n">
        <f aca="false">IF($R$8=10,ROUNDUP($N18*$O18*$E18/3888*(1+$J$51),0),0)</f>
        <v>0</v>
      </c>
      <c r="AR18" s="1929" t="n">
        <f aca="false">IF($D18=1,$W18-SUM($AH18:$AQ18),0)</f>
        <v>0</v>
      </c>
      <c r="AS18" s="1928" t="n">
        <f aca="false">IF($D18=2,W18-SUM($AH18:$AQ18),0)</f>
        <v>0</v>
      </c>
      <c r="AT18" s="1928" t="n">
        <f aca="false">IF($D18=3,W18-SUM($AH18:$AQ18),0)</f>
        <v>0</v>
      </c>
      <c r="AU18" s="1928" t="n">
        <f aca="false">IF($D18=4,W18-SUM($AH18:$AQ18),0)</f>
        <v>0</v>
      </c>
      <c r="AV18" s="1928" t="n">
        <f aca="false">IF($D18=5,W18-SUM($AH18:$AQ18),0)</f>
        <v>0</v>
      </c>
      <c r="AW18" s="1928" t="n">
        <f aca="false">IF($D18=6,W18-SUM($AH18:$AQ18),0)</f>
        <v>0</v>
      </c>
      <c r="AX18" s="1928" t="n">
        <f aca="false">IF($D18=7,W18-SUM($AH18:$AQ18),0)</f>
        <v>0</v>
      </c>
      <c r="AY18" s="1928" t="n">
        <f aca="false">IF($D18=8,W18-SUM($AH18:$AQ18),0)</f>
        <v>0</v>
      </c>
      <c r="AZ18" s="1928" t="n">
        <f aca="false">IF($D18=9,W18-SUM($AH18:$AQ18),0)</f>
        <v>0</v>
      </c>
      <c r="BA18" s="1930" t="n">
        <f aca="false">IF($D18=10,W18-SUM($AH18:$AQ18),0)</f>
        <v>0</v>
      </c>
      <c r="BB18" s="1928" t="n">
        <f aca="false">SUM(AH18:AQ18)</f>
        <v>0</v>
      </c>
      <c r="BC18" s="1928" t="n">
        <f aca="false">SUM(AR18:AW18)</f>
        <v>0</v>
      </c>
      <c r="BD18" s="1928" t="n">
        <f aca="false">V18</f>
        <v>0</v>
      </c>
      <c r="BE18" s="1928" t="n">
        <f aca="false">E18*G18/12*2+(U18*U18*G18/1728*S18)</f>
        <v>0</v>
      </c>
      <c r="BF18" s="1928" t="n">
        <f aca="false">BE18/2</f>
        <v>0</v>
      </c>
      <c r="BG18" s="1928" t="n">
        <f aca="false">N18*E18/12</f>
        <v>0</v>
      </c>
      <c r="BH18" s="1928" t="n">
        <f aca="false">ROUND(IF(C18="Y",BF18*3/27,0),0)</f>
        <v>0</v>
      </c>
      <c r="BJ18" s="1931" t="n">
        <f aca="false">V18*F$56*IF(T$39="N",(1+V$39),1)</f>
        <v>0</v>
      </c>
      <c r="BK18" s="1932" t="n">
        <f aca="false">(AR18*Pricing!F$3+AS18*Pricing!G$3+AT18*Pricing!H$3+AU18*Pricing!I$3+AV18*Pricing!J$3+AW18*Pricing!K$3+AH18*Pricing!F$3+AI18*Pricing!G$3+AJ18*Pricing!H$3+AK18*Pricing!I$3+AL18*Pricing!J$3+AM18*Pricing!K$3)*IF(T$39="N",(1+V$39),1)</f>
        <v>0</v>
      </c>
      <c r="BL18" s="1932" t="n">
        <f aca="false">IF(C18="Y",(N$59+N$60)/DF$36*DF18,0)</f>
        <v>0</v>
      </c>
      <c r="BM18" s="1932" t="n">
        <f aca="false">BF18*(G$67+D$70)</f>
        <v>0</v>
      </c>
      <c r="BN18" s="1932" t="n">
        <f aca="false">BG18*D$66</f>
        <v>0</v>
      </c>
      <c r="BO18" s="1932" t="n">
        <f aca="false">V18/2000*D$71</f>
        <v>0</v>
      </c>
      <c r="BP18" s="1932" t="n">
        <f aca="false">IF(C18="Y",(N$74+N$73+N$72)/DF$36*DF18,0)</f>
        <v>0</v>
      </c>
      <c r="BQ18" s="1932" t="n">
        <f aca="false">IF(SUM(BF$36:BG$36)=0,0,(SUM(N$78:O$81)+SUM(N$83:O$88)+SUM(N$90:O$96)+W$95)/SUM(BF$36:BG$36)*(BF18+BG18))</f>
        <v>0</v>
      </c>
      <c r="BR18" s="1933"/>
      <c r="BS18" s="1934" t="n">
        <f aca="false">IF(SUM(BF$36:BG$36)=0,0,(BQ$36-W$58-N$64-W60-(L$79*0.15))/SUM(BF$36:BG$36)*BG18+BN18)</f>
        <v>0</v>
      </c>
      <c r="BT18" s="1932" t="n">
        <f aca="false">(AH18*Pricing!F$3+AI18*Pricing!G$3+AJ18*Pricing!H$3+AK18*Pricing!I$3+AL18*Pricing!J$3+AM18*Pricing!K$3)*IF(T$39="N",(1+V$39),1)</f>
        <v>0</v>
      </c>
      <c r="BU18" s="1932" t="n">
        <f aca="false">IF(BG18=0,0,(BS18+BT18)/BG18)</f>
        <v>0</v>
      </c>
      <c r="BV18" s="1932" t="n">
        <f aca="false">SUM(BJ18:BQ18)-BS18-BT18</f>
        <v>0</v>
      </c>
      <c r="BW18" s="1933" t="n">
        <f aca="false">IF(BE18=0,0,BV18/BF18)</f>
        <v>0</v>
      </c>
      <c r="DB18" s="1935" t="n">
        <f aca="false">IF(W18=0,0,D$40/W$36*W18)</f>
        <v>0</v>
      </c>
      <c r="DC18" s="1932" t="e">
        <f aca="false">E18*N18/12*(D$40-7980)/H$66</f>
        <v>#DIV/0!</v>
      </c>
      <c r="DD18" s="179" t="n">
        <f aca="false">ROUND(N18*O18/3088*E18,0)</f>
        <v>0</v>
      </c>
      <c r="DE18" s="908" t="n">
        <f aca="false">ROUND(V18,0)</f>
        <v>0</v>
      </c>
      <c r="DF18" s="356" t="n">
        <f aca="false">ROUND(IF(C18="Y",(G18*0.25*E18+G18*G18/144*0.5*E18)/27*1.3,0),0)</f>
        <v>0</v>
      </c>
      <c r="DG18" s="908" t="n">
        <f aca="false">ROUND(E18*G18/12,0)</f>
        <v>0</v>
      </c>
      <c r="DH18" s="908" t="n">
        <f aca="false">IF(C18="y",ROUNDUP(E18*G18/12,0),0)</f>
        <v>0</v>
      </c>
      <c r="DI18" s="908" t="n">
        <f aca="false">IF(C18="Y",IF(E18&gt;0,E18,0),0)</f>
        <v>0</v>
      </c>
      <c r="DJ18" s="1936" t="n">
        <f aca="false">ROUND(E18*N18/12,0)</f>
        <v>0</v>
      </c>
      <c r="DL18" s="1414" t="n">
        <v>132.46</v>
      </c>
    </row>
    <row r="19" s="1414" customFormat="true" ht="15" hidden="false" customHeight="false" outlineLevel="0" collapsed="false">
      <c r="A19" s="507"/>
      <c r="B19" s="1312"/>
      <c r="C19" s="1919"/>
      <c r="D19" s="1920"/>
      <c r="E19" s="1921"/>
      <c r="F19" s="1234"/>
      <c r="G19" s="1235"/>
      <c r="H19" s="1236"/>
      <c r="I19" s="1234"/>
      <c r="J19" s="1235"/>
      <c r="K19" s="1236"/>
      <c r="L19" s="1234"/>
      <c r="M19" s="1234"/>
      <c r="N19" s="1922"/>
      <c r="O19" s="1234"/>
      <c r="P19" s="1234"/>
      <c r="Q19" s="1237"/>
      <c r="R19" s="1923"/>
      <c r="S19" s="1924"/>
      <c r="T19" s="78"/>
      <c r="U19" s="900"/>
      <c r="V19" s="1925" t="n">
        <f aca="false">((E19*I19/16*I19/16*10.680159*J19)*IF(H19=0,0,(G19/H19))+(G19/12*L19/16*L19/16*10.680159*M19)*IF(K19=0,0,(E19*12/K19))+(E19*IF(P19=0,0,N19/P19)*Q19/16*Q19/16*10.680159*R19)+(IF(P19=0,0,E19/P19*N19)*Q19/16*Q19/16*10.680159*R19)+((T19*U19*S19*0.03*0.2836*G19)/12+4)*IF(H19=0,0,(G19/H19))*I19/16*I19/16*10.680159)*(1+J$56)</f>
        <v>0</v>
      </c>
      <c r="W19" s="1926" t="n">
        <f aca="false">ROUNDUP((E19*F19/12*G19/324+ROUNDUP(S19*T19*U19*G19/46656,0)+N19*O19*E19/3888)*(1+J$51),0)</f>
        <v>0</v>
      </c>
      <c r="AH19" s="1927" t="n">
        <f aca="false">IF($R$8=1,ROUNDUP($N19*$O19*$E19/3888*(1+$J$51),0),0)</f>
        <v>0</v>
      </c>
      <c r="AI19" s="1928" t="n">
        <f aca="false">IF($R$8=2,ROUNDUP($N19*$O19*$E19/3888*(1+$J$51),0),0)</f>
        <v>0</v>
      </c>
      <c r="AJ19" s="1928" t="n">
        <f aca="false">IF($R$8=3,ROUNDUP($N19*$O19*$E19/3888*(1+$J$51),0),0)</f>
        <v>0</v>
      </c>
      <c r="AK19" s="1928" t="n">
        <f aca="false">IF($R$8=4,ROUNDUP($N19*$O19*$E19/3888*(1+$J$51),0),0)</f>
        <v>0</v>
      </c>
      <c r="AL19" s="1928" t="n">
        <f aca="false">IF($R$8=5,ROUNDUP($N19*$O19*$E19/3888*(1+$J$51),0),0)</f>
        <v>0</v>
      </c>
      <c r="AM19" s="1928" t="n">
        <f aca="false">IF($R$8=6,ROUNDUP($N19*$O19*$E19/3888*(1+$J$51),0),0)</f>
        <v>0</v>
      </c>
      <c r="AN19" s="1928" t="n">
        <f aca="false">IF($R$8=7,ROUNDUP($N19*$O19*$E19/3888*(1+$J$51),0),0)</f>
        <v>0</v>
      </c>
      <c r="AO19" s="1928" t="n">
        <f aca="false">IF($R$8=8,ROUNDUP($N19*$O19*$E19/3888*(1+$J$51),0),0)</f>
        <v>0</v>
      </c>
      <c r="AP19" s="1928" t="n">
        <f aca="false">IF($R$8=9,ROUNDUP($N19*$O19*$E19/3888*(1+$J$51),0),0)</f>
        <v>0</v>
      </c>
      <c r="AQ19" s="1928" t="n">
        <f aca="false">IF($R$8=10,ROUNDUP($N19*$O19*$E19/3888*(1+$J$51),0),0)</f>
        <v>0</v>
      </c>
      <c r="AR19" s="1929" t="n">
        <f aca="false">IF($D19=1,$W19-SUM($AH19:$AQ19),0)</f>
        <v>0</v>
      </c>
      <c r="AS19" s="1928" t="n">
        <f aca="false">IF($D19=2,W19-SUM($AH19:$AQ19),0)</f>
        <v>0</v>
      </c>
      <c r="AT19" s="1928" t="n">
        <f aca="false">IF($D19=3,W19-SUM($AH19:$AQ19),0)</f>
        <v>0</v>
      </c>
      <c r="AU19" s="1928" t="n">
        <f aca="false">IF($D19=4,W19-SUM($AH19:$AQ19),0)</f>
        <v>0</v>
      </c>
      <c r="AV19" s="1928" t="n">
        <f aca="false">IF($D19=5,W19-SUM($AH19:$AQ19),0)</f>
        <v>0</v>
      </c>
      <c r="AW19" s="1928" t="n">
        <f aca="false">IF($D19=6,W19-SUM($AH19:$AQ19),0)</f>
        <v>0</v>
      </c>
      <c r="AX19" s="1928" t="n">
        <f aca="false">IF($D19=7,W19-SUM($AH19:$AQ19),0)</f>
        <v>0</v>
      </c>
      <c r="AY19" s="1928" t="n">
        <f aca="false">IF($D19=8,W19-SUM($AH19:$AQ19),0)</f>
        <v>0</v>
      </c>
      <c r="AZ19" s="1928" t="n">
        <f aca="false">IF($D19=9,W19-SUM($AH19:$AQ19),0)</f>
        <v>0</v>
      </c>
      <c r="BA19" s="1930" t="n">
        <f aca="false">IF($D19=10,W19-SUM($AH19:$AQ19),0)</f>
        <v>0</v>
      </c>
      <c r="BB19" s="1928" t="n">
        <f aca="false">SUM(AH19:AQ19)</f>
        <v>0</v>
      </c>
      <c r="BC19" s="1928" t="n">
        <f aca="false">SUM(AR19:AW19)</f>
        <v>0</v>
      </c>
      <c r="BD19" s="1928" t="n">
        <f aca="false">V19</f>
        <v>0</v>
      </c>
      <c r="BE19" s="1928" t="n">
        <f aca="false">E19*G19/12*2+(U19*U19*G19/1728*S19)</f>
        <v>0</v>
      </c>
      <c r="BF19" s="1928" t="n">
        <f aca="false">BE19/2</f>
        <v>0</v>
      </c>
      <c r="BG19" s="1928" t="n">
        <f aca="false">N19*E19/12</f>
        <v>0</v>
      </c>
      <c r="BH19" s="1928" t="n">
        <f aca="false">ROUND(IF(C19="Y",BF19*3/27,0),0)</f>
        <v>0</v>
      </c>
      <c r="BJ19" s="1931" t="n">
        <f aca="false">V19*F$56*IF(T$39="N",(1+V$39),1)</f>
        <v>0</v>
      </c>
      <c r="BK19" s="1932" t="n">
        <f aca="false">(AR19*Pricing!F$3+AS19*Pricing!G$3+AT19*Pricing!H$3+AU19*Pricing!I$3+AV19*Pricing!J$3+AW19*Pricing!K$3+AH19*Pricing!F$3+AI19*Pricing!G$3+AJ19*Pricing!H$3+AK19*Pricing!I$3+AL19*Pricing!J$3+AM19*Pricing!K$3)*IF(T$39="N",(1+V$39),1)</f>
        <v>0</v>
      </c>
      <c r="BL19" s="1932" t="n">
        <f aca="false">IF(C19="Y",(N$59+N$60)/DF$36*DF19,0)</f>
        <v>0</v>
      </c>
      <c r="BM19" s="1932" t="n">
        <f aca="false">BF19*(G$67+D$70)</f>
        <v>0</v>
      </c>
      <c r="BN19" s="1932" t="n">
        <f aca="false">BG19*D$66</f>
        <v>0</v>
      </c>
      <c r="BO19" s="1932" t="n">
        <f aca="false">V19/2000*D$71</f>
        <v>0</v>
      </c>
      <c r="BP19" s="1932" t="n">
        <f aca="false">IF(C19="Y",(N$74+N$73+N$72)/DF$36*DF19,0)</f>
        <v>0</v>
      </c>
      <c r="BQ19" s="1932" t="n">
        <f aca="false">IF(SUM(BF$36:BG$36)=0,0,(SUM(N$78:O$81)+SUM(N$83:O$88)+SUM(N$90:O$96)+W$95)/SUM(BF$36:BG$36)*(BF19+BG19))</f>
        <v>0</v>
      </c>
      <c r="BR19" s="1933"/>
      <c r="BS19" s="1934" t="n">
        <f aca="false">IF(SUM(BF$36:BG$36)=0,0,(BQ$36-W$58-N$64-W61-(L$79*0.15))/SUM(BF$36:BG$36)*BG19+BN19)</f>
        <v>0</v>
      </c>
      <c r="BT19" s="1932" t="n">
        <f aca="false">(AH19*Pricing!F$3+AI19*Pricing!G$3+AJ19*Pricing!H$3+AK19*Pricing!I$3+AL19*Pricing!J$3+AM19*Pricing!K$3)*IF(T$39="N",(1+V$39),1)</f>
        <v>0</v>
      </c>
      <c r="BU19" s="1932" t="n">
        <f aca="false">IF(BG19=0,0,(BS19+BT19)/BG19)</f>
        <v>0</v>
      </c>
      <c r="BV19" s="1932" t="n">
        <f aca="false">SUM(BJ19:BQ19)-BS19-BT19</f>
        <v>0</v>
      </c>
      <c r="BW19" s="1933" t="n">
        <f aca="false">IF(BE19=0,0,BV19/BF19)</f>
        <v>0</v>
      </c>
      <c r="DB19" s="1935" t="n">
        <f aca="false">IF(W19=0,0,D$40/W$36*W19)</f>
        <v>0</v>
      </c>
      <c r="DC19" s="1932" t="e">
        <f aca="false">E19*N19/12*(D$40-7980)/H$66</f>
        <v>#DIV/0!</v>
      </c>
      <c r="DD19" s="179" t="n">
        <f aca="false">ROUND(N19*O19/3088*E19,0)</f>
        <v>0</v>
      </c>
      <c r="DE19" s="908" t="n">
        <f aca="false">ROUND(V19,0)</f>
        <v>0</v>
      </c>
      <c r="DF19" s="356" t="n">
        <f aca="false">ROUND(IF(C19="Y",(G19*0.25*E19+G19*G19/144*0.5*E19)/27*1.3,0),0)</f>
        <v>0</v>
      </c>
      <c r="DG19" s="908" t="n">
        <f aca="false">ROUND(E19*G19/12,0)</f>
        <v>0</v>
      </c>
      <c r="DH19" s="908" t="n">
        <f aca="false">IF(C19="y",ROUNDUP(E19*G19/12,0),0)</f>
        <v>0</v>
      </c>
      <c r="DI19" s="908" t="n">
        <f aca="false">IF(C19="Y",IF(E19&gt;0,E19,0),0)</f>
        <v>0</v>
      </c>
      <c r="DJ19" s="1936" t="n">
        <f aca="false">ROUND(E19*N19/12,0)</f>
        <v>0</v>
      </c>
      <c r="DL19" s="1414" t="n">
        <v>144.02</v>
      </c>
    </row>
    <row r="20" s="1414" customFormat="true" ht="15" hidden="false" customHeight="false" outlineLevel="0" collapsed="false">
      <c r="A20" s="507"/>
      <c r="B20" s="1312"/>
      <c r="C20" s="1919"/>
      <c r="D20" s="1920"/>
      <c r="E20" s="1921"/>
      <c r="F20" s="1234"/>
      <c r="G20" s="1235"/>
      <c r="H20" s="1236"/>
      <c r="I20" s="1234"/>
      <c r="J20" s="1235"/>
      <c r="K20" s="1236"/>
      <c r="L20" s="1234"/>
      <c r="M20" s="1234"/>
      <c r="N20" s="1922"/>
      <c r="O20" s="1234"/>
      <c r="P20" s="1234"/>
      <c r="Q20" s="1237"/>
      <c r="R20" s="1923"/>
      <c r="S20" s="1924"/>
      <c r="T20" s="78"/>
      <c r="U20" s="900"/>
      <c r="V20" s="1925" t="n">
        <f aca="false">((E20*I20/16*I20/16*10.680159*J20)*IF(H20=0,0,(G20/H20))+(G20/12*L20/16*L20/16*10.680159*M20)*IF(K20=0,0,(E20*12/K20))+(E20*IF(P20=0,0,N20/P20)*Q20/16*Q20/16*10.680159*R20)+(IF(P20=0,0,E20/P20*N20)*Q20/16*Q20/16*10.680159*R20)+((T20*U20*S20*0.03*0.2836*G20)/12+4)*IF(H20=0,0,(G20/H20))*I20/16*I20/16*10.680159)*(1+J$56)</f>
        <v>0</v>
      </c>
      <c r="W20" s="1926" t="n">
        <f aca="false">ROUNDUP((E20*F20/12*G20/324+ROUNDUP(S20*T20*U20*G20/46656,0)+N20*O20*E20/3888)*(1+J$51),0)</f>
        <v>0</v>
      </c>
      <c r="AH20" s="1927" t="n">
        <f aca="false">IF($R$8=1,ROUNDUP($N20*$O20*$E20/3888*(1+$J$51),0),0)</f>
        <v>0</v>
      </c>
      <c r="AI20" s="1928" t="n">
        <f aca="false">IF($R$8=2,ROUNDUP($N20*$O20*$E20/3888*(1+$J$51),0),0)</f>
        <v>0</v>
      </c>
      <c r="AJ20" s="1928" t="n">
        <f aca="false">IF($R$8=3,ROUNDUP($N20*$O20*$E20/3888*(1+$J$51),0),0)</f>
        <v>0</v>
      </c>
      <c r="AK20" s="1928" t="n">
        <f aca="false">IF($R$8=4,ROUNDUP($N20*$O20*$E20/3888*(1+$J$51),0),0)</f>
        <v>0</v>
      </c>
      <c r="AL20" s="1928" t="n">
        <f aca="false">IF($R$8=5,ROUNDUP($N20*$O20*$E20/3888*(1+$J$51),0),0)</f>
        <v>0</v>
      </c>
      <c r="AM20" s="1928" t="n">
        <f aca="false">IF($R$8=6,ROUNDUP($N20*$O20*$E20/3888*(1+$J$51),0),0)</f>
        <v>0</v>
      </c>
      <c r="AN20" s="1928" t="n">
        <f aca="false">IF($R$8=7,ROUNDUP($N20*$O20*$E20/3888*(1+$J$51),0),0)</f>
        <v>0</v>
      </c>
      <c r="AO20" s="1928" t="n">
        <f aca="false">IF($R$8=8,ROUNDUP($N20*$O20*$E20/3888*(1+$J$51),0),0)</f>
        <v>0</v>
      </c>
      <c r="AP20" s="1928" t="n">
        <f aca="false">IF($R$8=9,ROUNDUP($N20*$O20*$E20/3888*(1+$J$51),0),0)</f>
        <v>0</v>
      </c>
      <c r="AQ20" s="1928" t="n">
        <f aca="false">IF($R$8=10,ROUNDUP($N20*$O20*$E20/3888*(1+$J$51),0),0)</f>
        <v>0</v>
      </c>
      <c r="AR20" s="1929" t="n">
        <f aca="false">IF($D20=1,$W20-SUM($AH20:$AQ20),0)</f>
        <v>0</v>
      </c>
      <c r="AS20" s="1928" t="n">
        <f aca="false">IF($D20=2,W20-SUM($AH20:$AQ20),0)</f>
        <v>0</v>
      </c>
      <c r="AT20" s="1928" t="n">
        <f aca="false">IF($D20=3,W20-SUM($AH20:$AQ20),0)</f>
        <v>0</v>
      </c>
      <c r="AU20" s="1928" t="n">
        <f aca="false">IF($D20=4,W20-SUM($AH20:$AQ20),0)</f>
        <v>0</v>
      </c>
      <c r="AV20" s="1928" t="n">
        <f aca="false">IF($D20=5,W20-SUM($AH20:$AQ20),0)</f>
        <v>0</v>
      </c>
      <c r="AW20" s="1928" t="n">
        <f aca="false">IF($D20=6,W20-SUM($AH20:$AQ20),0)</f>
        <v>0</v>
      </c>
      <c r="AX20" s="1928" t="n">
        <f aca="false">IF($D20=7,W20-SUM($AH20:$AQ20),0)</f>
        <v>0</v>
      </c>
      <c r="AY20" s="1928" t="n">
        <f aca="false">IF($D20=8,W20-SUM($AH20:$AQ20),0)</f>
        <v>0</v>
      </c>
      <c r="AZ20" s="1928" t="n">
        <f aca="false">IF($D20=9,W20-SUM($AH20:$AQ20),0)</f>
        <v>0</v>
      </c>
      <c r="BA20" s="1930" t="n">
        <f aca="false">IF($D20=10,W20-SUM($AH20:$AQ20),0)</f>
        <v>0</v>
      </c>
      <c r="BB20" s="1928" t="n">
        <f aca="false">SUM(AH20:AQ20)</f>
        <v>0</v>
      </c>
      <c r="BC20" s="1928" t="n">
        <f aca="false">SUM(AR20:AW20)</f>
        <v>0</v>
      </c>
      <c r="BD20" s="1928" t="n">
        <f aca="false">V20</f>
        <v>0</v>
      </c>
      <c r="BE20" s="1928" t="n">
        <f aca="false">E20*G20/12*2+(U20*U20*G20/1728*S20)</f>
        <v>0</v>
      </c>
      <c r="BF20" s="1928" t="n">
        <f aca="false">BE20/2</f>
        <v>0</v>
      </c>
      <c r="BG20" s="1928" t="n">
        <f aca="false">N20*E20/12</f>
        <v>0</v>
      </c>
      <c r="BH20" s="1928" t="n">
        <f aca="false">ROUND(IF(C20="Y",BF20*3/27,0),0)</f>
        <v>0</v>
      </c>
      <c r="BJ20" s="1931" t="n">
        <f aca="false">V20*F$56*IF(T$39="N",(1+V$39),1)</f>
        <v>0</v>
      </c>
      <c r="BK20" s="1932" t="n">
        <f aca="false">(AR20*Pricing!F$3+AS20*Pricing!G$3+AT20*Pricing!H$3+AU20*Pricing!I$3+AV20*Pricing!J$3+AW20*Pricing!K$3+AH20*Pricing!F$3+AI20*Pricing!G$3+AJ20*Pricing!H$3+AK20*Pricing!I$3+AL20*Pricing!J$3+AM20*Pricing!K$3)*IF(T$39="N",(1+V$39),1)</f>
        <v>0</v>
      </c>
      <c r="BL20" s="1932" t="n">
        <f aca="false">IF(C20="Y",(N$59+N$60)/DF$36*DF20,0)</f>
        <v>0</v>
      </c>
      <c r="BM20" s="1932" t="n">
        <f aca="false">BF20*(G$67+D$70)</f>
        <v>0</v>
      </c>
      <c r="BN20" s="1932" t="n">
        <f aca="false">BG20*D$66</f>
        <v>0</v>
      </c>
      <c r="BO20" s="1932" t="n">
        <f aca="false">V20/2000*D$71</f>
        <v>0</v>
      </c>
      <c r="BP20" s="1932" t="n">
        <f aca="false">IF(C20="Y",(N$74+N$73+N$72)/DF$36*DF20,0)</f>
        <v>0</v>
      </c>
      <c r="BQ20" s="1932" t="n">
        <f aca="false">IF(SUM(BF$36:BG$36)=0,0,(SUM(N$78:O$81)+SUM(N$83:O$88)+SUM(N$90:O$96)+W$95)/SUM(BF$36:BG$36)*(BF20+BG20))</f>
        <v>0</v>
      </c>
      <c r="BR20" s="1933"/>
      <c r="BS20" s="1934" t="n">
        <f aca="false">IF(SUM(BF$36:BG$36)=0,0,(BQ$36-W$58-N$64-W62-(L$79*0.15))/SUM(BF$36:BG$36)*BG20+BN20)</f>
        <v>0</v>
      </c>
      <c r="BT20" s="1932" t="n">
        <f aca="false">(AH20*Pricing!F$3+AI20*Pricing!G$3+AJ20*Pricing!H$3+AK20*Pricing!I$3+AL20*Pricing!J$3+AM20*Pricing!K$3)*IF(T$39="N",(1+V$39),1)</f>
        <v>0</v>
      </c>
      <c r="BU20" s="1932" t="n">
        <f aca="false">IF(BG20=0,0,(BS20+BT20)/BG20)</f>
        <v>0</v>
      </c>
      <c r="BV20" s="1932" t="n">
        <f aca="false">SUM(BJ20:BQ20)-BS20-BT20</f>
        <v>0</v>
      </c>
      <c r="BW20" s="1933" t="n">
        <f aca="false">IF(BE20=0,0,BV20/BF20)</f>
        <v>0</v>
      </c>
      <c r="DB20" s="1935" t="n">
        <f aca="false">IF(W20=0,0,D$40/W$36*W20)</f>
        <v>0</v>
      </c>
      <c r="DC20" s="1932" t="e">
        <f aca="false">E20*N20/12*(D$40-7980)/H$66</f>
        <v>#DIV/0!</v>
      </c>
      <c r="DD20" s="179" t="n">
        <f aca="false">ROUND(N20*O20/3088*E20,0)</f>
        <v>0</v>
      </c>
      <c r="DE20" s="908" t="n">
        <f aca="false">ROUND(V20,0)</f>
        <v>0</v>
      </c>
      <c r="DF20" s="356" t="n">
        <f aca="false">ROUND(IF(C20="Y",(G20*0.25*E20+G20*G20/144*0.5*E20)/27*1.3,0),0)</f>
        <v>0</v>
      </c>
      <c r="DG20" s="908" t="n">
        <f aca="false">ROUND(E20*G20/12,0)</f>
        <v>0</v>
      </c>
      <c r="DH20" s="908" t="n">
        <f aca="false">IF(C20="y",ROUNDUP(E20*G20/12,0),0)</f>
        <v>0</v>
      </c>
      <c r="DI20" s="908" t="n">
        <f aca="false">IF(C20="Y",IF(E20&gt;0,E20,0),0)</f>
        <v>0</v>
      </c>
      <c r="DJ20" s="1936" t="n">
        <f aca="false">ROUND(E20*N20/12,0)</f>
        <v>0</v>
      </c>
      <c r="DL20" s="1414" t="n">
        <v>6.17</v>
      </c>
    </row>
    <row r="21" s="1414" customFormat="true" ht="15" hidden="false" customHeight="false" outlineLevel="0" collapsed="false">
      <c r="A21" s="507"/>
      <c r="B21" s="1312"/>
      <c r="C21" s="1919"/>
      <c r="D21" s="1920"/>
      <c r="E21" s="1921"/>
      <c r="F21" s="1234"/>
      <c r="G21" s="1235"/>
      <c r="H21" s="1236"/>
      <c r="I21" s="1234"/>
      <c r="J21" s="1235"/>
      <c r="K21" s="1236"/>
      <c r="L21" s="1234"/>
      <c r="M21" s="1234"/>
      <c r="N21" s="1922"/>
      <c r="O21" s="1234"/>
      <c r="P21" s="1234"/>
      <c r="Q21" s="1237"/>
      <c r="R21" s="1923"/>
      <c r="S21" s="1924"/>
      <c r="T21" s="78"/>
      <c r="U21" s="900"/>
      <c r="V21" s="1925" t="n">
        <f aca="false">((E21*I21/16*I21/16*10.680159*J21)*IF(H21=0,0,(G21/H21))+(G21/12*L21/16*L21/16*10.680159*M21)*IF(K21=0,0,(E21*12/K21))+(E21*IF(P21=0,0,N21/P21)*Q21/16*Q21/16*10.680159*R21)+(IF(P21=0,0,E21/P21*N21)*Q21/16*Q21/16*10.680159*R21)+((T21*U21*S21*0.03*0.2836*G21)/12+4)*IF(H21=0,0,(G21/H21))*I21/16*I21/16*10.680159)*(1+J$56)</f>
        <v>0</v>
      </c>
      <c r="W21" s="1926" t="n">
        <f aca="false">ROUNDUP((E21*F21/12*G21/324+ROUNDUP(S21*T21*U21*G21/46656,0)+N21*O21*E21/3888)*(1+J$51),0)</f>
        <v>0</v>
      </c>
      <c r="AH21" s="1927" t="n">
        <f aca="false">IF($R$8=1,ROUNDUP($N21*$O21*$E21/3888*(1+$J$51),0),0)</f>
        <v>0</v>
      </c>
      <c r="AI21" s="1928" t="n">
        <f aca="false">IF($R$8=2,ROUNDUP($N21*$O21*$E21/3888*(1+$J$51),0),0)</f>
        <v>0</v>
      </c>
      <c r="AJ21" s="1928" t="n">
        <f aca="false">IF($R$8=3,ROUNDUP($N21*$O21*$E21/3888*(1+$J$51),0),0)</f>
        <v>0</v>
      </c>
      <c r="AK21" s="1928" t="n">
        <f aca="false">IF($R$8=4,ROUNDUP($N21*$O21*$E21/3888*(1+$J$51),0),0)</f>
        <v>0</v>
      </c>
      <c r="AL21" s="1928" t="n">
        <f aca="false">IF($R$8=5,ROUNDUP($N21*$O21*$E21/3888*(1+$J$51),0),0)</f>
        <v>0</v>
      </c>
      <c r="AM21" s="1928" t="n">
        <f aca="false">IF($R$8=6,ROUNDUP($N21*$O21*$E21/3888*(1+$J$51),0),0)</f>
        <v>0</v>
      </c>
      <c r="AN21" s="1928" t="n">
        <f aca="false">IF($R$8=7,ROUNDUP($N21*$O21*$E21/3888*(1+$J$51),0),0)</f>
        <v>0</v>
      </c>
      <c r="AO21" s="1928" t="n">
        <f aca="false">IF($R$8=8,ROUNDUP($N21*$O21*$E21/3888*(1+$J$51),0),0)</f>
        <v>0</v>
      </c>
      <c r="AP21" s="1928" t="n">
        <f aca="false">IF($R$8=9,ROUNDUP($N21*$O21*$E21/3888*(1+$J$51),0),0)</f>
        <v>0</v>
      </c>
      <c r="AQ21" s="1928" t="n">
        <f aca="false">IF($R$8=10,ROUNDUP($N21*$O21*$E21/3888*(1+$J$51),0),0)</f>
        <v>0</v>
      </c>
      <c r="AR21" s="1929" t="n">
        <f aca="false">IF($D21=1,$W21-SUM($AH21:$AQ21),0)</f>
        <v>0</v>
      </c>
      <c r="AS21" s="1928" t="n">
        <f aca="false">IF($D21=2,W21-SUM($AH21:$AQ21),0)</f>
        <v>0</v>
      </c>
      <c r="AT21" s="1928" t="n">
        <f aca="false">IF($D21=3,W21-SUM($AH21:$AQ21),0)</f>
        <v>0</v>
      </c>
      <c r="AU21" s="1928" t="n">
        <f aca="false">IF($D21=4,W21-SUM($AH21:$AQ21),0)</f>
        <v>0</v>
      </c>
      <c r="AV21" s="1928" t="n">
        <f aca="false">IF($D21=5,W21-SUM($AH21:$AQ21),0)</f>
        <v>0</v>
      </c>
      <c r="AW21" s="1928" t="n">
        <f aca="false">IF($D21=6,W21-SUM($AH21:$AQ21),0)</f>
        <v>0</v>
      </c>
      <c r="AX21" s="1928" t="n">
        <f aca="false">IF($D21=7,W21-SUM($AH21:$AQ21),0)</f>
        <v>0</v>
      </c>
      <c r="AY21" s="1928" t="n">
        <f aca="false">IF($D21=8,W21-SUM($AH21:$AQ21),0)</f>
        <v>0</v>
      </c>
      <c r="AZ21" s="1928" t="n">
        <f aca="false">IF($D21=9,W21-SUM($AH21:$AQ21),0)</f>
        <v>0</v>
      </c>
      <c r="BA21" s="1930" t="n">
        <f aca="false">IF($D21=10,W21-SUM($AH21:$AQ21),0)</f>
        <v>0</v>
      </c>
      <c r="BB21" s="1928" t="n">
        <f aca="false">SUM(AH21:AQ21)</f>
        <v>0</v>
      </c>
      <c r="BC21" s="1928" t="n">
        <f aca="false">SUM(AR21:AW21)</f>
        <v>0</v>
      </c>
      <c r="BD21" s="1928" t="n">
        <f aca="false">V21</f>
        <v>0</v>
      </c>
      <c r="BE21" s="1928" t="n">
        <f aca="false">E21*G21/12*2+(U21*U21*G21/1728*S21)</f>
        <v>0</v>
      </c>
      <c r="BF21" s="1928" t="n">
        <f aca="false">BE21/2</f>
        <v>0</v>
      </c>
      <c r="BG21" s="1928" t="n">
        <f aca="false">N21*E21/12</f>
        <v>0</v>
      </c>
      <c r="BH21" s="1928" t="n">
        <f aca="false">ROUND(IF(C21="Y",BF21*3/27,0),0)</f>
        <v>0</v>
      </c>
      <c r="BJ21" s="1931" t="n">
        <f aca="false">V21*F$56*IF(T$39="N",(1+V$39),1)</f>
        <v>0</v>
      </c>
      <c r="BK21" s="1932" t="n">
        <f aca="false">(AR21*Pricing!F$3+AS21*Pricing!G$3+AT21*Pricing!H$3+AU21*Pricing!I$3+AV21*Pricing!J$3+AW21*Pricing!K$3+AH21*Pricing!F$3+AI21*Pricing!G$3+AJ21*Pricing!H$3+AK21*Pricing!I$3+AL21*Pricing!J$3+AM21*Pricing!K$3)*IF(T$39="N",(1+V$39),1)</f>
        <v>0</v>
      </c>
      <c r="BL21" s="1932" t="n">
        <f aca="false">IF(C21="Y",(N$59+N$60)/DF$36*DF21,0)</f>
        <v>0</v>
      </c>
      <c r="BM21" s="1932" t="n">
        <f aca="false">BF21*(G$67+D$70)</f>
        <v>0</v>
      </c>
      <c r="BN21" s="1932" t="n">
        <f aca="false">BG21*D$66</f>
        <v>0</v>
      </c>
      <c r="BO21" s="1932" t="n">
        <f aca="false">V21/2000*D$71</f>
        <v>0</v>
      </c>
      <c r="BP21" s="1932" t="n">
        <f aca="false">IF(C21="Y",(N$74+N$73+N$72)/DF$36*DF21,0)</f>
        <v>0</v>
      </c>
      <c r="BQ21" s="1932" t="n">
        <f aca="false">IF(SUM(BF$36:BG$36)=0,0,(SUM(N$78:O$81)+SUM(N$83:O$88)+SUM(N$90:O$96)+W$95)/SUM(BF$36:BG$36)*(BF21+BG21))</f>
        <v>0</v>
      </c>
      <c r="BR21" s="1933"/>
      <c r="BS21" s="1934" t="n">
        <f aca="false">IF(SUM(BF$36:BG$36)=0,0,(BQ$36-W$58-N$64-W52-(L$79*0.15))/SUM(BF$36:BG$36)*BG21+BN21)</f>
        <v>0</v>
      </c>
      <c r="BT21" s="1932" t="n">
        <f aca="false">(AH21*Pricing!F$3+AI21*Pricing!G$3+AJ21*Pricing!H$3+AK21*Pricing!I$3+AL21*Pricing!J$3+AM21*Pricing!K$3)*IF(T$39="N",(1+V$39),1)</f>
        <v>0</v>
      </c>
      <c r="BU21" s="1932" t="n">
        <f aca="false">IF(BG21=0,0,(BS21+BT21)/BG21)</f>
        <v>0</v>
      </c>
      <c r="BV21" s="1932" t="n">
        <f aca="false">SUM(BJ21:BQ21)-BS21-BT21</f>
        <v>0</v>
      </c>
      <c r="BW21" s="1933" t="n">
        <f aca="false">IF(BE21=0,0,BV21/BF21)</f>
        <v>0</v>
      </c>
      <c r="DB21" s="1935" t="n">
        <f aca="false">IF(W21=0,0,D$40/W$36*W21)</f>
        <v>0</v>
      </c>
      <c r="DC21" s="1932" t="e">
        <f aca="false">E21*N21/12*(D$40-7980)/H$66</f>
        <v>#DIV/0!</v>
      </c>
      <c r="DD21" s="179" t="n">
        <f aca="false">ROUND(N21*O21/3088*E21,0)</f>
        <v>0</v>
      </c>
      <c r="DE21" s="908" t="n">
        <f aca="false">ROUND(V21,0)</f>
        <v>0</v>
      </c>
      <c r="DF21" s="356" t="n">
        <f aca="false">ROUND(IF(C21="Y",(G21*0.25*E21+G21*G21/144*0.5*E21)/27*1.3,0),0)</f>
        <v>0</v>
      </c>
      <c r="DG21" s="908" t="n">
        <f aca="false">ROUND(E21*G21/12,0)</f>
        <v>0</v>
      </c>
      <c r="DH21" s="908" t="n">
        <f aca="false">IF(C21="y",ROUNDUP(E21*G21/12,0),0)</f>
        <v>0</v>
      </c>
      <c r="DI21" s="908" t="n">
        <f aca="false">IF(C21="Y",IF(E21&gt;0,E21,0),0)</f>
        <v>0</v>
      </c>
      <c r="DJ21" s="1936" t="n">
        <f aca="false">ROUND(E21*N21/12,0)</f>
        <v>0</v>
      </c>
      <c r="DL21" s="1414" t="n">
        <v>44.28</v>
      </c>
    </row>
    <row r="22" s="1414" customFormat="true" ht="15" hidden="false" customHeight="false" outlineLevel="0" collapsed="false">
      <c r="A22" s="507"/>
      <c r="B22" s="1312"/>
      <c r="C22" s="1919"/>
      <c r="D22" s="1920"/>
      <c r="E22" s="1921"/>
      <c r="F22" s="1234"/>
      <c r="G22" s="1235"/>
      <c r="H22" s="1236"/>
      <c r="I22" s="1234"/>
      <c r="J22" s="1235"/>
      <c r="K22" s="1236"/>
      <c r="L22" s="1234"/>
      <c r="M22" s="1234"/>
      <c r="N22" s="1922"/>
      <c r="O22" s="1234"/>
      <c r="P22" s="1234"/>
      <c r="Q22" s="1237"/>
      <c r="R22" s="1923"/>
      <c r="S22" s="1924"/>
      <c r="T22" s="78"/>
      <c r="U22" s="900"/>
      <c r="V22" s="1925" t="n">
        <f aca="false">((E22*I22/16*I22/16*10.680159*J22)*IF(H22=0,0,(G22/H22))+(G22/12*L22/16*L22/16*10.680159*M22)*IF(K22=0,0,(E22*12/K22))+(E22*IF(P22=0,0,N22/P22)*Q22/16*Q22/16*10.680159*R22)+(IF(P22=0,0,E22/P22*N22)*Q22/16*Q22/16*10.680159*R22)+((T22*U22*S22*0.03*0.2836*G22)/12+4)*IF(H22=0,0,(G22/H22))*I22/16*I22/16*10.680159)*(1+J$56)</f>
        <v>0</v>
      </c>
      <c r="W22" s="1926" t="n">
        <f aca="false">ROUNDUP((E22*F22/12*G22/324+ROUNDUP(S22*T22*U22*G22/46656,0)+N22*O22*E22/3888)*(1+J$51),0)</f>
        <v>0</v>
      </c>
      <c r="AH22" s="1927" t="n">
        <f aca="false">IF($R$8=1,ROUNDUP($N22*$O22*$E22/3888*(1+$J$51),0),0)</f>
        <v>0</v>
      </c>
      <c r="AI22" s="1928" t="n">
        <f aca="false">IF($R$8=2,ROUNDUP($N22*$O22*$E22/3888*(1+$J$51),0),0)</f>
        <v>0</v>
      </c>
      <c r="AJ22" s="1928" t="n">
        <f aca="false">IF($R$8=3,ROUNDUP($N22*$O22*$E22/3888*(1+$J$51),0),0)</f>
        <v>0</v>
      </c>
      <c r="AK22" s="1928" t="n">
        <f aca="false">IF($R$8=4,ROUNDUP($N22*$O22*$E22/3888*(1+$J$51),0),0)</f>
        <v>0</v>
      </c>
      <c r="AL22" s="1928" t="n">
        <f aca="false">IF($R$8=5,ROUNDUP($N22*$O22*$E22/3888*(1+$J$51),0),0)</f>
        <v>0</v>
      </c>
      <c r="AM22" s="1928" t="n">
        <f aca="false">IF($R$8=6,ROUNDUP($N22*$O22*$E22/3888*(1+$J$51),0),0)</f>
        <v>0</v>
      </c>
      <c r="AN22" s="1928" t="n">
        <f aca="false">IF($R$8=7,ROUNDUP($N22*$O22*$E22/3888*(1+$J$51),0),0)</f>
        <v>0</v>
      </c>
      <c r="AO22" s="1928" t="n">
        <f aca="false">IF($R$8=8,ROUNDUP($N22*$O22*$E22/3888*(1+$J$51),0),0)</f>
        <v>0</v>
      </c>
      <c r="AP22" s="1928" t="n">
        <f aca="false">IF($R$8=9,ROUNDUP($N22*$O22*$E22/3888*(1+$J$51),0),0)</f>
        <v>0</v>
      </c>
      <c r="AQ22" s="1928" t="n">
        <f aca="false">IF($R$8=10,ROUNDUP($N22*$O22*$E22/3888*(1+$J$51),0),0)</f>
        <v>0</v>
      </c>
      <c r="AR22" s="1929" t="n">
        <f aca="false">IF($D22=1,$W22-SUM($AH22:$AQ22),0)</f>
        <v>0</v>
      </c>
      <c r="AS22" s="1928" t="n">
        <f aca="false">IF($D22=2,W22-SUM($AH22:$AQ22),0)</f>
        <v>0</v>
      </c>
      <c r="AT22" s="1928" t="n">
        <f aca="false">IF($D22=3,W22-SUM($AH22:$AQ22),0)</f>
        <v>0</v>
      </c>
      <c r="AU22" s="1928" t="n">
        <f aca="false">IF($D22=4,W22-SUM($AH22:$AQ22),0)</f>
        <v>0</v>
      </c>
      <c r="AV22" s="1928" t="n">
        <f aca="false">IF($D22=5,W22-SUM($AH22:$AQ22),0)</f>
        <v>0</v>
      </c>
      <c r="AW22" s="1928" t="n">
        <f aca="false">IF($D22=6,W22-SUM($AH22:$AQ22),0)</f>
        <v>0</v>
      </c>
      <c r="AX22" s="1928" t="n">
        <f aca="false">IF($D22=7,W22-SUM($AH22:$AQ22),0)</f>
        <v>0</v>
      </c>
      <c r="AY22" s="1928" t="n">
        <f aca="false">IF($D22=8,W22-SUM($AH22:$AQ22),0)</f>
        <v>0</v>
      </c>
      <c r="AZ22" s="1928" t="n">
        <f aca="false">IF($D22=9,W22-SUM($AH22:$AQ22),0)</f>
        <v>0</v>
      </c>
      <c r="BA22" s="1930" t="n">
        <f aca="false">IF($D22=10,W22-SUM($AH22:$AQ22),0)</f>
        <v>0</v>
      </c>
      <c r="BB22" s="1928" t="n">
        <f aca="false">SUM(AH22:AQ22)</f>
        <v>0</v>
      </c>
      <c r="BC22" s="1928" t="n">
        <f aca="false">SUM(AR22:AW22)</f>
        <v>0</v>
      </c>
      <c r="BD22" s="1928" t="n">
        <f aca="false">V22</f>
        <v>0</v>
      </c>
      <c r="BE22" s="1928" t="n">
        <f aca="false">E22*G22/12*2+(U22*U22*G22/1728*S22)</f>
        <v>0</v>
      </c>
      <c r="BF22" s="1928" t="n">
        <f aca="false">BE22/2</f>
        <v>0</v>
      </c>
      <c r="BG22" s="1928" t="n">
        <f aca="false">N22*E22/12</f>
        <v>0</v>
      </c>
      <c r="BH22" s="1928" t="n">
        <f aca="false">ROUND(IF(C22="Y",BF22*3/27,0),0)</f>
        <v>0</v>
      </c>
      <c r="BJ22" s="1931" t="n">
        <f aca="false">V22*F$56*IF(T$39="N",(1+V$39),1)</f>
        <v>0</v>
      </c>
      <c r="BK22" s="1932" t="n">
        <f aca="false">(AR22*Pricing!F$3+AS22*Pricing!G$3+AT22*Pricing!H$3+AU22*Pricing!I$3+AV22*Pricing!J$3+AW22*Pricing!K$3+AH22*Pricing!F$3+AI22*Pricing!G$3+AJ22*Pricing!H$3+AK22*Pricing!I$3+AL22*Pricing!J$3+AM22*Pricing!K$3)*IF(T$39="N",(1+V$39),1)</f>
        <v>0</v>
      </c>
      <c r="BL22" s="1932" t="n">
        <f aca="false">IF(C22="Y",(N$59+N$60)/DF$36*DF22,0)</f>
        <v>0</v>
      </c>
      <c r="BM22" s="1932" t="n">
        <f aca="false">BF22*(G$67+D$70)</f>
        <v>0</v>
      </c>
      <c r="BN22" s="1932" t="n">
        <f aca="false">BG22*D$66</f>
        <v>0</v>
      </c>
      <c r="BO22" s="1932" t="n">
        <f aca="false">V22/2000*D$71</f>
        <v>0</v>
      </c>
      <c r="BP22" s="1932" t="n">
        <f aca="false">IF(C22="Y",(N$74+N$73+N$72)/DF$36*DF22,0)</f>
        <v>0</v>
      </c>
      <c r="BQ22" s="1932" t="n">
        <f aca="false">IF(SUM(BF$36:BG$36)=0,0,(SUM(N$78:O$81)+SUM(N$83:O$88)+SUM(N$90:O$96)+W$95)/SUM(BF$36:BG$36)*(BF22+BG22))</f>
        <v>0</v>
      </c>
      <c r="BR22" s="1933"/>
      <c r="BS22" s="1934" t="n">
        <f aca="false">IF(SUM(BF$36:BG$36)=0,0,(BQ$36-W$58-N$64-W55-(L$79*0.15))/SUM(BF$36:BG$36)*BG22+BN22)</f>
        <v>0</v>
      </c>
      <c r="BT22" s="1932" t="n">
        <f aca="false">(AH22*Pricing!F$3+AI22*Pricing!G$3+AJ22*Pricing!H$3+AK22*Pricing!I$3+AL22*Pricing!J$3+AM22*Pricing!K$3)*IF(T$39="N",(1+V$39),1)</f>
        <v>0</v>
      </c>
      <c r="BU22" s="1932" t="n">
        <f aca="false">IF(BG22=0,0,(BS22+BT22)/BG22)</f>
        <v>0</v>
      </c>
      <c r="BV22" s="1932" t="n">
        <f aca="false">SUM(BJ22:BQ22)-BS22-BT22</f>
        <v>0</v>
      </c>
      <c r="BW22" s="1933" t="n">
        <f aca="false">IF(BE22=0,0,BV22/BF22)</f>
        <v>0</v>
      </c>
      <c r="DB22" s="1935" t="n">
        <f aca="false">IF(W22=0,0,D$40/W$36*W22)</f>
        <v>0</v>
      </c>
      <c r="DC22" s="1932" t="e">
        <f aca="false">E22*N22/12*(D$40-7980)/H$66</f>
        <v>#DIV/0!</v>
      </c>
      <c r="DD22" s="179" t="n">
        <f aca="false">ROUND(N22*O22/3088*E22,0)</f>
        <v>0</v>
      </c>
      <c r="DE22" s="908" t="n">
        <f aca="false">ROUND(V22,0)</f>
        <v>0</v>
      </c>
      <c r="DF22" s="356" t="n">
        <f aca="false">ROUND(IF(C22="Y",(G22*0.25*E22+G22*G22/144*0.5*E22)/27*1.3,0),0)</f>
        <v>0</v>
      </c>
      <c r="DG22" s="908" t="n">
        <f aca="false">ROUND(E22*G22/12,0)</f>
        <v>0</v>
      </c>
      <c r="DH22" s="908" t="n">
        <f aca="false">IF(C22="y",ROUNDUP(E22*G22/12,0),0)</f>
        <v>0</v>
      </c>
      <c r="DI22" s="908" t="n">
        <f aca="false">IF(C22="Y",IF(E22&gt;0,E22,0),0)</f>
        <v>0</v>
      </c>
      <c r="DJ22" s="1936" t="n">
        <f aca="false">ROUND(E22*N22/12,0)</f>
        <v>0</v>
      </c>
      <c r="DL22" s="1414" t="n">
        <v>32.25</v>
      </c>
    </row>
    <row r="23" s="1414" customFormat="true" ht="15" hidden="false" customHeight="false" outlineLevel="0" collapsed="false">
      <c r="A23" s="507"/>
      <c r="B23" s="1312"/>
      <c r="C23" s="1919"/>
      <c r="D23" s="1920"/>
      <c r="E23" s="1921"/>
      <c r="F23" s="1234"/>
      <c r="G23" s="1235"/>
      <c r="H23" s="1236"/>
      <c r="I23" s="1234"/>
      <c r="J23" s="1235"/>
      <c r="K23" s="1236"/>
      <c r="L23" s="1234"/>
      <c r="M23" s="1234"/>
      <c r="N23" s="1922"/>
      <c r="O23" s="1234"/>
      <c r="P23" s="1234"/>
      <c r="Q23" s="1237"/>
      <c r="R23" s="1923"/>
      <c r="S23" s="1924"/>
      <c r="T23" s="78"/>
      <c r="U23" s="900"/>
      <c r="V23" s="1925" t="n">
        <f aca="false">((E23*I23/16*I23/16*10.680159*J23)*IF(H23=0,0,(G23/H23))+(G23/12*L23/16*L23/16*10.680159*M23)*IF(K23=0,0,(E23*12/K23))+(E23*IF(P23=0,0,N23/P23)*Q23/16*Q23/16*10.680159*R23)+(IF(P23=0,0,E23/P23*N23)*Q23/16*Q23/16*10.680159*R23)+((T23*U23*S23*0.03*0.2836*G23)/12+4)*IF(H23=0,0,(G23/H23))*I23/16*I23/16*10.680159)*(1+J$56)</f>
        <v>0</v>
      </c>
      <c r="W23" s="1926" t="n">
        <f aca="false">ROUNDUP((E23*F23/12*G23/324+ROUNDUP(S23*T23*U23*G23/46656,0)+N23*O23*E23/3888)*(1+J$51),0)</f>
        <v>0</v>
      </c>
      <c r="AH23" s="1927" t="n">
        <f aca="false">IF($R$8=1,ROUNDUP($N23*$O23*$E23/3888*(1+$J$51),0),0)</f>
        <v>0</v>
      </c>
      <c r="AI23" s="1928" t="n">
        <f aca="false">IF($R$8=2,ROUNDUP($N23*$O23*$E23/3888*(1+$J$51),0),0)</f>
        <v>0</v>
      </c>
      <c r="AJ23" s="1928" t="n">
        <f aca="false">IF($R$8=3,ROUNDUP($N23*$O23*$E23/3888*(1+$J$51),0),0)</f>
        <v>0</v>
      </c>
      <c r="AK23" s="1928" t="n">
        <f aca="false">IF($R$8=4,ROUNDUP($N23*$O23*$E23/3888*(1+$J$51),0),0)</f>
        <v>0</v>
      </c>
      <c r="AL23" s="1928" t="n">
        <f aca="false">IF($R$8=5,ROUNDUP($N23*$O23*$E23/3888*(1+$J$51),0),0)</f>
        <v>0</v>
      </c>
      <c r="AM23" s="1928" t="n">
        <f aca="false">IF($R$8=6,ROUNDUP($N23*$O23*$E23/3888*(1+$J$51),0),0)</f>
        <v>0</v>
      </c>
      <c r="AN23" s="1928" t="n">
        <f aca="false">IF($R$8=7,ROUNDUP($N23*$O23*$E23/3888*(1+$J$51),0),0)</f>
        <v>0</v>
      </c>
      <c r="AO23" s="1928" t="n">
        <f aca="false">IF($R$8=8,ROUNDUP($N23*$O23*$E23/3888*(1+$J$51),0),0)</f>
        <v>0</v>
      </c>
      <c r="AP23" s="1928" t="n">
        <f aca="false">IF($R$8=9,ROUNDUP($N23*$O23*$E23/3888*(1+$J$51),0),0)</f>
        <v>0</v>
      </c>
      <c r="AQ23" s="1928" t="n">
        <f aca="false">IF($R$8=10,ROUNDUP($N23*$O23*$E23/3888*(1+$J$51),0),0)</f>
        <v>0</v>
      </c>
      <c r="AR23" s="1929" t="n">
        <f aca="false">IF($D23=1,$W23-SUM($AH23:$AQ23),0)</f>
        <v>0</v>
      </c>
      <c r="AS23" s="1928" t="n">
        <f aca="false">IF($D23=2,W23-SUM($AH23:$AQ23),0)</f>
        <v>0</v>
      </c>
      <c r="AT23" s="1928" t="n">
        <f aca="false">IF($D23=3,W23-SUM($AH23:$AQ23),0)</f>
        <v>0</v>
      </c>
      <c r="AU23" s="1928" t="n">
        <f aca="false">IF($D23=4,W23-SUM($AH23:$AQ23),0)</f>
        <v>0</v>
      </c>
      <c r="AV23" s="1928" t="n">
        <f aca="false">IF($D23=5,W23-SUM($AH23:$AQ23),0)</f>
        <v>0</v>
      </c>
      <c r="AW23" s="1928" t="n">
        <f aca="false">IF($D23=6,W23-SUM($AH23:$AQ23),0)</f>
        <v>0</v>
      </c>
      <c r="AX23" s="1928" t="n">
        <f aca="false">IF($D23=7,W23-SUM($AH23:$AQ23),0)</f>
        <v>0</v>
      </c>
      <c r="AY23" s="1928" t="n">
        <f aca="false">IF($D23=8,W23-SUM($AH23:$AQ23),0)</f>
        <v>0</v>
      </c>
      <c r="AZ23" s="1928" t="n">
        <f aca="false">IF($D23=9,W23-SUM($AH23:$AQ23),0)</f>
        <v>0</v>
      </c>
      <c r="BA23" s="1930" t="n">
        <f aca="false">IF($D23=10,W23-SUM($AH23:$AQ23),0)</f>
        <v>0</v>
      </c>
      <c r="BB23" s="1928" t="n">
        <f aca="false">SUM(AH23:AQ23)</f>
        <v>0</v>
      </c>
      <c r="BC23" s="1928" t="n">
        <f aca="false">SUM(AR23:AW23)</f>
        <v>0</v>
      </c>
      <c r="BD23" s="1928" t="n">
        <f aca="false">V23</f>
        <v>0</v>
      </c>
      <c r="BE23" s="1928" t="n">
        <f aca="false">E23*G23/12*2+(U23*U23*G23/1728*S23)</f>
        <v>0</v>
      </c>
      <c r="BF23" s="1928" t="n">
        <f aca="false">BE23/2</f>
        <v>0</v>
      </c>
      <c r="BG23" s="1928" t="n">
        <f aca="false">N23*E23/12</f>
        <v>0</v>
      </c>
      <c r="BH23" s="1928" t="n">
        <f aca="false">ROUND(IF(C23="Y",BF23*3/27,0),0)</f>
        <v>0</v>
      </c>
      <c r="BJ23" s="1931" t="n">
        <f aca="false">V23*F$56*IF(T$39="N",(1+V$39),1)</f>
        <v>0</v>
      </c>
      <c r="BK23" s="1932" t="n">
        <f aca="false">(AR23*Pricing!F$3+AS23*Pricing!G$3+AT23*Pricing!H$3+AU23*Pricing!I$3+AV23*Pricing!J$3+AW23*Pricing!K$3+AH23*Pricing!F$3+AI23*Pricing!G$3+AJ23*Pricing!H$3+AK23*Pricing!I$3+AL23*Pricing!J$3+AM23*Pricing!K$3)*IF(T$39="N",(1+V$39),1)</f>
        <v>0</v>
      </c>
      <c r="BL23" s="1932" t="n">
        <f aca="false">IF(C23="Y",(N$59+N$60)/DF$36*DF23,0)</f>
        <v>0</v>
      </c>
      <c r="BM23" s="1932" t="n">
        <f aca="false">BF23*(G$67+D$70)</f>
        <v>0</v>
      </c>
      <c r="BN23" s="1932" t="n">
        <f aca="false">BG23*D$66</f>
        <v>0</v>
      </c>
      <c r="BO23" s="1932" t="n">
        <f aca="false">V23/2000*D$71</f>
        <v>0</v>
      </c>
      <c r="BP23" s="1932" t="n">
        <f aca="false">IF(C23="Y",(N$74+N$73+N$72)/DF$36*DF23,0)</f>
        <v>0</v>
      </c>
      <c r="BQ23" s="1932" t="n">
        <f aca="false">IF(SUM(BF$36:BG$36)=0,0,(SUM(N$78:O$81)+SUM(N$83:O$88)+SUM(N$90:O$96)+W$95)/SUM(BF$36:BG$36)*(BF23+BG23))</f>
        <v>0</v>
      </c>
      <c r="BR23" s="1933"/>
      <c r="BS23" s="1934" t="n">
        <f aca="false">IF(SUM(BF$36:BG$36)=0,0,(BQ$36-W$58-N$64-W74-(L$79*0.15))/SUM(BF$36:BG$36)*BG23+BN23)</f>
        <v>0</v>
      </c>
      <c r="BT23" s="1932" t="n">
        <f aca="false">(AH23*Pricing!F$3+AI23*Pricing!G$3+AJ23*Pricing!H$3+AK23*Pricing!I$3+AL23*Pricing!J$3+AM23*Pricing!K$3)*IF(T$39="N",(1+V$39),1)</f>
        <v>0</v>
      </c>
      <c r="BU23" s="1932" t="n">
        <f aca="false">IF(BG23=0,0,(BS23+BT23)/BG23)</f>
        <v>0</v>
      </c>
      <c r="BV23" s="1932" t="n">
        <f aca="false">SUM(BJ23:BQ23)-BS23-BT23</f>
        <v>0</v>
      </c>
      <c r="BW23" s="1933" t="n">
        <f aca="false">IF(BE23=0,0,BV23/BF23)</f>
        <v>0</v>
      </c>
      <c r="DB23" s="1935" t="n">
        <f aca="false">IF(W23=0,0,D$40/W$36*W23)</f>
        <v>0</v>
      </c>
      <c r="DC23" s="1932" t="e">
        <f aca="false">E23*N23/12*(D$40-7980)/H$66</f>
        <v>#DIV/0!</v>
      </c>
      <c r="DD23" s="179" t="n">
        <f aca="false">ROUND(N23*O23/3088*E23,0)</f>
        <v>0</v>
      </c>
      <c r="DE23" s="908" t="n">
        <f aca="false">ROUND(V23,0)</f>
        <v>0</v>
      </c>
      <c r="DF23" s="356" t="n">
        <f aca="false">ROUND(IF(C23="Y",(G23*0.25*E23+G23*G23/144*0.5*E23)/27*1.3,0),0)</f>
        <v>0</v>
      </c>
      <c r="DG23" s="908" t="n">
        <f aca="false">ROUND(E23*G23/12,0)</f>
        <v>0</v>
      </c>
      <c r="DH23" s="908" t="n">
        <f aca="false">IF(C23="y",ROUNDUP(E23*G23/12,0),0)</f>
        <v>0</v>
      </c>
      <c r="DI23" s="908" t="n">
        <f aca="false">IF(C23="Y",IF(E23&gt;0,E23,0),0)</f>
        <v>0</v>
      </c>
      <c r="DJ23" s="1936" t="n">
        <f aca="false">ROUND(E23*N23/12,0)</f>
        <v>0</v>
      </c>
      <c r="DL23" s="1414" t="n">
        <v>32.1</v>
      </c>
    </row>
    <row r="24" s="1414" customFormat="true" ht="15" hidden="false" customHeight="false" outlineLevel="0" collapsed="false">
      <c r="A24" s="507"/>
      <c r="B24" s="1312"/>
      <c r="C24" s="1919"/>
      <c r="D24" s="1920"/>
      <c r="E24" s="1921"/>
      <c r="F24" s="1234"/>
      <c r="G24" s="1235"/>
      <c r="H24" s="1236"/>
      <c r="I24" s="1234"/>
      <c r="J24" s="1235"/>
      <c r="K24" s="1236"/>
      <c r="L24" s="1234"/>
      <c r="M24" s="1234"/>
      <c r="N24" s="1922"/>
      <c r="O24" s="1234"/>
      <c r="P24" s="1234"/>
      <c r="Q24" s="1237"/>
      <c r="R24" s="1923"/>
      <c r="S24" s="1924"/>
      <c r="T24" s="78"/>
      <c r="U24" s="900"/>
      <c r="V24" s="1925" t="n">
        <f aca="false">((E24*I24/16*I24/16*10.680159*J24)*IF(H24=0,0,(G24/H24))+(G24/12*L24/16*L24/16*10.680159*M24)*IF(K24=0,0,(E24*12/K24))+(E24*IF(P24=0,0,N24/P24)*Q24/16*Q24/16*10.680159*R24)+(IF(P24=0,0,E24/P24*N24)*Q24/16*Q24/16*10.680159*R24)+((T24*U24*S24*0.03*0.2836*G24)/12+4)*IF(H24=0,0,(G24/H24))*I24/16*I24/16*10.680159)*(1+J$56)</f>
        <v>0</v>
      </c>
      <c r="W24" s="1926" t="n">
        <f aca="false">ROUNDUP((E24*F24/12*G24/324+ROUNDUP(S24*T24*U24*G24/46656,0)+N24*O24*E24/3888)*(1+J$51),0)</f>
        <v>0</v>
      </c>
      <c r="AH24" s="1927" t="n">
        <f aca="false">IF($R$8=1,ROUNDUP($N24*$O24*$E24/3888*(1+$J$51),0),0)</f>
        <v>0</v>
      </c>
      <c r="AI24" s="1928" t="n">
        <f aca="false">IF($R$8=2,ROUNDUP($N24*$O24*$E24/3888*(1+$J$51),0),0)</f>
        <v>0</v>
      </c>
      <c r="AJ24" s="1928" t="n">
        <f aca="false">IF($R$8=3,ROUNDUP($N24*$O24*$E24/3888*(1+$J$51),0),0)</f>
        <v>0</v>
      </c>
      <c r="AK24" s="1928" t="n">
        <f aca="false">IF($R$8=4,ROUNDUP($N24*$O24*$E24/3888*(1+$J$51),0),0)</f>
        <v>0</v>
      </c>
      <c r="AL24" s="1928" t="n">
        <f aca="false">IF($R$8=5,ROUNDUP($N24*$O24*$E24/3888*(1+$J$51),0),0)</f>
        <v>0</v>
      </c>
      <c r="AM24" s="1928" t="n">
        <f aca="false">IF($R$8=6,ROUNDUP($N24*$O24*$E24/3888*(1+$J$51),0),0)</f>
        <v>0</v>
      </c>
      <c r="AN24" s="1928" t="n">
        <f aca="false">IF($R$8=7,ROUNDUP($N24*$O24*$E24/3888*(1+$J$51),0),0)</f>
        <v>0</v>
      </c>
      <c r="AO24" s="1928" t="n">
        <f aca="false">IF($R$8=8,ROUNDUP($N24*$O24*$E24/3888*(1+$J$51),0),0)</f>
        <v>0</v>
      </c>
      <c r="AP24" s="1928" t="n">
        <f aca="false">IF($R$8=9,ROUNDUP($N24*$O24*$E24/3888*(1+$J$51),0),0)</f>
        <v>0</v>
      </c>
      <c r="AQ24" s="1928" t="n">
        <f aca="false">IF($R$8=10,ROUNDUP($N24*$O24*$E24/3888*(1+$J$51),0),0)</f>
        <v>0</v>
      </c>
      <c r="AR24" s="1929" t="n">
        <f aca="false">IF($D24=1,$W24-SUM($AH24:$AQ24),0)</f>
        <v>0</v>
      </c>
      <c r="AS24" s="1928" t="n">
        <f aca="false">IF($D24=2,W24-SUM($AH24:$AQ24),0)</f>
        <v>0</v>
      </c>
      <c r="AT24" s="1928" t="n">
        <f aca="false">IF($D24=3,W24-SUM($AH24:$AQ24),0)</f>
        <v>0</v>
      </c>
      <c r="AU24" s="1928" t="n">
        <f aca="false">IF($D24=4,W24-SUM($AH24:$AQ24),0)</f>
        <v>0</v>
      </c>
      <c r="AV24" s="1928" t="n">
        <f aca="false">IF($D24=5,W24-SUM($AH24:$AQ24),0)</f>
        <v>0</v>
      </c>
      <c r="AW24" s="1928" t="n">
        <f aca="false">IF($D24=6,W24-SUM($AH24:$AQ24),0)</f>
        <v>0</v>
      </c>
      <c r="AX24" s="1928" t="n">
        <f aca="false">IF($D24=7,W24-SUM($AH24:$AQ24),0)</f>
        <v>0</v>
      </c>
      <c r="AY24" s="1928" t="n">
        <f aca="false">IF($D24=8,W24-SUM($AH24:$AQ24),0)</f>
        <v>0</v>
      </c>
      <c r="AZ24" s="1928" t="n">
        <f aca="false">IF($D24=9,W24-SUM($AH24:$AQ24),0)</f>
        <v>0</v>
      </c>
      <c r="BA24" s="1930" t="n">
        <f aca="false">IF($D24=10,W24-SUM($AH24:$AQ24),0)</f>
        <v>0</v>
      </c>
      <c r="BB24" s="1928" t="n">
        <f aca="false">SUM(AH24:AQ24)</f>
        <v>0</v>
      </c>
      <c r="BC24" s="1928" t="n">
        <f aca="false">SUM(AR24:AW24)</f>
        <v>0</v>
      </c>
      <c r="BD24" s="1928" t="n">
        <f aca="false">V24</f>
        <v>0</v>
      </c>
      <c r="BE24" s="1928" t="n">
        <f aca="false">E24*G24/12*2+(U24*U24*G24/1728*S24)</f>
        <v>0</v>
      </c>
      <c r="BF24" s="1928" t="n">
        <f aca="false">BE24/2</f>
        <v>0</v>
      </c>
      <c r="BG24" s="1928" t="n">
        <f aca="false">N24*E24/12</f>
        <v>0</v>
      </c>
      <c r="BH24" s="1928" t="n">
        <f aca="false">ROUND(IF(C24="Y",BF24*3/27,0),0)</f>
        <v>0</v>
      </c>
      <c r="BJ24" s="1931" t="n">
        <f aca="false">V24*F$56*IF(T$39="N",(1+V$39),1)</f>
        <v>0</v>
      </c>
      <c r="BK24" s="1932" t="n">
        <f aca="false">(AR24*Pricing!F$3+AS24*Pricing!G$3+AT24*Pricing!H$3+AU24*Pricing!I$3+AV24*Pricing!J$3+AW24*Pricing!K$3+AH24*Pricing!F$3+AI24*Pricing!G$3+AJ24*Pricing!H$3+AK24*Pricing!I$3+AL24*Pricing!J$3+AM24*Pricing!K$3)*IF(T$39="N",(1+V$39),1)</f>
        <v>0</v>
      </c>
      <c r="BL24" s="1932" t="n">
        <f aca="false">IF(C24="Y",(N$59+N$60)/DF$36*DF24,0)</f>
        <v>0</v>
      </c>
      <c r="BM24" s="1932" t="n">
        <f aca="false">BF24*(G$67+D$70)</f>
        <v>0</v>
      </c>
      <c r="BN24" s="1932" t="n">
        <f aca="false">BG24*D$66</f>
        <v>0</v>
      </c>
      <c r="BO24" s="1932" t="n">
        <f aca="false">V24/2000*D$71</f>
        <v>0</v>
      </c>
      <c r="BP24" s="1932" t="n">
        <f aca="false">IF(C24="Y",(N$74+N$73+N$72)/DF$36*DF24,0)</f>
        <v>0</v>
      </c>
      <c r="BQ24" s="1932" t="n">
        <f aca="false">IF(SUM(BF$36:BG$36)=0,0,(SUM(N$78:O$81)+SUM(N$83:O$88)+SUM(N$90:O$96)+W$95)/SUM(BF$36:BG$36)*(BF24+BG24))</f>
        <v>0</v>
      </c>
      <c r="BR24" s="1933"/>
      <c r="BS24" s="1934" t="n">
        <f aca="false">IF(SUM(BF$36:BG$36)=0,0,(BQ$36-W$58-N$64-W76-(L$79*0.15))/SUM(BF$36:BG$36)*BG24+BN24)</f>
        <v>0</v>
      </c>
      <c r="BT24" s="1932" t="n">
        <f aca="false">(AH24*Pricing!F$3+AI24*Pricing!G$3+AJ24*Pricing!H$3+AK24*Pricing!I$3+AL24*Pricing!J$3+AM24*Pricing!K$3)*IF(T$39="N",(1+V$39),1)</f>
        <v>0</v>
      </c>
      <c r="BU24" s="1932" t="n">
        <f aca="false">IF(BG24=0,0,(BS24+BT24)/BG24)</f>
        <v>0</v>
      </c>
      <c r="BV24" s="1932" t="n">
        <f aca="false">SUM(BJ24:BQ24)-BS24-BT24</f>
        <v>0</v>
      </c>
      <c r="BW24" s="1933" t="n">
        <f aca="false">IF(BE24=0,0,BV24/BF24)</f>
        <v>0</v>
      </c>
      <c r="DB24" s="1935" t="n">
        <f aca="false">IF(W24=0,0,D$40/W$36*W24)</f>
        <v>0</v>
      </c>
      <c r="DC24" s="1932" t="e">
        <f aca="false">E24*N24/12*(D$40-7980)/H$66</f>
        <v>#DIV/0!</v>
      </c>
      <c r="DD24" s="179" t="n">
        <f aca="false">ROUND(N24*O24/3088*E24,0)</f>
        <v>0</v>
      </c>
      <c r="DE24" s="908" t="n">
        <f aca="false">ROUND(V24,0)</f>
        <v>0</v>
      </c>
      <c r="DF24" s="356" t="n">
        <f aca="false">ROUND(IF(C24="Y",(G24*0.25*E24+G24*G24/144*0.5*E24)/27*1.3,0),0)</f>
        <v>0</v>
      </c>
      <c r="DG24" s="908" t="n">
        <f aca="false">ROUND(E24*G24/12,0)</f>
        <v>0</v>
      </c>
      <c r="DH24" s="908" t="n">
        <f aca="false">IF(C24="y",ROUNDUP(E24*G24/12,0),0)</f>
        <v>0</v>
      </c>
      <c r="DI24" s="908" t="n">
        <f aca="false">IF(C24="Y",IF(E24&gt;0,E24,0),0)</f>
        <v>0</v>
      </c>
      <c r="DJ24" s="1936" t="n">
        <f aca="false">ROUND(E24*N24/12,0)</f>
        <v>0</v>
      </c>
      <c r="DL24" s="1414" t="n">
        <v>28.44</v>
      </c>
    </row>
    <row r="25" s="1414" customFormat="true" ht="15" hidden="false" customHeight="false" outlineLevel="0" collapsed="false">
      <c r="A25" s="507"/>
      <c r="B25" s="1312"/>
      <c r="C25" s="1919"/>
      <c r="D25" s="1920"/>
      <c r="E25" s="1921"/>
      <c r="F25" s="1234"/>
      <c r="G25" s="1235"/>
      <c r="H25" s="1236"/>
      <c r="I25" s="1234"/>
      <c r="J25" s="1235"/>
      <c r="K25" s="1236"/>
      <c r="L25" s="1234"/>
      <c r="M25" s="1234"/>
      <c r="N25" s="1922"/>
      <c r="O25" s="1234"/>
      <c r="P25" s="1234"/>
      <c r="Q25" s="1237"/>
      <c r="R25" s="1923"/>
      <c r="S25" s="1924"/>
      <c r="T25" s="78"/>
      <c r="U25" s="900"/>
      <c r="V25" s="1925" t="n">
        <f aca="false">((E25*I25/16*I25/16*10.680159*J25)*IF(H25=0,0,(G25/H25))+(G25/12*L25/16*L25/16*10.680159*M25)*IF(K25=0,0,(E25*12/K25))+(E25*IF(P25=0,0,N25/P25)*Q25/16*Q25/16*10.680159*R25)+(IF(P25=0,0,E25/P25*N25)*Q25/16*Q25/16*10.680159*R25)+((T25*U25*S25*0.03*0.2836*G25)/12+4)*IF(H25=0,0,(G25/H25))*I25/16*I25/16*10.680159)*(1+J$56)</f>
        <v>0</v>
      </c>
      <c r="W25" s="1926" t="n">
        <f aca="false">ROUNDUP((E25*F25/12*G25/324+ROUNDUP(S25*T25*U25*G25/46656,0)+N25*O25*E25/3888)*(1+J$51),0)</f>
        <v>0</v>
      </c>
      <c r="AH25" s="1927" t="n">
        <f aca="false">IF($R$8=1,ROUNDUP($N25*$O25*$E25/3888*(1+$J$51),0),0)</f>
        <v>0</v>
      </c>
      <c r="AI25" s="1928" t="n">
        <f aca="false">IF($R$8=2,ROUNDUP($N25*$O25*$E25/3888*(1+$J$51),0),0)</f>
        <v>0</v>
      </c>
      <c r="AJ25" s="1928" t="n">
        <f aca="false">IF($R$8=3,ROUNDUP($N25*$O25*$E25/3888*(1+$J$51),0),0)</f>
        <v>0</v>
      </c>
      <c r="AK25" s="1928" t="n">
        <f aca="false">IF($R$8=4,ROUNDUP($N25*$O25*$E25/3888*(1+$J$51),0),0)</f>
        <v>0</v>
      </c>
      <c r="AL25" s="1928" t="n">
        <f aca="false">IF($R$8=5,ROUNDUP($N25*$O25*$E25/3888*(1+$J$51),0),0)</f>
        <v>0</v>
      </c>
      <c r="AM25" s="1928" t="n">
        <f aca="false">IF($R$8=6,ROUNDUP($N25*$O25*$E25/3888*(1+$J$51),0),0)</f>
        <v>0</v>
      </c>
      <c r="AN25" s="1928" t="n">
        <f aca="false">IF($R$8=7,ROUNDUP($N25*$O25*$E25/3888*(1+$J$51),0),0)</f>
        <v>0</v>
      </c>
      <c r="AO25" s="1928" t="n">
        <f aca="false">IF($R$8=8,ROUNDUP($N25*$O25*$E25/3888*(1+$J$51),0),0)</f>
        <v>0</v>
      </c>
      <c r="AP25" s="1928" t="n">
        <f aca="false">IF($R$8=9,ROUNDUP($N25*$O25*$E25/3888*(1+$J$51),0),0)</f>
        <v>0</v>
      </c>
      <c r="AQ25" s="1928" t="n">
        <f aca="false">IF($R$8=10,ROUNDUP($N25*$O25*$E25/3888*(1+$J$51),0),0)</f>
        <v>0</v>
      </c>
      <c r="AR25" s="1929" t="n">
        <f aca="false">IF($D25=1,$W25-SUM($AH25:$AQ25),0)</f>
        <v>0</v>
      </c>
      <c r="AS25" s="1928" t="n">
        <f aca="false">IF($D25=2,W25-SUM($AH25:$AQ25),0)</f>
        <v>0</v>
      </c>
      <c r="AT25" s="1928" t="n">
        <f aca="false">IF($D25=3,W25-SUM($AH25:$AQ25),0)</f>
        <v>0</v>
      </c>
      <c r="AU25" s="1928" t="n">
        <f aca="false">IF($D25=4,W25-SUM($AH25:$AQ25),0)</f>
        <v>0</v>
      </c>
      <c r="AV25" s="1928" t="n">
        <f aca="false">IF($D25=5,W25-SUM($AH25:$AQ25),0)</f>
        <v>0</v>
      </c>
      <c r="AW25" s="1928" t="n">
        <f aca="false">IF($D25=6,W25-SUM($AH25:$AQ25),0)</f>
        <v>0</v>
      </c>
      <c r="AX25" s="1928" t="n">
        <f aca="false">IF($D25=7,W25-SUM($AH25:$AQ25),0)</f>
        <v>0</v>
      </c>
      <c r="AY25" s="1928" t="n">
        <f aca="false">IF($D25=8,W25-SUM($AH25:$AQ25),0)</f>
        <v>0</v>
      </c>
      <c r="AZ25" s="1928" t="n">
        <f aca="false">IF($D25=9,W25-SUM($AH25:$AQ25),0)</f>
        <v>0</v>
      </c>
      <c r="BA25" s="1930" t="n">
        <f aca="false">IF($D25=10,W25-SUM($AH25:$AQ25),0)</f>
        <v>0</v>
      </c>
      <c r="BB25" s="1928" t="n">
        <f aca="false">SUM(AH25:AQ25)</f>
        <v>0</v>
      </c>
      <c r="BC25" s="1928" t="n">
        <f aca="false">SUM(AR25:AW25)</f>
        <v>0</v>
      </c>
      <c r="BD25" s="1928" t="n">
        <f aca="false">V25</f>
        <v>0</v>
      </c>
      <c r="BE25" s="1928" t="n">
        <f aca="false">E25*G25/12*2+(U25*U25*G25/1728*S25)</f>
        <v>0</v>
      </c>
      <c r="BF25" s="1928" t="n">
        <f aca="false">BE25/2</f>
        <v>0</v>
      </c>
      <c r="BG25" s="1928" t="n">
        <f aca="false">N25*E25/12</f>
        <v>0</v>
      </c>
      <c r="BH25" s="1928" t="n">
        <f aca="false">ROUND(IF(C25="Y",BF25*3/27,0),0)</f>
        <v>0</v>
      </c>
      <c r="BJ25" s="1931" t="n">
        <f aca="false">V25*F$56*IF(T$39="N",(1+V$39),1)</f>
        <v>0</v>
      </c>
      <c r="BK25" s="1932" t="n">
        <f aca="false">(AR25*Pricing!F$3+AS25*Pricing!G$3+AT25*Pricing!H$3+AU25*Pricing!I$3+AV25*Pricing!J$3+AW25*Pricing!K$3+AH25*Pricing!F$3+AI25*Pricing!G$3+AJ25*Pricing!H$3+AK25*Pricing!I$3+AL25*Pricing!J$3+AM25*Pricing!K$3)*IF(T$39="N",(1+V$39),1)</f>
        <v>0</v>
      </c>
      <c r="BL25" s="1932" t="n">
        <f aca="false">IF(C25="Y",(N$59+N$60)/DF$36*DF25,0)</f>
        <v>0</v>
      </c>
      <c r="BM25" s="1932" t="n">
        <f aca="false">BF25*(G$67+D$70)</f>
        <v>0</v>
      </c>
      <c r="BN25" s="1932" t="n">
        <f aca="false">BG25*D$66</f>
        <v>0</v>
      </c>
      <c r="BO25" s="1932" t="n">
        <f aca="false">V25/2000*D$71</f>
        <v>0</v>
      </c>
      <c r="BP25" s="1932" t="n">
        <f aca="false">IF(C25="Y",(N$74+N$73+N$72)/DF$36*DF25,0)</f>
        <v>0</v>
      </c>
      <c r="BQ25" s="1932" t="n">
        <f aca="false">IF(SUM(BF$36:BG$36)=0,0,(SUM(N$78:O$81)+SUM(N$83:O$88)+SUM(N$90:O$96)+W$95)/SUM(BF$36:BG$36)*(BF25+BG25))</f>
        <v>0</v>
      </c>
      <c r="BR25" s="1933"/>
      <c r="BS25" s="1934" t="n">
        <f aca="false">IF(SUM(BF$36:BG$36)=0,0,(BQ$36-W$58-N$64-W63-(L$79*0.15))/SUM(BF$36:BG$36)*BG25+BN25)</f>
        <v>0</v>
      </c>
      <c r="BT25" s="1932" t="n">
        <f aca="false">(AH25*Pricing!F$3+AI25*Pricing!G$3+AJ25*Pricing!H$3+AK25*Pricing!I$3+AL25*Pricing!J$3+AM25*Pricing!K$3)*IF(T$39="N",(1+V$39),1)</f>
        <v>0</v>
      </c>
      <c r="BU25" s="1932" t="n">
        <f aca="false">IF(BG25=0,0,(BS25+BT25)/BG25)</f>
        <v>0</v>
      </c>
      <c r="BV25" s="1932" t="n">
        <f aca="false">SUM(BJ25:BQ25)-BS25-BT25</f>
        <v>0</v>
      </c>
      <c r="BW25" s="1933" t="n">
        <f aca="false">IF(BE25=0,0,BV25/BF25)</f>
        <v>0</v>
      </c>
      <c r="DB25" s="1935" t="n">
        <f aca="false">IF(W25=0,0,D$40/W$36*W25)</f>
        <v>0</v>
      </c>
      <c r="DC25" s="1932" t="e">
        <f aca="false">E25*N25/12*(D$40-7980)/H$66</f>
        <v>#DIV/0!</v>
      </c>
      <c r="DD25" s="179" t="n">
        <f aca="false">ROUND(N25*O25/3088*E25,0)</f>
        <v>0</v>
      </c>
      <c r="DE25" s="908" t="n">
        <f aca="false">ROUND(V25,0)</f>
        <v>0</v>
      </c>
      <c r="DF25" s="356" t="n">
        <f aca="false">ROUND(IF(C25="Y",(G25*0.25*E25+G25*G25/144*0.5*E25)/27*1.3,0),0)</f>
        <v>0</v>
      </c>
      <c r="DG25" s="908" t="n">
        <f aca="false">ROUND(E25*G25/12,0)</f>
        <v>0</v>
      </c>
      <c r="DH25" s="908" t="n">
        <f aca="false">IF(C25="y",ROUNDUP(E25*G25/12,0),0)</f>
        <v>0</v>
      </c>
      <c r="DI25" s="908" t="n">
        <f aca="false">IF(C25="Y",IF(E25&gt;0,E25,0),0)</f>
        <v>0</v>
      </c>
      <c r="DJ25" s="1936" t="n">
        <f aca="false">ROUND(E25*N25/12,0)</f>
        <v>0</v>
      </c>
      <c r="DL25" s="1414" t="n">
        <v>27.41</v>
      </c>
    </row>
    <row r="26" s="1414" customFormat="true" ht="15" hidden="false" customHeight="false" outlineLevel="0" collapsed="false">
      <c r="A26" s="507"/>
      <c r="B26" s="1312"/>
      <c r="C26" s="1919"/>
      <c r="D26" s="1920"/>
      <c r="E26" s="1921"/>
      <c r="F26" s="1234"/>
      <c r="G26" s="1235"/>
      <c r="H26" s="1236"/>
      <c r="I26" s="1234"/>
      <c r="J26" s="1235"/>
      <c r="K26" s="1236"/>
      <c r="L26" s="1234"/>
      <c r="M26" s="1234"/>
      <c r="N26" s="1922"/>
      <c r="O26" s="1234"/>
      <c r="P26" s="1234"/>
      <c r="Q26" s="1237"/>
      <c r="R26" s="1923"/>
      <c r="S26" s="1924"/>
      <c r="T26" s="78"/>
      <c r="U26" s="900"/>
      <c r="V26" s="1925" t="n">
        <f aca="false">((E26*I26/16*I26/16*10.680159*J26)*IF(H26=0,0,(G26/H26))+(G26/12*L26/16*L26/16*10.680159*M26)*IF(K26=0,0,(E26*12/K26))+(E26*IF(P26=0,0,N26/P26)*Q26/16*Q26/16*10.680159*R26)+(IF(P26=0,0,E26/P26*N26)*Q26/16*Q26/16*10.680159*R26)+((T26*U26*S26*0.03*0.2836*G26)/12+4)*IF(H26=0,0,(G26/H26))*I26/16*I26/16*10.680159)*(1+J$56)</f>
        <v>0</v>
      </c>
      <c r="W26" s="1926" t="n">
        <f aca="false">ROUNDUP((E26*F26/12*G26/324+ROUNDUP(S26*T26*U26*G26/46656,0)+N26*O26*E26/3888)*(1+J$51),0)</f>
        <v>0</v>
      </c>
      <c r="AH26" s="1927" t="n">
        <f aca="false">IF($R$8=1,ROUNDUP($N26*$O26*$E26/3888*(1+$J$51),0),0)</f>
        <v>0</v>
      </c>
      <c r="AI26" s="1928" t="n">
        <f aca="false">IF($R$8=2,ROUNDUP($N26*$O26*$E26/3888*(1+$J$51),0),0)</f>
        <v>0</v>
      </c>
      <c r="AJ26" s="1928" t="n">
        <f aca="false">IF($R$8=3,ROUNDUP($N26*$O26*$E26/3888*(1+$J$51),0),0)</f>
        <v>0</v>
      </c>
      <c r="AK26" s="1928" t="n">
        <f aca="false">IF($R$8=4,ROUNDUP($N26*$O26*$E26/3888*(1+$J$51),0),0)</f>
        <v>0</v>
      </c>
      <c r="AL26" s="1928" t="n">
        <f aca="false">IF($R$8=5,ROUNDUP($N26*$O26*$E26/3888*(1+$J$51),0),0)</f>
        <v>0</v>
      </c>
      <c r="AM26" s="1928" t="n">
        <f aca="false">IF($R$8=6,ROUNDUP($N26*$O26*$E26/3888*(1+$J$51),0),0)</f>
        <v>0</v>
      </c>
      <c r="AN26" s="1928" t="n">
        <f aca="false">IF($R$8=7,ROUNDUP($N26*$O26*$E26/3888*(1+$J$51),0),0)</f>
        <v>0</v>
      </c>
      <c r="AO26" s="1928" t="n">
        <f aca="false">IF($R$8=8,ROUNDUP($N26*$O26*$E26/3888*(1+$J$51),0),0)</f>
        <v>0</v>
      </c>
      <c r="AP26" s="1928" t="n">
        <f aca="false">IF($R$8=9,ROUNDUP($N26*$O26*$E26/3888*(1+$J$51),0),0)</f>
        <v>0</v>
      </c>
      <c r="AQ26" s="1928" t="n">
        <f aca="false">IF($R$8=10,ROUNDUP($N26*$O26*$E26/3888*(1+$J$51),0),0)</f>
        <v>0</v>
      </c>
      <c r="AR26" s="1929" t="n">
        <f aca="false">IF($D26=1,$W26-SUM($AH26:$AQ26),0)</f>
        <v>0</v>
      </c>
      <c r="AS26" s="1928" t="n">
        <f aca="false">IF($D26=2,W26-SUM($AH26:$AQ26),0)</f>
        <v>0</v>
      </c>
      <c r="AT26" s="1928" t="n">
        <f aca="false">IF($D26=3,W26-SUM($AH26:$AQ26),0)</f>
        <v>0</v>
      </c>
      <c r="AU26" s="1928" t="n">
        <f aca="false">IF($D26=4,W26-SUM($AH26:$AQ26),0)</f>
        <v>0</v>
      </c>
      <c r="AV26" s="1928" t="n">
        <f aca="false">IF($D26=5,W26-SUM($AH26:$AQ26),0)</f>
        <v>0</v>
      </c>
      <c r="AW26" s="1928" t="n">
        <f aca="false">IF($D26=6,W26-SUM($AH26:$AQ26),0)</f>
        <v>0</v>
      </c>
      <c r="AX26" s="1928" t="n">
        <f aca="false">IF($D26=7,W26-SUM($AH26:$AQ26),0)</f>
        <v>0</v>
      </c>
      <c r="AY26" s="1928" t="n">
        <f aca="false">IF($D26=8,W26-SUM($AH26:$AQ26),0)</f>
        <v>0</v>
      </c>
      <c r="AZ26" s="1928" t="n">
        <f aca="false">IF($D26=9,W26-SUM($AH26:$AQ26),0)</f>
        <v>0</v>
      </c>
      <c r="BA26" s="1930" t="n">
        <f aca="false">IF($D26=10,W26-SUM($AH26:$AQ26),0)</f>
        <v>0</v>
      </c>
      <c r="BB26" s="1928" t="n">
        <f aca="false">SUM(AH26:AQ26)</f>
        <v>0</v>
      </c>
      <c r="BC26" s="1928" t="n">
        <f aca="false">SUM(AR26:AW26)</f>
        <v>0</v>
      </c>
      <c r="BD26" s="1928" t="n">
        <f aca="false">V26</f>
        <v>0</v>
      </c>
      <c r="BE26" s="1928" t="n">
        <f aca="false">E26*G26/12*2+(U26*U26*G26/1728*S26)</f>
        <v>0</v>
      </c>
      <c r="BF26" s="1928" t="n">
        <f aca="false">BE26/2</f>
        <v>0</v>
      </c>
      <c r="BG26" s="1928" t="n">
        <f aca="false">N26*E26/12</f>
        <v>0</v>
      </c>
      <c r="BH26" s="1928" t="n">
        <f aca="false">ROUND(IF(C26="Y",BF26*3/27,0),0)</f>
        <v>0</v>
      </c>
      <c r="BJ26" s="1931" t="n">
        <f aca="false">V26*F$56*IF(T$39="N",(1+V$39),1)</f>
        <v>0</v>
      </c>
      <c r="BK26" s="1932" t="n">
        <f aca="false">(AR26*Pricing!F$3+AS26*Pricing!G$3+AT26*Pricing!H$3+AU26*Pricing!I$3+AV26*Pricing!J$3+AW26*Pricing!K$3+AH26*Pricing!F$3+AI26*Pricing!G$3+AJ26*Pricing!H$3+AK26*Pricing!I$3+AL26*Pricing!J$3+AM26*Pricing!K$3)*IF(T$39="N",(1+V$39),1)</f>
        <v>0</v>
      </c>
      <c r="BL26" s="1932" t="n">
        <f aca="false">IF(C26="Y",(N$59+N$60)/DF$36*DF26,0)</f>
        <v>0</v>
      </c>
      <c r="BM26" s="1932" t="n">
        <f aca="false">BF26*(G$67+D$70)</f>
        <v>0</v>
      </c>
      <c r="BN26" s="1932" t="n">
        <f aca="false">BG26*D$66</f>
        <v>0</v>
      </c>
      <c r="BO26" s="1932" t="n">
        <f aca="false">V26/2000*D$71</f>
        <v>0</v>
      </c>
      <c r="BP26" s="1932" t="n">
        <f aca="false">IF(C26="Y",(N$74+N$73+N$72)/DF$36*DF26,0)</f>
        <v>0</v>
      </c>
      <c r="BQ26" s="1932" t="n">
        <f aca="false">IF(SUM(BF$36:BG$36)=0,0,(SUM(N$78:O$81)+SUM(N$83:O$88)+SUM(N$90:O$96)+W$95)/SUM(BF$36:BG$36)*(BF26+BG26))</f>
        <v>0</v>
      </c>
      <c r="BR26" s="1933"/>
      <c r="BS26" s="1934" t="n">
        <f aca="false">IF(SUM(BF$36:BG$36)=0,0,(BQ$36-W$58-N$64-W57-(L$79*0.15))/SUM(BF$36:BG$36)*BG26+BN26)</f>
        <v>0</v>
      </c>
      <c r="BT26" s="1932" t="n">
        <f aca="false">(AH26*Pricing!F$3+AI26*Pricing!G$3+AJ26*Pricing!H$3+AK26*Pricing!I$3+AL26*Pricing!J$3+AM26*Pricing!K$3)*IF(T$39="N",(1+V$39),1)</f>
        <v>0</v>
      </c>
      <c r="BU26" s="1932" t="n">
        <f aca="false">IF(BG26=0,0,(BS26+BT26)/BG26)</f>
        <v>0</v>
      </c>
      <c r="BV26" s="1932" t="n">
        <f aca="false">SUM(BJ26:BQ26)-BS26-BT26</f>
        <v>0</v>
      </c>
      <c r="BW26" s="1933" t="n">
        <f aca="false">IF(BE26=0,0,BV26/BF26)</f>
        <v>0</v>
      </c>
      <c r="DB26" s="1935" t="n">
        <f aca="false">IF(W26=0,0,D$40/W$36*W26)</f>
        <v>0</v>
      </c>
      <c r="DC26" s="1932" t="e">
        <f aca="false">E26*N26/12*(D$40-7980)/H$66</f>
        <v>#DIV/0!</v>
      </c>
      <c r="DD26" s="179" t="n">
        <f aca="false">ROUND(N26*O26/3088*E26,0)</f>
        <v>0</v>
      </c>
      <c r="DE26" s="908" t="n">
        <f aca="false">ROUND(V26,0)</f>
        <v>0</v>
      </c>
      <c r="DF26" s="356" t="n">
        <f aca="false">ROUND(IF(C26="Y",(G26*0.25*E26+G26*G26/144*0.5*E26)/27*1.3,0),0)</f>
        <v>0</v>
      </c>
      <c r="DG26" s="908" t="n">
        <f aca="false">ROUND(E26*G26/12,0)</f>
        <v>0</v>
      </c>
      <c r="DH26" s="908" t="n">
        <f aca="false">IF(C26="y",ROUNDUP(E26*G26/12,0),0)</f>
        <v>0</v>
      </c>
      <c r="DI26" s="908" t="n">
        <f aca="false">IF(C26="Y",IF(E26&gt;0,E26,0),0)</f>
        <v>0</v>
      </c>
      <c r="DJ26" s="1936" t="n">
        <f aca="false">ROUND(E26*N26/12,0)</f>
        <v>0</v>
      </c>
      <c r="DL26" s="1414" t="n">
        <v>15.82</v>
      </c>
    </row>
    <row r="27" s="1414" customFormat="true" ht="15" hidden="false" customHeight="false" outlineLevel="0" collapsed="false">
      <c r="A27" s="507"/>
      <c r="B27" s="1312"/>
      <c r="C27" s="1919"/>
      <c r="D27" s="1920"/>
      <c r="E27" s="1921"/>
      <c r="F27" s="1234"/>
      <c r="G27" s="1235"/>
      <c r="H27" s="1236"/>
      <c r="I27" s="1234"/>
      <c r="J27" s="1235"/>
      <c r="K27" s="1236"/>
      <c r="L27" s="1234"/>
      <c r="M27" s="1234"/>
      <c r="N27" s="1922"/>
      <c r="O27" s="1234"/>
      <c r="P27" s="1234"/>
      <c r="Q27" s="1237"/>
      <c r="R27" s="1923"/>
      <c r="S27" s="1924"/>
      <c r="T27" s="78"/>
      <c r="U27" s="900"/>
      <c r="V27" s="1925" t="n">
        <f aca="false">((E27*I27/16*I27/16*10.680159*J27)*IF(H27=0,0,(G27/H27))+(G27/12*L27/16*L27/16*10.680159*M27)*IF(K27=0,0,(E27*12/K27))+(E27*IF(P27=0,0,N27/P27)*Q27/16*Q27/16*10.680159*R27)+(IF(P27=0,0,E27/P27*N27)*Q27/16*Q27/16*10.680159*R27)+((T27*U27*S27*0.03*0.2836*G27)/12+4)*IF(H27=0,0,(G27/H27))*I27/16*I27/16*10.680159)*(1+J$56)</f>
        <v>0</v>
      </c>
      <c r="W27" s="1926" t="n">
        <f aca="false">ROUNDUP((E27*F27/12*G27/324+ROUNDUP(S27*T27*U27*G27/46656,0)+N27*O27*E27/3888)*(1+J$51),0)</f>
        <v>0</v>
      </c>
      <c r="AH27" s="1927" t="n">
        <f aca="false">IF($R$8=1,ROUNDUP($N27*$O27*$E27/3888*(1+$J$51),0),0)</f>
        <v>0</v>
      </c>
      <c r="AI27" s="1928" t="n">
        <f aca="false">IF($R$8=2,ROUNDUP($N27*$O27*$E27/3888*(1+$J$51),0),0)</f>
        <v>0</v>
      </c>
      <c r="AJ27" s="1928" t="n">
        <f aca="false">IF($R$8=3,ROUNDUP($N27*$O27*$E27/3888*(1+$J$51),0),0)</f>
        <v>0</v>
      </c>
      <c r="AK27" s="1928" t="n">
        <f aca="false">IF($R$8=4,ROUNDUP($N27*$O27*$E27/3888*(1+$J$51),0),0)</f>
        <v>0</v>
      </c>
      <c r="AL27" s="1928" t="n">
        <f aca="false">IF($R$8=5,ROUNDUP($N27*$O27*$E27/3888*(1+$J$51),0),0)</f>
        <v>0</v>
      </c>
      <c r="AM27" s="1928" t="n">
        <f aca="false">IF($R$8=6,ROUNDUP($N27*$O27*$E27/3888*(1+$J$51),0),0)</f>
        <v>0</v>
      </c>
      <c r="AN27" s="1928" t="n">
        <f aca="false">IF($R$8=7,ROUNDUP($N27*$O27*$E27/3888*(1+$J$51),0),0)</f>
        <v>0</v>
      </c>
      <c r="AO27" s="1928" t="n">
        <f aca="false">IF($R$8=8,ROUNDUP($N27*$O27*$E27/3888*(1+$J$51),0),0)</f>
        <v>0</v>
      </c>
      <c r="AP27" s="1928" t="n">
        <f aca="false">IF($R$8=9,ROUNDUP($N27*$O27*$E27/3888*(1+$J$51),0),0)</f>
        <v>0</v>
      </c>
      <c r="AQ27" s="1928" t="n">
        <f aca="false">IF($R$8=10,ROUNDUP($N27*$O27*$E27/3888*(1+$J$51),0),0)</f>
        <v>0</v>
      </c>
      <c r="AR27" s="1929" t="n">
        <f aca="false">IF($D27=1,$W27-SUM($AH27:$AQ27),0)</f>
        <v>0</v>
      </c>
      <c r="AS27" s="1928" t="n">
        <f aca="false">IF($D27=2,W27-SUM($AH27:$AQ27),0)</f>
        <v>0</v>
      </c>
      <c r="AT27" s="1928" t="n">
        <f aca="false">IF($D27=3,W27-SUM($AH27:$AQ27),0)</f>
        <v>0</v>
      </c>
      <c r="AU27" s="1928" t="n">
        <f aca="false">IF($D27=4,W27-SUM($AH27:$AQ27),0)</f>
        <v>0</v>
      </c>
      <c r="AV27" s="1928" t="n">
        <f aca="false">IF($D27=5,W27-SUM($AH27:$AQ27),0)</f>
        <v>0</v>
      </c>
      <c r="AW27" s="1928" t="n">
        <f aca="false">IF($D27=6,W27-SUM($AH27:$AQ27),0)</f>
        <v>0</v>
      </c>
      <c r="AX27" s="1928" t="n">
        <f aca="false">IF($D27=7,W27-SUM($AH27:$AQ27),0)</f>
        <v>0</v>
      </c>
      <c r="AY27" s="1928" t="n">
        <f aca="false">IF($D27=8,W27-SUM($AH27:$AQ27),0)</f>
        <v>0</v>
      </c>
      <c r="AZ27" s="1928" t="n">
        <f aca="false">IF($D27=9,W27-SUM($AH27:$AQ27),0)</f>
        <v>0</v>
      </c>
      <c r="BA27" s="1930" t="n">
        <f aca="false">IF($D27=10,W27-SUM($AH27:$AQ27),0)</f>
        <v>0</v>
      </c>
      <c r="BB27" s="1928" t="n">
        <f aca="false">SUM(AH27:AQ27)</f>
        <v>0</v>
      </c>
      <c r="BC27" s="1928" t="n">
        <f aca="false">SUM(AR27:AW27)</f>
        <v>0</v>
      </c>
      <c r="BD27" s="1928" t="n">
        <f aca="false">V27</f>
        <v>0</v>
      </c>
      <c r="BE27" s="1928" t="n">
        <f aca="false">E27*G27/12*2+(U27*U27*G27/1728*S27)</f>
        <v>0</v>
      </c>
      <c r="BF27" s="1928" t="n">
        <f aca="false">BE27/2</f>
        <v>0</v>
      </c>
      <c r="BG27" s="1928" t="n">
        <f aca="false">N27*E27/12</f>
        <v>0</v>
      </c>
      <c r="BH27" s="1928" t="n">
        <f aca="false">ROUND(IF(C27="Y",BF27*3/27,0),0)</f>
        <v>0</v>
      </c>
      <c r="BJ27" s="1931" t="n">
        <f aca="false">V27*F$56*IF(T$39="N",(1+V$39),1)</f>
        <v>0</v>
      </c>
      <c r="BK27" s="1932" t="n">
        <f aca="false">(AR27*Pricing!F$3+AS27*Pricing!G$3+AT27*Pricing!H$3+AU27*Pricing!I$3+AV27*Pricing!J$3+AW27*Pricing!K$3+AH27*Pricing!F$3+AI27*Pricing!G$3+AJ27*Pricing!H$3+AK27*Pricing!I$3+AL27*Pricing!J$3+AM27*Pricing!K$3)*IF(T$39="N",(1+V$39),1)</f>
        <v>0</v>
      </c>
      <c r="BL27" s="1932" t="n">
        <f aca="false">IF(C27="Y",(N$59+N$60)/DF$36*DF27,0)</f>
        <v>0</v>
      </c>
      <c r="BM27" s="1932" t="n">
        <f aca="false">BF27*(G$67+D$70)</f>
        <v>0</v>
      </c>
      <c r="BN27" s="1932" t="n">
        <f aca="false">BG27*D$66</f>
        <v>0</v>
      </c>
      <c r="BO27" s="1932" t="n">
        <f aca="false">V27/2000*D$71</f>
        <v>0</v>
      </c>
      <c r="BP27" s="1932" t="n">
        <f aca="false">IF(C27="Y",(N$74+N$73+N$72)/DF$36*DF27,0)</f>
        <v>0</v>
      </c>
      <c r="BQ27" s="1932" t="n">
        <f aca="false">IF(SUM(BF$36:BG$36)=0,0,(SUM(N$78:O$81)+SUM(N$83:O$88)+SUM(N$90:O$96)+W$95)/SUM(BF$36:BG$36)*(BF27+BG27))</f>
        <v>0</v>
      </c>
      <c r="BR27" s="1933"/>
      <c r="BS27" s="1934" t="n">
        <f aca="false">IF(SUM(BF$36:BG$36)=0,0,(BQ$36-W$58-N$64-W65-(L$79*0.15))/SUM(BF$36:BG$36)*BG27+BN27)</f>
        <v>0</v>
      </c>
      <c r="BT27" s="1932" t="n">
        <f aca="false">(AH27*Pricing!F$3+AI27*Pricing!G$3+AJ27*Pricing!H$3+AK27*Pricing!I$3+AL27*Pricing!J$3+AM27*Pricing!K$3)*IF(T$39="N",(1+V$39),1)</f>
        <v>0</v>
      </c>
      <c r="BU27" s="1932" t="n">
        <f aca="false">IF(BG27=0,0,(BS27+BT27)/BG27)</f>
        <v>0</v>
      </c>
      <c r="BV27" s="1932" t="n">
        <f aca="false">SUM(BJ27:BQ27)-BS27-BT27</f>
        <v>0</v>
      </c>
      <c r="BW27" s="1933" t="n">
        <f aca="false">IF(BE27=0,0,BV27/BF27)</f>
        <v>0</v>
      </c>
      <c r="DB27" s="1935" t="n">
        <f aca="false">IF(W27=0,0,D$40/W$36*W27)</f>
        <v>0</v>
      </c>
      <c r="DC27" s="1932" t="e">
        <f aca="false">E27*N27/12*(D$40-7980)/H$66</f>
        <v>#DIV/0!</v>
      </c>
      <c r="DD27" s="179" t="n">
        <f aca="false">ROUND(N27*O27/3088*E27,0)</f>
        <v>0</v>
      </c>
      <c r="DE27" s="908" t="n">
        <f aca="false">ROUND(V27,0)</f>
        <v>0</v>
      </c>
      <c r="DF27" s="356" t="n">
        <f aca="false">ROUND(IF(C27="Y",(G27*0.25*E27+G27*G27/144*0.5*E27)/27*1.3,0),0)</f>
        <v>0</v>
      </c>
      <c r="DG27" s="908" t="n">
        <f aca="false">ROUND(E27*G27/12,0)</f>
        <v>0</v>
      </c>
      <c r="DH27" s="908" t="n">
        <f aca="false">IF(C27="y",ROUNDUP(E27*G27/12,0),0)</f>
        <v>0</v>
      </c>
      <c r="DI27" s="908" t="n">
        <f aca="false">IF(C27="Y",IF(E27&gt;0,E27,0),0)</f>
        <v>0</v>
      </c>
      <c r="DJ27" s="1936" t="n">
        <f aca="false">ROUND(E27*N27/12,0)</f>
        <v>0</v>
      </c>
      <c r="DL27" s="1414" t="n">
        <v>34.64</v>
      </c>
    </row>
    <row r="28" s="1414" customFormat="true" ht="15" hidden="false" customHeight="false" outlineLevel="0" collapsed="false">
      <c r="A28" s="507"/>
      <c r="B28" s="1312"/>
      <c r="C28" s="1919"/>
      <c r="D28" s="1920"/>
      <c r="E28" s="1921"/>
      <c r="F28" s="1234"/>
      <c r="G28" s="1235"/>
      <c r="H28" s="1236"/>
      <c r="I28" s="1234"/>
      <c r="J28" s="1235"/>
      <c r="K28" s="1236"/>
      <c r="L28" s="1234"/>
      <c r="M28" s="1234"/>
      <c r="N28" s="1922"/>
      <c r="O28" s="1234"/>
      <c r="P28" s="1234"/>
      <c r="Q28" s="1234"/>
      <c r="R28" s="1923"/>
      <c r="S28" s="1924"/>
      <c r="T28" s="78"/>
      <c r="U28" s="900"/>
      <c r="V28" s="1925" t="n">
        <f aca="false">((E28*I28/16*I28/16*10.680159*J28)*IF(H28=0,0,(G28/H28))+(G28/12*L28/16*L28/16*10.680159*M28)*IF(K28=0,0,(E28*12/K28))+(E28*IF(P28=0,0,N28/P28)*Q28/16*Q28/16*10.680159*R28)+(IF(P28=0,0,E28/P28*N28)*Q28/16*Q28/16*10.680159*R28)+((T28*U28*S28*0.03*0.2836*G28)/12+4)*IF(H28=0,0,(G28/H28))*I28/16*I28/16*10.680159)*(1+J$56)</f>
        <v>0</v>
      </c>
      <c r="W28" s="1926" t="n">
        <f aca="false">ROUNDUP((E28*F28/12*G28/324+ROUNDUP(S28*T28*U28*G28/46656,0)+N28*O28*E28/3888)*(1+J$51),0)</f>
        <v>0</v>
      </c>
      <c r="AH28" s="1927" t="n">
        <f aca="false">IF($R$8=1,ROUNDUP($N28*$O28*$E28/3888*(1+$J$51),0),0)</f>
        <v>0</v>
      </c>
      <c r="AI28" s="1928" t="n">
        <f aca="false">IF($R$8=2,ROUNDUP($N28*$O28*$E28/3888*(1+$J$51),0),0)</f>
        <v>0</v>
      </c>
      <c r="AJ28" s="1928" t="n">
        <f aca="false">IF($R$8=3,ROUNDUP($N28*$O28*$E28/3888*(1+$J$51),0),0)</f>
        <v>0</v>
      </c>
      <c r="AK28" s="1928" t="n">
        <f aca="false">IF($R$8=4,ROUNDUP($N28*$O28*$E28/3888*(1+$J$51),0),0)</f>
        <v>0</v>
      </c>
      <c r="AL28" s="1928" t="n">
        <f aca="false">IF($R$8=5,ROUNDUP($N28*$O28*$E28/3888*(1+$J$51),0),0)</f>
        <v>0</v>
      </c>
      <c r="AM28" s="1928" t="n">
        <f aca="false">IF($R$8=6,ROUNDUP($N28*$O28*$E28/3888*(1+$J$51),0),0)</f>
        <v>0</v>
      </c>
      <c r="AN28" s="1928" t="n">
        <f aca="false">IF($R$8=7,ROUNDUP($N28*$O28*$E28/3888*(1+$J$51),0),0)</f>
        <v>0</v>
      </c>
      <c r="AO28" s="1928" t="n">
        <f aca="false">IF($R$8=8,ROUNDUP($N28*$O28*$E28/3888*(1+$J$51),0),0)</f>
        <v>0</v>
      </c>
      <c r="AP28" s="1928" t="n">
        <f aca="false">IF($R$8=9,ROUNDUP($N28*$O28*$E28/3888*(1+$J$51),0),0)</f>
        <v>0</v>
      </c>
      <c r="AQ28" s="1928" t="n">
        <f aca="false">IF($R$8=10,ROUNDUP($N28*$O28*$E28/3888*(1+$J$51),0),0)</f>
        <v>0</v>
      </c>
      <c r="AR28" s="1929" t="n">
        <f aca="false">IF($D28=1,$W28-SUM($AH28:$AQ28),0)</f>
        <v>0</v>
      </c>
      <c r="AS28" s="1928" t="n">
        <f aca="false">IF($D28=2,W28-SUM($AH28:$AQ28),0)</f>
        <v>0</v>
      </c>
      <c r="AT28" s="1928" t="n">
        <f aca="false">IF($D28=3,W28-SUM($AH28:$AQ28),0)</f>
        <v>0</v>
      </c>
      <c r="AU28" s="1928" t="n">
        <f aca="false">IF($D28=4,W28-SUM($AH28:$AQ28),0)</f>
        <v>0</v>
      </c>
      <c r="AV28" s="1928" t="n">
        <f aca="false">IF($D28=5,W28-SUM($AH28:$AQ28),0)</f>
        <v>0</v>
      </c>
      <c r="AW28" s="1928" t="n">
        <f aca="false">IF($D28=6,W28-SUM($AH28:$AQ28),0)</f>
        <v>0</v>
      </c>
      <c r="AX28" s="1928" t="n">
        <f aca="false">IF($D28=7,W28-SUM($AH28:$AQ28),0)</f>
        <v>0</v>
      </c>
      <c r="AY28" s="1928" t="n">
        <f aca="false">IF($D28=8,W28-SUM($AH28:$AQ28),0)</f>
        <v>0</v>
      </c>
      <c r="AZ28" s="1928" t="n">
        <f aca="false">IF($D28=9,W28-SUM($AH28:$AQ28),0)</f>
        <v>0</v>
      </c>
      <c r="BA28" s="1930" t="n">
        <f aca="false">IF($D28=10,W28-SUM($AH28:$AQ28),0)</f>
        <v>0</v>
      </c>
      <c r="BB28" s="1928" t="n">
        <f aca="false">SUM(AH28:AQ28)</f>
        <v>0</v>
      </c>
      <c r="BC28" s="1928" t="n">
        <f aca="false">SUM(AR28:AW28)</f>
        <v>0</v>
      </c>
      <c r="BD28" s="1928" t="n">
        <f aca="false">V28</f>
        <v>0</v>
      </c>
      <c r="BE28" s="1928" t="n">
        <f aca="false">E28*G28/12*2+(U28*U28*G28/1728*S28)</f>
        <v>0</v>
      </c>
      <c r="BF28" s="1928" t="n">
        <f aca="false">BE28/2</f>
        <v>0</v>
      </c>
      <c r="BG28" s="1928" t="n">
        <f aca="false">N28*E28/12</f>
        <v>0</v>
      </c>
      <c r="BH28" s="1928" t="n">
        <f aca="false">ROUND(IF(C28="Y",BF28*3/27,0),0)</f>
        <v>0</v>
      </c>
      <c r="BJ28" s="1931" t="n">
        <f aca="false">V28*F$56*IF(T$39="N",(1+V$39),1)</f>
        <v>0</v>
      </c>
      <c r="BK28" s="1932" t="n">
        <f aca="false">(AR28*Pricing!F$3+AS28*Pricing!G$3+AT28*Pricing!H$3+AU28*Pricing!I$3+AV28*Pricing!J$3+AW28*Pricing!K$3+AH28*Pricing!F$3+AI28*Pricing!G$3+AJ28*Pricing!H$3+AK28*Pricing!I$3+AL28*Pricing!J$3+AM28*Pricing!K$3)*IF(T$39="N",(1+V$39),1)</f>
        <v>0</v>
      </c>
      <c r="BL28" s="1932" t="n">
        <f aca="false">IF(C28="Y",(N$59+N$60)/DF$36*DF28,0)</f>
        <v>0</v>
      </c>
      <c r="BM28" s="1932" t="n">
        <f aca="false">BF28*(G$67+D$70)</f>
        <v>0</v>
      </c>
      <c r="BN28" s="1932" t="n">
        <f aca="false">BG28*D$66</f>
        <v>0</v>
      </c>
      <c r="BO28" s="1932" t="n">
        <f aca="false">V28/2000*D$71</f>
        <v>0</v>
      </c>
      <c r="BP28" s="1932" t="n">
        <f aca="false">IF(C28="Y",(N$74+N$73+N$72)/DF$36*DF28,0)</f>
        <v>0</v>
      </c>
      <c r="BQ28" s="1932" t="n">
        <f aca="false">IF(SUM(BF$36:BG$36)=0,0,(SUM(N$78:O$81)+SUM(N$83:O$88)+SUM(N$90:O$96)+W$95)/SUM(BF$36:BG$36)*(BF28+BG28))</f>
        <v>0</v>
      </c>
      <c r="BR28" s="1933"/>
      <c r="BS28" s="1934" t="n">
        <f aca="false">IF(SUM(BF$36:BG$36)=0,0,(BQ$36-W$58-N$64-W66-(L$79*0.15))/SUM(BF$36:BG$36)*BG28+BN28)</f>
        <v>0</v>
      </c>
      <c r="BT28" s="1932" t="n">
        <f aca="false">(AH28*Pricing!F$3+AI28*Pricing!G$3+AJ28*Pricing!H$3+AK28*Pricing!I$3+AL28*Pricing!J$3+AM28*Pricing!K$3)*IF(T$39="N",(1+V$39),1)</f>
        <v>0</v>
      </c>
      <c r="BU28" s="1932" t="n">
        <f aca="false">IF(BG28=0,0,(BS28+BT28)/BG28)</f>
        <v>0</v>
      </c>
      <c r="BV28" s="1932" t="n">
        <f aca="false">SUM(BJ28:BQ28)-BS28-BT28</f>
        <v>0</v>
      </c>
      <c r="BW28" s="1933" t="n">
        <f aca="false">IF(BE28=0,0,BV28/BF28)</f>
        <v>0</v>
      </c>
      <c r="DB28" s="1935" t="n">
        <f aca="false">IF(W28=0,0,D$40/W$36*W28)</f>
        <v>0</v>
      </c>
      <c r="DC28" s="1932" t="e">
        <f aca="false">E28*N28/12*(D$40-7980)/H$66</f>
        <v>#DIV/0!</v>
      </c>
      <c r="DD28" s="179" t="n">
        <f aca="false">ROUND(N28*O28/3088*E28,0)</f>
        <v>0</v>
      </c>
      <c r="DE28" s="908" t="n">
        <f aca="false">ROUND(V28,0)</f>
        <v>0</v>
      </c>
      <c r="DF28" s="356" t="n">
        <f aca="false">ROUND(IF(C28="Y",(G28*0.25*E28+G28*G28/144*0.5*E28)/27*1.3,0),0)</f>
        <v>0</v>
      </c>
      <c r="DG28" s="908" t="n">
        <f aca="false">ROUND(E28*G28/12,0)</f>
        <v>0</v>
      </c>
      <c r="DH28" s="908" t="n">
        <f aca="false">IF(C28="y",ROUNDUP(E28*G28/12,0),0)</f>
        <v>0</v>
      </c>
      <c r="DI28" s="908" t="n">
        <f aca="false">IF(C28="Y",IF(E28&gt;0,E28,0),0)</f>
        <v>0</v>
      </c>
      <c r="DJ28" s="1936" t="n">
        <f aca="false">ROUND(E28*N28/12,0)</f>
        <v>0</v>
      </c>
      <c r="DL28" s="1414" t="n">
        <v>72.3</v>
      </c>
    </row>
    <row r="29" s="1414" customFormat="true" ht="15" hidden="false" customHeight="false" outlineLevel="0" collapsed="false">
      <c r="A29" s="507"/>
      <c r="B29" s="1312"/>
      <c r="C29" s="1919"/>
      <c r="D29" s="1920"/>
      <c r="E29" s="1921"/>
      <c r="F29" s="1234"/>
      <c r="G29" s="1235"/>
      <c r="H29" s="1236"/>
      <c r="I29" s="1234"/>
      <c r="J29" s="1235"/>
      <c r="K29" s="1236"/>
      <c r="L29" s="1234"/>
      <c r="M29" s="1234"/>
      <c r="N29" s="1922"/>
      <c r="O29" s="1234"/>
      <c r="P29" s="1234"/>
      <c r="Q29" s="1234"/>
      <c r="R29" s="1923"/>
      <c r="S29" s="1924"/>
      <c r="T29" s="78"/>
      <c r="U29" s="900"/>
      <c r="V29" s="1925" t="n">
        <f aca="false">((E29*I29/16*I29/16*10.680159*J29)*IF(H29=0,0,(G29/H29))+(G29/12*L29/16*L29/16*10.680159*M29)*IF(K29=0,0,(E29*12/K29))+(E29*IF(P29=0,0,N29/P29)*Q29/16*Q29/16*10.680159*R29)+(IF(P29=0,0,E29/P29*N29)*Q29/16*Q29/16*10.680159*R29)+((T29*U29*S29*0.03*0.2836*G29)/12+4)*IF(H29=0,0,(G29/H29))*I29/16*I29/16*10.680159)*(1+J$56)</f>
        <v>0</v>
      </c>
      <c r="W29" s="1926" t="n">
        <f aca="false">ROUNDUP((E29*F29/12*G29/324+ROUNDUP(S29*T29*U29*G29/46656,0)+N29*O29*E29/3888)*(1+J$51),0)</f>
        <v>0</v>
      </c>
      <c r="AH29" s="1927" t="n">
        <f aca="false">IF($R$8=1,ROUNDUP($N29*$O29*$E29/3888*(1+$J$51),0),0)</f>
        <v>0</v>
      </c>
      <c r="AI29" s="1928" t="n">
        <f aca="false">IF($R$8=2,ROUNDUP($N29*$O29*$E29/3888*(1+$J$51),0),0)</f>
        <v>0</v>
      </c>
      <c r="AJ29" s="1928" t="n">
        <f aca="false">IF($R$8=3,ROUNDUP($N29*$O29*$E29/3888*(1+$J$51),0),0)</f>
        <v>0</v>
      </c>
      <c r="AK29" s="1928" t="n">
        <f aca="false">IF($R$8=4,ROUNDUP($N29*$O29*$E29/3888*(1+$J$51),0),0)</f>
        <v>0</v>
      </c>
      <c r="AL29" s="1928" t="n">
        <f aca="false">IF($R$8=5,ROUNDUP($N29*$O29*$E29/3888*(1+$J$51),0),0)</f>
        <v>0</v>
      </c>
      <c r="AM29" s="1928" t="n">
        <f aca="false">IF($R$8=6,ROUNDUP($N29*$O29*$E29/3888*(1+$J$51),0),0)</f>
        <v>0</v>
      </c>
      <c r="AN29" s="1928" t="n">
        <f aca="false">IF($R$8=7,ROUNDUP($N29*$O29*$E29/3888*(1+$J$51),0),0)</f>
        <v>0</v>
      </c>
      <c r="AO29" s="1928" t="n">
        <f aca="false">IF($R$8=8,ROUNDUP($N29*$O29*$E29/3888*(1+$J$51),0),0)</f>
        <v>0</v>
      </c>
      <c r="AP29" s="1928" t="n">
        <f aca="false">IF($R$8=9,ROUNDUP($N29*$O29*$E29/3888*(1+$J$51),0),0)</f>
        <v>0</v>
      </c>
      <c r="AQ29" s="1928" t="n">
        <f aca="false">IF($R$8=10,ROUNDUP($N29*$O29*$E29/3888*(1+$J$51),0),0)</f>
        <v>0</v>
      </c>
      <c r="AR29" s="1929" t="n">
        <f aca="false">IF($D29=1,$W29-SUM($AH29:$AQ29),0)</f>
        <v>0</v>
      </c>
      <c r="AS29" s="1928" t="n">
        <f aca="false">IF($D29=2,W29-SUM($AH29:$AQ29),0)</f>
        <v>0</v>
      </c>
      <c r="AT29" s="1928" t="n">
        <f aca="false">IF($D29=3,W29-SUM($AH29:$AQ29),0)</f>
        <v>0</v>
      </c>
      <c r="AU29" s="1928" t="n">
        <f aca="false">IF($D29=4,W29-SUM($AH29:$AQ29),0)</f>
        <v>0</v>
      </c>
      <c r="AV29" s="1928" t="n">
        <f aca="false">IF($D29=5,W29-SUM($AH29:$AQ29),0)</f>
        <v>0</v>
      </c>
      <c r="AW29" s="1928" t="n">
        <f aca="false">IF($D29=6,W29-SUM($AH29:$AQ29),0)</f>
        <v>0</v>
      </c>
      <c r="AX29" s="1928" t="n">
        <f aca="false">IF($D29=7,W29-SUM($AH29:$AQ29),0)</f>
        <v>0</v>
      </c>
      <c r="AY29" s="1928" t="n">
        <f aca="false">IF($D29=8,W29-SUM($AH29:$AQ29),0)</f>
        <v>0</v>
      </c>
      <c r="AZ29" s="1928" t="n">
        <f aca="false">IF($D29=9,W29-SUM($AH29:$AQ29),0)</f>
        <v>0</v>
      </c>
      <c r="BA29" s="1930" t="n">
        <f aca="false">IF($D29=10,W29-SUM($AH29:$AQ29),0)</f>
        <v>0</v>
      </c>
      <c r="BB29" s="1928" t="n">
        <f aca="false">SUM(AH29:AQ29)</f>
        <v>0</v>
      </c>
      <c r="BC29" s="1928" t="n">
        <f aca="false">SUM(AR29:AW29)</f>
        <v>0</v>
      </c>
      <c r="BD29" s="1928" t="n">
        <f aca="false">V29</f>
        <v>0</v>
      </c>
      <c r="BE29" s="1928" t="n">
        <f aca="false">E29*G29/12*2+(U29*U29*G29/1728*S29)</f>
        <v>0</v>
      </c>
      <c r="BF29" s="1928" t="n">
        <f aca="false">BE29/2</f>
        <v>0</v>
      </c>
      <c r="BG29" s="1928" t="n">
        <f aca="false">N29*E29/12</f>
        <v>0</v>
      </c>
      <c r="BH29" s="1928" t="n">
        <f aca="false">ROUND(IF(C29="Y",BF29*3/27,0),0)</f>
        <v>0</v>
      </c>
      <c r="BJ29" s="1931" t="n">
        <f aca="false">V29*F$56*IF(T$39="N",(1+V$39),1)</f>
        <v>0</v>
      </c>
      <c r="BK29" s="1932" t="n">
        <f aca="false">(AR29*Pricing!F$3+AS29*Pricing!G$3+AT29*Pricing!H$3+AU29*Pricing!I$3+AV29*Pricing!J$3+AW29*Pricing!K$3+AH29*Pricing!F$3+AI29*Pricing!G$3+AJ29*Pricing!H$3+AK29*Pricing!I$3+AL29*Pricing!J$3+AM29*Pricing!K$3)*IF(T$39="N",(1+V$39),1)</f>
        <v>0</v>
      </c>
      <c r="BL29" s="1932" t="n">
        <f aca="false">IF(C29="Y",(N$59+N$60)/DF$36*DF29,0)</f>
        <v>0</v>
      </c>
      <c r="BM29" s="1932" t="n">
        <f aca="false">BF29*(G$67+D$70)</f>
        <v>0</v>
      </c>
      <c r="BN29" s="1932" t="n">
        <f aca="false">BG29*D$66</f>
        <v>0</v>
      </c>
      <c r="BO29" s="1932" t="n">
        <f aca="false">V29/2000*D$71</f>
        <v>0</v>
      </c>
      <c r="BP29" s="1932" t="n">
        <f aca="false">IF(C29="Y",(N$74+N$73+N$72)/DF$36*DF29,0)</f>
        <v>0</v>
      </c>
      <c r="BQ29" s="1932" t="n">
        <f aca="false">IF(SUM(BF$36:BG$36)=0,0,(SUM(N$78:O$81)+SUM(N$83:O$88)+SUM(N$90:O$96)+W$95)/SUM(BF$36:BG$36)*(BF29+BG29))</f>
        <v>0</v>
      </c>
      <c r="BR29" s="1933"/>
      <c r="BS29" s="1934" t="n">
        <f aca="false">IF(SUM(BF$36:BG$36)=0,0,(BQ$36-W$58-N$64-W67-(L$79*0.15))/SUM(BF$36:BG$36)*BG29+BN29)</f>
        <v>0</v>
      </c>
      <c r="BT29" s="1932" t="n">
        <f aca="false">(AH29*Pricing!F$3+AI29*Pricing!G$3+AJ29*Pricing!H$3+AK29*Pricing!I$3+AL29*Pricing!J$3+AM29*Pricing!K$3)*IF(T$39="N",(1+V$39),1)</f>
        <v>0</v>
      </c>
      <c r="BU29" s="1932" t="n">
        <f aca="false">IF(BG29=0,0,(BS29+BT29)/BG29)</f>
        <v>0</v>
      </c>
      <c r="BV29" s="1932" t="n">
        <f aca="false">SUM(BJ29:BQ29)-BS29-BT29</f>
        <v>0</v>
      </c>
      <c r="BW29" s="1933" t="n">
        <f aca="false">IF(BE29=0,0,BV29/BF29)</f>
        <v>0</v>
      </c>
      <c r="DB29" s="1935" t="n">
        <f aca="false">IF(W29=0,0,D$40/W$36*W29)</f>
        <v>0</v>
      </c>
      <c r="DC29" s="1932" t="e">
        <f aca="false">E29*N29/12*(D$40-7980)/H$66</f>
        <v>#DIV/0!</v>
      </c>
      <c r="DD29" s="179" t="n">
        <f aca="false">ROUND(N29*O29/3088*E29,0)</f>
        <v>0</v>
      </c>
      <c r="DE29" s="908" t="n">
        <f aca="false">ROUND(V29,0)</f>
        <v>0</v>
      </c>
      <c r="DF29" s="356" t="n">
        <f aca="false">ROUND(IF(C29="Y",(G29*0.25*E29+G29*G29/144*0.5*E29)/27*1.3,0),0)</f>
        <v>0</v>
      </c>
      <c r="DG29" s="908" t="n">
        <f aca="false">ROUND(E29*G29/12,0)</f>
        <v>0</v>
      </c>
      <c r="DH29" s="908" t="n">
        <f aca="false">IF(C29="y",ROUNDUP(E29*G29/12,0),0)</f>
        <v>0</v>
      </c>
      <c r="DI29" s="908" t="n">
        <f aca="false">IF(C29="Y",IF(E29&gt;0,E29,0),0)</f>
        <v>0</v>
      </c>
      <c r="DJ29" s="1936" t="n">
        <f aca="false">ROUND(E29*N29/12,0)</f>
        <v>0</v>
      </c>
      <c r="DL29" s="1414" t="n">
        <v>25.97</v>
      </c>
    </row>
    <row r="30" s="1414" customFormat="true" ht="15" hidden="false" customHeight="false" outlineLevel="0" collapsed="false">
      <c r="A30" s="507"/>
      <c r="B30" s="1312"/>
      <c r="C30" s="1919"/>
      <c r="D30" s="1920"/>
      <c r="E30" s="1921"/>
      <c r="F30" s="1234"/>
      <c r="G30" s="1235"/>
      <c r="H30" s="1236"/>
      <c r="I30" s="1234"/>
      <c r="J30" s="1235"/>
      <c r="K30" s="1236"/>
      <c r="L30" s="1234"/>
      <c r="M30" s="1234"/>
      <c r="N30" s="1922"/>
      <c r="O30" s="1234"/>
      <c r="P30" s="1234"/>
      <c r="Q30" s="1234"/>
      <c r="R30" s="1923"/>
      <c r="S30" s="1924"/>
      <c r="T30" s="78"/>
      <c r="U30" s="900"/>
      <c r="V30" s="1925" t="n">
        <f aca="false">((E30*I30/16*I30/16*10.680159*J30)*IF(H30=0,0,(G30/H30))+(G30/12*L30/16*L30/16*10.680159*M30)*IF(K30=0,0,(E30*12/K30))+(E30*IF(P30=0,0,N30/P30)*Q30/16*Q30/16*10.680159*R30)+(IF(P30=0,0,E30/P30*N30)*Q30/16*Q30/16*10.680159*R30)+((T30*U30*S30*0.03*0.2836*G30)/12+4)*IF(H30=0,0,(G30/H30))*I30/16*I30/16*10.680159)*(1+J$56)</f>
        <v>0</v>
      </c>
      <c r="W30" s="1926" t="n">
        <f aca="false">ROUNDUP((E30*F30/12*G30/324+ROUNDUP(S30*T30*U30*G30/46656,0)+N30*O30*E30/3888)*(1+J$51),0)</f>
        <v>0</v>
      </c>
      <c r="AH30" s="1927" t="n">
        <f aca="false">IF($R$8=1,ROUNDUP($N30*$O30*$E30/3888*(1+$J$51),0),0)</f>
        <v>0</v>
      </c>
      <c r="AI30" s="1928" t="n">
        <f aca="false">IF($R$8=2,ROUNDUP($N30*$O30*$E30/3888*(1+$J$51),0),0)</f>
        <v>0</v>
      </c>
      <c r="AJ30" s="1928" t="n">
        <f aca="false">IF($R$8=3,ROUNDUP($N30*$O30*$E30/3888*(1+$J$51),0),0)</f>
        <v>0</v>
      </c>
      <c r="AK30" s="1928" t="n">
        <f aca="false">IF($R$8=4,ROUNDUP($N30*$O30*$E30/3888*(1+$J$51),0),0)</f>
        <v>0</v>
      </c>
      <c r="AL30" s="1928" t="n">
        <f aca="false">IF($R$8=5,ROUNDUP($N30*$O30*$E30/3888*(1+$J$51),0),0)</f>
        <v>0</v>
      </c>
      <c r="AM30" s="1928" t="n">
        <f aca="false">IF($R$8=6,ROUNDUP($N30*$O30*$E30/3888*(1+$J$51),0),0)</f>
        <v>0</v>
      </c>
      <c r="AN30" s="1928" t="n">
        <f aca="false">IF($R$8=7,ROUNDUP($N30*$O30*$E30/3888*(1+$J$51),0),0)</f>
        <v>0</v>
      </c>
      <c r="AO30" s="1928" t="n">
        <f aca="false">IF($R$8=8,ROUNDUP($N30*$O30*$E30/3888*(1+$J$51),0),0)</f>
        <v>0</v>
      </c>
      <c r="AP30" s="1928" t="n">
        <f aca="false">IF($R$8=9,ROUNDUP($N30*$O30*$E30/3888*(1+$J$51),0),0)</f>
        <v>0</v>
      </c>
      <c r="AQ30" s="1928" t="n">
        <f aca="false">IF($R$8=10,ROUNDUP($N30*$O30*$E30/3888*(1+$J$51),0),0)</f>
        <v>0</v>
      </c>
      <c r="AR30" s="1929" t="n">
        <f aca="false">IF($D30=1,$W30-SUM($AH30:$AQ30),0)</f>
        <v>0</v>
      </c>
      <c r="AS30" s="1928" t="n">
        <f aca="false">IF($D30=2,W30-SUM($AH30:$AQ30),0)</f>
        <v>0</v>
      </c>
      <c r="AT30" s="1928" t="n">
        <f aca="false">IF($D30=3,W30-SUM($AH30:$AQ30),0)</f>
        <v>0</v>
      </c>
      <c r="AU30" s="1928" t="n">
        <f aca="false">IF($D30=4,W30-SUM($AH30:$AQ30),0)</f>
        <v>0</v>
      </c>
      <c r="AV30" s="1928" t="n">
        <f aca="false">IF($D30=5,W30-SUM($AH30:$AQ30),0)</f>
        <v>0</v>
      </c>
      <c r="AW30" s="1928" t="n">
        <f aca="false">IF($D30=6,W30-SUM($AH30:$AQ30),0)</f>
        <v>0</v>
      </c>
      <c r="AX30" s="1928" t="n">
        <f aca="false">IF($D30=7,W30-SUM($AH30:$AQ30),0)</f>
        <v>0</v>
      </c>
      <c r="AY30" s="1928" t="n">
        <f aca="false">IF($D30=8,W30-SUM($AH30:$AQ30),0)</f>
        <v>0</v>
      </c>
      <c r="AZ30" s="1928" t="n">
        <f aca="false">IF($D30=9,W30-SUM($AH30:$AQ30),0)</f>
        <v>0</v>
      </c>
      <c r="BA30" s="1930" t="n">
        <f aca="false">IF($D30=10,W30-SUM($AH30:$AQ30),0)</f>
        <v>0</v>
      </c>
      <c r="BB30" s="1928" t="n">
        <f aca="false">SUM(AH30:AQ30)</f>
        <v>0</v>
      </c>
      <c r="BC30" s="1928" t="n">
        <f aca="false">SUM(AR30:AW30)</f>
        <v>0</v>
      </c>
      <c r="BD30" s="1928" t="n">
        <f aca="false">V30</f>
        <v>0</v>
      </c>
      <c r="BE30" s="1928" t="n">
        <f aca="false">E30*G30/12*2+(U30*U30*G30/1728*S30)</f>
        <v>0</v>
      </c>
      <c r="BF30" s="1928" t="n">
        <f aca="false">BE30/2</f>
        <v>0</v>
      </c>
      <c r="BG30" s="1928" t="n">
        <f aca="false">N30*E30/12</f>
        <v>0</v>
      </c>
      <c r="BH30" s="1928" t="n">
        <f aca="false">ROUND(IF(C30="Y",BF30*3/27,0),0)</f>
        <v>0</v>
      </c>
      <c r="BJ30" s="1931" t="n">
        <f aca="false">V30*F$56*IF(T$39="N",(1+V$39),1)</f>
        <v>0</v>
      </c>
      <c r="BK30" s="1932" t="n">
        <f aca="false">(AR30*Pricing!F$3+AS30*Pricing!G$3+AT30*Pricing!H$3+AU30*Pricing!I$3+AV30*Pricing!J$3+AW30*Pricing!K$3+AH30*Pricing!F$3+AI30*Pricing!G$3+AJ30*Pricing!H$3+AK30*Pricing!I$3+AL30*Pricing!J$3+AM30*Pricing!K$3)*IF(T$39="N",(1+V$39),1)</f>
        <v>0</v>
      </c>
      <c r="BL30" s="1932" t="n">
        <f aca="false">IF(C30="Y",(N$59+N$60)/DF$36*DF30,0)</f>
        <v>0</v>
      </c>
      <c r="BM30" s="1932" t="n">
        <f aca="false">BF30*(G$67+D$70)</f>
        <v>0</v>
      </c>
      <c r="BN30" s="1932" t="n">
        <f aca="false">BG30*D$66</f>
        <v>0</v>
      </c>
      <c r="BO30" s="1932" t="n">
        <f aca="false">V30/2000*D$71</f>
        <v>0</v>
      </c>
      <c r="BP30" s="1932" t="n">
        <f aca="false">IF(C30="Y",(N$74+N$73+N$72)/DF$36*DF30,0)</f>
        <v>0</v>
      </c>
      <c r="BQ30" s="1932" t="n">
        <f aca="false">IF(SUM(BF$36:BG$36)=0,0,(SUM(N$78:O$81)+SUM(N$83:O$88)+SUM(N$90:O$96)+W$95)/SUM(BF$36:BG$36)*(BF30+BG30))</f>
        <v>0</v>
      </c>
      <c r="BR30" s="1933"/>
      <c r="BS30" s="1934" t="n">
        <f aca="false">IF(SUM(BF$36:BG$36)=0,0,(BQ$36-W$58-N$64-W68-(L$79*0.15))/SUM(BF$36:BG$36)*BG30+BN30)</f>
        <v>0</v>
      </c>
      <c r="BT30" s="1932" t="n">
        <f aca="false">(AH30*Pricing!F$3+AI30*Pricing!G$3+AJ30*Pricing!H$3+AK30*Pricing!I$3+AL30*Pricing!J$3+AM30*Pricing!K$3)*IF(T$39="N",(1+V$39),1)</f>
        <v>0</v>
      </c>
      <c r="BU30" s="1932" t="n">
        <f aca="false">IF(BG30=0,0,(BS30+BT30)/BG30)</f>
        <v>0</v>
      </c>
      <c r="BV30" s="1932" t="n">
        <f aca="false">SUM(BJ30:BQ30)-BS30-BT30</f>
        <v>0</v>
      </c>
      <c r="BW30" s="1933" t="n">
        <f aca="false">IF(BE30=0,0,BV30/BF30)</f>
        <v>0</v>
      </c>
      <c r="DB30" s="1935" t="n">
        <f aca="false">IF(W30=0,0,D$40/W$36*W30)</f>
        <v>0</v>
      </c>
      <c r="DC30" s="1932" t="e">
        <f aca="false">E30*N30/12*(D$40-7980)/H$66</f>
        <v>#DIV/0!</v>
      </c>
      <c r="DD30" s="179" t="n">
        <f aca="false">ROUND(N30*O30/3088*E30,0)</f>
        <v>0</v>
      </c>
      <c r="DE30" s="908" t="n">
        <f aca="false">ROUND(V30,0)</f>
        <v>0</v>
      </c>
      <c r="DF30" s="356" t="n">
        <f aca="false">ROUND(IF(C30="Y",(G30*0.25*E30+G30*G30/144*0.5*E30)/27*1.3,0),0)</f>
        <v>0</v>
      </c>
      <c r="DG30" s="908" t="n">
        <f aca="false">ROUND(E30*G30/12,0)</f>
        <v>0</v>
      </c>
      <c r="DH30" s="908" t="n">
        <f aca="false">IF(C30="y",ROUNDUP(E30*G30/12,0),0)</f>
        <v>0</v>
      </c>
      <c r="DI30" s="908" t="n">
        <f aca="false">IF(C30="Y",IF(E30&gt;0,E30,0),0)</f>
        <v>0</v>
      </c>
      <c r="DJ30" s="1936" t="n">
        <f aca="false">ROUND(E30*N30/12,0)</f>
        <v>0</v>
      </c>
      <c r="DL30" s="1414" t="n">
        <v>54.25</v>
      </c>
    </row>
    <row r="31" s="1414" customFormat="true" ht="15" hidden="false" customHeight="false" outlineLevel="0" collapsed="false">
      <c r="A31" s="507"/>
      <c r="B31" s="1312"/>
      <c r="C31" s="1919"/>
      <c r="D31" s="1920"/>
      <c r="E31" s="1921"/>
      <c r="F31" s="1234"/>
      <c r="G31" s="1235"/>
      <c r="H31" s="1236"/>
      <c r="I31" s="1234"/>
      <c r="J31" s="1235"/>
      <c r="K31" s="1236"/>
      <c r="L31" s="1234"/>
      <c r="M31" s="1234"/>
      <c r="N31" s="1922"/>
      <c r="O31" s="1234"/>
      <c r="P31" s="1234"/>
      <c r="Q31" s="1234"/>
      <c r="R31" s="1923"/>
      <c r="S31" s="1924"/>
      <c r="T31" s="78"/>
      <c r="U31" s="900"/>
      <c r="V31" s="1925" t="n">
        <f aca="false">((E31*I31/16*I31/16*10.680159*J31)*IF(H31=0,0,(G31/H31))+(G31/12*L31/16*L31/16*10.680159*M31)*IF(K31=0,0,(E31*12/K31))+(E31*IF(P31=0,0,N31/P31)*Q31/16*Q31/16*10.680159*R31)+(IF(P31=0,0,E31/P31*N31)*Q31/16*Q31/16*10.680159*R31)+((T31*U31*S31*0.03*0.2836*G31)/12+4)*IF(H31=0,0,(G31/H31))*I31/16*I31/16*10.680159)*(1+J$56)</f>
        <v>0</v>
      </c>
      <c r="W31" s="1926" t="n">
        <f aca="false">ROUNDUP((E31*F31/12*G31/324+ROUNDUP(S31*T31*U31*G31/46656,0)+N31*O31*E31/3888)*(1+J$51),0)</f>
        <v>0</v>
      </c>
      <c r="AH31" s="1927" t="n">
        <f aca="false">IF($R$8=1,ROUNDUP($N31*$O31*$E31/3888*(1+$J$51),0),0)</f>
        <v>0</v>
      </c>
      <c r="AI31" s="1928" t="n">
        <f aca="false">IF($R$8=2,ROUNDUP($N31*$O31*$E31/3888*(1+$J$51),0),0)</f>
        <v>0</v>
      </c>
      <c r="AJ31" s="1928" t="n">
        <f aca="false">IF($R$8=3,ROUNDUP($N31*$O31*$E31/3888*(1+$J$51),0),0)</f>
        <v>0</v>
      </c>
      <c r="AK31" s="1928" t="n">
        <f aca="false">IF($R$8=4,ROUNDUP($N31*$O31*$E31/3888*(1+$J$51),0),0)</f>
        <v>0</v>
      </c>
      <c r="AL31" s="1928" t="n">
        <f aca="false">IF($R$8=5,ROUNDUP($N31*$O31*$E31/3888*(1+$J$51),0),0)</f>
        <v>0</v>
      </c>
      <c r="AM31" s="1928" t="n">
        <f aca="false">IF($R$8=6,ROUNDUP($N31*$O31*$E31/3888*(1+$J$51),0),0)</f>
        <v>0</v>
      </c>
      <c r="AN31" s="1928" t="n">
        <f aca="false">IF($R$8=7,ROUNDUP($N31*$O31*$E31/3888*(1+$J$51),0),0)</f>
        <v>0</v>
      </c>
      <c r="AO31" s="1928" t="n">
        <f aca="false">IF($R$8=8,ROUNDUP($N31*$O31*$E31/3888*(1+$J$51),0),0)</f>
        <v>0</v>
      </c>
      <c r="AP31" s="1928" t="n">
        <f aca="false">IF($R$8=9,ROUNDUP($N31*$O31*$E31/3888*(1+$J$51),0),0)</f>
        <v>0</v>
      </c>
      <c r="AQ31" s="1928" t="n">
        <f aca="false">IF($R$8=10,ROUNDUP($N31*$O31*$E31/3888*(1+$J$51),0),0)</f>
        <v>0</v>
      </c>
      <c r="AR31" s="1929" t="n">
        <f aca="false">IF($D31=1,$W31-SUM($AH31:$AQ31),0)</f>
        <v>0</v>
      </c>
      <c r="AS31" s="1928" t="n">
        <f aca="false">IF($D31=2,W31-SUM($AH31:$AQ31),0)</f>
        <v>0</v>
      </c>
      <c r="AT31" s="1928" t="n">
        <f aca="false">IF($D31=3,W31-SUM($AH31:$AQ31),0)</f>
        <v>0</v>
      </c>
      <c r="AU31" s="1928" t="n">
        <f aca="false">IF($D31=4,W31-SUM($AH31:$AQ31),0)</f>
        <v>0</v>
      </c>
      <c r="AV31" s="1928" t="n">
        <f aca="false">IF($D31=5,W31-SUM($AH31:$AQ31),0)</f>
        <v>0</v>
      </c>
      <c r="AW31" s="1928" t="n">
        <f aca="false">IF($D31=6,W31-SUM($AH31:$AQ31),0)</f>
        <v>0</v>
      </c>
      <c r="AX31" s="1928" t="n">
        <f aca="false">IF($D31=7,W31-SUM($AH31:$AQ31),0)</f>
        <v>0</v>
      </c>
      <c r="AY31" s="1928" t="n">
        <f aca="false">IF($D31=8,W31-SUM($AH31:$AQ31),0)</f>
        <v>0</v>
      </c>
      <c r="AZ31" s="1928" t="n">
        <f aca="false">IF($D31=9,W31-SUM($AH31:$AQ31),0)</f>
        <v>0</v>
      </c>
      <c r="BA31" s="1930" t="n">
        <f aca="false">IF($D31=10,W31-SUM($AH31:$AQ31),0)</f>
        <v>0</v>
      </c>
      <c r="BB31" s="1928" t="n">
        <f aca="false">SUM(AH31:AQ31)</f>
        <v>0</v>
      </c>
      <c r="BC31" s="1928" t="n">
        <f aca="false">SUM(AR31:AW31)</f>
        <v>0</v>
      </c>
      <c r="BD31" s="1928" t="n">
        <f aca="false">V31</f>
        <v>0</v>
      </c>
      <c r="BE31" s="1928" t="n">
        <f aca="false">E31*G31/12*2+(U31*U31*G31/1728*S31)</f>
        <v>0</v>
      </c>
      <c r="BF31" s="1928" t="n">
        <f aca="false">BE31/2</f>
        <v>0</v>
      </c>
      <c r="BG31" s="1928" t="n">
        <f aca="false">N31*E31/12</f>
        <v>0</v>
      </c>
      <c r="BH31" s="1928" t="n">
        <f aca="false">ROUND(IF(C31="Y",BF31*3/27,0),0)</f>
        <v>0</v>
      </c>
      <c r="BJ31" s="1931" t="n">
        <f aca="false">V31*F$56*IF(T$39="N",(1+V$39),1)</f>
        <v>0</v>
      </c>
      <c r="BK31" s="1932" t="n">
        <f aca="false">(AR31*Pricing!F$3+AS31*Pricing!G$3+AT31*Pricing!H$3+AU31*Pricing!I$3+AV31*Pricing!J$3+AW31*Pricing!K$3+AH31*Pricing!F$3+AI31*Pricing!G$3+AJ31*Pricing!H$3+AK31*Pricing!I$3+AL31*Pricing!J$3+AM31*Pricing!K$3)*IF(T$39="N",(1+V$39),1)</f>
        <v>0</v>
      </c>
      <c r="BL31" s="1932" t="n">
        <f aca="false">IF(C31="Y",(N$59+N$60)/DF$36*DF31,0)</f>
        <v>0</v>
      </c>
      <c r="BM31" s="1932" t="n">
        <f aca="false">BF31*(G$67+D$70)</f>
        <v>0</v>
      </c>
      <c r="BN31" s="1932" t="n">
        <f aca="false">BG31*D$66</f>
        <v>0</v>
      </c>
      <c r="BO31" s="1932" t="n">
        <f aca="false">V31/2000*D$71</f>
        <v>0</v>
      </c>
      <c r="BP31" s="1932" t="n">
        <f aca="false">IF(C31="Y",(N$74+N$73+N$72)/DF$36*DF31,0)</f>
        <v>0</v>
      </c>
      <c r="BQ31" s="1932" t="n">
        <f aca="false">IF(SUM(BF$36:BG$36)=0,0,(SUM(N$78:O$81)+SUM(N$83:O$88)+SUM(N$90:O$96)+W$95)/SUM(BF$36:BG$36)*(BF31+BG31))</f>
        <v>0</v>
      </c>
      <c r="BR31" s="1933"/>
      <c r="BS31" s="1934" t="n">
        <f aca="false">IF(SUM(BF$36:BG$36)=0,0,(BQ$36-W$58-N$64-W69-(L$79*0.15))/SUM(BF$36:BG$36)*BG31+BN31)</f>
        <v>0</v>
      </c>
      <c r="BT31" s="1932" t="n">
        <f aca="false">(AH31*Pricing!F$3+AI31*Pricing!G$3+AJ31*Pricing!H$3+AK31*Pricing!I$3+AL31*Pricing!J$3+AM31*Pricing!K$3)*IF(T$39="N",(1+V$39),1)</f>
        <v>0</v>
      </c>
      <c r="BU31" s="1932" t="n">
        <f aca="false">IF(BG31=0,0,(BS31+BT31)/BG31)</f>
        <v>0</v>
      </c>
      <c r="BV31" s="1932" t="n">
        <f aca="false">SUM(BJ31:BQ31)-BS31-BT31</f>
        <v>0</v>
      </c>
      <c r="BW31" s="1933" t="n">
        <f aca="false">IF(BE31=0,0,BV31/BF31)</f>
        <v>0</v>
      </c>
      <c r="DB31" s="1935" t="n">
        <f aca="false">IF(W31=0,0,D$40/W$36*W31)</f>
        <v>0</v>
      </c>
      <c r="DC31" s="1932" t="e">
        <f aca="false">E31*N31/12*(D$40-7980)/H$66</f>
        <v>#DIV/0!</v>
      </c>
      <c r="DD31" s="179" t="n">
        <f aca="false">ROUND(N31*O31/3088*E31,0)</f>
        <v>0</v>
      </c>
      <c r="DE31" s="908" t="n">
        <f aca="false">ROUND(V31,0)</f>
        <v>0</v>
      </c>
      <c r="DF31" s="356" t="n">
        <f aca="false">ROUND(IF(C31="Y",(G31*0.25*E31+G31*G31/144*0.5*E31)/27*1.3,0),0)</f>
        <v>0</v>
      </c>
      <c r="DG31" s="908" t="n">
        <f aca="false">ROUND(E31*G31/12,0)</f>
        <v>0</v>
      </c>
      <c r="DH31" s="908" t="n">
        <f aca="false">IF(C31="y",ROUNDUP(E31*G31/12,0),0)</f>
        <v>0</v>
      </c>
      <c r="DI31" s="908" t="n">
        <f aca="false">IF(C31="Y",IF(E31&gt;0,E31,0),0)</f>
        <v>0</v>
      </c>
      <c r="DJ31" s="1936" t="n">
        <f aca="false">ROUND(E31*N31/12,0)</f>
        <v>0</v>
      </c>
      <c r="DL31" s="1414" t="n">
        <v>5.43</v>
      </c>
    </row>
    <row r="32" s="1414" customFormat="true" ht="15" hidden="false" customHeight="false" outlineLevel="0" collapsed="false">
      <c r="A32" s="507"/>
      <c r="B32" s="1312"/>
      <c r="C32" s="1919"/>
      <c r="D32" s="1920"/>
      <c r="E32" s="1921"/>
      <c r="F32" s="1234"/>
      <c r="G32" s="1235"/>
      <c r="H32" s="1236"/>
      <c r="I32" s="1234"/>
      <c r="J32" s="1235"/>
      <c r="K32" s="1236"/>
      <c r="L32" s="1234"/>
      <c r="M32" s="1234"/>
      <c r="N32" s="1922"/>
      <c r="O32" s="1234"/>
      <c r="P32" s="1234"/>
      <c r="Q32" s="1234"/>
      <c r="R32" s="1923"/>
      <c r="S32" s="1924"/>
      <c r="T32" s="78"/>
      <c r="U32" s="900"/>
      <c r="V32" s="1925" t="n">
        <f aca="false">((E32*I32/16*I32/16*10.680159*J32)*IF(H32=0,0,(G32/H32))+(G32/12*L32/16*L32/16*10.680159*M32)*IF(K32=0,0,(E32*12/K32))+(E32*IF(P32=0,0,N32/P32)*Q32/16*Q32/16*10.680159*R32)+(IF(P32=0,0,E32/P32*N32)*Q32/16*Q32/16*10.680159*R32)+((T32*U32*S32*0.03*0.2836*G32)/12+4)*IF(H32=0,0,(G32/H32))*I32/16*I32/16*10.680159)*(1+J$56)</f>
        <v>0</v>
      </c>
      <c r="W32" s="1926" t="n">
        <f aca="false">ROUNDUP((E32*F32/12*G32/324+ROUNDUP(S32*T32*U32*G32/46656,0)+N32*O32*E32/3888)*(1+J$51),0)</f>
        <v>0</v>
      </c>
      <c r="AH32" s="1927" t="n">
        <f aca="false">IF($R$8=1,ROUNDUP($N32*$O32*$E32/3888*(1+$J$51),0),0)</f>
        <v>0</v>
      </c>
      <c r="AI32" s="1928" t="n">
        <f aca="false">IF($R$8=2,ROUNDUP($N32*$O32*$E32/3888*(1+$J$51),0),0)</f>
        <v>0</v>
      </c>
      <c r="AJ32" s="1928" t="n">
        <f aca="false">IF($R$8=3,ROUNDUP($N32*$O32*$E32/3888*(1+$J$51),0),0)</f>
        <v>0</v>
      </c>
      <c r="AK32" s="1928" t="n">
        <f aca="false">IF($R$8=4,ROUNDUP($N32*$O32*$E32/3888*(1+$J$51),0),0)</f>
        <v>0</v>
      </c>
      <c r="AL32" s="1928" t="n">
        <f aca="false">IF($R$8=5,ROUNDUP($N32*$O32*$E32/3888*(1+$J$51),0),0)</f>
        <v>0</v>
      </c>
      <c r="AM32" s="1928" t="n">
        <f aca="false">IF($R$8=6,ROUNDUP($N32*$O32*$E32/3888*(1+$J$51),0),0)</f>
        <v>0</v>
      </c>
      <c r="AN32" s="1928" t="n">
        <f aca="false">IF($R$8=7,ROUNDUP($N32*$O32*$E32/3888*(1+$J$51),0),0)</f>
        <v>0</v>
      </c>
      <c r="AO32" s="1928" t="n">
        <f aca="false">IF($R$8=8,ROUNDUP($N32*$O32*$E32/3888*(1+$J$51),0),0)</f>
        <v>0</v>
      </c>
      <c r="AP32" s="1928" t="n">
        <f aca="false">IF($R$8=9,ROUNDUP($N32*$O32*$E32/3888*(1+$J$51),0),0)</f>
        <v>0</v>
      </c>
      <c r="AQ32" s="1928" t="n">
        <f aca="false">IF($R$8=10,ROUNDUP($N32*$O32*$E32/3888*(1+$J$51),0),0)</f>
        <v>0</v>
      </c>
      <c r="AR32" s="1929" t="n">
        <f aca="false">IF($D32=1,$W32-SUM($AH32:$AQ32),0)</f>
        <v>0</v>
      </c>
      <c r="AS32" s="1928" t="n">
        <f aca="false">IF($D32=2,W32-SUM($AH32:$AQ32),0)</f>
        <v>0</v>
      </c>
      <c r="AT32" s="1928" t="n">
        <f aca="false">IF($D32=3,W32-SUM($AH32:$AQ32),0)</f>
        <v>0</v>
      </c>
      <c r="AU32" s="1928" t="n">
        <f aca="false">IF($D32=4,W32-SUM($AH32:$AQ32),0)</f>
        <v>0</v>
      </c>
      <c r="AV32" s="1928" t="n">
        <f aca="false">IF($D32=5,W32-SUM($AH32:$AQ32),0)</f>
        <v>0</v>
      </c>
      <c r="AW32" s="1928" t="n">
        <f aca="false">IF($D32=6,W32-SUM($AH32:$AQ32),0)</f>
        <v>0</v>
      </c>
      <c r="AX32" s="1928" t="n">
        <f aca="false">IF($D32=7,W32-SUM($AH32:$AQ32),0)</f>
        <v>0</v>
      </c>
      <c r="AY32" s="1928" t="n">
        <f aca="false">IF($D32=8,W32-SUM($AH32:$AQ32),0)</f>
        <v>0</v>
      </c>
      <c r="AZ32" s="1928" t="n">
        <f aca="false">IF($D32=9,W32-SUM($AH32:$AQ32),0)</f>
        <v>0</v>
      </c>
      <c r="BA32" s="1930" t="n">
        <f aca="false">IF($D32=10,W32-SUM($AH32:$AQ32),0)</f>
        <v>0</v>
      </c>
      <c r="BB32" s="1928" t="n">
        <f aca="false">SUM(AH32:AQ32)</f>
        <v>0</v>
      </c>
      <c r="BC32" s="1928" t="n">
        <f aca="false">SUM(AR32:AW32)</f>
        <v>0</v>
      </c>
      <c r="BD32" s="1928" t="n">
        <f aca="false">V32</f>
        <v>0</v>
      </c>
      <c r="BE32" s="1928" t="n">
        <f aca="false">E32*G32/12*2+(U32*U32*G32/1728*S32)</f>
        <v>0</v>
      </c>
      <c r="BF32" s="1928" t="n">
        <f aca="false">BE32/2</f>
        <v>0</v>
      </c>
      <c r="BG32" s="1928" t="n">
        <f aca="false">N32*E32/12</f>
        <v>0</v>
      </c>
      <c r="BH32" s="1928" t="n">
        <f aca="false">ROUND(IF(C32="Y",BF32*3/27,0),0)</f>
        <v>0</v>
      </c>
      <c r="BJ32" s="1931" t="n">
        <f aca="false">V32*F$56*IF(T$39="N",(1+V$39),1)</f>
        <v>0</v>
      </c>
      <c r="BK32" s="1932" t="n">
        <f aca="false">(AR32*Pricing!F$3+AS32*Pricing!G$3+AT32*Pricing!H$3+AU32*Pricing!I$3+AV32*Pricing!J$3+AW32*Pricing!K$3+AH32*Pricing!F$3+AI32*Pricing!G$3+AJ32*Pricing!H$3+AK32*Pricing!I$3+AL32*Pricing!J$3+AM32*Pricing!K$3)*IF(T$39="N",(1+V$39),1)</f>
        <v>0</v>
      </c>
      <c r="BL32" s="1932" t="n">
        <f aca="false">IF(C32="Y",(N$59+N$60)/DF$36*DF32,0)</f>
        <v>0</v>
      </c>
      <c r="BM32" s="1932" t="n">
        <f aca="false">BF32*(G$67+D$70)</f>
        <v>0</v>
      </c>
      <c r="BN32" s="1932" t="n">
        <f aca="false">BG32*D$66</f>
        <v>0</v>
      </c>
      <c r="BO32" s="1932" t="n">
        <f aca="false">V32/2000*D$71</f>
        <v>0</v>
      </c>
      <c r="BP32" s="1932" t="n">
        <f aca="false">IF(C32="Y",(N$74+N$73+N$72)/DF$36*DF32,0)</f>
        <v>0</v>
      </c>
      <c r="BQ32" s="1932" t="n">
        <f aca="false">IF(SUM(BF$36:BG$36)=0,0,(SUM(N$78:O$81)+SUM(N$83:O$88)+SUM(N$90:O$96)+W$95)/SUM(BF$36:BG$36)*(BF32+BG32))</f>
        <v>0</v>
      </c>
      <c r="BR32" s="1933"/>
      <c r="BS32" s="1934" t="n">
        <f aca="false">IF(SUM(BF$36:BG$36)=0,0,(BQ$36-W$58-N$64-W70-(L$79*0.15))/SUM(BF$36:BG$36)*BG32+BN32)</f>
        <v>0</v>
      </c>
      <c r="BT32" s="1932" t="n">
        <f aca="false">(AH32*Pricing!F$3+AI32*Pricing!G$3+AJ32*Pricing!H$3+AK32*Pricing!I$3+AL32*Pricing!J$3+AM32*Pricing!K$3)*IF(T$39="N",(1+V$39),1)</f>
        <v>0</v>
      </c>
      <c r="BU32" s="1932" t="n">
        <f aca="false">IF(BG32=0,0,(BS32+BT32)/BG32)</f>
        <v>0</v>
      </c>
      <c r="BV32" s="1932" t="n">
        <f aca="false">SUM(BJ32:BQ32)-BS32-BT32</f>
        <v>0</v>
      </c>
      <c r="BW32" s="1933" t="n">
        <f aca="false">IF(BE32=0,0,BV32/BF32)</f>
        <v>0</v>
      </c>
      <c r="DB32" s="1935" t="n">
        <f aca="false">IF(W32=0,0,D$40/W$36*W32)</f>
        <v>0</v>
      </c>
      <c r="DC32" s="1932" t="e">
        <f aca="false">E32*N32/12*(D$40-7980)/H$66</f>
        <v>#DIV/0!</v>
      </c>
      <c r="DD32" s="179" t="n">
        <f aca="false">ROUND(N32*O32/3088*E32,0)</f>
        <v>0</v>
      </c>
      <c r="DE32" s="908" t="n">
        <f aca="false">ROUND(V32,0)</f>
        <v>0</v>
      </c>
      <c r="DF32" s="356" t="n">
        <f aca="false">ROUND(IF(C32="Y",(G32*0.25*E32+G32*G32/144*0.5*E32)/27*1.3,0),0)</f>
        <v>0</v>
      </c>
      <c r="DG32" s="908" t="n">
        <f aca="false">ROUND(E32*G32/12,0)</f>
        <v>0</v>
      </c>
      <c r="DH32" s="908" t="n">
        <f aca="false">IF(C32="y",ROUNDUP(E32*G32/12,0),0)</f>
        <v>0</v>
      </c>
      <c r="DI32" s="908" t="n">
        <f aca="false">IF(C32="Y",IF(E32&gt;0,E32,0),0)</f>
        <v>0</v>
      </c>
      <c r="DJ32" s="1936" t="n">
        <f aca="false">ROUND(E32*N32/12,0)</f>
        <v>0</v>
      </c>
      <c r="DL32" s="1414" t="n">
        <v>19.63</v>
      </c>
    </row>
    <row r="33" s="1414" customFormat="true" ht="15" hidden="false" customHeight="false" outlineLevel="0" collapsed="false">
      <c r="A33" s="507"/>
      <c r="B33" s="1312"/>
      <c r="C33" s="1919"/>
      <c r="D33" s="1920"/>
      <c r="E33" s="1921"/>
      <c r="F33" s="1234"/>
      <c r="G33" s="1235"/>
      <c r="H33" s="1236"/>
      <c r="I33" s="1234"/>
      <c r="J33" s="1235"/>
      <c r="K33" s="1236"/>
      <c r="L33" s="1234"/>
      <c r="M33" s="1234"/>
      <c r="N33" s="1922"/>
      <c r="O33" s="1234"/>
      <c r="P33" s="1234"/>
      <c r="Q33" s="1234"/>
      <c r="R33" s="1923"/>
      <c r="S33" s="1924"/>
      <c r="T33" s="78"/>
      <c r="U33" s="900"/>
      <c r="V33" s="1925" t="n">
        <f aca="false">((E33*I33/16*I33/16*10.680159*J33)*IF(H33=0,0,(G33/H33))+(G33/12*L33/16*L33/16*10.680159*M33)*IF(K33=0,0,(E33*12/K33))+(E33*IF(P33=0,0,N33/P33)*Q33/16*Q33/16*10.680159*R33)+(IF(P33=0,0,E33/P33*N33)*Q33/16*Q33/16*10.680159*R33)+((T33*U33*S33*0.03*0.2836*G33)/12+4)*IF(H33=0,0,(G33/H33))*I33/16*I33/16*10.680159)*(1+J$56)</f>
        <v>0</v>
      </c>
      <c r="W33" s="1926" t="n">
        <f aca="false">ROUNDUP((E33*F33/12*G33/324+ROUNDUP(S33*T33*U33*G33/46656,0)+N33*O33*E33/3888)*(1+J$51),0)</f>
        <v>0</v>
      </c>
      <c r="AH33" s="1927" t="n">
        <f aca="false">IF($R$8=1,ROUNDUP($N33*$O33*$E33/3888*(1+$J$51),0),0)</f>
        <v>0</v>
      </c>
      <c r="AI33" s="1928" t="n">
        <f aca="false">IF($R$8=2,ROUNDUP($N33*$O33*$E33/3888*(1+$J$51),0),0)</f>
        <v>0</v>
      </c>
      <c r="AJ33" s="1928" t="n">
        <f aca="false">IF($R$8=3,ROUNDUP($N33*$O33*$E33/3888*(1+$J$51),0),0)</f>
        <v>0</v>
      </c>
      <c r="AK33" s="1928" t="n">
        <f aca="false">IF($R$8=4,ROUNDUP($N33*$O33*$E33/3888*(1+$J$51),0),0)</f>
        <v>0</v>
      </c>
      <c r="AL33" s="1928" t="n">
        <f aca="false">IF($R$8=5,ROUNDUP($N33*$O33*$E33/3888*(1+$J$51),0),0)</f>
        <v>0</v>
      </c>
      <c r="AM33" s="1928" t="n">
        <f aca="false">IF($R$8=6,ROUNDUP($N33*$O33*$E33/3888*(1+$J$51),0),0)</f>
        <v>0</v>
      </c>
      <c r="AN33" s="1928" t="n">
        <f aca="false">IF($R$8=7,ROUNDUP($N33*$O33*$E33/3888*(1+$J$51),0),0)</f>
        <v>0</v>
      </c>
      <c r="AO33" s="1928" t="n">
        <f aca="false">IF($R$8=8,ROUNDUP($N33*$O33*$E33/3888*(1+$J$51),0),0)</f>
        <v>0</v>
      </c>
      <c r="AP33" s="1928" t="n">
        <f aca="false">IF($R$8=9,ROUNDUP($N33*$O33*$E33/3888*(1+$J$51),0),0)</f>
        <v>0</v>
      </c>
      <c r="AQ33" s="1928" t="n">
        <f aca="false">IF($R$8=10,ROUNDUP($N33*$O33*$E33/3888*(1+$J$51),0),0)</f>
        <v>0</v>
      </c>
      <c r="AR33" s="1929" t="n">
        <f aca="false">IF($D33=1,$W33-SUM($AH33:$AQ33),0)</f>
        <v>0</v>
      </c>
      <c r="AS33" s="1928" t="n">
        <f aca="false">IF($D33=2,W33-SUM($AH33:$AQ33),0)</f>
        <v>0</v>
      </c>
      <c r="AT33" s="1928" t="n">
        <f aca="false">IF($D33=3,W33-SUM($AH33:$AQ33),0)</f>
        <v>0</v>
      </c>
      <c r="AU33" s="1928" t="n">
        <f aca="false">IF($D33=4,W33-SUM($AH33:$AQ33),0)</f>
        <v>0</v>
      </c>
      <c r="AV33" s="1928" t="n">
        <f aca="false">IF($D33=5,W33-SUM($AH33:$AQ33),0)</f>
        <v>0</v>
      </c>
      <c r="AW33" s="1928" t="n">
        <f aca="false">IF($D33=6,W33-SUM($AH33:$AQ33),0)</f>
        <v>0</v>
      </c>
      <c r="AX33" s="1928" t="n">
        <f aca="false">IF($D33=7,W33-SUM($AH33:$AQ33),0)</f>
        <v>0</v>
      </c>
      <c r="AY33" s="1928" t="n">
        <f aca="false">IF($D33=8,W33-SUM($AH33:$AQ33),0)</f>
        <v>0</v>
      </c>
      <c r="AZ33" s="1928" t="n">
        <f aca="false">IF($D33=9,W33-SUM($AH33:$AQ33),0)</f>
        <v>0</v>
      </c>
      <c r="BA33" s="1930" t="n">
        <f aca="false">IF($D33=10,W33-SUM($AH33:$AQ33),0)</f>
        <v>0</v>
      </c>
      <c r="BB33" s="1928" t="n">
        <f aca="false">SUM(AH33:AQ33)</f>
        <v>0</v>
      </c>
      <c r="BC33" s="1928" t="n">
        <f aca="false">SUM(AR33:AW33)</f>
        <v>0</v>
      </c>
      <c r="BD33" s="1928" t="n">
        <f aca="false">V33</f>
        <v>0</v>
      </c>
      <c r="BE33" s="1928" t="n">
        <f aca="false">E33*G33/12*2+(U33*U33*G33/1728*S33)</f>
        <v>0</v>
      </c>
      <c r="BF33" s="1928" t="n">
        <f aca="false">BE33/2</f>
        <v>0</v>
      </c>
      <c r="BG33" s="1928" t="n">
        <f aca="false">N33*E33/12</f>
        <v>0</v>
      </c>
      <c r="BH33" s="1928" t="n">
        <f aca="false">ROUND(IF(C33="Y",BF33*3/27,0),0)</f>
        <v>0</v>
      </c>
      <c r="BJ33" s="1931" t="n">
        <f aca="false">V33*F$56*IF(T$39="N",(1+V$39),1)</f>
        <v>0</v>
      </c>
      <c r="BK33" s="1932" t="n">
        <f aca="false">(AR33*Pricing!F$3+AS33*Pricing!G$3+AT33*Pricing!H$3+AU33*Pricing!I$3+AV33*Pricing!J$3+AW33*Pricing!K$3+AH33*Pricing!F$3+AI33*Pricing!G$3+AJ33*Pricing!H$3+AK33*Pricing!I$3+AL33*Pricing!J$3+AM33*Pricing!K$3)*IF(T$39="N",(1+V$39),1)</f>
        <v>0</v>
      </c>
      <c r="BL33" s="1932" t="n">
        <f aca="false">IF(C33="Y",(N$59+N$60)/DF$36*DF33,0)</f>
        <v>0</v>
      </c>
      <c r="BM33" s="1932" t="n">
        <f aca="false">BF33*(G$67+D$70)</f>
        <v>0</v>
      </c>
      <c r="BN33" s="1932" t="n">
        <f aca="false">BG33*D$66</f>
        <v>0</v>
      </c>
      <c r="BO33" s="1932" t="n">
        <f aca="false">V33/2000*D$71</f>
        <v>0</v>
      </c>
      <c r="BP33" s="1932" t="n">
        <f aca="false">IF(C33="Y",(N$74+N$73+N$72)/DF$36*DF33,0)</f>
        <v>0</v>
      </c>
      <c r="BQ33" s="1932" t="n">
        <f aca="false">IF(SUM(BF$36:BG$36)=0,0,(SUM(N$78:O$81)+SUM(N$83:O$88)+SUM(N$90:O$96)+W$95)/SUM(BF$36:BG$36)*(BF33+BG33))</f>
        <v>0</v>
      </c>
      <c r="BR33" s="1933"/>
      <c r="BS33" s="1934" t="n">
        <f aca="false">IF(SUM(BF$36:BG$36)=0,0,(BQ$36-W$58-N$64-W81-(L$79*0.15))/SUM(BF$36:BG$36)*BG33+BN33)</f>
        <v>0</v>
      </c>
      <c r="BT33" s="1932" t="n">
        <f aca="false">(AH33*Pricing!F$3+AI33*Pricing!G$3+AJ33*Pricing!H$3+AK33*Pricing!I$3+AL33*Pricing!J$3+AM33*Pricing!K$3)*IF(T$39="N",(1+V$39),1)</f>
        <v>0</v>
      </c>
      <c r="BU33" s="1932" t="n">
        <f aca="false">IF(BG33=0,0,(BS33+BT33)/BG33)</f>
        <v>0</v>
      </c>
      <c r="BV33" s="1932" t="n">
        <f aca="false">SUM(BJ33:BQ33)-BS33-BT33</f>
        <v>0</v>
      </c>
      <c r="BW33" s="1933" t="n">
        <f aca="false">IF(BE33=0,0,BV33/BF33)</f>
        <v>0</v>
      </c>
      <c r="DB33" s="1935" t="n">
        <f aca="false">IF(W33=0,0,D$40/W$36*W33)</f>
        <v>0</v>
      </c>
      <c r="DC33" s="1932" t="e">
        <f aca="false">E33*N33/12*(D$40-7980)/H$66</f>
        <v>#DIV/0!</v>
      </c>
      <c r="DD33" s="179" t="n">
        <f aca="false">ROUND(N33*O33/3088*E33,0)</f>
        <v>0</v>
      </c>
      <c r="DE33" s="908" t="n">
        <f aca="false">ROUND(V33,0)</f>
        <v>0</v>
      </c>
      <c r="DF33" s="356" t="n">
        <f aca="false">ROUND(IF(C33="Y",(G33*0.25*E33+G33*G33/144*0.5*E33)/27*1.3,0),0)</f>
        <v>0</v>
      </c>
      <c r="DG33" s="908" t="n">
        <f aca="false">ROUND(E33*G33/12,0)</f>
        <v>0</v>
      </c>
      <c r="DH33" s="908" t="n">
        <f aca="false">IF(C33="y",ROUNDUP(E33*G33/12,0),0)</f>
        <v>0</v>
      </c>
      <c r="DI33" s="908" t="n">
        <f aca="false">IF(C33="Y",IF(E33&gt;0,E33,0),0)</f>
        <v>0</v>
      </c>
      <c r="DJ33" s="1936" t="n">
        <f aca="false">ROUND(E33*N33/12,0)</f>
        <v>0</v>
      </c>
      <c r="DL33" s="1414" t="n">
        <v>28.04</v>
      </c>
    </row>
    <row r="34" s="1414" customFormat="true" ht="15" hidden="false" customHeight="false" outlineLevel="0" collapsed="false">
      <c r="A34" s="507"/>
      <c r="B34" s="1312"/>
      <c r="C34" s="1919"/>
      <c r="D34" s="1920"/>
      <c r="E34" s="1921"/>
      <c r="F34" s="1234"/>
      <c r="G34" s="1235"/>
      <c r="H34" s="1236"/>
      <c r="I34" s="1234"/>
      <c r="J34" s="1235"/>
      <c r="K34" s="1236"/>
      <c r="L34" s="1234"/>
      <c r="M34" s="1234"/>
      <c r="N34" s="1922"/>
      <c r="O34" s="1234"/>
      <c r="P34" s="1234"/>
      <c r="Q34" s="1234"/>
      <c r="R34" s="1923"/>
      <c r="S34" s="1924"/>
      <c r="T34" s="78"/>
      <c r="U34" s="900"/>
      <c r="V34" s="1925" t="n">
        <f aca="false">((E34*I34/16*I34/16*10.680159*J34)*IF(H34=0,0,(G34/H34))+(G34/12*L34/16*L34/16*10.680159*M34)*IF(K34=0,0,(E34*12/K34))+(E34*IF(P34=0,0,N34/P34)*Q34/16*Q34/16*10.680159*R34)+(IF(P34=0,0,E34/P34*N34)*Q34/16*Q34/16*10.680159*R34)+((T34*U34*S34*0.03*0.2836*G34)/12+4)*IF(H34=0,0,(G34/H34))*I34/16*I34/16*10.680159)*(1+J$56)</f>
        <v>0</v>
      </c>
      <c r="W34" s="1926" t="n">
        <f aca="false">ROUNDUP((E34*F34/12*G34/324+ROUNDUP(S34*T34*U34*G34/46656,0)+N34*O34*E34/3888)*(1+J$51),0)</f>
        <v>0</v>
      </c>
      <c r="AH34" s="1927" t="n">
        <f aca="false">IF($R$8=1,ROUNDUP($N34*$O34*$E34/3888*(1+$J$51),0),0)</f>
        <v>0</v>
      </c>
      <c r="AI34" s="1928" t="n">
        <f aca="false">IF($R$8=2,ROUNDUP($N34*$O34*$E34/3888*(1+$J$51),0),0)</f>
        <v>0</v>
      </c>
      <c r="AJ34" s="1928" t="n">
        <f aca="false">IF($R$8=3,ROUNDUP($N34*$O34*$E34/3888*(1+$J$51),0),0)</f>
        <v>0</v>
      </c>
      <c r="AK34" s="1928" t="n">
        <f aca="false">IF($R$8=4,ROUNDUP($N34*$O34*$E34/3888*(1+$J$51),0),0)</f>
        <v>0</v>
      </c>
      <c r="AL34" s="1928" t="n">
        <f aca="false">IF($R$8=5,ROUNDUP($N34*$O34*$E34/3888*(1+$J$51),0),0)</f>
        <v>0</v>
      </c>
      <c r="AM34" s="1928" t="n">
        <f aca="false">IF($R$8=6,ROUNDUP($N34*$O34*$E34/3888*(1+$J$51),0),0)</f>
        <v>0</v>
      </c>
      <c r="AN34" s="1928" t="n">
        <f aca="false">IF($R$8=7,ROUNDUP($N34*$O34*$E34/3888*(1+$J$51),0),0)</f>
        <v>0</v>
      </c>
      <c r="AO34" s="1928" t="n">
        <f aca="false">IF($R$8=8,ROUNDUP($N34*$O34*$E34/3888*(1+$J$51),0),0)</f>
        <v>0</v>
      </c>
      <c r="AP34" s="1928" t="n">
        <f aca="false">IF($R$8=9,ROUNDUP($N34*$O34*$E34/3888*(1+$J$51),0),0)</f>
        <v>0</v>
      </c>
      <c r="AQ34" s="1928" t="n">
        <f aca="false">IF($R$8=10,ROUNDUP($N34*$O34*$E34/3888*(1+$J$51),0),0)</f>
        <v>0</v>
      </c>
      <c r="AR34" s="1929" t="n">
        <f aca="false">IF($D34=1,$W34-SUM($AH34:$AQ34),0)</f>
        <v>0</v>
      </c>
      <c r="AS34" s="1928" t="n">
        <f aca="false">IF($D34=2,W34-SUM($AH34:$AQ34),0)</f>
        <v>0</v>
      </c>
      <c r="AT34" s="1928" t="n">
        <f aca="false">IF($D34=3,W34-SUM($AH34:$AQ34),0)</f>
        <v>0</v>
      </c>
      <c r="AU34" s="1928" t="n">
        <f aca="false">IF($D34=4,W34-SUM($AH34:$AQ34),0)</f>
        <v>0</v>
      </c>
      <c r="AV34" s="1928" t="n">
        <f aca="false">IF($D34=5,W34-SUM($AH34:$AQ34),0)</f>
        <v>0</v>
      </c>
      <c r="AW34" s="1928" t="n">
        <f aca="false">IF($D34=6,W34-SUM($AH34:$AQ34),0)</f>
        <v>0</v>
      </c>
      <c r="AX34" s="1928" t="n">
        <f aca="false">IF($D34=7,W34-SUM($AH34:$AQ34),0)</f>
        <v>0</v>
      </c>
      <c r="AY34" s="1928" t="n">
        <f aca="false">IF($D34=8,W34-SUM($AH34:$AQ34),0)</f>
        <v>0</v>
      </c>
      <c r="AZ34" s="1928" t="n">
        <f aca="false">IF($D34=9,W34-SUM($AH34:$AQ34),0)</f>
        <v>0</v>
      </c>
      <c r="BA34" s="1930" t="n">
        <f aca="false">IF($D34=10,W34-SUM($AH34:$AQ34),0)</f>
        <v>0</v>
      </c>
      <c r="BB34" s="1928" t="n">
        <f aca="false">SUM(AH34:AQ34)</f>
        <v>0</v>
      </c>
      <c r="BC34" s="1928" t="n">
        <f aca="false">SUM(AR34:AW34)</f>
        <v>0</v>
      </c>
      <c r="BD34" s="1928" t="n">
        <f aca="false">V34</f>
        <v>0</v>
      </c>
      <c r="BE34" s="1928" t="n">
        <f aca="false">E34*G34/12*2+(U34*U34*G34/1728*S34)</f>
        <v>0</v>
      </c>
      <c r="BF34" s="1928" t="n">
        <f aca="false">BE34/2</f>
        <v>0</v>
      </c>
      <c r="BG34" s="1928" t="n">
        <f aca="false">N34*E34/12</f>
        <v>0</v>
      </c>
      <c r="BH34" s="1928" t="n">
        <f aca="false">ROUND(IF(C34="Y",BF34*3/27,0),0)</f>
        <v>0</v>
      </c>
      <c r="BJ34" s="1931" t="n">
        <f aca="false">V34*F$56*IF(T$39="N",(1+V$39),1)</f>
        <v>0</v>
      </c>
      <c r="BK34" s="1932" t="n">
        <f aca="false">(AR34*Pricing!F$3+AS34*Pricing!G$3+AT34*Pricing!H$3+AU34*Pricing!I$3+AV34*Pricing!J$3+AW34*Pricing!K$3+AH34*Pricing!F$3+AI34*Pricing!G$3+AJ34*Pricing!H$3+AK34*Pricing!I$3+AL34*Pricing!J$3+AM34*Pricing!K$3)*IF(T$39="N",(1+V$39),1)</f>
        <v>0</v>
      </c>
      <c r="BL34" s="1932" t="n">
        <f aca="false">IF(C34="Y",(N$59+N$60)/DF$36*DF34,0)</f>
        <v>0</v>
      </c>
      <c r="BM34" s="1932" t="n">
        <f aca="false">BF34*(G$67+D$70)</f>
        <v>0</v>
      </c>
      <c r="BN34" s="1932" t="n">
        <f aca="false">BG34*D$66</f>
        <v>0</v>
      </c>
      <c r="BO34" s="1932" t="n">
        <f aca="false">V34/2000*D$71</f>
        <v>0</v>
      </c>
      <c r="BP34" s="1932" t="n">
        <f aca="false">IF(C34="Y",(N$74+N$73+N$72)/DF$36*DF34,0)</f>
        <v>0</v>
      </c>
      <c r="BQ34" s="1932" t="n">
        <f aca="false">IF(SUM(BF$36:BG$36)=0,0,(SUM(N$78:O$81)+SUM(N$83:O$88)+SUM(N$90:O$96)+W$95)/SUM(BF$36:BG$36)*(BF34+BG34))</f>
        <v>0</v>
      </c>
      <c r="BR34" s="1933"/>
      <c r="BS34" s="1934" t="n">
        <f aca="false">IF(SUM(BF$36:BG$36)=0,0,(BQ$36-W$58-N$64-W82-(L$79*0.15))/SUM(BF$36:BG$36)*BG34+BN34)</f>
        <v>0</v>
      </c>
      <c r="BT34" s="1932" t="n">
        <f aca="false">(AH34*Pricing!F$3+AI34*Pricing!G$3+AJ34*Pricing!H$3+AK34*Pricing!I$3+AL34*Pricing!J$3+AM34*Pricing!K$3)*IF(T$39="N",(1+V$39),1)</f>
        <v>0</v>
      </c>
      <c r="BU34" s="1932" t="n">
        <f aca="false">IF(BG34=0,0,(BS34+BT34)/BG34)</f>
        <v>0</v>
      </c>
      <c r="BV34" s="1932" t="n">
        <f aca="false">SUM(BJ34:BQ34)-BS34-BT34</f>
        <v>0</v>
      </c>
      <c r="BW34" s="1933" t="n">
        <f aca="false">IF(BE34=0,0,BV34/BF34)</f>
        <v>0</v>
      </c>
      <c r="DB34" s="1935" t="n">
        <f aca="false">IF(W34=0,0,D$40/W$36*W34)</f>
        <v>0</v>
      </c>
      <c r="DC34" s="1932" t="e">
        <f aca="false">E34*N34/12*(D$40-7980)/H$66</f>
        <v>#DIV/0!</v>
      </c>
      <c r="DD34" s="179" t="n">
        <f aca="false">ROUND(N34*O34/3088*E34,0)</f>
        <v>0</v>
      </c>
      <c r="DE34" s="908" t="n">
        <f aca="false">ROUND(V34,0)</f>
        <v>0</v>
      </c>
      <c r="DF34" s="356" t="n">
        <f aca="false">ROUND(IF(C34="Y",(G34*0.25*E34+G34*G34/144*0.5*E34)/27*1.3,0),0)</f>
        <v>0</v>
      </c>
      <c r="DG34" s="908" t="n">
        <f aca="false">ROUND(E34*G34/12,0)</f>
        <v>0</v>
      </c>
      <c r="DH34" s="908" t="n">
        <f aca="false">IF(C34="y",ROUNDUP(E34*G34/12,0),0)</f>
        <v>0</v>
      </c>
      <c r="DI34" s="908" t="n">
        <f aca="false">IF(C34="Y",IF(E34&gt;0,E34,0),0)</f>
        <v>0</v>
      </c>
      <c r="DJ34" s="1936" t="n">
        <f aca="false">ROUND(E34*N34/12,0)</f>
        <v>0</v>
      </c>
      <c r="DL34" s="1414" t="n">
        <v>25.3</v>
      </c>
    </row>
    <row r="35" s="1414" customFormat="true" ht="15" hidden="false" customHeight="false" outlineLevel="0" collapsed="false">
      <c r="A35" s="507"/>
      <c r="B35" s="1312"/>
      <c r="C35" s="1938"/>
      <c r="D35" s="1920"/>
      <c r="E35" s="1921"/>
      <c r="F35" s="1234"/>
      <c r="G35" s="1235"/>
      <c r="H35" s="1236"/>
      <c r="I35" s="1234"/>
      <c r="J35" s="1235"/>
      <c r="K35" s="1236"/>
      <c r="L35" s="1234"/>
      <c r="M35" s="1234"/>
      <c r="N35" s="1922"/>
      <c r="O35" s="1234"/>
      <c r="P35" s="1234"/>
      <c r="Q35" s="1234"/>
      <c r="R35" s="1923"/>
      <c r="S35" s="1924"/>
      <c r="T35" s="78"/>
      <c r="U35" s="900"/>
      <c r="V35" s="1925" t="n">
        <f aca="false">((E35*I35/16*I35/16*10.680159*J35)*IF(H35=0,0,(G35/H35))+(G35/12*L35/16*L35/16*10.680159*M35)*IF(K35=0,0,(E35*12/K35))+(E35*IF(P35=0,0,N35/P35)*Q35/16*Q35/16*10.680159*R35)+(IF(P35=0,0,E35/P35*N35)*Q35/16*Q35/16*10.680159*R35)+((T35*U35*S35*0.03*0.2836*G35)/12+4)*IF(H35=0,0,(G35/H35))*I35/16*I35/16*10.680159)*(1+J$56)</f>
        <v>0</v>
      </c>
      <c r="W35" s="1926" t="n">
        <f aca="false">ROUNDUP((E35*F35/12*G35/324+ROUNDUP(S35*T35*U35*G35/46656,0)+N35*O35*E35/3888)*(1+J$51),0)</f>
        <v>0</v>
      </c>
      <c r="AH35" s="1927" t="n">
        <f aca="false">IF($R$8=1,ROUNDUP($N35*$O35*$E35/3888*(1+$J$51),0),0)</f>
        <v>0</v>
      </c>
      <c r="AI35" s="1928" t="n">
        <f aca="false">IF($R$8=2,ROUNDUP($N35*$O35*$E35/3888*(1+$J$51),0),0)</f>
        <v>0</v>
      </c>
      <c r="AJ35" s="1928" t="n">
        <f aca="false">IF($R$8=3,ROUNDUP($N35*$O35*$E35/3888*(1+$J$51),0),0)</f>
        <v>0</v>
      </c>
      <c r="AK35" s="1928" t="n">
        <f aca="false">IF($R$8=4,ROUNDUP($N35*$O35*$E35/3888*(1+$J$51),0),0)</f>
        <v>0</v>
      </c>
      <c r="AL35" s="1928" t="n">
        <f aca="false">IF($R$8=5,ROUNDUP($N35*$O35*$E35/3888*(1+$J$51),0),0)</f>
        <v>0</v>
      </c>
      <c r="AM35" s="1928" t="n">
        <f aca="false">IF($R$8=6,ROUNDUP($N35*$O35*$E35/3888*(1+$J$51),0),0)</f>
        <v>0</v>
      </c>
      <c r="AN35" s="1928" t="n">
        <f aca="false">IF($R$8=7,ROUNDUP($N35*$O35*$E35/3888*(1+$J$51),0),0)</f>
        <v>0</v>
      </c>
      <c r="AO35" s="1928" t="n">
        <f aca="false">IF($R$8=8,ROUNDUP($N35*$O35*$E35/3888*(1+$J$51),0),0)</f>
        <v>0</v>
      </c>
      <c r="AP35" s="1928" t="n">
        <f aca="false">IF($R$8=9,ROUNDUP($N35*$O35*$E35/3888*(1+$J$51),0),0)</f>
        <v>0</v>
      </c>
      <c r="AQ35" s="1928" t="n">
        <f aca="false">IF($R$8=10,ROUNDUP($N35*$O35*$E35/3888*(1+$J$51),0),0)</f>
        <v>0</v>
      </c>
      <c r="AR35" s="1939" t="n">
        <f aca="false">IF($D35=1,$W35-SUM($AH35:$AQ35),0)</f>
        <v>0</v>
      </c>
      <c r="AS35" s="1940" t="n">
        <f aca="false">IF($D35=2,W35-SUM($AH35:$AQ35),0)</f>
        <v>0</v>
      </c>
      <c r="AT35" s="1940" t="n">
        <f aca="false">IF($D35=3,W35-SUM($AH35:$AQ35),0)</f>
        <v>0</v>
      </c>
      <c r="AU35" s="1940" t="n">
        <f aca="false">IF($D35=4,W35-SUM($AH35:$AQ35),0)</f>
        <v>0</v>
      </c>
      <c r="AV35" s="1940" t="n">
        <f aca="false">IF($D35=5,W35-SUM($AH35:$AQ35),0)</f>
        <v>0</v>
      </c>
      <c r="AW35" s="1940" t="n">
        <f aca="false">IF($D35=6,W35-SUM($AH35:$AQ35),0)</f>
        <v>0</v>
      </c>
      <c r="AX35" s="1940" t="n">
        <f aca="false">IF($D35=7,W35-SUM($AH35:$AQ35),0)</f>
        <v>0</v>
      </c>
      <c r="AY35" s="1940" t="n">
        <f aca="false">IF($D35=8,W35-SUM($AH35:$AQ35),0)</f>
        <v>0</v>
      </c>
      <c r="AZ35" s="1940" t="n">
        <f aca="false">IF($D35=9,W35-SUM($AH35:$AQ35),0)</f>
        <v>0</v>
      </c>
      <c r="BA35" s="1941" t="n">
        <f aca="false">IF($D35=10,W35-SUM($AH35:$AQ35),0)</f>
        <v>0</v>
      </c>
      <c r="BB35" s="1928" t="n">
        <f aca="false">SUM(AH35:AQ35)</f>
        <v>0</v>
      </c>
      <c r="BC35" s="1928" t="n">
        <f aca="false">SUM(AR35:AW35)</f>
        <v>0</v>
      </c>
      <c r="BD35" s="1928" t="n">
        <f aca="false">V35</f>
        <v>0</v>
      </c>
      <c r="BE35" s="1928" t="n">
        <f aca="false">E35*G35/12*2+(U35*U35*G35/1728*S35)</f>
        <v>0</v>
      </c>
      <c r="BF35" s="1928" t="n">
        <f aca="false">BE35/2</f>
        <v>0</v>
      </c>
      <c r="BG35" s="1928" t="n">
        <f aca="false">N35*E35/12</f>
        <v>0</v>
      </c>
      <c r="BH35" s="1928" t="n">
        <f aca="false">ROUND(IF(C35="Y",BF35*3/27,0),0)</f>
        <v>0</v>
      </c>
      <c r="BJ35" s="1942" t="n">
        <f aca="false">V35*F$56*IF(T$39="N",(1+V$39),1)</f>
        <v>0</v>
      </c>
      <c r="BK35" s="1943" t="n">
        <f aca="false">(AR35*Pricing!F$3+AS35*Pricing!G$3+AT35*Pricing!H$3+AU35*Pricing!I$3+AV35*Pricing!J$3+AW35*Pricing!K$3+AH35*Pricing!F$3+AI35*Pricing!G$3+AJ35*Pricing!H$3+AK35*Pricing!I$3+AL35*Pricing!J$3+AM35*Pricing!K$3)*IF(T$39="N",(1+V$39),1)</f>
        <v>0</v>
      </c>
      <c r="BL35" s="1932" t="n">
        <f aca="false">IF(C35="Y",(N$59+N$60)/DF$36*DF35,0)</f>
        <v>0</v>
      </c>
      <c r="BM35" s="1943" t="n">
        <f aca="false">BF35*(G$67+D$70)</f>
        <v>0</v>
      </c>
      <c r="BN35" s="1943" t="n">
        <f aca="false">BG35*D$66</f>
        <v>0</v>
      </c>
      <c r="BO35" s="1943" t="n">
        <f aca="false">V35/2000*D$71</f>
        <v>0</v>
      </c>
      <c r="BP35" s="1932" t="n">
        <f aca="false">IF(C35="Y",(N$74+N$73+N$72)/DF$36*DF35,0)</f>
        <v>0</v>
      </c>
      <c r="BQ35" s="1943" t="n">
        <f aca="false">IF(SUM(BF$36:BG$36)=0,0,(SUM(N$78:O$81)+SUM(N$83:O$88)+SUM(N$90:O$96)+W$95)/SUM(BF$36:BG$36)*(BF35+BG35))</f>
        <v>0</v>
      </c>
      <c r="BR35" s="1944"/>
      <c r="BS35" s="1945" t="n">
        <f aca="false">IF(SUM(BF$36:BG$36)=0,0,(BQ$36-W$58-N$64-W83-(L$79*0.15))/SUM(BF$36:BG$36)*BG35+BN35)</f>
        <v>0</v>
      </c>
      <c r="BT35" s="1943" t="n">
        <f aca="false">(AH35*Pricing!F$3+AI35*Pricing!G$3+AJ35*Pricing!H$3+AK35*Pricing!I$3+AL35*Pricing!J$3+AM35*Pricing!K$3)*IF(T$39="N",(1+V$39),1)</f>
        <v>0</v>
      </c>
      <c r="BU35" s="1943" t="n">
        <f aca="false">IF(BG35=0,0,(BS35+BT35)/BG35)</f>
        <v>0</v>
      </c>
      <c r="BV35" s="1943" t="n">
        <f aca="false">SUM(BJ35:BQ35)-BS35-BT35</f>
        <v>0</v>
      </c>
      <c r="BW35" s="1944" t="n">
        <f aca="false">IF(BE35=0,0,BV35/BF35)</f>
        <v>0</v>
      </c>
      <c r="DB35" s="1935" t="n">
        <f aca="false">IF(W35=0,0,D$40/W$36*W35)</f>
        <v>0</v>
      </c>
      <c r="DC35" s="1932" t="e">
        <f aca="false">E35*N35/12*(D$40-7980)/H$66</f>
        <v>#DIV/0!</v>
      </c>
      <c r="DD35" s="179" t="n">
        <f aca="false">ROUND(N35*O35/3088*E35,0)</f>
        <v>0</v>
      </c>
      <c r="DE35" s="908" t="n">
        <f aca="false">ROUND(V35,0)</f>
        <v>0</v>
      </c>
      <c r="DF35" s="356" t="n">
        <f aca="false">ROUND(IF(C35="Y",(G35*0.25*E35+G35*G35/144*0.5*E35)/27*1.3,0),0)</f>
        <v>0</v>
      </c>
      <c r="DG35" s="908" t="n">
        <f aca="false">ROUND(E35*G35/12,0)</f>
        <v>0</v>
      </c>
      <c r="DH35" s="908" t="n">
        <f aca="false">IF(C35="y",ROUNDUP(E35*G35/12,0),0)</f>
        <v>0</v>
      </c>
      <c r="DI35" s="908" t="n">
        <f aca="false">IF(C35="Y",IF(E35&gt;0,E35,0),0)</f>
        <v>0</v>
      </c>
      <c r="DJ35" s="1936" t="n">
        <f aca="false">ROUND(E35*N35/12,0)</f>
        <v>0</v>
      </c>
      <c r="DL35" s="1414" t="n">
        <v>20.37</v>
      </c>
    </row>
    <row r="36" s="1414" customFormat="true" ht="15" hidden="false" customHeight="false" outlineLevel="0" collapsed="false">
      <c r="A36" s="406"/>
      <c r="B36" s="614"/>
      <c r="C36" s="614"/>
      <c r="D36" s="1946"/>
      <c r="E36" s="1246" t="n">
        <f aca="false">SUM(E10:E35)</f>
        <v>0</v>
      </c>
      <c r="F36" s="1946" t="s">
        <v>1398</v>
      </c>
      <c r="G36" s="1202"/>
      <c r="H36" s="1202"/>
      <c r="I36" s="614"/>
      <c r="J36" s="614"/>
      <c r="K36" s="614"/>
      <c r="L36" s="614"/>
      <c r="M36" s="614"/>
      <c r="N36" s="614"/>
      <c r="O36" s="1461" t="s">
        <v>1399</v>
      </c>
      <c r="P36" s="1462"/>
      <c r="Q36" s="1462"/>
      <c r="R36" s="1462"/>
      <c r="S36" s="614"/>
      <c r="T36" s="614"/>
      <c r="U36" s="1249" t="n">
        <f aca="false">SUM(V10:V35)</f>
        <v>0</v>
      </c>
      <c r="V36" s="1947"/>
      <c r="W36" s="1250" t="n">
        <f aca="false">ROUND(SUM(W10:W35),0)</f>
        <v>0</v>
      </c>
      <c r="AH36" s="1928" t="n">
        <f aca="false">SUM(AH10:AH35)</f>
        <v>0</v>
      </c>
      <c r="AI36" s="1928" t="n">
        <f aca="false">SUM(AI10:AI35)</f>
        <v>0</v>
      </c>
      <c r="AJ36" s="1928" t="n">
        <f aca="false">SUM(AJ10:AJ35)</f>
        <v>0</v>
      </c>
      <c r="AK36" s="1928" t="n">
        <f aca="false">SUM(AK10:AK35)</f>
        <v>0</v>
      </c>
      <c r="AL36" s="1928" t="n">
        <f aca="false">SUM(AL10:AL35)</f>
        <v>0</v>
      </c>
      <c r="AM36" s="1928" t="n">
        <f aca="false">SUM(AM10:AM35)</f>
        <v>0</v>
      </c>
      <c r="AN36" s="1928" t="n">
        <f aca="false">SUM(AN10:AN35)</f>
        <v>0</v>
      </c>
      <c r="AO36" s="1928" t="n">
        <f aca="false">SUM(AO10:AO35)</f>
        <v>0</v>
      </c>
      <c r="AP36" s="1928" t="n">
        <f aca="false">SUM(AP10:AP35)</f>
        <v>0</v>
      </c>
      <c r="AQ36" s="1928" t="n">
        <f aca="false">SUM(AQ10:AQ35)</f>
        <v>0</v>
      </c>
      <c r="AR36" s="1928" t="n">
        <f aca="false">SUM(AR10:AR35)</f>
        <v>0</v>
      </c>
      <c r="AS36" s="1928" t="n">
        <f aca="false">SUM(AS10:AS35)</f>
        <v>0</v>
      </c>
      <c r="AT36" s="1928" t="n">
        <f aca="false">SUM(AT10:AT35)</f>
        <v>0</v>
      </c>
      <c r="AU36" s="1928" t="n">
        <f aca="false">SUM(AU10:AU35)</f>
        <v>0</v>
      </c>
      <c r="AV36" s="1928" t="n">
        <f aca="false">SUM(AV10:AV35)</f>
        <v>0</v>
      </c>
      <c r="AW36" s="1928" t="n">
        <f aca="false">SUM(AW10:AW35)</f>
        <v>0</v>
      </c>
      <c r="AX36" s="1928" t="n">
        <f aca="false">SUM(AX10:AX35)</f>
        <v>0</v>
      </c>
      <c r="AY36" s="1928" t="n">
        <f aca="false">SUM(AY10:AY35)</f>
        <v>0</v>
      </c>
      <c r="AZ36" s="1928" t="n">
        <f aca="false">SUM(AZ10:AZ35)</f>
        <v>0</v>
      </c>
      <c r="BA36" s="1928" t="n">
        <f aca="false">SUM(BA10:BA35)</f>
        <v>0</v>
      </c>
      <c r="BB36" s="1928" t="n">
        <f aca="false">SUM(BB10:BB35)</f>
        <v>0</v>
      </c>
      <c r="BC36" s="1928" t="n">
        <f aca="false">SUM(BC10:BC35)</f>
        <v>0</v>
      </c>
      <c r="BD36" s="1928" t="n">
        <f aca="false">SUM(BD10:BD35)</f>
        <v>0</v>
      </c>
      <c r="BE36" s="1928" t="n">
        <f aca="false">SUM(BE10:BE35)</f>
        <v>0</v>
      </c>
      <c r="BF36" s="1928" t="n">
        <f aca="false">SUM(BF10:BF35)</f>
        <v>0</v>
      </c>
      <c r="BG36" s="1928" t="n">
        <f aca="false">SUM(BG10:BG35)</f>
        <v>0</v>
      </c>
      <c r="BH36" s="1928" t="n">
        <f aca="false">SUM(BH10:BH35)</f>
        <v>0</v>
      </c>
      <c r="BI36" s="1414" t="n">
        <f aca="false">SUM(BI10:BI35)</f>
        <v>0</v>
      </c>
      <c r="BJ36" s="1932" t="n">
        <f aca="false">SUM(BJ10:BJ35)</f>
        <v>0</v>
      </c>
      <c r="BK36" s="1932" t="n">
        <f aca="false">SUM(BK10:BK35)</f>
        <v>0</v>
      </c>
      <c r="BL36" s="1932" t="n">
        <f aca="false">SUM(BL10:BL35)</f>
        <v>0</v>
      </c>
      <c r="BM36" s="1932" t="n">
        <f aca="false">SUM(BM10:BM35)</f>
        <v>0</v>
      </c>
      <c r="BN36" s="1932" t="n">
        <f aca="false">SUM(BN10:BN35)</f>
        <v>0</v>
      </c>
      <c r="BO36" s="1932" t="n">
        <f aca="false">SUM(BO10:BO35)</f>
        <v>0</v>
      </c>
      <c r="BP36" s="1932" t="n">
        <f aca="false">SUM(BP10:BP35)</f>
        <v>0</v>
      </c>
      <c r="BQ36" s="1932" t="n">
        <f aca="false">SUM(BQ10:BQ35)</f>
        <v>0</v>
      </c>
      <c r="BR36" s="1932" t="n">
        <f aca="false">SUM(BJ36:BQ36)</f>
        <v>0</v>
      </c>
      <c r="BS36" s="1932" t="n">
        <f aca="false">SUM(BS10:BS35)</f>
        <v>0</v>
      </c>
      <c r="BT36" s="1932" t="n">
        <f aca="false">SUM(BT10:BT35)</f>
        <v>0</v>
      </c>
      <c r="BU36" s="1932"/>
      <c r="BV36" s="1932" t="n">
        <f aca="false">SUM(BV10:BV35)</f>
        <v>0</v>
      </c>
      <c r="BW36" s="1932" t="n">
        <f aca="false">SUM(BS36:BV36)</f>
        <v>0</v>
      </c>
      <c r="DB36" s="1948" t="n">
        <f aca="false">SUM(DB10:DB35)</f>
        <v>0</v>
      </c>
      <c r="DC36" s="1948" t="e">
        <f aca="false">SUM(DC10:DC35)</f>
        <v>#DIV/0!</v>
      </c>
      <c r="DD36" s="1254" t="n">
        <f aca="false">SUM(DD10:DD35)</f>
        <v>0</v>
      </c>
      <c r="DE36" s="1254" t="n">
        <f aca="false">SUM(DE10:DE35)</f>
        <v>0</v>
      </c>
      <c r="DF36" s="1254" t="n">
        <f aca="false">SUM(DF10:DF35)</f>
        <v>0</v>
      </c>
      <c r="DG36" s="1254" t="n">
        <f aca="false">SUM(DG10:DG35)</f>
        <v>0</v>
      </c>
      <c r="DH36" s="1949" t="n">
        <f aca="false">SUM(DH10:DH35)</f>
        <v>0</v>
      </c>
      <c r="DI36" s="908" t="n">
        <f aca="false">IF(C36="Y",IF(D36&gt;0,D36,0),0)</f>
        <v>0</v>
      </c>
      <c r="DJ36" s="1254" t="n">
        <f aca="false">SUM(DJ10:DJ35)</f>
        <v>0</v>
      </c>
      <c r="DL36" s="1414" t="n">
        <v>33.28</v>
      </c>
    </row>
    <row r="37" s="1414" customFormat="true" ht="15" hidden="false" customHeight="false" outlineLevel="0" collapsed="false">
      <c r="A37" s="685"/>
      <c r="B37" s="726"/>
      <c r="C37" s="726"/>
      <c r="D37" s="726"/>
      <c r="E37" s="726"/>
      <c r="F37" s="726"/>
      <c r="G37" s="726"/>
      <c r="H37" s="726"/>
      <c r="I37" s="726"/>
      <c r="J37" s="726"/>
      <c r="K37" s="726"/>
      <c r="L37" s="726"/>
      <c r="M37" s="726"/>
      <c r="N37" s="726"/>
      <c r="O37" s="1950" t="s">
        <v>1400</v>
      </c>
      <c r="P37" s="1951"/>
      <c r="Q37" s="1951"/>
      <c r="R37" s="1951"/>
      <c r="S37" s="726"/>
      <c r="T37" s="726"/>
      <c r="U37" s="1952" t="n">
        <f aca="false">ROUNDUP(U36/2000,0)</f>
        <v>0</v>
      </c>
      <c r="V37" s="1258"/>
      <c r="W37" s="1258"/>
      <c r="BJ37" s="1948" t="n">
        <f aca="false">N56+N57+N58</f>
        <v>0</v>
      </c>
      <c r="BK37" s="1948" t="n">
        <f aca="false">N51+N52+N55</f>
        <v>0</v>
      </c>
      <c r="BL37" s="1948" t="n">
        <f aca="false">N59+N60</f>
        <v>0</v>
      </c>
      <c r="BM37" s="1948" t="n">
        <f aca="false">N67+N68+N69+N70</f>
        <v>0</v>
      </c>
      <c r="BN37" s="1948" t="n">
        <f aca="false">N66</f>
        <v>0</v>
      </c>
      <c r="BO37" s="1948" t="n">
        <f aca="false">N71</f>
        <v>0</v>
      </c>
      <c r="BP37" s="1948" t="n">
        <f aca="false">N74+N73+N72</f>
        <v>0</v>
      </c>
      <c r="BQ37" s="1948" t="n">
        <f aca="false">N83+N84+N85+N86+N87+N88+N90+N91+N92+N93+N94+N95+N96+W95+L79</f>
        <v>0</v>
      </c>
      <c r="BR37" s="1948" t="n">
        <f aca="false">S40</f>
        <v>0</v>
      </c>
      <c r="DB37" s="1948" t="n">
        <f aca="false">D40-DB36</f>
        <v>0</v>
      </c>
      <c r="DC37" s="1948" t="e">
        <f aca="false">DC36-D40</f>
        <v>#DIV/0!</v>
      </c>
      <c r="DD37" s="1414" t="n">
        <f aca="false">SUM(DD10:DD36)</f>
        <v>0</v>
      </c>
      <c r="DE37" s="1414" t="n">
        <f aca="false">SUM(DE10:DE36)</f>
        <v>0</v>
      </c>
      <c r="DF37" s="1414" t="n">
        <f aca="false">SUM(DF10:DF36)</f>
        <v>0</v>
      </c>
      <c r="DG37" s="1414" t="n">
        <f aca="false">SUM(DG10:DG36)</f>
        <v>0</v>
      </c>
      <c r="DH37" s="1414" t="n">
        <f aca="false">SUM(DH10:DH36)</f>
        <v>0</v>
      </c>
      <c r="DI37" s="1247" t="n">
        <f aca="false">SUM(DI10:DI36)</f>
        <v>0</v>
      </c>
      <c r="DJ37" s="1414" t="n">
        <f aca="false">SUM(DJ10:DJ36)</f>
        <v>0</v>
      </c>
      <c r="DL37" s="1414" t="n">
        <v>61.05</v>
      </c>
    </row>
    <row r="38" s="1414" customFormat="true" ht="15" hidden="false" customHeight="false" outlineLevel="0" collapsed="false">
      <c r="A38" s="949"/>
      <c r="B38" s="950"/>
      <c r="C38" s="951" t="s">
        <v>1261</v>
      </c>
      <c r="D38" s="952" t="n">
        <v>251511</v>
      </c>
      <c r="E38" s="952"/>
      <c r="F38" s="950"/>
      <c r="G38" s="950"/>
      <c r="H38" s="950"/>
      <c r="I38" s="950"/>
      <c r="J38" s="950"/>
      <c r="K38" s="954"/>
      <c r="L38" s="950"/>
      <c r="M38" s="950"/>
      <c r="N38" s="950"/>
      <c r="O38" s="1165"/>
      <c r="P38" s="950"/>
      <c r="Q38" s="950"/>
      <c r="R38" s="950"/>
      <c r="S38" s="950"/>
      <c r="T38" s="950"/>
      <c r="U38" s="950"/>
      <c r="V38" s="950"/>
      <c r="W38" s="957"/>
      <c r="BJ38" s="1948" t="n">
        <f aca="false">BJ36-BJ37</f>
        <v>0</v>
      </c>
      <c r="BK38" s="1948" t="n">
        <f aca="false">BK36-BK37</f>
        <v>0</v>
      </c>
      <c r="BL38" s="1948" t="n">
        <f aca="false">BL36-BL37</f>
        <v>0</v>
      </c>
      <c r="BM38" s="1948" t="n">
        <f aca="false">BM36-BM37</f>
        <v>0</v>
      </c>
      <c r="BN38" s="1948" t="n">
        <f aca="false">BN36-BN37</f>
        <v>0</v>
      </c>
      <c r="BO38" s="1948" t="n">
        <f aca="false">BO36-BO37</f>
        <v>0</v>
      </c>
      <c r="BP38" s="1948" t="n">
        <f aca="false">BP36-BP37</f>
        <v>0</v>
      </c>
      <c r="BQ38" s="1948" t="n">
        <f aca="false">BQ36-BQ37</f>
        <v>0</v>
      </c>
      <c r="BR38" s="1948" t="n">
        <f aca="false">BR36-BR37</f>
        <v>0</v>
      </c>
      <c r="DL38" s="1414" t="n">
        <v>30.63</v>
      </c>
    </row>
    <row r="39" s="1414" customFormat="true" ht="28.55" hidden="false" customHeight="false" outlineLevel="0" collapsed="false">
      <c r="A39" s="958" t="s">
        <v>1262</v>
      </c>
      <c r="B39" s="958"/>
      <c r="C39" s="958"/>
      <c r="D39" s="1642" t="s">
        <v>982</v>
      </c>
      <c r="E39" s="1644"/>
      <c r="F39" s="1953" t="s">
        <v>1263</v>
      </c>
      <c r="G39" s="1643"/>
      <c r="H39" s="1644"/>
      <c r="I39" s="1167" t="s">
        <v>1264</v>
      </c>
      <c r="J39" s="1168"/>
      <c r="K39" s="1169"/>
      <c r="L39" s="1170" t="s">
        <v>1265</v>
      </c>
      <c r="M39" s="1171"/>
      <c r="N39" s="1171"/>
      <c r="O39" s="1172"/>
      <c r="P39" s="961"/>
      <c r="Q39" s="836" t="s">
        <v>1266</v>
      </c>
      <c r="R39" s="1068"/>
      <c r="S39" s="1068" t="s">
        <v>1267</v>
      </c>
      <c r="T39" s="1954" t="str">
        <f aca="false">Summary!P62</f>
        <v>N</v>
      </c>
      <c r="U39" s="1419" t="s">
        <v>1268</v>
      </c>
      <c r="V39" s="1955" t="n">
        <f aca="false">Summary!R62</f>
        <v>0.0825</v>
      </c>
      <c r="W39" s="964"/>
      <c r="DD39" s="1414" t="s">
        <v>1401</v>
      </c>
      <c r="DF39" s="1414" t="s">
        <v>1402</v>
      </c>
      <c r="DL39" s="1414" t="n">
        <v>64.11</v>
      </c>
    </row>
    <row r="40" s="1414" customFormat="true" ht="15" hidden="false" customHeight="false" outlineLevel="0" collapsed="false">
      <c r="A40" s="965" t="s">
        <v>1269</v>
      </c>
      <c r="B40" s="966" t="n">
        <f aca="false">IF(BF36=0,0,D40/BF36)</f>
        <v>0</v>
      </c>
      <c r="C40" s="966"/>
      <c r="D40" s="967" t="n">
        <f aca="false">(S40-N96)*(1+L40)</f>
        <v>0</v>
      </c>
      <c r="E40" s="967"/>
      <c r="F40" s="1956" t="n">
        <f aca="false">IF(D40=0,0,G40/D40)</f>
        <v>0</v>
      </c>
      <c r="G40" s="1038" t="n">
        <f aca="false">(D40-S40)</f>
        <v>0</v>
      </c>
      <c r="H40" s="1038"/>
      <c r="I40" s="1957" t="n">
        <f aca="false">IF(BF36=0,0,S40/BF36)</f>
        <v>0</v>
      </c>
      <c r="J40" s="1957"/>
      <c r="K40" s="1958"/>
      <c r="L40" s="1959" t="n">
        <f aca="false">Summary!P59</f>
        <v>0.18</v>
      </c>
      <c r="M40" s="1960"/>
      <c r="N40" s="1960"/>
      <c r="O40" s="1961"/>
      <c r="P40" s="1265"/>
      <c r="Q40" s="970" t="s">
        <v>980</v>
      </c>
      <c r="R40" s="16"/>
      <c r="S40" s="971" t="n">
        <f aca="false">SUM(N51:O63)+SUM(N66:O75)+SUM(N78:O80)+SUM(N83:O88)+SUM(N90:O96)+W95+N64+SUM(K66:L75)+N81</f>
        <v>0</v>
      </c>
      <c r="T40" s="971"/>
      <c r="U40" s="1659"/>
      <c r="V40" s="843"/>
      <c r="W40" s="964"/>
      <c r="DB40" s="175"/>
      <c r="DC40" s="1268" t="s">
        <v>1403</v>
      </c>
      <c r="DD40" s="1269" t="n">
        <v>458</v>
      </c>
      <c r="DE40" s="1270"/>
      <c r="DL40" s="1414" t="n">
        <v>82.09</v>
      </c>
    </row>
    <row r="41" s="1414" customFormat="true" ht="15" hidden="false" customHeight="false" outlineLevel="0" collapsed="false">
      <c r="A41" s="965"/>
      <c r="B41" s="1649"/>
      <c r="C41" s="1962" t="str">
        <f aca="false">IF(ROUND(D41,0)=0,"BINGO!!",IF(ROUND(D41,0)&lt;0,"To Low","T0 High"))</f>
        <v>To Low</v>
      </c>
      <c r="D41" s="1963" t="n">
        <f aca="false">D40-D38</f>
        <v>-251511</v>
      </c>
      <c r="E41" s="1963"/>
      <c r="F41" s="1964"/>
      <c r="G41" s="1965"/>
      <c r="H41" s="1965"/>
      <c r="I41" s="1966"/>
      <c r="J41" s="1966"/>
      <c r="K41" s="1966"/>
      <c r="L41" s="1967"/>
      <c r="M41" s="1967"/>
      <c r="N41" s="1967"/>
      <c r="O41" s="1968"/>
      <c r="P41" s="1265"/>
      <c r="Q41" s="1969"/>
      <c r="R41" s="1058"/>
      <c r="S41" s="1970"/>
      <c r="T41" s="1970"/>
      <c r="U41" s="1970"/>
      <c r="V41" s="1971"/>
      <c r="W41" s="964"/>
      <c r="DC41" s="1004" t="s">
        <v>1406</v>
      </c>
      <c r="DD41" s="1278" t="n">
        <v>-5</v>
      </c>
      <c r="DE41" s="1279"/>
      <c r="DF41" s="1280" t="n">
        <f aca="false">DD40+DD41</f>
        <v>453</v>
      </c>
    </row>
    <row r="42" s="1414" customFormat="true" ht="15" hidden="false" customHeight="false" outlineLevel="0" collapsed="false">
      <c r="A42" s="1972" t="s">
        <v>1693</v>
      </c>
      <c r="B42" s="1973" t="n">
        <f aca="false">IF(F42=0,B40,IF(BF36=0,0,BV36/BF36)*(1+L40))</f>
        <v>0</v>
      </c>
      <c r="C42" s="1973"/>
      <c r="D42" s="1974" t="s">
        <v>1694</v>
      </c>
      <c r="E42" s="1974"/>
      <c r="F42" s="1975" t="n">
        <f aca="false">IF(BG36=0,0,(BT36+BS36)/BG36)*(1+L40)</f>
        <v>0</v>
      </c>
      <c r="G42" s="1975"/>
      <c r="H42" s="1976" t="s">
        <v>1270</v>
      </c>
      <c r="I42" s="1977"/>
      <c r="J42" s="1978"/>
      <c r="K42" s="1979"/>
      <c r="L42" s="972"/>
      <c r="M42" s="1980" t="n">
        <f aca="false">IF(J42&gt;0,(J42-D40)/(1+L40),0)</f>
        <v>0</v>
      </c>
      <c r="N42" s="1981"/>
      <c r="O42" s="984"/>
      <c r="P42" s="973"/>
      <c r="Q42" s="973"/>
      <c r="R42" s="973"/>
      <c r="S42" s="983" t="n">
        <f aca="false">AE1</f>
        <v>0</v>
      </c>
      <c r="T42" s="983"/>
      <c r="U42" s="1982"/>
      <c r="V42" s="973"/>
      <c r="W42" s="984"/>
      <c r="DC42" s="1004" t="s">
        <v>1409</v>
      </c>
      <c r="DD42" s="1278" t="n">
        <v>460</v>
      </c>
      <c r="DE42" s="1279"/>
      <c r="DF42" s="1284" t="n">
        <f aca="false">DD42-DD40</f>
        <v>2</v>
      </c>
    </row>
    <row r="43" s="1414" customFormat="true" ht="15" hidden="false" customHeight="false" outlineLevel="0" collapsed="false">
      <c r="A43" s="654"/>
      <c r="B43" s="654"/>
      <c r="C43" s="654"/>
      <c r="D43" s="654"/>
      <c r="E43" s="654"/>
      <c r="F43" s="654"/>
      <c r="G43" s="654"/>
      <c r="H43" s="654"/>
      <c r="I43" s="654" t="s">
        <v>1061</v>
      </c>
      <c r="J43" s="654" t="s">
        <v>1083</v>
      </c>
      <c r="K43" s="654"/>
      <c r="L43" s="654"/>
      <c r="M43" s="654"/>
      <c r="N43" s="654"/>
      <c r="O43" s="654"/>
      <c r="P43" s="654"/>
      <c r="Q43" s="654"/>
      <c r="R43" s="654" t="s">
        <v>1695</v>
      </c>
      <c r="S43" s="654"/>
      <c r="T43" s="664" t="n">
        <f aca="false">IF(SUM(W77:W82)=0,0,SUM(W77:W82)/H67)</f>
        <v>0</v>
      </c>
      <c r="U43" s="654" t="s">
        <v>1696</v>
      </c>
      <c r="V43" s="654"/>
      <c r="W43" s="654"/>
      <c r="DB43" s="246"/>
      <c r="DC43" s="246"/>
      <c r="DD43" s="1288"/>
      <c r="DE43" s="749"/>
      <c r="DF43" s="1288"/>
    </row>
    <row r="44" s="1414" customFormat="true" ht="15" hidden="false" customHeight="false" outlineLevel="0" collapsed="false">
      <c r="A44" s="16" t="s">
        <v>1697</v>
      </c>
      <c r="B44" s="1983"/>
      <c r="C44" s="1983"/>
      <c r="D44" s="1984"/>
      <c r="E44" s="1985"/>
      <c r="F44" s="1986"/>
      <c r="G44" s="1987"/>
      <c r="H44" s="1984"/>
      <c r="I44" s="1706"/>
      <c r="J44" s="1271"/>
      <c r="K44" s="1271"/>
      <c r="L44" s="1271"/>
      <c r="M44" s="1271"/>
      <c r="N44" s="990" t="s">
        <v>721</v>
      </c>
      <c r="O44" s="990"/>
      <c r="P44" s="1274" t="s">
        <v>1272</v>
      </c>
      <c r="Q44" s="654"/>
      <c r="R44" s="783" t="s">
        <v>1698</v>
      </c>
      <c r="S44" s="1988"/>
      <c r="T44" s="1989" t="n">
        <f aca="false">IF(H67=0,0,(N64+W95-W77-W78-W79-W81-W82-W72-W71-W70-W69-W68-W67)/H67)</f>
        <v>0</v>
      </c>
      <c r="U44" s="1990" t="s">
        <v>1699</v>
      </c>
      <c r="V44" s="1991"/>
      <c r="W44" s="654"/>
    </row>
    <row r="45" s="1414" customFormat="true" ht="15" hidden="false" customHeight="false" outlineLevel="0" collapsed="false">
      <c r="A45" s="654"/>
      <c r="B45" s="1983"/>
      <c r="C45" s="1983"/>
      <c r="D45" s="1984"/>
      <c r="E45" s="1986"/>
      <c r="F45" s="1986"/>
      <c r="G45" s="1984"/>
      <c r="H45" s="1984"/>
      <c r="I45" s="1983"/>
      <c r="J45" s="1992"/>
      <c r="K45" s="1271"/>
      <c r="L45" s="1993"/>
      <c r="M45" s="1271"/>
      <c r="N45" s="1000" t="s">
        <v>1274</v>
      </c>
      <c r="O45" s="1001"/>
      <c r="P45" s="1002"/>
      <c r="Q45" s="1547"/>
      <c r="R45" s="1547" t="s">
        <v>1146</v>
      </c>
      <c r="S45" s="1547" t="s">
        <v>1268</v>
      </c>
      <c r="T45" s="1547" t="s">
        <v>1700</v>
      </c>
      <c r="U45" s="1547" t="s">
        <v>1701</v>
      </c>
      <c r="V45" s="1547"/>
      <c r="W45" s="1994"/>
    </row>
    <row r="46" s="1414" customFormat="true" ht="15" hidden="false" customHeight="false" outlineLevel="0" collapsed="false">
      <c r="A46" s="654"/>
      <c r="B46" s="1983"/>
      <c r="C46" s="1983"/>
      <c r="D46" s="1272"/>
      <c r="E46" s="1271"/>
      <c r="F46" s="1710"/>
      <c r="G46" s="1271"/>
      <c r="H46" s="1719"/>
      <c r="I46" s="1716"/>
      <c r="J46" s="1271"/>
      <c r="K46" s="1271"/>
      <c r="L46" s="1995"/>
      <c r="M46" s="1271"/>
      <c r="N46" s="1008" t="s">
        <v>1276</v>
      </c>
      <c r="O46" s="1009" t="n">
        <f aca="false">K56</f>
        <v>0</v>
      </c>
      <c r="P46" s="1285" t="n">
        <f aca="false">N56</f>
        <v>0</v>
      </c>
      <c r="Q46" s="654" t="s">
        <v>1702</v>
      </c>
      <c r="R46" s="656" t="n">
        <f aca="false">N67</f>
        <v>0</v>
      </c>
      <c r="S46" s="1996" t="n">
        <v>17.5</v>
      </c>
      <c r="T46" s="664" t="n">
        <f aca="false">S46*1.3</f>
        <v>22.75</v>
      </c>
      <c r="U46" s="1997" t="n">
        <f aca="false">R46/T46</f>
        <v>0</v>
      </c>
      <c r="V46" s="1998" t="e">
        <f aca="false">H67/U46</f>
        <v>#DIV/0!</v>
      </c>
      <c r="W46" s="1998"/>
    </row>
    <row r="47" s="1414" customFormat="true" ht="15" hidden="false" customHeight="false" outlineLevel="0" collapsed="false">
      <c r="A47" s="654"/>
      <c r="B47" s="1983"/>
      <c r="C47" s="1983"/>
      <c r="D47" s="1271"/>
      <c r="E47" s="1271"/>
      <c r="F47" s="1271"/>
      <c r="G47" s="1271"/>
      <c r="H47" s="1271"/>
      <c r="I47" s="1999"/>
      <c r="J47" s="2000"/>
      <c r="K47" s="1271"/>
      <c r="L47" s="1719"/>
      <c r="M47" s="1271"/>
      <c r="N47" s="1271"/>
      <c r="O47" s="1271"/>
      <c r="P47" s="654"/>
      <c r="Q47" s="859" t="s">
        <v>1703</v>
      </c>
      <c r="R47" s="656" t="n">
        <f aca="false">N68</f>
        <v>0</v>
      </c>
      <c r="S47" s="1996" t="n">
        <v>17.5</v>
      </c>
      <c r="T47" s="664" t="n">
        <f aca="false">S47*1.3</f>
        <v>22.75</v>
      </c>
      <c r="U47" s="1997" t="n">
        <f aca="false">R47/T47</f>
        <v>0</v>
      </c>
      <c r="V47" s="2001" t="e">
        <f aca="false">(K52+K55)/U47</f>
        <v>#DIV/0!</v>
      </c>
      <c r="W47" s="2001"/>
    </row>
    <row r="48" s="1414" customFormat="true" ht="15" hidden="false" customHeight="false" outlineLevel="0" collapsed="false">
      <c r="A48" s="16"/>
      <c r="B48" s="1983"/>
      <c r="C48" s="1983"/>
      <c r="D48" s="1271"/>
      <c r="E48" s="1271"/>
      <c r="F48" s="1271"/>
      <c r="G48" s="1271"/>
      <c r="H48" s="1271"/>
      <c r="I48" s="1716"/>
      <c r="J48" s="1271"/>
      <c r="K48" s="1271"/>
      <c r="L48" s="1271"/>
      <c r="M48" s="1271"/>
      <c r="N48" s="1271"/>
      <c r="O48" s="1271"/>
      <c r="Q48" s="785"/>
      <c r="R48" s="784"/>
      <c r="S48" s="784"/>
      <c r="T48" s="784"/>
      <c r="U48" s="2002"/>
      <c r="V48" s="2002"/>
      <c r="W48" s="2003"/>
      <c r="DD48" s="1414" t="n">
        <f aca="false">2.52/7.53</f>
        <v>0.334661354581673</v>
      </c>
    </row>
    <row r="49" s="1414"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726"/>
      <c r="U49" s="726"/>
      <c r="V49" s="726"/>
      <c r="W49" s="726"/>
      <c r="DB49" s="1414" t="n">
        <f aca="false">SUM(DE51:DE62)*(1+J56)</f>
        <v>38.861320265625</v>
      </c>
      <c r="DC49" s="427" t="s">
        <v>612</v>
      </c>
    </row>
    <row r="50" s="1414" customFormat="true" ht="42.1" hidden="false" customHeight="false" outlineLevel="0" collapsed="false">
      <c r="A50" s="1017" t="s">
        <v>1280</v>
      </c>
      <c r="B50" s="1296" t="s">
        <v>1281</v>
      </c>
      <c r="C50" s="1297"/>
      <c r="D50" s="1297"/>
      <c r="E50" s="1297"/>
      <c r="F50" s="1297"/>
      <c r="G50" s="1297"/>
      <c r="H50" s="1297"/>
      <c r="I50" s="1297"/>
      <c r="J50" s="1019" t="s">
        <v>1282</v>
      </c>
      <c r="K50" s="1020" t="str">
        <f aca="false">IF(ROUND(SUM(K51:K55),0)=W36,"Good","Missing Concrete!!!")</f>
        <v>Good</v>
      </c>
      <c r="L50" s="1020"/>
      <c r="M50" s="1297"/>
      <c r="N50" s="1297"/>
      <c r="O50" s="1298"/>
      <c r="P50" s="1299" t="s">
        <v>1284</v>
      </c>
      <c r="Q50" s="1022" t="s">
        <v>1283</v>
      </c>
      <c r="R50" s="1223"/>
      <c r="S50" s="879" t="s">
        <v>835</v>
      </c>
      <c r="T50" s="1023"/>
      <c r="U50" s="1024" t="s">
        <v>518</v>
      </c>
      <c r="V50" s="1023"/>
      <c r="W50" s="1025"/>
      <c r="DB50" s="1301" t="s">
        <v>1259</v>
      </c>
      <c r="DC50" s="1302" t="s">
        <v>1215</v>
      </c>
      <c r="DD50" s="1303" t="s">
        <v>1369</v>
      </c>
      <c r="DE50" s="1304" t="s">
        <v>1414</v>
      </c>
    </row>
    <row r="51" s="1414" customFormat="true" ht="18" hidden="false" customHeight="true" outlineLevel="0" collapsed="false">
      <c r="A51" s="2004" t="n">
        <v>1</v>
      </c>
      <c r="B51" s="1028" t="str">
        <f aca="false">IF(A51=1,Pricing!F$2,IF(A51=2,Pricing!G$2,IF(A51=3,Pricing!H$2,IF(A51=4,Pricing!I$2,IF(A51=5,Pricing!J$2,IF(A51=6,Pricing!K$2,IF(A51=7,Pricing!L$2,IF(A51=8,Pricing!M$2,IF(A51=9,Pricing!N$2,IF(A51=10,Pricing!O$2,0))))))))))</f>
        <v>3,000 PSI 5sk /Ash and Air</v>
      </c>
      <c r="C51" s="1726"/>
      <c r="D51" s="1726"/>
      <c r="E51" s="1726"/>
      <c r="F51" s="1048" t="n">
        <f aca="false">IF(A51=1,Pricing!F$3,IF(A51=2,Pricing!G$3,IF(A51=3,Pricing!H$3,IF(A51=4,Pricing!I$3,IF(A51=5,Pricing!J$3,IF(A51=6,Pricing!K$3,IF(A51=7,Pricing!L$3,IF(A51=8,Pricing!M$3,IF(A51=9,Pricing!N$3,IF(A51=10,Pricing!O$3))))))))))</f>
        <v>134</v>
      </c>
      <c r="G51" s="16" t="s">
        <v>1285</v>
      </c>
      <c r="H51" s="2005"/>
      <c r="I51" s="2005"/>
      <c r="J51" s="1334" t="n">
        <v>0.06</v>
      </c>
      <c r="K51" s="1051" t="n">
        <f aca="false">IF(A51=1,AR$36,IF(A51=2,AS$36,IF(A51=3,AT$36,IF(A51=4,AU$36,IF(A51=5,AV$36,IF(A51=6,AW$36,IF(A51=7,AX$36,IF(A51=8,AY$36,IF(A51=9,AZ$36,IF(A51=10,BA$36))))))))))+IF(A51=1,AH$36,IF(A51=2,AI$36,IF(A51=3,AJ$36,IF(A51=4,AK$36,IF(A51=5,AL$36,IF(A51=6,AM$36,IF(A51=7,AN$36,IF(A51=8,AO$36,IF(A51=9,AP$36,IF(A51=10,AQ$36))))))))))</f>
        <v>0</v>
      </c>
      <c r="L51" s="1051"/>
      <c r="M51" s="15" t="s">
        <v>1286</v>
      </c>
      <c r="N51" s="1318" t="n">
        <f aca="false">K51*F51*(IF(T$39="N",1+V$39,1))</f>
        <v>0</v>
      </c>
      <c r="O51" s="1318"/>
      <c r="P51" s="1306"/>
      <c r="Q51" s="920" t="s">
        <v>1415</v>
      </c>
      <c r="R51" s="78"/>
      <c r="S51" s="1307" t="n">
        <v>0.4</v>
      </c>
      <c r="T51" s="78"/>
      <c r="U51" s="1308" t="n">
        <f aca="false">BJ71</f>
        <v>0</v>
      </c>
      <c r="V51" s="78"/>
      <c r="W51" s="1309" t="n">
        <f aca="false">U51*S51</f>
        <v>0</v>
      </c>
      <c r="DB51" s="149" t="n">
        <v>20</v>
      </c>
      <c r="DC51" s="150" t="n">
        <v>4</v>
      </c>
      <c r="DD51" s="151" t="n">
        <v>1</v>
      </c>
      <c r="DE51" s="152" t="n">
        <f aca="false">DB51*(DC51*DC51*0.04180884375)*DD51</f>
        <v>13.37883</v>
      </c>
    </row>
    <row r="52" s="1414" customFormat="true" ht="18" hidden="false" customHeight="true" outlineLevel="0" collapsed="false">
      <c r="A52" s="2006" t="n">
        <v>2</v>
      </c>
      <c r="B52" s="599" t="str">
        <f aca="false">IF(A52=1,Pricing!F$2,IF(A52=2,Pricing!G$2,IF(A52=3,Pricing!H$2,IF(A52=4,Pricing!I$2,IF(A52=5,Pricing!J$2,IF(A52=6,Pricing!K$2,IF(A52=7,Pricing!L$2,IF(A52=8,Pricing!M$2,IF(A52=9,Pricing!N$2,IF(A52=10,Pricing!O$2,0))))))))))</f>
        <v>3,000 PSI / Ash no Air</v>
      </c>
      <c r="C52" s="16"/>
      <c r="D52" s="16"/>
      <c r="E52" s="16"/>
      <c r="F52" s="1048" t="n">
        <f aca="false">IF(A52=1,Pricing!F$3,IF(A52=2,Pricing!G$3,IF(A52=3,Pricing!H$3,IF(A52=4,Pricing!I$3,IF(A52=5,Pricing!J$3,IF(A52=6,Pricing!K$3,IF(A52=7,Pricing!L$3,IF(A52=8,Pricing!M$3,IF(A52=9,Pricing!N$3,IF(A52=10,Pricing!O$3))))))))))</f>
        <v>145</v>
      </c>
      <c r="G52" s="16" t="s">
        <v>1285</v>
      </c>
      <c r="H52" s="2005"/>
      <c r="I52" s="2005"/>
      <c r="J52" s="1334"/>
      <c r="K52" s="1310" t="n">
        <f aca="false">IF(A52=1,AR$36,IF(A52=2,AS$36,IF(A52=3,AT$36,IF(A52=4,AU$36,IF(A52=5,AV$36,IF(A52=6,AW$36,IF(A52=7,AX$36,IF(A52=8,AY$36,IF(A52=9,AZ$36,IF(A52=10,BA$36))))))))))+IF(A52=1,AH$36,IF(A52=2,AI$36,IF(A52=3,AJ$36,IF(A52=4,AK$36,IF(A52=5,AL$36,IF(A52=6,AM$36,IF(A52=7,AN$36,IF(A52=8,AO$36,IF(A52=9,AP$36,IF(A52=10,AQ$36))))))))))</f>
        <v>0</v>
      </c>
      <c r="L52" s="1310"/>
      <c r="M52" s="15" t="s">
        <v>1286</v>
      </c>
      <c r="N52" s="1305" t="n">
        <f aca="false">K52*F52*(IF(T$39="N",1+V$39,1))</f>
        <v>0</v>
      </c>
      <c r="O52" s="1305"/>
      <c r="P52" s="1306" t="s">
        <v>1069</v>
      </c>
      <c r="Q52" s="920" t="s">
        <v>526</v>
      </c>
      <c r="R52" s="78"/>
      <c r="S52" s="1311" t="n">
        <f aca="false">H67*3.6*S51</f>
        <v>0</v>
      </c>
      <c r="T52" s="1312" t="s">
        <v>1704</v>
      </c>
      <c r="U52" s="1308" t="n">
        <f aca="false">Pricing!Q4</f>
        <v>0.859375</v>
      </c>
      <c r="V52" s="78" t="s">
        <v>527</v>
      </c>
      <c r="W52" s="1309" t="n">
        <f aca="false">IF(T$39="Y",S52*U52,S52*U52*(1+V$39))</f>
        <v>0</v>
      </c>
      <c r="DB52" s="149" t="n">
        <v>3</v>
      </c>
      <c r="DC52" s="150" t="n">
        <v>5</v>
      </c>
      <c r="DD52" s="151" t="n">
        <v>3</v>
      </c>
      <c r="DE52" s="152" t="n">
        <f aca="false">DB52*(DC52*DC52*0.04180884375)*DD52</f>
        <v>9.40698984375</v>
      </c>
    </row>
    <row r="53" s="1414" customFormat="true" ht="18" hidden="false" customHeight="true" outlineLevel="0" collapsed="false">
      <c r="A53" s="2007" t="n">
        <v>3</v>
      </c>
      <c r="B53" s="599" t="str">
        <f aca="false">IF(A53=1,Pricing!F$2,IF(A53=2,Pricing!G$2,IF(A53=3,Pricing!H$2,IF(A53=4,Pricing!I$2,IF(A53=5,Pricing!J$2,IF(A53=6,Pricing!K$2,IF(A53=7,Pricing!L$2,IF(A53=8,Pricing!M$2,IF(A53=9,Pricing!N$2,IF(A53=10,Pricing!O$2,0))))))))))</f>
        <v>3,500 PSI 5.5sk /Ash and Air</v>
      </c>
      <c r="C53" s="16"/>
      <c r="D53" s="16"/>
      <c r="E53" s="16"/>
      <c r="F53" s="1048" t="n">
        <f aca="false">IF(A53=1,Pricing!F$3,IF(A53=2,Pricing!G$3,IF(A53=3,Pricing!H$3,IF(A53=4,Pricing!I$3,IF(A53=5,Pricing!J$3,IF(A53=6,Pricing!K$3,IF(A53=7,Pricing!L$3,IF(A53=8,Pricing!M$3,IF(A53=9,Pricing!N$3,IF(A53=10,Pricing!O$3))))))))))</f>
        <v>140</v>
      </c>
      <c r="G53" s="16" t="s">
        <v>1285</v>
      </c>
      <c r="H53" s="2005"/>
      <c r="I53" s="2005"/>
      <c r="J53" s="1334"/>
      <c r="K53" s="1310" t="n">
        <f aca="false">IF(A53=1,AR$36,IF(A53=2,AS$36,IF(A53=3,AT$36,IF(A53=4,AU$36,IF(A53=5,AV$36,IF(A53=6,AW$36,IF(A53=7,AX$36,IF(A53=8,AY$36,IF(A53=9,AZ$36,IF(A53=10,BA$36))))))))))+IF(A53=1,AH$36,IF(A53=2,AI$36,IF(A53=3,AJ$36,IF(A53=4,AK$36,IF(A53=5,AL$36,IF(A53=6,AM$36,IF(A53=7,AN$36,IF(A53=8,AO$36,IF(A53=9,AP$36,IF(A53=10,AQ$36))))))))))</f>
        <v>0</v>
      </c>
      <c r="L53" s="1310"/>
      <c r="M53" s="15" t="s">
        <v>1286</v>
      </c>
      <c r="N53" s="1305" t="n">
        <f aca="false">K53*F53*(IF(T$39="N",1+V$39,1))</f>
        <v>0</v>
      </c>
      <c r="O53" s="1305"/>
      <c r="P53" s="1306"/>
      <c r="Q53" s="920"/>
      <c r="R53" s="78"/>
      <c r="S53" s="1311"/>
      <c r="T53" s="1312"/>
      <c r="U53" s="1308"/>
      <c r="V53" s="78"/>
      <c r="W53" s="1309" t="n">
        <f aca="false">IF(T$39="Y",S53*U53,S53*U53*(1+V$39))</f>
        <v>0</v>
      </c>
      <c r="DB53" s="149"/>
      <c r="DC53" s="150"/>
      <c r="DD53" s="151"/>
      <c r="DE53" s="152"/>
    </row>
    <row r="54" s="1414" customFormat="true" ht="18" hidden="false" customHeight="true" outlineLevel="0" collapsed="false">
      <c r="A54" s="2007" t="n">
        <v>4</v>
      </c>
      <c r="B54" s="599" t="str">
        <f aca="false">IF(A54=1,Pricing!F$2,IF(A54=2,Pricing!G$2,IF(A54=3,Pricing!H$2,IF(A54=4,Pricing!I$2,IF(A54=5,Pricing!J$2,IF(A54=6,Pricing!K$2,IF(A54=7,Pricing!L$2,IF(A54=8,Pricing!M$2,IF(A54=9,Pricing!N$2,IF(A54=10,Pricing!O$2,0))))))))))</f>
        <v>3,500 PSI /Ash No Air</v>
      </c>
      <c r="C54" s="16"/>
      <c r="D54" s="16"/>
      <c r="E54" s="16"/>
      <c r="F54" s="1048" t="n">
        <f aca="false">IF(A54=1,Pricing!F$3,IF(A54=2,Pricing!G$3,IF(A54=3,Pricing!H$3,IF(A54=4,Pricing!I$3,IF(A54=5,Pricing!J$3,IF(A54=6,Pricing!K$3,IF(A54=7,Pricing!L$3,IF(A54=8,Pricing!M$3,IF(A54=9,Pricing!N$3,IF(A54=10,Pricing!O$3))))))))))</f>
        <v>140</v>
      </c>
      <c r="G54" s="16" t="s">
        <v>1285</v>
      </c>
      <c r="H54" s="2005"/>
      <c r="I54" s="2005"/>
      <c r="J54" s="1334"/>
      <c r="K54" s="1310" t="n">
        <f aca="false">IF(A54=1,AR$36,IF(A54=2,AS$36,IF(A54=3,AT$36,IF(A54=4,AU$36,IF(A54=5,AV$36,IF(A54=6,AW$36,IF(A54=7,AX$36,IF(A54=8,AY$36,IF(A54=9,AZ$36,IF(A54=10,BA$36))))))))))+IF(A54=1,AH$36,IF(A54=2,AI$36,IF(A54=3,AJ$36,IF(A54=4,AK$36,IF(A54=5,AL$36,IF(A54=6,AM$36,IF(A54=7,AN$36,IF(A54=8,AO$36,IF(A54=9,AP$36,IF(A54=10,AQ$36))))))))))</f>
        <v>0</v>
      </c>
      <c r="L54" s="1310"/>
      <c r="M54" s="15" t="s">
        <v>1286</v>
      </c>
      <c r="N54" s="1305" t="n">
        <f aca="false">K54*F54*(IF(T$39="N",1+V$39,1))</f>
        <v>0</v>
      </c>
      <c r="O54" s="1305"/>
      <c r="P54" s="1306"/>
      <c r="Q54" s="920"/>
      <c r="R54" s="78"/>
      <c r="S54" s="1311"/>
      <c r="T54" s="1312"/>
      <c r="U54" s="1308"/>
      <c r="V54" s="78"/>
      <c r="W54" s="1309" t="n">
        <f aca="false">IF(T$39="Y",S54*U54,S54*U54*(1+V$39))</f>
        <v>0</v>
      </c>
      <c r="DB54" s="149"/>
      <c r="DC54" s="150"/>
      <c r="DD54" s="151"/>
      <c r="DE54" s="152"/>
    </row>
    <row r="55" s="1414" customFormat="true" ht="18" hidden="false" customHeight="true" outlineLevel="0" collapsed="false">
      <c r="A55" s="2008" t="n">
        <v>5</v>
      </c>
      <c r="B55" s="1044" t="str">
        <f aca="false">IF(A55=1,Pricing!F$2,IF(A55=2,Pricing!G$2,IF(A55=3,Pricing!H$2,IF(A55=4,Pricing!I$2,IF(A55=5,Pricing!J$2,IF(A55=6,Pricing!K$2,IF(A55=7,Pricing!L$2,IF(A55=8,Pricing!M$2,IF(A55=9,Pricing!N$2,IF(A55=10,Pricing!O$2,0))))))))))</f>
        <v>4,000 PSI /Ash and Air</v>
      </c>
      <c r="C55" s="397"/>
      <c r="D55" s="397"/>
      <c r="E55" s="397"/>
      <c r="F55" s="1315" t="n">
        <f aca="false">IF(A55=1,Pricing!F$3,IF(A55=2,Pricing!G$3,IF(A55=3,Pricing!H$3,IF(A55=4,Pricing!I$3,IF(A55=5,Pricing!J$3,IF(A55=6,Pricing!K$3,IF(A55=7,Pricing!L$3,IF(A55=8,Pricing!M$3,IF(A55=9,Pricing!N$3,IF(A55=10,Pricing!O$3))))))))))</f>
        <v>145</v>
      </c>
      <c r="G55" s="397" t="s">
        <v>1285</v>
      </c>
      <c r="H55" s="2005"/>
      <c r="I55" s="2005"/>
      <c r="J55" s="1334"/>
      <c r="K55" s="1310" t="n">
        <f aca="false">IF(A55=1,AR$36,IF(A55=2,AS$36,IF(A55=3,AT$36,IF(A55=4,AU$36,IF(A55=5,AV$36,IF(A55=6,AW$36,IF(A55=7,AX$36,IF(A55=8,AY$36,IF(A55=9,AZ$36,IF(A55=10,BA$36))))))))))+IF(A55=1,AH$36,IF(A55=2,AI$36,IF(A55=3,AJ$36,IF(A55=4,AK$36,IF(A55=5,AL$36,IF(A55=6,AM$36,IF(A55=7,AN$36,IF(A55=8,AO$36,IF(A55=9,AP$36,IF(A55=10,AQ$36))))))))))</f>
        <v>0</v>
      </c>
      <c r="L55" s="1310"/>
      <c r="M55" s="1046" t="s">
        <v>1286</v>
      </c>
      <c r="N55" s="1332" t="n">
        <f aca="false">K55*F55*(IF(T$39="N",1+V$39,1))</f>
        <v>0</v>
      </c>
      <c r="O55" s="1332"/>
      <c r="P55" s="1306" t="s">
        <v>1069</v>
      </c>
      <c r="Q55" s="920" t="s">
        <v>534</v>
      </c>
      <c r="R55" s="78"/>
      <c r="S55" s="1311" t="n">
        <f aca="false">S52*0.2</f>
        <v>0</v>
      </c>
      <c r="T55" s="1312" t="s">
        <v>1704</v>
      </c>
      <c r="U55" s="1308" t="n">
        <f aca="false">Pricing!Q5</f>
        <v>1.4453125</v>
      </c>
      <c r="V55" s="78" t="s">
        <v>527</v>
      </c>
      <c r="W55" s="1309" t="n">
        <f aca="false">IF(T$39="Y",S55*U55,S55*U55*(1+V$39))</f>
        <v>0</v>
      </c>
      <c r="DB55" s="149" t="n">
        <v>6</v>
      </c>
      <c r="DC55" s="150" t="n">
        <v>5</v>
      </c>
      <c r="DD55" s="151" t="n">
        <v>2</v>
      </c>
      <c r="DE55" s="152" t="n">
        <f aca="false">DB55*(DC55*DC55*0.04180884375)*DD55</f>
        <v>12.542653125</v>
      </c>
    </row>
    <row r="56" s="1414" customFormat="true" ht="18" hidden="false" customHeight="true" outlineLevel="0" collapsed="false">
      <c r="A56" s="2009" t="str">
        <f aca="false">Summary!V60</f>
        <v>Import</v>
      </c>
      <c r="B56" s="1041" t="s">
        <v>1287</v>
      </c>
      <c r="C56" s="16"/>
      <c r="D56" s="16"/>
      <c r="E56" s="16"/>
      <c r="F56" s="1048" t="n">
        <f aca="false">Pricing!D23</f>
        <v>0.55</v>
      </c>
      <c r="G56" s="16" t="s">
        <v>555</v>
      </c>
      <c r="H56" s="1867"/>
      <c r="I56" s="1867"/>
      <c r="J56" s="1050" t="n">
        <v>0.1</v>
      </c>
      <c r="K56" s="1051" t="n">
        <f aca="false">U36</f>
        <v>0</v>
      </c>
      <c r="L56" s="1051"/>
      <c r="M56" s="16" t="s">
        <v>1288</v>
      </c>
      <c r="N56" s="1318" t="n">
        <f aca="false">F56*K56*(IF(T39="N",1+V39,1))</f>
        <v>0</v>
      </c>
      <c r="O56" s="1318"/>
      <c r="P56" s="1306" t="s">
        <v>1069</v>
      </c>
      <c r="Q56" s="920" t="s">
        <v>536</v>
      </c>
      <c r="R56" s="78"/>
      <c r="S56" s="1311" t="n">
        <v>0</v>
      </c>
      <c r="T56" s="1312" t="s">
        <v>1704</v>
      </c>
      <c r="U56" s="1308" t="n">
        <f aca="false">Pricing!Q6</f>
        <v>1.171875</v>
      </c>
      <c r="V56" s="78" t="s">
        <v>527</v>
      </c>
      <c r="W56" s="1309" t="n">
        <f aca="false">IF(T$39="Y",S56*U56,S56*U56*(1+V$39))</f>
        <v>0</v>
      </c>
      <c r="DB56" s="149"/>
      <c r="DC56" s="150"/>
      <c r="DD56" s="151"/>
      <c r="DE56" s="152" t="n">
        <f aca="false">DB56*(DC56*DC56*0.04180884375)*DD56</f>
        <v>0</v>
      </c>
    </row>
    <row r="57" s="1414" customFormat="true" ht="18" hidden="false" customHeight="true" outlineLevel="0" collapsed="false">
      <c r="A57" s="599"/>
      <c r="B57" s="1041"/>
      <c r="C57" s="16"/>
      <c r="D57" s="16"/>
      <c r="E57" s="16"/>
      <c r="F57" s="1319" t="n">
        <f aca="false">Pricing!F6</f>
        <v>0</v>
      </c>
      <c r="G57" s="16" t="s">
        <v>600</v>
      </c>
      <c r="H57" s="895"/>
      <c r="I57" s="895"/>
      <c r="J57" s="1321" t="n">
        <v>0.05</v>
      </c>
      <c r="K57" s="1310"/>
      <c r="L57" s="1310"/>
      <c r="M57" s="16" t="s">
        <v>1418</v>
      </c>
      <c r="N57" s="1305" t="n">
        <f aca="false">K57*F57*(IF(T39="N",1+V39,1))*(J57+1)</f>
        <v>0</v>
      </c>
      <c r="O57" s="1305"/>
      <c r="P57" s="1306" t="s">
        <v>1069</v>
      </c>
      <c r="Q57" s="920" t="s">
        <v>538</v>
      </c>
      <c r="R57" s="78"/>
      <c r="S57" s="1311" t="n">
        <f aca="false">E36*2*S51</f>
        <v>0</v>
      </c>
      <c r="T57" s="1312" t="s">
        <v>1704</v>
      </c>
      <c r="U57" s="1308" t="n">
        <f aca="false">Pricing!Q7</f>
        <v>1.09375</v>
      </c>
      <c r="V57" s="78" t="s">
        <v>527</v>
      </c>
      <c r="W57" s="1309" t="n">
        <f aca="false">IF(T$39="Y",S57*U57,S57*U57*(1+V$39))</f>
        <v>0</v>
      </c>
      <c r="DB57" s="1322"/>
      <c r="DC57" s="1323"/>
      <c r="DD57" s="1324"/>
      <c r="DE57" s="1325" t="n">
        <f aca="false">DB57*(DC57*DC57*0.04180884375)*DD57</f>
        <v>0</v>
      </c>
    </row>
    <row r="58" s="1414" customFormat="true" ht="18" hidden="false" customHeight="true" outlineLevel="0" collapsed="false">
      <c r="A58" s="599"/>
      <c r="B58" s="1044" t="s">
        <v>1419</v>
      </c>
      <c r="C58" s="397"/>
      <c r="D58" s="397"/>
      <c r="E58" s="397"/>
      <c r="F58" s="1315" t="n">
        <v>0.35</v>
      </c>
      <c r="G58" s="397" t="s">
        <v>600</v>
      </c>
      <c r="H58" s="1358" t="s">
        <v>1291</v>
      </c>
      <c r="I58" s="1054" t="n">
        <v>0</v>
      </c>
      <c r="J58" s="1054"/>
      <c r="K58" s="1316"/>
      <c r="L58" s="1316"/>
      <c r="M58" s="397" t="s">
        <v>1418</v>
      </c>
      <c r="N58" s="1326" t="n">
        <f aca="false">IF(L35="y",IF(I58=0,K58*F58,I58),0)*(IF(S$65="N",1+U$65,1))</f>
        <v>0</v>
      </c>
      <c r="O58" s="1326"/>
      <c r="P58" s="1306" t="s">
        <v>1069</v>
      </c>
      <c r="Q58" s="920" t="s">
        <v>540</v>
      </c>
      <c r="R58" s="78"/>
      <c r="S58" s="1311" t="n">
        <f aca="false">ROUNDUP(H67*2/32*S51*1.1,0)</f>
        <v>0</v>
      </c>
      <c r="T58" s="78" t="s">
        <v>1420</v>
      </c>
      <c r="U58" s="1308" t="n">
        <f aca="false">Pricing!Q8</f>
        <v>74.75</v>
      </c>
      <c r="V58" s="78" t="s">
        <v>541</v>
      </c>
      <c r="W58" s="1309" t="n">
        <f aca="false">IF(T$39="Y",S58*U58,S58*U58*(1+V$39))</f>
        <v>0</v>
      </c>
      <c r="DB58" s="149"/>
      <c r="DC58" s="150"/>
      <c r="DD58" s="151"/>
      <c r="DE58" s="152" t="n">
        <f aca="false">DB58*(DC58*DC58*0.04180884375)*DD58</f>
        <v>0</v>
      </c>
    </row>
    <row r="59" s="1414" customFormat="true" ht="18" hidden="false" customHeight="true" outlineLevel="0" collapsed="false">
      <c r="A59" s="1205"/>
      <c r="B59" s="15" t="s">
        <v>1421</v>
      </c>
      <c r="C59" s="16"/>
      <c r="D59" s="16"/>
      <c r="E59" s="16"/>
      <c r="F59" s="1328" t="n">
        <f aca="false">Pricing!D19</f>
        <v>25</v>
      </c>
      <c r="G59" s="16" t="s">
        <v>1459</v>
      </c>
      <c r="H59" s="1329"/>
      <c r="I59" s="1329"/>
      <c r="J59" s="1334" t="n">
        <v>0.05</v>
      </c>
      <c r="K59" s="1051" t="n">
        <f aca="false">SUM(BH36)</f>
        <v>0</v>
      </c>
      <c r="L59" s="1051"/>
      <c r="M59" s="16" t="s">
        <v>1286</v>
      </c>
      <c r="N59" s="1318" t="n">
        <f aca="false">K59*F59*IF(Q29="N",1+T29,1)</f>
        <v>0</v>
      </c>
      <c r="O59" s="1318"/>
      <c r="P59" s="1306" t="s">
        <v>1069</v>
      </c>
      <c r="Q59" s="920" t="s">
        <v>1298</v>
      </c>
      <c r="R59" s="78"/>
      <c r="S59" s="1311" t="n">
        <f aca="false">ROUNDUP(E36*2/25,0)*S51</f>
        <v>0</v>
      </c>
      <c r="T59" s="78" t="s">
        <v>1705</v>
      </c>
      <c r="U59" s="1308" t="n">
        <f aca="false">Pricing!Q15</f>
        <v>24</v>
      </c>
      <c r="V59" s="78" t="s">
        <v>1300</v>
      </c>
      <c r="W59" s="1309" t="n">
        <f aca="false">IF(T$39="Y",S59*U59,S59*U59*(1+V$39))</f>
        <v>0</v>
      </c>
      <c r="DB59" s="149"/>
      <c r="DC59" s="150"/>
      <c r="DD59" s="151"/>
      <c r="DE59" s="152" t="n">
        <f aca="false">DB59*(DC59*DC59*0.04180884375)*DD59</f>
        <v>0</v>
      </c>
    </row>
    <row r="60" s="1414" customFormat="true" ht="18" hidden="false" customHeight="true" outlineLevel="0" collapsed="false">
      <c r="A60" s="599"/>
      <c r="B60" s="1081" t="s">
        <v>1424</v>
      </c>
      <c r="C60" s="397"/>
      <c r="D60" s="1330"/>
      <c r="E60" s="397"/>
      <c r="F60" s="1331" t="n">
        <v>38</v>
      </c>
      <c r="G60" s="397" t="s">
        <v>1285</v>
      </c>
      <c r="H60" s="1329"/>
      <c r="I60" s="1329"/>
      <c r="J60" s="1334"/>
      <c r="K60" s="1316"/>
      <c r="L60" s="1316"/>
      <c r="M60" s="397" t="s">
        <v>1418</v>
      </c>
      <c r="N60" s="1332" t="n">
        <f aca="false">K60*F60</f>
        <v>0</v>
      </c>
      <c r="O60" s="1332"/>
      <c r="P60" s="1306" t="s">
        <v>1069</v>
      </c>
      <c r="Q60" s="920" t="s">
        <v>561</v>
      </c>
      <c r="R60" s="78"/>
      <c r="S60" s="1311" t="n">
        <f aca="false">ROUNDUP(H67/1800,0)</f>
        <v>0</v>
      </c>
      <c r="T60" s="78" t="s">
        <v>1303</v>
      </c>
      <c r="U60" s="1308" t="n">
        <f aca="false">Pricing!Q16</f>
        <v>68.2</v>
      </c>
      <c r="V60" s="78" t="s">
        <v>562</v>
      </c>
      <c r="W60" s="1309" t="n">
        <f aca="false">IF(T$39="Y",S60*U60,S60*U60*(1+V$39))</f>
        <v>0</v>
      </c>
      <c r="DB60" s="149"/>
      <c r="DC60" s="150"/>
      <c r="DD60" s="151"/>
      <c r="DE60" s="152" t="n">
        <f aca="false">DB60*(DC60*DC60*0.04180884375)*DD60</f>
        <v>0</v>
      </c>
    </row>
    <row r="61" s="1414" customFormat="true" ht="18" hidden="false" customHeight="true" outlineLevel="0" collapsed="false">
      <c r="A61" s="599"/>
      <c r="B61" s="1041"/>
      <c r="C61" s="16"/>
      <c r="D61" s="833"/>
      <c r="E61" s="16"/>
      <c r="F61" s="2010" t="n">
        <v>0.17</v>
      </c>
      <c r="G61" s="16" t="s">
        <v>1426</v>
      </c>
      <c r="H61" s="1329"/>
      <c r="I61" s="1329"/>
      <c r="J61" s="1334" t="n">
        <v>0.1</v>
      </c>
      <c r="K61" s="1051"/>
      <c r="L61" s="1051"/>
      <c r="M61" s="16" t="s">
        <v>1418</v>
      </c>
      <c r="N61" s="2011" t="n">
        <f aca="false">F61*K61</f>
        <v>0</v>
      </c>
      <c r="O61" s="2011"/>
      <c r="P61" s="1306" t="s">
        <v>1069</v>
      </c>
      <c r="Q61" s="920" t="s">
        <v>563</v>
      </c>
      <c r="R61" s="78"/>
      <c r="S61" s="1311" t="n">
        <f aca="false">ROUNDUP(H67/1000,0)</f>
        <v>0</v>
      </c>
      <c r="T61" s="78" t="s">
        <v>1303</v>
      </c>
      <c r="U61" s="1308" t="n">
        <f aca="false">Pricing!Q17</f>
        <v>68.2</v>
      </c>
      <c r="V61" s="78" t="s">
        <v>562</v>
      </c>
      <c r="W61" s="1309" t="n">
        <f aca="false">IF(T$39="Y",S61*U61,S61*U61*(1+V$39))</f>
        <v>0</v>
      </c>
      <c r="DB61" s="1335"/>
      <c r="DC61" s="150"/>
      <c r="DD61" s="151"/>
      <c r="DE61" s="152" t="n">
        <f aca="false">DB61*(DC61*DC61*0.04180884375)*DD61</f>
        <v>0</v>
      </c>
    </row>
    <row r="62" s="1414" customFormat="true" ht="18" hidden="false" customHeight="true" outlineLevel="0" collapsed="false">
      <c r="A62" s="1041" t="s">
        <v>1706</v>
      </c>
      <c r="B62" s="15"/>
      <c r="C62" s="15"/>
      <c r="D62" s="833" t="s">
        <v>1428</v>
      </c>
      <c r="E62" s="1336" t="s">
        <v>1029</v>
      </c>
      <c r="F62" s="1337" t="n">
        <v>1.25</v>
      </c>
      <c r="G62" s="16" t="s">
        <v>600</v>
      </c>
      <c r="H62" s="1329"/>
      <c r="I62" s="1329"/>
      <c r="J62" s="1334"/>
      <c r="K62" s="1310" t="n">
        <f aca="false">IF(E62="Y",E36,0)*(1+J60)</f>
        <v>0</v>
      </c>
      <c r="L62" s="1310"/>
      <c r="M62" s="16" t="s">
        <v>1259</v>
      </c>
      <c r="N62" s="1309" t="n">
        <f aca="false">K62*F62</f>
        <v>0</v>
      </c>
      <c r="O62" s="1309"/>
      <c r="P62" s="1306" t="s">
        <v>1069</v>
      </c>
      <c r="Q62" s="920" t="s">
        <v>564</v>
      </c>
      <c r="R62" s="78"/>
      <c r="S62" s="1311" t="n">
        <f aca="false">S61</f>
        <v>0</v>
      </c>
      <c r="T62" s="78" t="s">
        <v>1303</v>
      </c>
      <c r="U62" s="1308" t="n">
        <f aca="false">Pricing!Q18</f>
        <v>68.2</v>
      </c>
      <c r="V62" s="78" t="s">
        <v>562</v>
      </c>
      <c r="W62" s="1309" t="n">
        <f aca="false">IF(T$39="Y",S62*U62,S62*U62*(1+V$39))</f>
        <v>0</v>
      </c>
      <c r="DB62" s="1322"/>
      <c r="DC62" s="1323"/>
      <c r="DD62" s="1324"/>
      <c r="DE62" s="1325" t="n">
        <f aca="false">DB62*(DC62*DC62*0.04180884375)*DD62</f>
        <v>0</v>
      </c>
    </row>
    <row r="63" s="1414" customFormat="true" ht="18" hidden="false" customHeight="true" outlineLevel="0" collapsed="false">
      <c r="A63" s="1081" t="s">
        <v>1707</v>
      </c>
      <c r="B63" s="1046"/>
      <c r="C63" s="1046"/>
      <c r="D63" s="1330" t="s">
        <v>1428</v>
      </c>
      <c r="E63" s="1338" t="s">
        <v>1029</v>
      </c>
      <c r="F63" s="1339" t="n">
        <v>1.8</v>
      </c>
      <c r="G63" s="397" t="s">
        <v>1430</v>
      </c>
      <c r="H63" s="1329"/>
      <c r="I63" s="1329"/>
      <c r="J63" s="1334"/>
      <c r="K63" s="1316" t="n">
        <f aca="false">IF(E63="Y",E36*2,0)*(1+J61)</f>
        <v>0</v>
      </c>
      <c r="L63" s="1316"/>
      <c r="M63" s="397" t="s">
        <v>1259</v>
      </c>
      <c r="N63" s="1326" t="n">
        <f aca="false">K63*F63</f>
        <v>0</v>
      </c>
      <c r="O63" s="1326"/>
      <c r="P63" s="1306" t="s">
        <v>1069</v>
      </c>
      <c r="Q63" s="920" t="s">
        <v>1310</v>
      </c>
      <c r="R63" s="78"/>
      <c r="S63" s="1311" t="n">
        <f aca="false">AL23*12/48/50</f>
        <v>0</v>
      </c>
      <c r="T63" s="78" t="s">
        <v>1303</v>
      </c>
      <c r="U63" s="1308" t="n">
        <f aca="false">Pricing!Q34</f>
        <v>45.24</v>
      </c>
      <c r="V63" s="78" t="s">
        <v>562</v>
      </c>
      <c r="W63" s="1309" t="n">
        <f aca="false">IF(T$39="Y",S63*U63,S63*U63*(1+V$39))</f>
        <v>0</v>
      </c>
    </row>
    <row r="64" s="1414" customFormat="true" ht="18" hidden="false" customHeight="true" outlineLevel="0" collapsed="false">
      <c r="A64" s="602"/>
      <c r="B64" s="602" t="s">
        <v>1431</v>
      </c>
      <c r="C64" s="1058"/>
      <c r="D64" s="1058"/>
      <c r="E64" s="1058"/>
      <c r="F64" s="2012" t="n">
        <v>3.75</v>
      </c>
      <c r="G64" s="1058" t="s">
        <v>1432</v>
      </c>
      <c r="H64" s="1341" t="s">
        <v>1708</v>
      </c>
      <c r="I64" s="1341"/>
      <c r="J64" s="1060"/>
      <c r="K64" s="1342" t="n">
        <f aca="false">H67</f>
        <v>0</v>
      </c>
      <c r="L64" s="2013"/>
      <c r="M64" s="1058" t="s">
        <v>1418</v>
      </c>
      <c r="N64" s="1343" t="n">
        <f aca="false">F64*J64*K64</f>
        <v>0</v>
      </c>
      <c r="O64" s="1343"/>
      <c r="P64" s="1306" t="s">
        <v>1069</v>
      </c>
      <c r="Q64" s="920" t="s">
        <v>571</v>
      </c>
      <c r="R64" s="78"/>
      <c r="S64" s="1311" t="n">
        <f aca="false">BN51+AD122</f>
        <v>0</v>
      </c>
      <c r="T64" s="1312" t="s">
        <v>1704</v>
      </c>
      <c r="U64" s="1308" t="n">
        <f aca="false">Pricing!Q19</f>
        <v>0.95</v>
      </c>
      <c r="V64" s="78" t="s">
        <v>527</v>
      </c>
      <c r="W64" s="1309" t="n">
        <f aca="false">IF(T$39="Y",S64*U64,S64*U64*(1+V$39))</f>
        <v>0</v>
      </c>
    </row>
    <row r="65" s="1414" customFormat="true" ht="18" hidden="false" customHeight="true" outlineLevel="0" collapsed="false">
      <c r="A65" s="1344" t="s">
        <v>1434</v>
      </c>
      <c r="B65" s="1345"/>
      <c r="C65" s="1345" t="s">
        <v>1296</v>
      </c>
      <c r="D65" s="1345"/>
      <c r="E65" s="1345"/>
      <c r="F65" s="2014"/>
      <c r="G65" s="1345"/>
      <c r="H65" s="1345"/>
      <c r="I65" s="1345"/>
      <c r="J65" s="1345"/>
      <c r="K65" s="1345" t="s">
        <v>973</v>
      </c>
      <c r="L65" s="1345"/>
      <c r="M65" s="1345" t="s">
        <v>1297</v>
      </c>
      <c r="N65" s="2015"/>
      <c r="O65" s="1203"/>
      <c r="P65" s="1306" t="s">
        <v>1069</v>
      </c>
      <c r="Q65" s="920" t="s">
        <v>576</v>
      </c>
      <c r="R65" s="78"/>
      <c r="S65" s="1311" t="n">
        <f aca="false">E36*2</f>
        <v>0</v>
      </c>
      <c r="T65" s="1312" t="s">
        <v>1704</v>
      </c>
      <c r="U65" s="1308" t="n">
        <f aca="false">Pricing!Q20</f>
        <v>0.25</v>
      </c>
      <c r="V65" s="78" t="s">
        <v>527</v>
      </c>
      <c r="W65" s="1309" t="n">
        <f aca="false">IF(T$39="Y",S65*U65,S65*U65*(1+V$39))</f>
        <v>0</v>
      </c>
    </row>
    <row r="66" s="1414" customFormat="true" ht="18" hidden="false" customHeight="true" outlineLevel="0" collapsed="false">
      <c r="A66" s="1794" t="s">
        <v>1709</v>
      </c>
      <c r="B66" s="1068"/>
      <c r="C66" s="1066" t="s">
        <v>1306</v>
      </c>
      <c r="D66" s="1067" t="n">
        <v>15</v>
      </c>
      <c r="E66" s="1067"/>
      <c r="F66" s="2016" t="s">
        <v>1618</v>
      </c>
      <c r="G66" s="1068"/>
      <c r="H66" s="1350" t="n">
        <f aca="false">BG36</f>
        <v>0</v>
      </c>
      <c r="I66" s="1350"/>
      <c r="J66" s="1068" t="s">
        <v>1418</v>
      </c>
      <c r="K66" s="1770" t="n">
        <f aca="false">IF(C66="N",D66*H66,0)</f>
        <v>0</v>
      </c>
      <c r="L66" s="1770"/>
      <c r="M66" s="175"/>
      <c r="N66" s="1369" t="n">
        <f aca="false">IF(C66="y",D66*H66,0)</f>
        <v>0</v>
      </c>
      <c r="O66" s="1369"/>
      <c r="P66" s="1306" t="s">
        <v>1069</v>
      </c>
      <c r="Q66" s="920" t="s">
        <v>583</v>
      </c>
      <c r="R66" s="78"/>
      <c r="S66" s="1311" t="n">
        <f aca="false">H67/2.25/50</f>
        <v>0</v>
      </c>
      <c r="T66" s="78" t="s">
        <v>584</v>
      </c>
      <c r="U66" s="1308" t="n">
        <f aca="false">Pricing!Q21</f>
        <v>45</v>
      </c>
      <c r="V66" s="78" t="s">
        <v>562</v>
      </c>
      <c r="W66" s="1309" t="n">
        <f aca="false">IF(T$39="Y",S66*U66,S66*U66*(1+V$39))</f>
        <v>0</v>
      </c>
    </row>
    <row r="67" s="1414" customFormat="true" ht="18" hidden="false" customHeight="true" outlineLevel="0" collapsed="false">
      <c r="A67" s="507" t="s">
        <v>1437</v>
      </c>
      <c r="B67" s="405"/>
      <c r="C67" s="1352" t="s">
        <v>1306</v>
      </c>
      <c r="D67" s="1075" t="n">
        <v>4</v>
      </c>
      <c r="E67" s="1075"/>
      <c r="F67" s="78" t="s">
        <v>1618</v>
      </c>
      <c r="G67" s="1353" t="n">
        <f aca="false">SUM(D67:E69)</f>
        <v>10</v>
      </c>
      <c r="H67" s="2017" t="n">
        <f aca="false">BF36</f>
        <v>0</v>
      </c>
      <c r="I67" s="2017"/>
      <c r="J67" s="16" t="s">
        <v>1439</v>
      </c>
      <c r="K67" s="1773" t="n">
        <f aca="false">IF(C67="N",D67*H$67,0)</f>
        <v>0</v>
      </c>
      <c r="L67" s="1773"/>
      <c r="N67" s="2018" t="n">
        <f aca="false">IF(C67="y",H$67*D67,0)</f>
        <v>0</v>
      </c>
      <c r="O67" s="2018"/>
      <c r="P67" s="1306" t="s">
        <v>1069</v>
      </c>
      <c r="Q67" s="920" t="s">
        <v>1710</v>
      </c>
      <c r="R67" s="78"/>
      <c r="S67" s="1311" t="n">
        <f aca="false">E36</f>
        <v>0</v>
      </c>
      <c r="T67" s="78" t="s">
        <v>1259</v>
      </c>
      <c r="U67" s="1308" t="n">
        <v>1</v>
      </c>
      <c r="V67" s="78" t="s">
        <v>1511</v>
      </c>
      <c r="W67" s="1309" t="n">
        <f aca="false">IF(T$39="Y",S67*U67,S67*U67*(1+V$39))</f>
        <v>0</v>
      </c>
    </row>
    <row r="68" s="1414" customFormat="true" ht="18" hidden="false" customHeight="true" outlineLevel="0" collapsed="false">
      <c r="A68" s="507" t="s">
        <v>1442</v>
      </c>
      <c r="B68" s="405"/>
      <c r="C68" s="1074" t="s">
        <v>1306</v>
      </c>
      <c r="D68" s="1075" t="n">
        <v>4</v>
      </c>
      <c r="E68" s="1075"/>
      <c r="F68" s="78" t="s">
        <v>1618</v>
      </c>
      <c r="G68" s="1353"/>
      <c r="H68" s="2017"/>
      <c r="I68" s="2017"/>
      <c r="J68" s="16" t="s">
        <v>1439</v>
      </c>
      <c r="K68" s="1773" t="n">
        <f aca="false">IF(C68="N",D68*H$67,0)</f>
        <v>0</v>
      </c>
      <c r="L68" s="1773"/>
      <c r="N68" s="1309" t="n">
        <f aca="false">IF(C68="y",H$67*D68,0)</f>
        <v>0</v>
      </c>
      <c r="O68" s="1309"/>
      <c r="P68" s="1306" t="s">
        <v>1069</v>
      </c>
      <c r="Q68" s="920" t="s">
        <v>1453</v>
      </c>
      <c r="R68" s="78"/>
      <c r="S68" s="1311" t="n">
        <v>0</v>
      </c>
      <c r="T68" s="78" t="s">
        <v>1711</v>
      </c>
      <c r="U68" s="1308" t="n">
        <f aca="false">Pricing!Q43</f>
        <v>105</v>
      </c>
      <c r="V68" s="78" t="s">
        <v>630</v>
      </c>
      <c r="W68" s="1309" t="n">
        <f aca="false">U68*S68</f>
        <v>0</v>
      </c>
    </row>
    <row r="69" s="1414" customFormat="true" ht="18" hidden="false" customHeight="true" outlineLevel="0" collapsed="false">
      <c r="A69" s="507" t="s">
        <v>1443</v>
      </c>
      <c r="B69" s="405"/>
      <c r="C69" s="1074" t="s">
        <v>1306</v>
      </c>
      <c r="D69" s="1075" t="n">
        <v>2</v>
      </c>
      <c r="E69" s="1075"/>
      <c r="F69" s="78" t="s">
        <v>1618</v>
      </c>
      <c r="G69" s="1353"/>
      <c r="H69" s="2017"/>
      <c r="I69" s="2017"/>
      <c r="J69" s="16" t="s">
        <v>1439</v>
      </c>
      <c r="K69" s="1773" t="n">
        <f aca="false">IF(C69="N",D69*H$67,0)</f>
        <v>0</v>
      </c>
      <c r="L69" s="1773"/>
      <c r="N69" s="2018" t="n">
        <f aca="false">IF(C69="y",H$67*D69,0)</f>
        <v>0</v>
      </c>
      <c r="O69" s="2018"/>
      <c r="P69" s="1306" t="s">
        <v>1069</v>
      </c>
      <c r="Q69" s="920" t="s">
        <v>1712</v>
      </c>
      <c r="R69" s="78"/>
      <c r="S69" s="1311" t="n">
        <f aca="false">I72</f>
        <v>0</v>
      </c>
      <c r="T69" s="78" t="s">
        <v>836</v>
      </c>
      <c r="U69" s="1308" t="n">
        <v>8.5</v>
      </c>
      <c r="V69" s="78"/>
      <c r="W69" s="1309" t="n">
        <f aca="false">U69*S69</f>
        <v>0</v>
      </c>
    </row>
    <row r="70" s="1414" customFormat="true" ht="18" hidden="false" customHeight="true" outlineLevel="0" collapsed="false">
      <c r="A70" s="507" t="s">
        <v>1444</v>
      </c>
      <c r="B70" s="405"/>
      <c r="C70" s="1074" t="s">
        <v>1306</v>
      </c>
      <c r="D70" s="1075" t="n">
        <v>0.25</v>
      </c>
      <c r="E70" s="1075"/>
      <c r="F70" s="78" t="s">
        <v>1618</v>
      </c>
      <c r="G70" s="16"/>
      <c r="H70" s="2017"/>
      <c r="I70" s="2017"/>
      <c r="J70" s="16" t="s">
        <v>1439</v>
      </c>
      <c r="K70" s="1773" t="n">
        <f aca="false">IF(C70="N",D70*H$67,0)</f>
        <v>0</v>
      </c>
      <c r="L70" s="1773"/>
      <c r="N70" s="1309" t="n">
        <f aca="false">IF(C70="y",H$67*D70,0)</f>
        <v>0</v>
      </c>
      <c r="O70" s="1309"/>
      <c r="P70" s="1306" t="s">
        <v>1713</v>
      </c>
      <c r="Q70" s="920" t="s">
        <v>1714</v>
      </c>
      <c r="R70" s="78"/>
      <c r="S70" s="1311"/>
      <c r="T70" s="78" t="s">
        <v>1454</v>
      </c>
      <c r="U70" s="1308" t="n">
        <v>500</v>
      </c>
      <c r="V70" s="78"/>
      <c r="W70" s="1309" t="n">
        <f aca="false">U70*S70</f>
        <v>0</v>
      </c>
    </row>
    <row r="71" s="1414" customFormat="true" ht="18" hidden="false" customHeight="true" outlineLevel="0" collapsed="false">
      <c r="A71" s="507" t="s">
        <v>1307</v>
      </c>
      <c r="B71" s="405"/>
      <c r="C71" s="1074" t="s">
        <v>1306</v>
      </c>
      <c r="D71" s="2019" t="n">
        <v>450</v>
      </c>
      <c r="E71" s="2019"/>
      <c r="F71" s="78" t="s">
        <v>1308</v>
      </c>
      <c r="G71" s="16"/>
      <c r="H71" s="1042"/>
      <c r="I71" s="1042" t="n">
        <f aca="false">(K56/2000)</f>
        <v>0</v>
      </c>
      <c r="J71" s="16" t="s">
        <v>1309</v>
      </c>
      <c r="K71" s="1773" t="n">
        <f aca="false">IF(C71="N",D71*I71,0)</f>
        <v>0</v>
      </c>
      <c r="L71" s="1773"/>
      <c r="N71" s="1309" t="n">
        <f aca="false">IF(C71="y",I71*D71,0)</f>
        <v>0</v>
      </c>
      <c r="O71" s="1309"/>
      <c r="P71" s="1306" t="s">
        <v>1069</v>
      </c>
      <c r="Q71" s="920"/>
      <c r="R71" s="78"/>
      <c r="S71" s="1311"/>
      <c r="T71" s="78" t="s">
        <v>1018</v>
      </c>
      <c r="U71" s="1308"/>
      <c r="V71" s="78"/>
      <c r="W71" s="1309" t="n">
        <f aca="false">U71*S71</f>
        <v>0</v>
      </c>
    </row>
    <row r="72" s="1414" customFormat="true" ht="18" hidden="false" customHeight="true" outlineLevel="0" collapsed="false">
      <c r="A72" s="507" t="s">
        <v>1715</v>
      </c>
      <c r="B72" s="405"/>
      <c r="C72" s="1074" t="s">
        <v>1306</v>
      </c>
      <c r="D72" s="1075" t="n">
        <v>10</v>
      </c>
      <c r="E72" s="1075"/>
      <c r="F72" s="78" t="s">
        <v>1338</v>
      </c>
      <c r="G72" s="16"/>
      <c r="H72" s="1042"/>
      <c r="I72" s="1042" t="n">
        <f aca="false">DI37</f>
        <v>0</v>
      </c>
      <c r="J72" s="16" t="s">
        <v>1259</v>
      </c>
      <c r="K72" s="1773" t="n">
        <f aca="false">IF(C72="N",D72*I72,0)</f>
        <v>0</v>
      </c>
      <c r="L72" s="1773"/>
      <c r="N72" s="1309" t="n">
        <f aca="false">IF(C72="y",I72*D72,0)</f>
        <v>0</v>
      </c>
      <c r="O72" s="1309"/>
      <c r="P72" s="1306" t="s">
        <v>1069</v>
      </c>
      <c r="Q72" s="920"/>
      <c r="R72" s="78"/>
      <c r="S72" s="1311"/>
      <c r="T72" s="78" t="s">
        <v>1018</v>
      </c>
      <c r="U72" s="1308"/>
      <c r="V72" s="78"/>
      <c r="W72" s="1309" t="n">
        <f aca="false">U72*S72</f>
        <v>0</v>
      </c>
    </row>
    <row r="73" s="1414" customFormat="true" ht="18" hidden="false" customHeight="true" outlineLevel="0" collapsed="false">
      <c r="A73" s="507" t="s">
        <v>1716</v>
      </c>
      <c r="B73" s="405"/>
      <c r="C73" s="1074" t="s">
        <v>1306</v>
      </c>
      <c r="D73" s="1075" t="n">
        <v>6</v>
      </c>
      <c r="E73" s="1075"/>
      <c r="F73" s="78" t="s">
        <v>1285</v>
      </c>
      <c r="G73" s="16"/>
      <c r="H73" s="1042"/>
      <c r="I73" s="1042" t="n">
        <f aca="false">SUM(DD10:DD35)</f>
        <v>0</v>
      </c>
      <c r="J73" s="16" t="s">
        <v>998</v>
      </c>
      <c r="K73" s="1773" t="n">
        <f aca="false">IF(C73="N",D73*I73,0)</f>
        <v>0</v>
      </c>
      <c r="L73" s="1773"/>
      <c r="N73" s="1309" t="n">
        <f aca="false">IF(C73="y",I73*D73,0)</f>
        <v>0</v>
      </c>
      <c r="O73" s="1309"/>
      <c r="P73" s="1306" t="s">
        <v>1069</v>
      </c>
      <c r="Q73" s="920"/>
      <c r="R73" s="78"/>
      <c r="S73" s="1311"/>
      <c r="T73" s="78"/>
      <c r="U73" s="1308"/>
      <c r="V73" s="78"/>
      <c r="W73" s="1309" t="n">
        <f aca="false">U73*S73</f>
        <v>0</v>
      </c>
    </row>
    <row r="74" s="1414" customFormat="true" ht="18" hidden="false" customHeight="true" outlineLevel="0" collapsed="false">
      <c r="A74" s="507" t="s">
        <v>1660</v>
      </c>
      <c r="B74" s="405"/>
      <c r="C74" s="1074" t="s">
        <v>1306</v>
      </c>
      <c r="D74" s="1075" t="n">
        <v>8</v>
      </c>
      <c r="E74" s="1075"/>
      <c r="F74" s="78" t="s">
        <v>1285</v>
      </c>
      <c r="G74" s="16"/>
      <c r="H74" s="1042"/>
      <c r="I74" s="1042" t="n">
        <f aca="false">SUM(DF10:DF35)</f>
        <v>0</v>
      </c>
      <c r="J74" s="16" t="s">
        <v>998</v>
      </c>
      <c r="K74" s="1773" t="n">
        <f aca="false">IF(C74="N",D74*I74,0)</f>
        <v>0</v>
      </c>
      <c r="L74" s="1773"/>
      <c r="N74" s="1309" t="n">
        <f aca="false">IF(C74="y",I74*D74,0)</f>
        <v>0</v>
      </c>
      <c r="O74" s="1309"/>
      <c r="P74" s="1306" t="s">
        <v>1069</v>
      </c>
      <c r="Q74" s="920"/>
      <c r="R74" s="78"/>
      <c r="S74" s="1311"/>
      <c r="T74" s="78"/>
      <c r="U74" s="1308"/>
      <c r="V74" s="78"/>
      <c r="W74" s="1309" t="n">
        <f aca="false">U74*S74</f>
        <v>0</v>
      </c>
    </row>
    <row r="75" s="1414" customFormat="true" ht="18" hidden="false" customHeight="true" outlineLevel="0" collapsed="false">
      <c r="A75" s="1747" t="s">
        <v>1313</v>
      </c>
      <c r="B75" s="1082"/>
      <c r="C75" s="1083" t="s">
        <v>1306</v>
      </c>
      <c r="D75" s="1084" t="n">
        <v>0</v>
      </c>
      <c r="E75" s="1084"/>
      <c r="F75" s="1358"/>
      <c r="G75" s="397"/>
      <c r="H75" s="1055"/>
      <c r="I75" s="1055"/>
      <c r="J75" s="397"/>
      <c r="K75" s="1789" t="n">
        <f aca="false">IF(C75="N",D75*I75,0)</f>
        <v>0</v>
      </c>
      <c r="L75" s="1789"/>
      <c r="M75" s="397"/>
      <c r="N75" s="1326" t="n">
        <f aca="false">IF(C75="y",D75,0)</f>
        <v>0</v>
      </c>
      <c r="O75" s="1326"/>
      <c r="P75" s="1306" t="s">
        <v>1069</v>
      </c>
      <c r="Q75" s="920"/>
      <c r="R75" s="78"/>
      <c r="S75" s="1311"/>
      <c r="T75" s="78"/>
      <c r="U75" s="1308"/>
      <c r="V75" s="78"/>
      <c r="W75" s="1309" t="n">
        <f aca="false">U75*S75</f>
        <v>0</v>
      </c>
    </row>
    <row r="76" s="1414" customFormat="true" ht="18" hidden="false" customHeight="true" outlineLevel="0" collapsed="false">
      <c r="A76" s="1087" t="s">
        <v>1447</v>
      </c>
      <c r="B76" s="1088"/>
      <c r="C76" s="1089"/>
      <c r="D76" s="1090" t="n">
        <f aca="false">IF(H67=0,0,(N76-N75+K76)/H67)</f>
        <v>0</v>
      </c>
      <c r="E76" s="2020"/>
      <c r="F76" s="855"/>
      <c r="G76" s="1058"/>
      <c r="H76" s="1088" t="s">
        <v>980</v>
      </c>
      <c r="I76" s="1088"/>
      <c r="J76" s="1088"/>
      <c r="K76" s="1791" t="n">
        <f aca="false">SUM(K66:L75)</f>
        <v>0</v>
      </c>
      <c r="L76" s="1791"/>
      <c r="M76" s="246"/>
      <c r="N76" s="736" t="n">
        <f aca="false">SUM(N66:O75)</f>
        <v>0</v>
      </c>
      <c r="O76" s="736"/>
      <c r="P76" s="1306" t="s">
        <v>1069</v>
      </c>
      <c r="Q76" s="1357"/>
      <c r="R76" s="1358"/>
      <c r="S76" s="1359"/>
      <c r="T76" s="2021"/>
      <c r="U76" s="1360"/>
      <c r="V76" s="1358"/>
      <c r="W76" s="1326" t="n">
        <f aca="false">U76*S76</f>
        <v>0</v>
      </c>
    </row>
    <row r="77" s="1414" customFormat="true" ht="18" hidden="false" customHeight="true" outlineLevel="0" collapsed="false">
      <c r="A77" s="2022" t="s">
        <v>1449</v>
      </c>
      <c r="B77" s="2022"/>
      <c r="C77" s="2022"/>
      <c r="D77" s="2022"/>
      <c r="E77" s="2022"/>
      <c r="F77" s="2022"/>
      <c r="G77" s="2022"/>
      <c r="H77" s="2022"/>
      <c r="I77" s="2022"/>
      <c r="J77" s="2022"/>
      <c r="K77" s="2022"/>
      <c r="L77" s="2022"/>
      <c r="M77" s="2022"/>
      <c r="N77" s="2022"/>
      <c r="O77" s="2022"/>
      <c r="P77" s="1306" t="s">
        <v>1448</v>
      </c>
      <c r="Q77" s="920" t="s">
        <v>601</v>
      </c>
      <c r="R77" s="78"/>
      <c r="S77" s="1311" t="n">
        <f aca="false">ROUNDUP(K64*0.55*S51,0)</f>
        <v>0</v>
      </c>
      <c r="T77" s="78" t="s">
        <v>1312</v>
      </c>
      <c r="U77" s="1308" t="n">
        <f aca="false">Pricing!Q26</f>
        <v>0.45</v>
      </c>
      <c r="V77" s="78" t="s">
        <v>595</v>
      </c>
      <c r="W77" s="1309" t="n">
        <f aca="false">S77*U77</f>
        <v>0</v>
      </c>
    </row>
    <row r="78" s="1414" customFormat="true" ht="18" hidden="false" customHeight="true" outlineLevel="0" collapsed="false">
      <c r="A78" s="1794" t="s">
        <v>1316</v>
      </c>
      <c r="B78" s="2016"/>
      <c r="C78" s="1097"/>
      <c r="D78" s="1098" t="n">
        <v>0</v>
      </c>
      <c r="E78" s="2016" t="s">
        <v>1317</v>
      </c>
      <c r="F78" s="2023" t="n">
        <v>425</v>
      </c>
      <c r="G78" s="2024" t="s">
        <v>1450</v>
      </c>
      <c r="H78" s="1068"/>
      <c r="I78" s="1068"/>
      <c r="J78" s="1068"/>
      <c r="K78" s="1068"/>
      <c r="L78" s="1101" t="n">
        <f aca="false">IF(D40=0,0,(SUM(N78:O81))/D40)</f>
        <v>0</v>
      </c>
      <c r="M78" s="1101"/>
      <c r="N78" s="2025" t="n">
        <f aca="false">D78*F78</f>
        <v>0</v>
      </c>
      <c r="O78" s="2025"/>
      <c r="P78" s="1306" t="n">
        <v>39</v>
      </c>
      <c r="Q78" s="920" t="s">
        <v>604</v>
      </c>
      <c r="R78" s="78"/>
      <c r="S78" s="1311" t="n">
        <f aca="false">E36/4</f>
        <v>0</v>
      </c>
      <c r="T78" s="78" t="s">
        <v>1312</v>
      </c>
      <c r="U78" s="1308" t="n">
        <f aca="false">Pricing!Q27</f>
        <v>0.75</v>
      </c>
      <c r="V78" s="78" t="s">
        <v>1312</v>
      </c>
      <c r="W78" s="1309" t="n">
        <f aca="false">S78*U78</f>
        <v>0</v>
      </c>
    </row>
    <row r="79" s="1414" customFormat="true" ht="18" hidden="false" customHeight="true" outlineLevel="0" collapsed="false">
      <c r="A79" s="507" t="s">
        <v>1318</v>
      </c>
      <c r="B79" s="78"/>
      <c r="C79" s="78"/>
      <c r="D79" s="1103" t="n">
        <f aca="false">D78</f>
        <v>0</v>
      </c>
      <c r="E79" s="2026" t="s">
        <v>1317</v>
      </c>
      <c r="F79" s="2027" t="n">
        <v>250</v>
      </c>
      <c r="G79" s="2028" t="s">
        <v>1450</v>
      </c>
      <c r="H79" s="16"/>
      <c r="I79" s="16"/>
      <c r="J79" s="16"/>
      <c r="K79" s="16"/>
      <c r="L79" s="2029" t="n">
        <f aca="false">SUM(N78:O80)</f>
        <v>0</v>
      </c>
      <c r="M79" s="2029"/>
      <c r="N79" s="2030" t="n">
        <f aca="false">D79*F79</f>
        <v>0</v>
      </c>
      <c r="O79" s="2030"/>
      <c r="P79" s="1306" t="s">
        <v>1451</v>
      </c>
      <c r="Q79" s="920" t="s">
        <v>1657</v>
      </c>
      <c r="R79" s="78"/>
      <c r="S79" s="1311" t="n">
        <f aca="false">H67/350</f>
        <v>0</v>
      </c>
      <c r="T79" s="78" t="s">
        <v>1452</v>
      </c>
      <c r="U79" s="1308" t="n">
        <f aca="false">Pricing!Q28</f>
        <v>45</v>
      </c>
      <c r="V79" s="78" t="s">
        <v>607</v>
      </c>
      <c r="W79" s="1309" t="n">
        <f aca="false">S79*U79</f>
        <v>0</v>
      </c>
    </row>
    <row r="80" s="1414" customFormat="true" ht="18" hidden="false" customHeight="true" outlineLevel="0" collapsed="false">
      <c r="A80" s="78" t="s">
        <v>1320</v>
      </c>
      <c r="B80" s="78"/>
      <c r="C80" s="78"/>
      <c r="D80" s="2031" t="n">
        <f aca="false">IF(D77=0,D78,D77)</f>
        <v>0</v>
      </c>
      <c r="E80" s="78"/>
      <c r="F80" s="2032" t="n">
        <v>100</v>
      </c>
      <c r="G80" s="78"/>
      <c r="H80" s="16"/>
      <c r="I80" s="16"/>
      <c r="J80" s="16"/>
      <c r="K80" s="16"/>
      <c r="L80" s="2033"/>
      <c r="M80" s="2033"/>
      <c r="N80" s="2030" t="n">
        <f aca="false">D80*F80</f>
        <v>0</v>
      </c>
      <c r="O80" s="2030"/>
      <c r="P80" s="1306"/>
      <c r="Q80" s="920"/>
      <c r="R80" s="78"/>
      <c r="S80" s="1311"/>
      <c r="T80" s="78"/>
      <c r="U80" s="1308"/>
      <c r="V80" s="78"/>
      <c r="W80" s="1309" t="n">
        <f aca="false">S80*U80</f>
        <v>0</v>
      </c>
    </row>
    <row r="81" s="1414" customFormat="true" ht="18" hidden="false" customHeight="true" outlineLevel="0" collapsed="false">
      <c r="A81" s="1798" t="s">
        <v>1321</v>
      </c>
      <c r="B81" s="1826"/>
      <c r="C81" s="1826"/>
      <c r="D81" s="1110" t="n">
        <f aca="false">D78</f>
        <v>0</v>
      </c>
      <c r="E81" s="1826" t="s">
        <v>1317</v>
      </c>
      <c r="F81" s="2034" t="n">
        <v>200</v>
      </c>
      <c r="G81" s="1826" t="s">
        <v>1450</v>
      </c>
      <c r="H81" s="1058"/>
      <c r="I81" s="1058"/>
      <c r="J81" s="1058"/>
      <c r="K81" s="1058"/>
      <c r="L81" s="1372" t="n">
        <f aca="false">IF(D40=0,0,N81/D40)</f>
        <v>0</v>
      </c>
      <c r="M81" s="1372"/>
      <c r="N81" s="730" t="n">
        <f aca="false">D81*F81</f>
        <v>0</v>
      </c>
      <c r="O81" s="730"/>
      <c r="P81" s="1306" t="s">
        <v>1069</v>
      </c>
      <c r="Q81" s="920" t="s">
        <v>1717</v>
      </c>
      <c r="R81" s="78"/>
      <c r="S81" s="1311" t="n">
        <f aca="false">H67/30</f>
        <v>0</v>
      </c>
      <c r="T81" s="78" t="s">
        <v>1312</v>
      </c>
      <c r="U81" s="1308" t="n">
        <v>15</v>
      </c>
      <c r="V81" s="78" t="s">
        <v>595</v>
      </c>
      <c r="W81" s="1309" t="n">
        <f aca="false">S81*U81</f>
        <v>0</v>
      </c>
    </row>
    <row r="82" s="1414" customFormat="true" ht="18" hidden="false" customHeight="true" outlineLevel="0" collapsed="false">
      <c r="A82" s="2022" t="s">
        <v>1325</v>
      </c>
      <c r="B82" s="2022"/>
      <c r="C82" s="2022"/>
      <c r="D82" s="2022"/>
      <c r="E82" s="2022"/>
      <c r="F82" s="2022"/>
      <c r="G82" s="2022"/>
      <c r="H82" s="2022"/>
      <c r="I82" s="2022"/>
      <c r="J82" s="2022"/>
      <c r="K82" s="2022"/>
      <c r="L82" s="2022"/>
      <c r="M82" s="2022"/>
      <c r="N82" s="2022"/>
      <c r="O82" s="2022"/>
      <c r="P82" s="1306" t="s">
        <v>1069</v>
      </c>
      <c r="Q82" s="1044" t="s">
        <v>1643</v>
      </c>
      <c r="R82" s="397"/>
      <c r="S82" s="2035" t="n">
        <f aca="false">SUM(K51:L55)/300</f>
        <v>0</v>
      </c>
      <c r="T82" s="397" t="s">
        <v>1718</v>
      </c>
      <c r="U82" s="1364" t="n">
        <v>250</v>
      </c>
      <c r="V82" s="397" t="s">
        <v>1719</v>
      </c>
      <c r="W82" s="1326" t="n">
        <f aca="false">S82*U82</f>
        <v>0</v>
      </c>
    </row>
    <row r="83" s="1414" customFormat="true" ht="18" hidden="false" customHeight="true" outlineLevel="0" collapsed="false">
      <c r="A83" s="1794" t="s">
        <v>1326</v>
      </c>
      <c r="B83" s="1799"/>
      <c r="C83" s="1800"/>
      <c r="D83" s="1098" t="n">
        <f aca="false">D84</f>
        <v>0</v>
      </c>
      <c r="E83" s="2016" t="s">
        <v>1327</v>
      </c>
      <c r="F83" s="2023" t="n">
        <f aca="false">Pricing!D32</f>
        <v>425</v>
      </c>
      <c r="G83" s="2016" t="s">
        <v>1450</v>
      </c>
      <c r="H83" s="1068"/>
      <c r="I83" s="1068"/>
      <c r="J83" s="1068"/>
      <c r="K83" s="1068"/>
      <c r="L83" s="1068"/>
      <c r="M83" s="1068"/>
      <c r="N83" s="1369" t="n">
        <f aca="false">(IF(AND(D83&gt;0,D83&lt;4),D83*F83,0)+IF(AND(D83&gt;3,D83&lt;8),F83*3,0)+IF(AND(D83&gt;7,D83&lt;21),D83/7*F83*3,0)+IF(AND(D83&gt;20,D83&lt;30),F83*9,0)+IF(D83&gt;29,D83/30*F83*9,0))*(1+V$39+I$85)</f>
        <v>0</v>
      </c>
      <c r="O83" s="1369"/>
      <c r="P83" s="1306" t="s">
        <v>1073</v>
      </c>
      <c r="Q83" s="920" t="s">
        <v>618</v>
      </c>
      <c r="R83" s="78"/>
      <c r="S83" s="1311"/>
      <c r="T83" s="78" t="s">
        <v>1452</v>
      </c>
      <c r="U83" s="1308" t="n">
        <f aca="false">Pricing!Q31</f>
        <v>27</v>
      </c>
      <c r="V83" s="78" t="s">
        <v>607</v>
      </c>
      <c r="W83" s="1309" t="n">
        <f aca="false">S83*U83</f>
        <v>0</v>
      </c>
    </row>
    <row r="84" s="1414" customFormat="true" ht="18" hidden="false" customHeight="true" outlineLevel="0" collapsed="false">
      <c r="A84" s="507" t="s">
        <v>622</v>
      </c>
      <c r="B84" s="1312"/>
      <c r="C84" s="1801"/>
      <c r="D84"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1327</v>
      </c>
      <c r="F84" s="2023" t="n">
        <f aca="false">Pricing!D33</f>
        <v>475</v>
      </c>
      <c r="G84" s="78" t="s">
        <v>1450</v>
      </c>
      <c r="H84" s="16"/>
      <c r="I84" s="1118" t="s">
        <v>1329</v>
      </c>
      <c r="J84" s="1118"/>
      <c r="K84" s="16"/>
      <c r="L84" s="1119" t="n">
        <f aca="false">IF(D40=0,0,(SUM(N83:O88))/D40)</f>
        <v>0</v>
      </c>
      <c r="M84" s="1119"/>
      <c r="N84" s="2030" t="n">
        <f aca="false">(IF(AND(D84&gt;0,D84&lt;4),D84*F84,0)+IF(AND(D84&gt;3,D84&lt;8),F84*3,0)+IF(AND(D84&gt;7,D84&lt;21),D84/7*F84*3,0)+IF(AND(D84&gt;20,D84&lt;30),F84*9,0)+IF(D84&gt;29,D84/30*F84*9,0))*(1+V$39+I$85)</f>
        <v>0</v>
      </c>
      <c r="O84" s="2030"/>
      <c r="P84" s="1306" t="s">
        <v>1073</v>
      </c>
      <c r="Q84" s="920" t="s">
        <v>1457</v>
      </c>
      <c r="R84" s="78"/>
      <c r="S84" s="1311" t="n">
        <v>0</v>
      </c>
      <c r="T84" s="78" t="s">
        <v>1511</v>
      </c>
      <c r="U84" s="1308" t="n">
        <f aca="false">Pricing!Q32</f>
        <v>1.25</v>
      </c>
      <c r="V84" s="78" t="s">
        <v>1417</v>
      </c>
      <c r="W84" s="1309" t="n">
        <f aca="false">U84*S84</f>
        <v>0</v>
      </c>
    </row>
    <row r="85" s="1414" customFormat="true" ht="18" hidden="false" customHeight="true" outlineLevel="0" collapsed="false">
      <c r="A85" s="507" t="s">
        <v>626</v>
      </c>
      <c r="B85" s="1312"/>
      <c r="C85" s="1801"/>
      <c r="D85"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1327</v>
      </c>
      <c r="F85" s="2027" t="n">
        <v>275</v>
      </c>
      <c r="G85" s="78" t="s">
        <v>1450</v>
      </c>
      <c r="H85" s="16"/>
      <c r="I85" s="2036" t="n">
        <v>0.5</v>
      </c>
      <c r="J85" s="2036"/>
      <c r="K85" s="16"/>
      <c r="L85" s="2029" t="n">
        <f aca="false">SUM(N83:O88)</f>
        <v>0</v>
      </c>
      <c r="M85" s="2029"/>
      <c r="N85" s="2030" t="n">
        <f aca="false">(IF(AND(D85&gt;0,D85&lt;4),D85*F85,0)+IF(AND(D85&gt;3,D85&lt;8),F85*3,0)+IF(AND(D85&gt;7,D85&lt;21),D85/7*F85*3,0)+IF(AND(D85&gt;20,D85&lt;30),F85*9,0)+IF(D85&gt;29,D85/30*F85*9,0))*(1+V$39+I$85)</f>
        <v>0</v>
      </c>
      <c r="O85" s="2030"/>
      <c r="P85" s="1306" t="s">
        <v>1073</v>
      </c>
      <c r="Q85" s="1357" t="s">
        <v>554</v>
      </c>
      <c r="R85" s="1358"/>
      <c r="S85" s="1359" t="n">
        <f aca="false">K56</f>
        <v>0</v>
      </c>
      <c r="T85" s="1358" t="s">
        <v>1288</v>
      </c>
      <c r="U85" s="1360" t="n">
        <v>0.04</v>
      </c>
      <c r="V85" s="1358" t="s">
        <v>555</v>
      </c>
      <c r="W85" s="1326" t="n">
        <f aca="false">U85*S85</f>
        <v>0</v>
      </c>
    </row>
    <row r="86" s="1414" customFormat="true" ht="18" hidden="false" customHeight="true" outlineLevel="0" collapsed="false">
      <c r="A86" s="507" t="s">
        <v>1332</v>
      </c>
      <c r="B86" s="1312"/>
      <c r="C86" s="1801"/>
      <c r="D86"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1327</v>
      </c>
      <c r="F86" s="2027" t="n">
        <f aca="false">Pricing!D39</f>
        <v>100</v>
      </c>
      <c r="G86" s="78" t="s">
        <v>1450</v>
      </c>
      <c r="H86" s="16"/>
      <c r="I86" s="2036"/>
      <c r="J86" s="2036"/>
      <c r="K86" s="16"/>
      <c r="L86" s="16"/>
      <c r="M86" s="16"/>
      <c r="N86" s="1309" t="n">
        <f aca="false">(IF(AND(D86&gt;0,D86&lt;4),D86*F86,0)+IF(AND(D86&gt;3,D86&lt;8),F86*3,0)+IF(AND(D86&gt;7,D86&lt;21),D86/7*F86*3,0)+IF(AND(D86&gt;20,D86&lt;30),F86*9,0)+IF(D86&gt;29,D86/30*F86*9,0))*(1+V$39+I$85)</f>
        <v>0</v>
      </c>
      <c r="O86" s="1309"/>
      <c r="P86" s="1306" t="s">
        <v>1078</v>
      </c>
      <c r="Q86" s="920" t="s">
        <v>1105</v>
      </c>
      <c r="R86" s="78"/>
      <c r="S86" s="1311"/>
      <c r="T86" s="78"/>
      <c r="U86" s="1308"/>
      <c r="V86" s="78"/>
      <c r="W86" s="1309" t="n">
        <v>0</v>
      </c>
    </row>
    <row r="87" s="1414" customFormat="true" ht="18" hidden="false" customHeight="true" outlineLevel="0" collapsed="false">
      <c r="A87" s="507" t="s">
        <v>1333</v>
      </c>
      <c r="B87" s="1312"/>
      <c r="C87" s="1801"/>
      <c r="D87"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1327</v>
      </c>
      <c r="F87" s="2027" t="n">
        <v>50</v>
      </c>
      <c r="G87" s="78" t="s">
        <v>1450</v>
      </c>
      <c r="H87" s="16"/>
      <c r="I87" s="16"/>
      <c r="J87" s="16"/>
      <c r="K87" s="16"/>
      <c r="L87" s="16"/>
      <c r="M87" s="16"/>
      <c r="N87" s="1309" t="n">
        <f aca="false">(IF(AND(D87&gt;0,D87&lt;4),D87*F87,0)+IF(AND(D87&gt;3,D87&lt;8),F87*3,0)+IF(AND(D87&gt;7,D87&lt;21),D87/7*F87*3,0)+IF(AND(D87&gt;20,D87&lt;30),F87*9,0)+IF(D87&gt;29,D87/30*F87*9,0))*(1+V$39+I$85)</f>
        <v>0</v>
      </c>
      <c r="O87" s="1309"/>
      <c r="P87" s="1306" t="s">
        <v>1328</v>
      </c>
      <c r="Q87" s="920" t="s">
        <v>1105</v>
      </c>
      <c r="R87" s="78"/>
      <c r="S87" s="1311"/>
      <c r="T87" s="78"/>
      <c r="U87" s="1308"/>
      <c r="V87" s="78"/>
      <c r="W87" s="1309" t="n">
        <v>0</v>
      </c>
    </row>
    <row r="88" s="1414" customFormat="true" ht="18" hidden="false" customHeight="true" outlineLevel="0" collapsed="false">
      <c r="A88" s="1798" t="s">
        <v>1067</v>
      </c>
      <c r="B88" s="1804"/>
      <c r="C88" s="1805"/>
      <c r="D88" s="2037"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826" t="s">
        <v>1327</v>
      </c>
      <c r="F88" s="2034" t="n">
        <v>35</v>
      </c>
      <c r="G88" s="1826" t="s">
        <v>1450</v>
      </c>
      <c r="H88" s="1058"/>
      <c r="I88" s="1058"/>
      <c r="J88" s="1058"/>
      <c r="K88" s="1058"/>
      <c r="L88" s="1127"/>
      <c r="M88" s="1058"/>
      <c r="N88" s="730" t="n">
        <f aca="false">(IF(AND(D88&gt;0,D88&lt;4),D88*F88,0)+IF(AND(D88&gt;3,D88&lt;8),F88*3,0)+IF(AND(D88&gt;7,D88&lt;21),D88/7*F88*3,0)+IF(AND(D88&gt;20,D88&lt;30),F88*9,0)+IF(D88&gt;29,D88/30*F88*9,0))</f>
        <v>0</v>
      </c>
      <c r="O88" s="730"/>
      <c r="P88" s="1306" t="s">
        <v>1330</v>
      </c>
      <c r="Q88" s="1357" t="s">
        <v>1108</v>
      </c>
      <c r="R88" s="1358"/>
      <c r="S88" s="1359"/>
      <c r="T88" s="1358"/>
      <c r="U88" s="1360"/>
      <c r="V88" s="1358"/>
      <c r="W88" s="1326" t="n">
        <v>0</v>
      </c>
    </row>
    <row r="89" s="1414" customFormat="true" ht="18" hidden="false" customHeight="true" outlineLevel="0" collapsed="false">
      <c r="A89" s="2022" t="s">
        <v>1336</v>
      </c>
      <c r="B89" s="2022"/>
      <c r="C89" s="2022"/>
      <c r="D89" s="2022"/>
      <c r="E89" s="2022"/>
      <c r="F89" s="2022"/>
      <c r="G89" s="2022"/>
      <c r="H89" s="2022"/>
      <c r="I89" s="2022"/>
      <c r="J89" s="2022"/>
      <c r="K89" s="2022"/>
      <c r="L89" s="2022"/>
      <c r="M89" s="2022"/>
      <c r="N89" s="2022"/>
      <c r="O89" s="2022"/>
      <c r="P89" s="1306" t="s">
        <v>1342</v>
      </c>
      <c r="Q89" s="599"/>
      <c r="R89" s="16"/>
      <c r="S89" s="1037"/>
      <c r="T89" s="16"/>
      <c r="U89" s="922"/>
      <c r="V89" s="16"/>
      <c r="W89" s="2011"/>
    </row>
    <row r="90" s="1414" customFormat="true" ht="18" hidden="false" customHeight="true" outlineLevel="0" collapsed="false">
      <c r="A90" s="1794" t="s">
        <v>1458</v>
      </c>
      <c r="B90" s="2038"/>
      <c r="C90" s="2039"/>
      <c r="D90" s="2040"/>
      <c r="E90" s="1800" t="s">
        <v>998</v>
      </c>
      <c r="F90" s="1383" t="n">
        <v>16</v>
      </c>
      <c r="G90" s="2016" t="s">
        <v>1285</v>
      </c>
      <c r="H90" s="1068"/>
      <c r="I90" s="1068"/>
      <c r="J90" s="1068"/>
      <c r="K90" s="1068"/>
      <c r="L90" s="1068"/>
      <c r="M90" s="1068"/>
      <c r="N90" s="1369" t="n">
        <f aca="false">D90*F90</f>
        <v>0</v>
      </c>
      <c r="O90" s="1369"/>
      <c r="P90" s="1306" t="s">
        <v>1342</v>
      </c>
      <c r="Q90" s="599" t="s">
        <v>646</v>
      </c>
      <c r="R90" s="16"/>
      <c r="S90" s="1037" t="n">
        <f aca="false">ROUNDUP(H67/300/55,0)</f>
        <v>0</v>
      </c>
      <c r="T90" s="16" t="s">
        <v>1720</v>
      </c>
      <c r="U90" s="922" t="n">
        <f aca="false">Pricing!Q44</f>
        <v>567.5</v>
      </c>
      <c r="V90" s="16" t="s">
        <v>647</v>
      </c>
      <c r="W90" s="1309" t="n">
        <f aca="false">U90*S90</f>
        <v>0</v>
      </c>
    </row>
    <row r="91" s="1414" customFormat="true" ht="18" hidden="false" customHeight="true" outlineLevel="0" collapsed="false">
      <c r="A91" s="507" t="s">
        <v>1721</v>
      </c>
      <c r="B91" s="528"/>
      <c r="C91" s="895"/>
      <c r="D91" s="2041" t="n">
        <v>0</v>
      </c>
      <c r="E91" s="78" t="s">
        <v>1418</v>
      </c>
      <c r="F91" s="1337" t="n">
        <v>5.25</v>
      </c>
      <c r="G91" s="78" t="s">
        <v>600</v>
      </c>
      <c r="H91" s="16"/>
      <c r="I91" s="16"/>
      <c r="J91" s="16"/>
      <c r="K91" s="16"/>
      <c r="L91" s="16"/>
      <c r="M91" s="16"/>
      <c r="N91" s="1309" t="n">
        <f aca="false">D91*F91</f>
        <v>0</v>
      </c>
      <c r="O91" s="1309"/>
      <c r="P91" s="1306" t="s">
        <v>1342</v>
      </c>
      <c r="Q91" s="1044" t="s">
        <v>649</v>
      </c>
      <c r="R91" s="397"/>
      <c r="S91" s="1107" t="n">
        <f aca="false">BN66</f>
        <v>0</v>
      </c>
      <c r="T91" s="397" t="s">
        <v>1720</v>
      </c>
      <c r="U91" s="1108" t="n">
        <f aca="false">Pricing!Q45</f>
        <v>542</v>
      </c>
      <c r="V91" s="397" t="s">
        <v>647</v>
      </c>
      <c r="W91" s="1326" t="n">
        <f aca="false">U91*S91</f>
        <v>0</v>
      </c>
    </row>
    <row r="92" s="1414" customFormat="true" ht="18" hidden="false" customHeight="true" outlineLevel="0" collapsed="false">
      <c r="A92" s="507" t="s">
        <v>1462</v>
      </c>
      <c r="B92" s="528"/>
      <c r="C92" s="895"/>
      <c r="D92" s="2041"/>
      <c r="E92" s="2026" t="s">
        <v>1341</v>
      </c>
      <c r="F92" s="1337" t="n">
        <v>0.25</v>
      </c>
      <c r="G92" s="78" t="s">
        <v>1341</v>
      </c>
      <c r="H92" s="16"/>
      <c r="I92" s="16"/>
      <c r="J92" s="16"/>
      <c r="K92" s="16"/>
      <c r="L92" s="16"/>
      <c r="M92" s="16"/>
      <c r="N92" s="1309" t="n">
        <f aca="false">D92*F92</f>
        <v>0</v>
      </c>
      <c r="O92" s="1309"/>
      <c r="P92" s="1306"/>
      <c r="Q92" s="599"/>
      <c r="R92" s="16"/>
      <c r="S92" s="16"/>
      <c r="T92" s="16"/>
      <c r="U92" s="905"/>
      <c r="V92" s="16"/>
      <c r="W92" s="1146"/>
    </row>
    <row r="93" s="1414" customFormat="true" ht="18" hidden="false" customHeight="true" outlineLevel="0" collapsed="false">
      <c r="A93" s="2042" t="s">
        <v>1067</v>
      </c>
      <c r="B93" s="2043"/>
      <c r="C93" s="2044"/>
      <c r="D93" s="2045"/>
      <c r="E93" s="2046" t="s">
        <v>1000</v>
      </c>
      <c r="F93" s="2047" t="n">
        <v>1000</v>
      </c>
      <c r="G93" s="2048" t="s">
        <v>1624</v>
      </c>
      <c r="H93" s="16"/>
      <c r="I93" s="16"/>
      <c r="J93" s="16"/>
      <c r="K93" s="16"/>
      <c r="L93" s="16"/>
      <c r="M93" s="170"/>
      <c r="N93" s="1309" t="n">
        <f aca="false">D93*F93</f>
        <v>0</v>
      </c>
      <c r="O93" s="1309"/>
      <c r="P93" s="1306"/>
      <c r="Q93" s="1151" t="s">
        <v>1349</v>
      </c>
      <c r="R93" s="5"/>
      <c r="S93" s="994" t="n">
        <v>18</v>
      </c>
      <c r="T93" s="994" t="s">
        <v>1350</v>
      </c>
      <c r="U93" s="16"/>
      <c r="V93" s="16"/>
      <c r="W93" s="1152"/>
    </row>
    <row r="94" s="1414" customFormat="true" ht="18" hidden="false" customHeight="true" outlineLevel="0" collapsed="false">
      <c r="A94" s="507" t="s">
        <v>1234</v>
      </c>
      <c r="B94" s="528"/>
      <c r="C94" s="895"/>
      <c r="D94" s="2041"/>
      <c r="E94" s="1308" t="s">
        <v>1285</v>
      </c>
      <c r="F94" s="1337" t="n">
        <v>6</v>
      </c>
      <c r="G94" s="78" t="s">
        <v>1285</v>
      </c>
      <c r="H94" s="16"/>
      <c r="I94" s="16"/>
      <c r="J94" s="16"/>
      <c r="K94" s="16"/>
      <c r="L94" s="16"/>
      <c r="M94" s="170"/>
      <c r="N94" s="1309" t="n">
        <f aca="false">D94*F94</f>
        <v>0</v>
      </c>
      <c r="O94" s="1309"/>
      <c r="P94" s="1306" t="s">
        <v>1072</v>
      </c>
      <c r="Q94" s="602" t="s">
        <v>1353</v>
      </c>
      <c r="R94" s="1058"/>
      <c r="S94" s="1058" t="n">
        <f aca="false">S64*12/S93</f>
        <v>0</v>
      </c>
      <c r="T94" s="1058" t="s">
        <v>1354</v>
      </c>
      <c r="U94" s="1162" t="n">
        <f aca="false">Pricing!D30</f>
        <v>1</v>
      </c>
      <c r="V94" s="1162"/>
      <c r="W94" s="2049" t="n">
        <f aca="false">U94*S94</f>
        <v>0</v>
      </c>
    </row>
    <row r="95" s="1414" customFormat="true" ht="18" hidden="false" customHeight="true" outlineLevel="0" collapsed="false">
      <c r="A95" s="1798" t="s">
        <v>1346</v>
      </c>
      <c r="B95" s="1605"/>
      <c r="C95" s="1609"/>
      <c r="D95" s="2050"/>
      <c r="E95" s="2051" t="s">
        <v>1347</v>
      </c>
      <c r="F95" s="2052" t="n">
        <v>200</v>
      </c>
      <c r="G95" s="1826" t="s">
        <v>620</v>
      </c>
      <c r="H95" s="1058"/>
      <c r="I95" s="1058"/>
      <c r="J95" s="1058"/>
      <c r="K95" s="1058"/>
      <c r="L95" s="1058"/>
      <c r="M95" s="1058"/>
      <c r="N95" s="730" t="n">
        <f aca="false">D95*F95</f>
        <v>0</v>
      </c>
      <c r="O95" s="730"/>
      <c r="P95" s="654"/>
      <c r="Q95" s="654"/>
      <c r="R95" s="654"/>
      <c r="S95" s="654"/>
      <c r="T95" s="654"/>
      <c r="U95" s="654"/>
      <c r="V95" s="654"/>
      <c r="W95" s="1393" t="n">
        <f aca="false">SUM(W52:W94)</f>
        <v>0</v>
      </c>
    </row>
    <row r="96" s="1414" customFormat="true" ht="18" hidden="false" customHeight="true" outlineLevel="0" collapsed="false">
      <c r="A96" s="1394" t="s">
        <v>1191</v>
      </c>
      <c r="B96" s="1394"/>
      <c r="C96" s="1394"/>
      <c r="D96" s="1395" t="n">
        <f aca="false">Summary!P60</f>
        <v>0</v>
      </c>
      <c r="E96" s="1396" t="s">
        <v>1465</v>
      </c>
      <c r="F96" s="2053" t="n">
        <f aca="false">(SUM(N51:O64)+SUM(N66:O75)+SUM(K66:L75)+SUM(N78:O81)+SUM(N83:O88)+SUM(N90:O95))*D96</f>
        <v>0</v>
      </c>
      <c r="G96" s="1398" t="s">
        <v>1039</v>
      </c>
      <c r="H96" s="1398"/>
      <c r="I96" s="1398"/>
      <c r="J96" s="1398"/>
      <c r="K96" s="1398"/>
      <c r="L96" s="1398"/>
      <c r="M96" s="1398"/>
      <c r="N96" s="1399" t="n">
        <f aca="false">F96</f>
        <v>0</v>
      </c>
      <c r="O96" s="1399"/>
      <c r="P96" s="654"/>
      <c r="Q96" s="654"/>
      <c r="R96" s="654"/>
      <c r="S96" s="654"/>
      <c r="T96" s="654"/>
      <c r="U96" s="654"/>
      <c r="V96" s="654"/>
      <c r="W96" s="654"/>
    </row>
    <row r="97" s="1414" customFormat="true" ht="18" hidden="false" customHeight="true" outlineLevel="0" collapsed="false">
      <c r="A97" s="949"/>
      <c r="B97" s="950"/>
      <c r="C97" s="950"/>
      <c r="D97" s="950"/>
      <c r="E97" s="950"/>
      <c r="F97" s="950"/>
      <c r="G97" s="950"/>
      <c r="H97" s="950"/>
      <c r="I97" s="950"/>
      <c r="J97" s="950"/>
      <c r="K97" s="954"/>
      <c r="L97" s="950"/>
      <c r="M97" s="950"/>
      <c r="N97" s="950"/>
      <c r="O97" s="950"/>
      <c r="P97" s="950"/>
      <c r="Q97" s="950"/>
      <c r="R97" s="950"/>
      <c r="S97" s="950"/>
      <c r="T97" s="950"/>
      <c r="U97" s="950"/>
      <c r="V97" s="950"/>
      <c r="W97" s="957"/>
    </row>
    <row r="98" s="1414" customFormat="true" ht="18" hidden="false" customHeight="true" outlineLevel="0" collapsed="false">
      <c r="A98" s="1642" t="s">
        <v>1262</v>
      </c>
      <c r="B98" s="1643"/>
      <c r="C98" s="1644"/>
      <c r="D98" s="1642" t="s">
        <v>982</v>
      </c>
      <c r="E98" s="1644"/>
      <c r="F98" s="1642" t="s">
        <v>1263</v>
      </c>
      <c r="G98" s="1643"/>
      <c r="H98" s="1644"/>
      <c r="I98" s="1167" t="s">
        <v>1264</v>
      </c>
      <c r="J98" s="1168"/>
      <c r="K98" s="1169"/>
      <c r="L98" s="1170" t="s">
        <v>1265</v>
      </c>
      <c r="M98" s="1171"/>
      <c r="N98" s="1171"/>
      <c r="O98" s="1172"/>
      <c r="P98" s="961"/>
      <c r="Q98" s="599" t="s">
        <v>1266</v>
      </c>
      <c r="R98" s="16"/>
      <c r="S98" s="16" t="s">
        <v>1267</v>
      </c>
      <c r="T98" s="1173" t="str">
        <f aca="false">T39</f>
        <v>N</v>
      </c>
      <c r="U98" s="833" t="s">
        <v>1268</v>
      </c>
      <c r="V98" s="1401" t="n">
        <f aca="false">V39</f>
        <v>0.0825</v>
      </c>
      <c r="W98" s="964"/>
    </row>
    <row r="99" s="1414" customFormat="true" ht="18" hidden="false" customHeight="true" outlineLevel="0" collapsed="false">
      <c r="A99" s="965" t="s">
        <v>1269</v>
      </c>
      <c r="B99" s="966" t="n">
        <f aca="false">B40</f>
        <v>0</v>
      </c>
      <c r="C99" s="966"/>
      <c r="D99" s="967" t="n">
        <f aca="false">D40</f>
        <v>0</v>
      </c>
      <c r="E99" s="967"/>
      <c r="F99" s="968" t="n">
        <f aca="false">F40</f>
        <v>0</v>
      </c>
      <c r="G99" s="736" t="n">
        <f aca="false">G40</f>
        <v>0</v>
      </c>
      <c r="H99" s="736"/>
      <c r="I99" s="1651" t="n">
        <f aca="false">I40</f>
        <v>0</v>
      </c>
      <c r="J99" s="1652"/>
      <c r="K99" s="1653"/>
      <c r="L99" s="1402" t="n">
        <f aca="false">L40</f>
        <v>0.18</v>
      </c>
      <c r="M99" s="1402"/>
      <c r="N99" s="1402"/>
      <c r="O99" s="1402"/>
      <c r="P99" s="1265"/>
      <c r="Q99" s="970" t="s">
        <v>980</v>
      </c>
      <c r="R99" s="16"/>
      <c r="S99" s="16"/>
      <c r="T99" s="971" t="n">
        <f aca="false">S40</f>
        <v>0</v>
      </c>
      <c r="U99" s="971"/>
      <c r="V99" s="16"/>
      <c r="W99" s="964"/>
    </row>
    <row r="100" s="1414" customFormat="true" ht="18" hidden="false" customHeight="true" outlineLevel="0" collapsed="false">
      <c r="A100" s="979"/>
      <c r="B100" s="973"/>
      <c r="C100" s="973"/>
      <c r="D100" s="973"/>
      <c r="E100" s="973"/>
      <c r="F100" s="973"/>
      <c r="G100" s="973"/>
      <c r="H100" s="973"/>
      <c r="I100" s="973"/>
      <c r="J100" s="973"/>
      <c r="K100" s="973"/>
      <c r="L100" s="973"/>
      <c r="M100" s="973"/>
      <c r="N100" s="973"/>
      <c r="O100" s="973"/>
      <c r="P100" s="973"/>
      <c r="Q100" s="973"/>
      <c r="R100" s="973"/>
      <c r="S100" s="973"/>
      <c r="T100" s="973"/>
      <c r="U100" s="973"/>
      <c r="V100" s="973"/>
      <c r="W100" s="984"/>
    </row>
    <row r="101" s="1414"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14"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14" customFormat="true" ht="15" hidden="false" customHeight="false" outlineLevel="0" collapsed="false">
      <c r="A103" s="717" t="s">
        <v>1055</v>
      </c>
      <c r="B103" s="1403" t="s">
        <v>853</v>
      </c>
      <c r="C103" s="719"/>
      <c r="D103" s="722" t="n">
        <f aca="false">D104-T99</f>
        <v>0</v>
      </c>
      <c r="E103" s="654"/>
      <c r="F103" s="654"/>
      <c r="G103" s="654"/>
      <c r="H103" s="654"/>
      <c r="I103" s="654"/>
      <c r="J103" s="654"/>
      <c r="K103" s="654"/>
      <c r="L103" s="654"/>
      <c r="M103" s="654"/>
      <c r="N103" s="654"/>
      <c r="O103" s="654"/>
      <c r="P103" s="654"/>
      <c r="Q103" s="654"/>
      <c r="R103" s="654"/>
      <c r="S103" s="654"/>
    </row>
    <row r="104" s="1414" customFormat="true" ht="15" hidden="false" customHeight="false" outlineLevel="0" collapsed="false">
      <c r="A104" s="733" t="s">
        <v>1070</v>
      </c>
      <c r="B104" s="735"/>
      <c r="C104" s="735"/>
      <c r="D104" s="736"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04" t="n">
        <f aca="false">Summary!P74</f>
        <v>40001</v>
      </c>
      <c r="B105" s="741" t="str">
        <f aca="false">Summary!Q74</f>
        <v>General Requirements</v>
      </c>
      <c r="C105" s="318"/>
      <c r="D105" s="742" t="n">
        <f aca="false">SUM(L100:M102)</f>
        <v>0</v>
      </c>
    </row>
    <row r="106" customFormat="false" ht="15" hidden="false" customHeight="false" outlineLevel="0" collapsed="false">
      <c r="A106" s="1404" t="n">
        <f aca="false">Summary!P75</f>
        <v>40002</v>
      </c>
      <c r="B106" s="741" t="str">
        <f aca="false">Summary!Q75</f>
        <v>Lumber</v>
      </c>
      <c r="C106" s="318"/>
      <c r="D106" s="751" t="n">
        <f aca="false">SUM(W51:W76)+W77+W78+W79+W81+W82</f>
        <v>0</v>
      </c>
    </row>
    <row r="107" customFormat="false" ht="15" hidden="false" customHeight="false" outlineLevel="0" collapsed="false">
      <c r="A107" s="1404" t="n">
        <f aca="false">Summary!P76</f>
        <v>40003</v>
      </c>
      <c r="B107" s="741" t="str">
        <f aca="false">Summary!Q76</f>
        <v>Sand Material</v>
      </c>
      <c r="C107" s="318"/>
      <c r="D107" s="751" t="n">
        <f aca="false">N59</f>
        <v>0</v>
      </c>
    </row>
    <row r="108" customFormat="false" ht="15" hidden="false" customHeight="false" outlineLevel="0" collapsed="false">
      <c r="A108" s="1404" t="n">
        <f aca="false">Summary!P77</f>
        <v>40004</v>
      </c>
      <c r="B108" s="741" t="str">
        <f aca="false">Summary!Q77</f>
        <v>Rock Material</v>
      </c>
      <c r="C108" s="318"/>
      <c r="D108" s="751" t="n">
        <f aca="false">N60</f>
        <v>0</v>
      </c>
    </row>
    <row r="109" customFormat="false" ht="15" hidden="false" customHeight="false" outlineLevel="0" collapsed="false">
      <c r="A109" s="1404" t="n">
        <f aca="false">Summary!P78</f>
        <v>40005</v>
      </c>
      <c r="B109" s="741" t="str">
        <f aca="false">Summary!Q78</f>
        <v>Reinforcement Material</v>
      </c>
      <c r="C109" s="318"/>
      <c r="D109" s="751" t="n">
        <f aca="false">N56+N57</f>
        <v>0</v>
      </c>
    </row>
    <row r="110" customFormat="false" ht="15" hidden="false" customHeight="false" outlineLevel="0" collapsed="false">
      <c r="A110" s="1404" t="n">
        <f aca="false">Summary!P79</f>
        <v>40006</v>
      </c>
      <c r="B110" s="741" t="str">
        <f aca="false">Summary!Q79</f>
        <v>Reinforcement Accessories</v>
      </c>
      <c r="C110" s="318"/>
      <c r="D110" s="751" t="n">
        <f aca="false">SUM(W83:DA85)+W94</f>
        <v>0</v>
      </c>
    </row>
    <row r="111" customFormat="false" ht="15" hidden="false" customHeight="false" outlineLevel="0" collapsed="false">
      <c r="A111" s="1404" t="n">
        <f aca="false">Summary!P80</f>
        <v>40007</v>
      </c>
      <c r="B111" s="741" t="str">
        <f aca="false">Summary!Q80</f>
        <v>PT Cables</v>
      </c>
      <c r="C111" s="318"/>
      <c r="D111" s="751" t="n">
        <f aca="false">N58</f>
        <v>0</v>
      </c>
    </row>
    <row r="112" customFormat="false" ht="15" hidden="false" customHeight="false" outlineLevel="0" collapsed="false">
      <c r="A112" s="1404" t="n">
        <f aca="false">Summary!P81</f>
        <v>40008</v>
      </c>
      <c r="B112" s="741" t="str">
        <f aca="false">Summary!Q81</f>
        <v>Concrete Material</v>
      </c>
      <c r="C112" s="318"/>
      <c r="D112" s="751" t="n">
        <f aca="false">SUM(N51:O55)</f>
        <v>0</v>
      </c>
    </row>
    <row r="113" customFormat="false" ht="15" hidden="false" customHeight="false" outlineLevel="0" collapsed="false">
      <c r="A113" s="1404" t="n">
        <f aca="false">Summary!P82</f>
        <v>40009</v>
      </c>
      <c r="B113" s="741" t="str">
        <f aca="false">Summary!Q82</f>
        <v>Carton Forms</v>
      </c>
      <c r="C113" s="318"/>
      <c r="D113" s="751" t="n">
        <f aca="false">SUM(N61:O63)</f>
        <v>0</v>
      </c>
    </row>
    <row r="114" customFormat="false" ht="15" hidden="false" customHeight="false" outlineLevel="0" collapsed="false">
      <c r="A114" s="1404" t="n">
        <f aca="false">Summary!P83</f>
        <v>40010</v>
      </c>
      <c r="B114" s="741" t="str">
        <f aca="false">Summary!Q83</f>
        <v>Cure/Sealers</v>
      </c>
      <c r="C114" s="318"/>
      <c r="D114" s="751" t="n">
        <f aca="false">SUM(W89:W91)</f>
        <v>0</v>
      </c>
    </row>
    <row r="115" customFormat="false" ht="15" hidden="false" customHeight="false" outlineLevel="0" collapsed="false">
      <c r="A115" s="1404" t="n">
        <f aca="false">Summary!P84</f>
        <v>40011</v>
      </c>
      <c r="B115" s="741" t="str">
        <f aca="false">Summary!Q84</f>
        <v>Patch/Grout</v>
      </c>
      <c r="C115" s="318"/>
      <c r="D115" s="751"/>
    </row>
    <row r="116" customFormat="false" ht="15" hidden="false" customHeight="false" outlineLevel="0" collapsed="false">
      <c r="A116" s="1404" t="n">
        <f aca="false">Summary!P85</f>
        <v>40012</v>
      </c>
      <c r="B116" s="741" t="str">
        <f aca="false">Summary!Q85</f>
        <v>Poly/Vapor Barrier</v>
      </c>
      <c r="C116" s="318"/>
      <c r="D116" s="751"/>
    </row>
    <row r="117" customFormat="false" ht="15" hidden="false" customHeight="false" outlineLevel="0" collapsed="false">
      <c r="A117" s="1404" t="n">
        <f aca="false">Summary!P86</f>
        <v>40013</v>
      </c>
      <c r="B117" s="741" t="s">
        <v>1105</v>
      </c>
      <c r="C117" s="318"/>
      <c r="D117" s="751" t="n">
        <f aca="false">W86</f>
        <v>0</v>
      </c>
    </row>
    <row r="118" customFormat="false" ht="15" hidden="false" customHeight="false" outlineLevel="0" collapsed="false">
      <c r="A118" s="1404" t="n">
        <f aca="false">Summary!P87</f>
        <v>40014</v>
      </c>
      <c r="B118" s="741" t="s">
        <v>1105</v>
      </c>
      <c r="C118" s="318"/>
      <c r="D118" s="751" t="n">
        <f aca="false">W87</f>
        <v>0</v>
      </c>
    </row>
    <row r="119" customFormat="false" ht="15" hidden="false" customHeight="false" outlineLevel="0" collapsed="false">
      <c r="A119" s="1404" t="n">
        <f aca="false">Summary!P88</f>
        <v>40015</v>
      </c>
      <c r="B119" s="741" t="s">
        <v>1108</v>
      </c>
      <c r="C119" s="318"/>
      <c r="D119" s="751" t="n">
        <f aca="false">W88</f>
        <v>0</v>
      </c>
    </row>
    <row r="120" customFormat="false" ht="15" hidden="false" customHeight="false" outlineLevel="0" collapsed="false">
      <c r="A120" s="1404" t="n">
        <f aca="false">Summary!P89</f>
        <v>40020</v>
      </c>
      <c r="B120" s="741" t="str">
        <f aca="false">Summary!Q89</f>
        <v>Supervision</v>
      </c>
      <c r="C120" s="318"/>
      <c r="D120" s="751" t="n">
        <f aca="false">SUM(N78:O79)</f>
        <v>0</v>
      </c>
    </row>
    <row r="121" customFormat="false" ht="15" hidden="false" customHeight="false" outlineLevel="0" collapsed="false">
      <c r="A121" s="1404" t="n">
        <f aca="false">Summary!P90</f>
        <v>40021</v>
      </c>
      <c r="B121" s="741" t="str">
        <f aca="false">Summary!Q90</f>
        <v>Supervision Expense</v>
      </c>
      <c r="C121" s="318"/>
      <c r="D121" s="751" t="n">
        <f aca="false">SUM(N80)</f>
        <v>0</v>
      </c>
    </row>
    <row r="122" customFormat="false" ht="15" hidden="false" customHeight="false" outlineLevel="0" collapsed="false">
      <c r="A122" s="1404" t="n">
        <f aca="false">Summary!P91</f>
        <v>40022</v>
      </c>
      <c r="B122" s="741" t="str">
        <f aca="false">Summary!Q91</f>
        <v>Project Management</v>
      </c>
      <c r="C122" s="318"/>
      <c r="D122" s="751" t="n">
        <f aca="false">N81</f>
        <v>0</v>
      </c>
    </row>
    <row r="123" customFormat="false" ht="15" hidden="false" customHeight="false" outlineLevel="0" collapsed="false">
      <c r="A123" s="1404" t="n">
        <f aca="false">Summary!P92</f>
        <v>40023</v>
      </c>
      <c r="B123" s="741" t="str">
        <f aca="false">Summary!Q92</f>
        <v>Labor Grade, Poly, Reinf.</v>
      </c>
      <c r="C123" s="318"/>
      <c r="D123" s="751" t="n">
        <f aca="false">K66</f>
        <v>0</v>
      </c>
    </row>
    <row r="124" customFormat="false" ht="15" hidden="false" customHeight="false" outlineLevel="0" collapsed="false">
      <c r="A124" s="1404" t="n">
        <f aca="false">Summary!P93</f>
        <v>40024</v>
      </c>
      <c r="B124" s="741" t="str">
        <f aca="false">Summary!Q93</f>
        <v>Labor Place &amp; Finish</v>
      </c>
      <c r="C124" s="318"/>
      <c r="D124" s="1405" t="n">
        <f aca="false">K68</f>
        <v>0</v>
      </c>
    </row>
    <row r="125" customFormat="false" ht="15" hidden="false" customHeight="false" outlineLevel="0" collapsed="false">
      <c r="A125" s="1404" t="n">
        <f aca="false">Summary!P94</f>
        <v>40025</v>
      </c>
      <c r="B125" s="741" t="str">
        <f aca="false">Summary!Q94</f>
        <v>Labor Drops</v>
      </c>
      <c r="C125" s="318"/>
      <c r="D125" s="751" t="n">
        <f aca="false">K70</f>
        <v>0</v>
      </c>
    </row>
    <row r="126" customFormat="false" ht="15" hidden="false" customHeight="false" outlineLevel="0" collapsed="false">
      <c r="A126" s="1404" t="n">
        <f aca="false">Summary!P95</f>
        <v>40026</v>
      </c>
      <c r="B126" s="741" t="str">
        <f aca="false">Summary!Q95</f>
        <v>Labor Strip Forms</v>
      </c>
      <c r="C126" s="318"/>
      <c r="D126" s="751" t="n">
        <f aca="false">K69</f>
        <v>0</v>
      </c>
    </row>
    <row r="127" customFormat="false" ht="15" hidden="false" customHeight="false" outlineLevel="0" collapsed="false">
      <c r="A127" s="1404" t="n">
        <f aca="false">Summary!P96</f>
        <v>40027</v>
      </c>
      <c r="B127" s="741" t="str">
        <f aca="false">Summary!Q96</f>
        <v>Labor Burden</v>
      </c>
      <c r="C127" s="318"/>
      <c r="D127" s="751"/>
    </row>
    <row r="128" customFormat="false" ht="15" hidden="false" customHeight="false" outlineLevel="0" collapsed="false">
      <c r="A128" s="1404" t="n">
        <f aca="false">Summary!P98</f>
        <v>40030</v>
      </c>
      <c r="B128" s="741" t="str">
        <f aca="false">Summary!Q98</f>
        <v>Pumping</v>
      </c>
      <c r="C128" s="318"/>
      <c r="D128" s="751" t="n">
        <f aca="false">N90</f>
        <v>0</v>
      </c>
    </row>
    <row r="129" customFormat="false" ht="15" hidden="false" customHeight="false" outlineLevel="0" collapsed="false">
      <c r="A129" s="1404" t="n">
        <f aca="false">Summary!P99</f>
        <v>40031</v>
      </c>
      <c r="B129" s="741" t="str">
        <f aca="false">Summary!Q99</f>
        <v>Earth Work/Excavation</v>
      </c>
      <c r="C129" s="318"/>
      <c r="D129" s="751"/>
    </row>
    <row r="130" customFormat="false" ht="15" hidden="false" customHeight="false" outlineLevel="0" collapsed="false">
      <c r="A130" s="1404" t="n">
        <f aca="false">Summary!P100</f>
        <v>40032</v>
      </c>
      <c r="B130" s="741" t="str">
        <f aca="false">Summary!Q100</f>
        <v>Drilling</v>
      </c>
      <c r="C130" s="318"/>
      <c r="D130" s="751"/>
    </row>
    <row r="131" customFormat="false" ht="15" hidden="false" customHeight="false" outlineLevel="0" collapsed="false">
      <c r="A131" s="1404" t="n">
        <f aca="false">Summary!P101</f>
        <v>40033</v>
      </c>
      <c r="B131" s="741" t="str">
        <f aca="false">Summary!Q101</f>
        <v>Haul off</v>
      </c>
      <c r="C131" s="318"/>
      <c r="D131" s="751" t="n">
        <f aca="false">N94</f>
        <v>0</v>
      </c>
    </row>
    <row r="132" customFormat="false" ht="15" hidden="false" customHeight="false" outlineLevel="0" collapsed="false">
      <c r="A132" s="1404" t="n">
        <f aca="false">Summary!P102</f>
        <v>40034</v>
      </c>
      <c r="B132" s="741" t="str">
        <f aca="false">Summary!Q102</f>
        <v>Saw Cutting/Sealing</v>
      </c>
      <c r="C132" s="318"/>
      <c r="D132" s="751" t="n">
        <f aca="false">N92</f>
        <v>0</v>
      </c>
    </row>
    <row r="133" customFormat="false" ht="15" hidden="false" customHeight="false" outlineLevel="0" collapsed="false">
      <c r="A133" s="1404" t="n">
        <f aca="false">Summary!P103</f>
        <v>40035</v>
      </c>
      <c r="B133" s="741" t="str">
        <f aca="false">Summary!Q103</f>
        <v>Demolition</v>
      </c>
      <c r="C133" s="318"/>
      <c r="D133" s="751"/>
    </row>
    <row r="134" customFormat="false" ht="15" hidden="false" customHeight="false" outlineLevel="0" collapsed="false">
      <c r="A134" s="1404" t="n">
        <f aca="false">Summary!P104</f>
        <v>40037</v>
      </c>
      <c r="B134" s="741" t="str">
        <f aca="false">Summary!Q104</f>
        <v>Waterproofing</v>
      </c>
      <c r="C134" s="318"/>
      <c r="D134" s="751" t="n">
        <f aca="false">N91</f>
        <v>0</v>
      </c>
    </row>
    <row r="135" customFormat="false" ht="15" hidden="false" customHeight="false" outlineLevel="0" collapsed="false">
      <c r="A135" s="1404" t="n">
        <f aca="false">Summary!P105</f>
        <v>40038</v>
      </c>
      <c r="B135" s="741" t="str">
        <f aca="false">Summary!Q105</f>
        <v>Crain/Hoisting</v>
      </c>
      <c r="C135" s="318"/>
      <c r="D135" s="751"/>
    </row>
    <row r="136" customFormat="false" ht="15" hidden="false" customHeight="false" outlineLevel="0" collapsed="false">
      <c r="A136" s="1406" t="n">
        <f aca="false">Summary!P106</f>
        <v>40039</v>
      </c>
      <c r="B136" s="788" t="str">
        <f aca="false">Summary!Q106</f>
        <v>Forming Systems</v>
      </c>
      <c r="C136" s="800"/>
      <c r="D136" s="2054" t="n">
        <f aca="false">N64</f>
        <v>0</v>
      </c>
    </row>
    <row r="137" customFormat="false" ht="15" hidden="false" customHeight="false" outlineLevel="0" collapsed="false">
      <c r="A137" s="2055" t="n">
        <f aca="false">Summary!P107</f>
        <v>40040</v>
      </c>
      <c r="B137" s="2056" t="str">
        <f aca="false">Summary!Q107</f>
        <v>Total Sub Labor</v>
      </c>
      <c r="C137" s="2057"/>
      <c r="D137" s="2058" t="n">
        <f aca="false">SUM(D138:D145)</f>
        <v>0</v>
      </c>
    </row>
    <row r="138" customFormat="false" ht="15" hidden="false" customHeight="false" outlineLevel="0" collapsed="false">
      <c r="A138" s="1404" t="n">
        <f aca="false">Summary!P108</f>
        <v>40041</v>
      </c>
      <c r="B138" s="741" t="str">
        <f aca="false">Summary!Q108</f>
        <v>Labor Forming</v>
      </c>
      <c r="C138" s="318"/>
      <c r="D138" s="742" t="n">
        <f aca="false">N67</f>
        <v>0</v>
      </c>
    </row>
    <row r="139" customFormat="false" ht="15" hidden="false" customHeight="false" outlineLevel="0" collapsed="false">
      <c r="A139" s="1404" t="n">
        <f aca="false">Summary!P109</f>
        <v>40042</v>
      </c>
      <c r="B139" s="741" t="str">
        <f aca="false">Summary!Q109</f>
        <v>Labor Grade, Poly, Reinf.</v>
      </c>
      <c r="C139" s="749"/>
      <c r="D139" s="742" t="n">
        <f aca="false">N66+N74+N73</f>
        <v>0</v>
      </c>
    </row>
    <row r="140" customFormat="false" ht="15" hidden="false" customHeight="false" outlineLevel="0" collapsed="false">
      <c r="A140" s="1404" t="n">
        <f aca="false">Summary!P110</f>
        <v>40043</v>
      </c>
      <c r="B140" s="741" t="str">
        <f aca="false">Summary!Q110</f>
        <v>Labor Place &amp; Finish</v>
      </c>
      <c r="C140" s="749"/>
      <c r="D140" s="742" t="n">
        <f aca="false">N68</f>
        <v>0</v>
      </c>
    </row>
    <row r="141" customFormat="false" ht="15" hidden="false" customHeight="false" outlineLevel="0" collapsed="false">
      <c r="A141" s="1404" t="n">
        <f aca="false">Summary!P111</f>
        <v>40044</v>
      </c>
      <c r="B141" s="741" t="str">
        <f aca="false">Summary!Q111</f>
        <v>Labor Drops</v>
      </c>
      <c r="C141" s="749"/>
      <c r="D141" s="742"/>
    </row>
    <row r="142" customFormat="false" ht="15" hidden="false" customHeight="false" outlineLevel="0" collapsed="false">
      <c r="A142" s="1404" t="n">
        <f aca="false">Summary!P112</f>
        <v>40045</v>
      </c>
      <c r="B142" s="741" t="str">
        <f aca="false">Summary!Q112</f>
        <v>Labor Strip Forms</v>
      </c>
      <c r="C142" s="749"/>
      <c r="D142" s="742" t="n">
        <f aca="false">N69</f>
        <v>0</v>
      </c>
    </row>
    <row r="143" customFormat="false" ht="15" hidden="false" customHeight="false" outlineLevel="0" collapsed="false">
      <c r="A143" s="1404" t="n">
        <f aca="false">Summary!P113</f>
        <v>40046</v>
      </c>
      <c r="B143" s="741" t="str">
        <f aca="false">Summary!Q113</f>
        <v>Labor Burden</v>
      </c>
      <c r="C143" s="318"/>
      <c r="D143" s="751" t="n">
        <f aca="false">N70+N72</f>
        <v>0</v>
      </c>
    </row>
    <row r="144" customFormat="false" ht="15" hidden="false" customHeight="false" outlineLevel="0" collapsed="false">
      <c r="A144" s="1404" t="n">
        <f aca="false">Summary!P114</f>
        <v>40047</v>
      </c>
      <c r="B144" s="741" t="str">
        <f aca="false">Summary!Q114</f>
        <v>Rebar</v>
      </c>
      <c r="C144" s="749"/>
      <c r="D144" s="742" t="n">
        <f aca="false">N71</f>
        <v>0</v>
      </c>
    </row>
    <row r="145" customFormat="false" ht="15" hidden="false" customHeight="false" outlineLevel="0" collapsed="false">
      <c r="A145" s="1406" t="n">
        <f aca="false">Summary!P115</f>
        <v>40048</v>
      </c>
      <c r="B145" s="788" t="str">
        <f aca="false">Summary!Q115</f>
        <v>PT Installation</v>
      </c>
      <c r="C145" s="800"/>
      <c r="D145" s="2054"/>
    </row>
    <row r="146" customFormat="false" ht="15" hidden="false" customHeight="false" outlineLevel="0" collapsed="false">
      <c r="A146" s="1406" t="n">
        <f aca="false">Summary!P116</f>
        <v>40049</v>
      </c>
      <c r="B146" s="788" t="str">
        <f aca="false">Summary!Q116</f>
        <v>Extra Hours</v>
      </c>
      <c r="C146" s="800"/>
      <c r="D146" s="756" t="n">
        <f aca="false">N75</f>
        <v>0</v>
      </c>
    </row>
    <row r="147" customFormat="false" ht="15" hidden="false" customHeight="false" outlineLevel="0" collapsed="false">
      <c r="A147" s="2055" t="n">
        <f aca="false">Summary!P117</f>
        <v>40060</v>
      </c>
      <c r="B147" s="2056" t="str">
        <f aca="false">Summary!Q117</f>
        <v>Total Equipment Rental</v>
      </c>
      <c r="C147" s="2057"/>
      <c r="D147" s="2058" t="n">
        <f aca="false">SUM(D148:D153)</f>
        <v>0</v>
      </c>
    </row>
    <row r="148" customFormat="false" ht="15" hidden="false" customHeight="false" outlineLevel="0" collapsed="false">
      <c r="A148" s="1404" t="n">
        <f aca="false">Summary!P118</f>
        <v>40061</v>
      </c>
      <c r="B148" s="741" t="str">
        <f aca="false">Summary!Q118</f>
        <v>SkyTrack</v>
      </c>
      <c r="C148" s="318"/>
      <c r="D148" s="742" t="n">
        <f aca="false">N83/(1+V$39+I$85)</f>
        <v>0</v>
      </c>
    </row>
    <row r="149" customFormat="false" ht="15" hidden="false" customHeight="false" outlineLevel="0" collapsed="false">
      <c r="A149" s="1404" t="n">
        <f aca="false">Summary!P119</f>
        <v>40062</v>
      </c>
      <c r="B149" s="741" t="str">
        <f aca="false">Summary!Q119</f>
        <v>Mini Excavator</v>
      </c>
      <c r="C149" s="318"/>
      <c r="D149" s="742" t="n">
        <f aca="false">N84/(1+V$39+I$85)</f>
        <v>0</v>
      </c>
    </row>
    <row r="150" customFormat="false" ht="15" hidden="false" customHeight="false" outlineLevel="0" collapsed="false">
      <c r="A150" s="1404" t="n">
        <f aca="false">Summary!P120</f>
        <v>40063</v>
      </c>
      <c r="B150" s="741" t="str">
        <f aca="false">Summary!Q120</f>
        <v>Trencher</v>
      </c>
      <c r="C150" s="318"/>
      <c r="D150" s="742" t="n">
        <f aca="false">N85/(1+V$39+I$85)</f>
        <v>0</v>
      </c>
    </row>
    <row r="151" customFormat="false" ht="15" hidden="false" customHeight="false" outlineLevel="0" collapsed="false">
      <c r="A151" s="1404" t="n">
        <f aca="false">Summary!P121</f>
        <v>40064</v>
      </c>
      <c r="B151" s="741" t="str">
        <f aca="false">Summary!Q121</f>
        <v>Skid Steer</v>
      </c>
      <c r="C151" s="318"/>
      <c r="D151" s="742" t="n">
        <f aca="false">N86/(1+V$39+I$85)</f>
        <v>0</v>
      </c>
    </row>
    <row r="152" customFormat="false" ht="15" hidden="false" customHeight="false" outlineLevel="0" collapsed="false">
      <c r="A152" s="1404" t="n">
        <f aca="false">Summary!P122</f>
        <v>40065</v>
      </c>
      <c r="B152" s="741" t="str">
        <f aca="false">Summary!Q122</f>
        <v>General Equipment Rental</v>
      </c>
      <c r="C152" s="318"/>
      <c r="D152" s="742" t="n">
        <f aca="false">(N87+N88)/(1+V$39+I$85)</f>
        <v>0</v>
      </c>
    </row>
    <row r="153" customFormat="false" ht="15" hidden="false" customHeight="false" outlineLevel="0" collapsed="false">
      <c r="A153" s="1404" t="n">
        <f aca="false">Summary!P123</f>
        <v>40066</v>
      </c>
      <c r="B153" s="741" t="str">
        <f aca="false">Summary!Q123</f>
        <v>Fuel</v>
      </c>
      <c r="C153" s="318"/>
      <c r="D153" s="742" t="n">
        <f aca="false">L85-SUM(D148:D152)</f>
        <v>0</v>
      </c>
    </row>
    <row r="154" customFormat="false" ht="15" hidden="false" customHeight="false" outlineLevel="0" collapsed="false">
      <c r="A154" s="1404" t="n">
        <f aca="false">Summary!P124</f>
        <v>40067</v>
      </c>
      <c r="B154" s="741" t="str">
        <f aca="false">Summary!Q124</f>
        <v>Purchased Tools</v>
      </c>
      <c r="C154" s="318"/>
      <c r="D154" s="742"/>
    </row>
    <row r="155" customFormat="false" ht="15" hidden="false" customHeight="false" outlineLevel="0" collapsed="false">
      <c r="A155" s="1404" t="n">
        <f aca="false">Summary!P125</f>
        <v>40068</v>
      </c>
      <c r="B155" s="741" t="str">
        <f aca="false">Summary!Q125</f>
        <v>Stolen/Damaged</v>
      </c>
      <c r="C155" s="318"/>
      <c r="D155" s="742"/>
    </row>
    <row r="156" customFormat="false" ht="15" hidden="false" customHeight="false" outlineLevel="0" collapsed="false">
      <c r="A156" s="1404" t="n">
        <f aca="false">Summary!P126</f>
        <v>40070</v>
      </c>
      <c r="B156" s="741" t="str">
        <f aca="false">Summary!Q126</f>
        <v>Out of Town Expense</v>
      </c>
      <c r="C156" s="318"/>
      <c r="D156" s="742" t="n">
        <f aca="false">N95</f>
        <v>0</v>
      </c>
    </row>
    <row r="157" customFormat="false" ht="15" hidden="false" customHeight="false" outlineLevel="0" collapsed="false">
      <c r="A157" s="1404" t="n">
        <f aca="false">Summary!P127</f>
        <v>40071</v>
      </c>
      <c r="B157" s="741" t="str">
        <f aca="false">Summary!Q127</f>
        <v>Miscellaneous</v>
      </c>
      <c r="C157" s="318"/>
      <c r="D157" s="751" t="n">
        <f aca="false">N93</f>
        <v>0</v>
      </c>
    </row>
    <row r="158" customFormat="false" ht="15" hidden="false" customHeight="false" outlineLevel="0" collapsed="false">
      <c r="A158" s="1404" t="n">
        <f aca="false">Summary!P128</f>
        <v>40072</v>
      </c>
      <c r="B158" s="741" t="str">
        <f aca="false">Summary!Q128</f>
        <v>Repairs</v>
      </c>
      <c r="C158" s="318"/>
      <c r="D158" s="751"/>
    </row>
    <row r="159" customFormat="false" ht="15" hidden="false" customHeight="false" outlineLevel="0" collapsed="false">
      <c r="A159" s="1404" t="n">
        <f aca="false">Summary!P129</f>
        <v>40073</v>
      </c>
      <c r="B159" s="741" t="str">
        <f aca="false">Summary!Q129</f>
        <v>Engineering</v>
      </c>
      <c r="C159" s="318"/>
      <c r="D159" s="751"/>
    </row>
    <row r="160" customFormat="false" ht="15" hidden="false" customHeight="false" outlineLevel="0" collapsed="false">
      <c r="A160" s="1404" t="n">
        <f aca="false">Summary!P130</f>
        <v>40090</v>
      </c>
      <c r="B160" s="741" t="str">
        <f aca="false">Summary!Q130</f>
        <v>Not Used</v>
      </c>
      <c r="C160" s="318"/>
      <c r="D160" s="751"/>
    </row>
    <row r="161" customFormat="false" ht="15" hidden="false" customHeight="false" outlineLevel="0" collapsed="false">
      <c r="A161" s="1404" t="n">
        <f aca="false">Summary!P131</f>
        <v>40091</v>
      </c>
      <c r="B161" s="741" t="str">
        <f aca="false">Summary!Q131</f>
        <v>Margin Contingency</v>
      </c>
      <c r="C161" s="741"/>
      <c r="D161" s="751" t="n">
        <f aca="false">N96</f>
        <v>0</v>
      </c>
    </row>
  </sheetData>
  <mergeCells count="123">
    <mergeCell ref="C6:D6"/>
    <mergeCell ref="C7:D7"/>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1:D27">
    <cfRule type="expression" priority="2" aboveAverage="0" equalAverage="0" bottom="0" percent="0" rank="0" text="" dxfId="5">
      <formula>AND(E11&lt;&gt;"",ISERROR(MATCH(D11,$A$51:$A$55,0)))</formula>
    </cfRule>
  </conditionalFormatting>
  <conditionalFormatting sqref="K50:L50">
    <cfRule type="containsText" priority="3" operator="containsText" aboveAverage="0" equalAverage="0" bottom="0" percent="0" rank="0" text="Missing Concrete" dxfId="6">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5" zoomScaleNormal="65" zoomScalePageLayoutView="70" workbookViewId="0">
      <selection pane="topLeft" activeCell="K22" activeCellId="0" sqref="K22"/>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4.82"/>
    <col collapsed="false" customWidth="true" hidden="false" outlineLevel="0" max="30" min="25"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14" customFormat="true" ht="15" hidden="false" customHeight="false" outlineLevel="0" collapsed="false">
      <c r="A1" s="710"/>
      <c r="B1" s="614"/>
      <c r="C1" s="614"/>
      <c r="D1" s="614"/>
      <c r="E1" s="614"/>
      <c r="F1" s="614"/>
      <c r="G1" s="614"/>
      <c r="H1" s="614"/>
      <c r="I1" s="614"/>
      <c r="J1" s="614"/>
      <c r="K1" s="614"/>
      <c r="L1" s="614"/>
      <c r="M1" s="614"/>
      <c r="N1" s="614"/>
      <c r="O1" s="614"/>
      <c r="P1" s="614"/>
      <c r="Q1" s="614"/>
      <c r="R1" s="614"/>
      <c r="S1" s="1068"/>
      <c r="T1" s="1197" t="s">
        <v>1193</v>
      </c>
      <c r="U1" s="1197"/>
      <c r="V1" s="1875" t="n">
        <v>37456</v>
      </c>
      <c r="W1" s="1198"/>
      <c r="AE1" s="1414" t="n">
        <f aca="false">SUM(AE67:AE127)</f>
        <v>0</v>
      </c>
    </row>
    <row r="2" s="1414" customFormat="true" ht="15" hidden="false" customHeight="false" outlineLevel="0" collapsed="false">
      <c r="A2" s="1415" t="str">
        <f aca="false">Summary!C1</f>
        <v>Trammell Crow – LBJ</v>
      </c>
      <c r="B2" s="1416"/>
      <c r="C2" s="1416"/>
      <c r="D2" s="1417"/>
      <c r="E2" s="654"/>
      <c r="F2" s="654"/>
      <c r="G2" s="406"/>
      <c r="H2" s="1268" t="s">
        <v>56</v>
      </c>
      <c r="I2" s="1068"/>
      <c r="J2" s="1202" t="s">
        <v>57</v>
      </c>
      <c r="K2" s="614"/>
      <c r="L2" s="614"/>
      <c r="M2" s="614"/>
      <c r="N2" s="1202" t="s">
        <v>1</v>
      </c>
      <c r="O2" s="1202"/>
      <c r="P2" s="1202" t="s">
        <v>1194</v>
      </c>
      <c r="Q2" s="865"/>
      <c r="R2" s="654"/>
      <c r="S2" s="654"/>
      <c r="T2" s="836" t="s">
        <v>957</v>
      </c>
      <c r="U2" s="695"/>
      <c r="V2" s="837" t="n">
        <f aca="false">Information!C7</f>
        <v>0</v>
      </c>
      <c r="W2" s="838"/>
    </row>
    <row r="3" s="1414" customFormat="true" ht="15" hidden="false" customHeight="false" outlineLevel="0" collapsed="false">
      <c r="A3" s="1420" t="n">
        <f aca="false">Summary!C2</f>
        <v>0</v>
      </c>
      <c r="B3" s="1421"/>
      <c r="C3" s="1421"/>
      <c r="D3" s="1422"/>
      <c r="E3" s="654"/>
      <c r="F3" s="654"/>
      <c r="G3" s="421"/>
      <c r="H3" s="1004" t="s">
        <v>955</v>
      </c>
      <c r="I3" s="1876" t="n">
        <f aca="false">Summary!K2</f>
        <v>0</v>
      </c>
      <c r="J3" s="1877"/>
      <c r="K3" s="1877"/>
      <c r="L3" s="1877"/>
      <c r="M3" s="1877"/>
      <c r="N3" s="1878" t="n">
        <f aca="false">Summary!O2</f>
        <v>0</v>
      </c>
      <c r="O3" s="1878"/>
      <c r="P3" s="1423" t="n">
        <f aca="false">Summary!P2</f>
        <v>0</v>
      </c>
      <c r="Q3" s="1424"/>
      <c r="R3" s="654"/>
      <c r="S3" s="654"/>
      <c r="T3" s="599"/>
      <c r="U3" s="16"/>
      <c r="V3" s="16"/>
      <c r="W3" s="843"/>
    </row>
    <row r="4" s="1414" customFormat="true" ht="15" hidden="false" customHeight="false" outlineLevel="0" collapsed="false">
      <c r="A4" s="1425" t="str">
        <f aca="false">Summary!C3</f>
        <v>Dallas, TX</v>
      </c>
      <c r="B4" s="1426"/>
      <c r="C4" s="1426"/>
      <c r="D4" s="1427"/>
      <c r="E4" s="654"/>
      <c r="F4" s="654"/>
      <c r="G4" s="421"/>
      <c r="H4" s="1004" t="s">
        <v>71</v>
      </c>
      <c r="I4" s="1879" t="n">
        <f aca="false">Summary!K3</f>
        <v>0</v>
      </c>
      <c r="J4" s="1880"/>
      <c r="K4" s="1880"/>
      <c r="L4" s="1880"/>
      <c r="M4" s="1880"/>
      <c r="N4" s="1881" t="n">
        <f aca="false">Summary!O3</f>
        <v>0</v>
      </c>
      <c r="O4" s="1881"/>
      <c r="P4" s="1428" t="n">
        <f aca="false">Summary!P3</f>
        <v>0</v>
      </c>
      <c r="Q4" s="1429"/>
      <c r="R4" s="654"/>
      <c r="S4" s="654"/>
      <c r="T4" s="599" t="s">
        <v>958</v>
      </c>
      <c r="U4" s="16"/>
      <c r="V4" s="848"/>
      <c r="W4" s="849"/>
    </row>
    <row r="5" s="1414" customFormat="true" ht="15" hidden="false" customHeight="false" outlineLevel="0" collapsed="false">
      <c r="A5" s="1041" t="s">
        <v>0</v>
      </c>
      <c r="B5" s="654"/>
      <c r="C5" s="405" t="s">
        <v>1</v>
      </c>
      <c r="D5" s="16"/>
      <c r="E5" s="654"/>
      <c r="F5" s="654"/>
      <c r="G5" s="421"/>
      <c r="H5" s="1004" t="s">
        <v>79</v>
      </c>
      <c r="I5" s="1882" t="n">
        <f aca="false">Summary!K4</f>
        <v>0</v>
      </c>
      <c r="J5" s="1883"/>
      <c r="K5" s="1883"/>
      <c r="L5" s="1883"/>
      <c r="M5" s="1883"/>
      <c r="N5" s="1432" t="n">
        <f aca="false">Summary!O4</f>
        <v>0</v>
      </c>
      <c r="O5" s="1432"/>
      <c r="P5" s="1884" t="n">
        <f aca="false">Summary!P4</f>
        <v>0</v>
      </c>
      <c r="Q5" s="1885"/>
      <c r="R5" s="654"/>
      <c r="S5" s="654"/>
      <c r="T5" s="599"/>
      <c r="U5" s="16"/>
      <c r="V5" s="16"/>
      <c r="W5" s="843"/>
    </row>
    <row r="6" s="1414" customFormat="true" ht="15" hidden="false" customHeight="false" outlineLevel="0" collapsed="false">
      <c r="A6" s="1211" t="n">
        <v>0</v>
      </c>
      <c r="B6" s="654"/>
      <c r="C6" s="851" t="n">
        <v>0</v>
      </c>
      <c r="D6" s="851"/>
      <c r="E6" s="654"/>
      <c r="F6" s="654"/>
      <c r="G6" s="685"/>
      <c r="H6" s="1212" t="s">
        <v>87</v>
      </c>
      <c r="I6" s="1886" t="n">
        <f aca="false">Summary!K5</f>
        <v>0</v>
      </c>
      <c r="J6" s="1887"/>
      <c r="K6" s="1887"/>
      <c r="L6" s="1887"/>
      <c r="M6" s="1887"/>
      <c r="N6" s="1888" t="n">
        <f aca="false">Summary!O5</f>
        <v>0</v>
      </c>
      <c r="O6" s="1888"/>
      <c r="P6" s="1889" t="n">
        <f aca="false">Summary!P5</f>
        <v>0</v>
      </c>
      <c r="Q6" s="1890"/>
      <c r="R6" s="654"/>
      <c r="S6" s="654"/>
      <c r="T6" s="602" t="s">
        <v>958</v>
      </c>
      <c r="U6" s="855"/>
      <c r="V6" s="855"/>
      <c r="W6" s="856"/>
    </row>
    <row r="7" s="1414" customFormat="true" ht="15" hidden="false" customHeight="false" outlineLevel="0" collapsed="false">
      <c r="A7" s="1214" t="n">
        <v>0</v>
      </c>
      <c r="B7" s="654"/>
      <c r="C7" s="1215" t="n">
        <v>0</v>
      </c>
      <c r="D7" s="1215"/>
      <c r="E7" s="654"/>
      <c r="F7" s="1212" t="s">
        <v>1196</v>
      </c>
      <c r="G7" s="1212"/>
      <c r="H7" s="1212"/>
      <c r="I7" s="860" t="str">
        <f aca="false">Pricing!A3</f>
        <v>SRM</v>
      </c>
      <c r="J7" s="860"/>
      <c r="K7" s="860"/>
      <c r="L7" s="860"/>
      <c r="M7" s="860"/>
      <c r="N7" s="726"/>
      <c r="O7" s="726"/>
      <c r="P7" s="726"/>
      <c r="Q7" s="726"/>
      <c r="R7" s="726"/>
      <c r="S7" s="654"/>
      <c r="T7" s="654"/>
      <c r="U7" s="654"/>
      <c r="V7" s="654"/>
      <c r="W7" s="1218"/>
    </row>
    <row r="8" s="1414" customFormat="true" ht="28.55" hidden="false" customHeight="false" outlineLevel="0" collapsed="false">
      <c r="A8" s="1219"/>
      <c r="B8" s="1891"/>
      <c r="C8" s="1892" t="s">
        <v>1660</v>
      </c>
      <c r="D8" s="1893" t="s">
        <v>1661</v>
      </c>
      <c r="E8" s="1894" t="s">
        <v>1662</v>
      </c>
      <c r="F8" s="1895"/>
      <c r="G8" s="1896"/>
      <c r="H8" s="1897" t="s">
        <v>1663</v>
      </c>
      <c r="I8" s="1895"/>
      <c r="J8" s="1896"/>
      <c r="K8" s="1897" t="s">
        <v>1664</v>
      </c>
      <c r="L8" s="1895"/>
      <c r="M8" s="1895"/>
      <c r="N8" s="1898" t="s">
        <v>1665</v>
      </c>
      <c r="O8" s="1457"/>
      <c r="P8" s="1457"/>
      <c r="Q8" s="1457" t="s">
        <v>785</v>
      </c>
      <c r="R8" s="1899" t="n">
        <v>3</v>
      </c>
      <c r="S8" s="1894" t="s">
        <v>1362</v>
      </c>
      <c r="T8" s="1457"/>
      <c r="U8" s="863"/>
      <c r="V8" s="1452" t="s">
        <v>1363</v>
      </c>
      <c r="W8" s="1673" t="s">
        <v>1219</v>
      </c>
      <c r="AI8" s="1414" t="s">
        <v>1666</v>
      </c>
      <c r="AS8" s="1414" t="s">
        <v>1667</v>
      </c>
      <c r="BJ8" s="1900" t="s">
        <v>1507</v>
      </c>
      <c r="BK8" s="1900"/>
      <c r="BL8" s="1900"/>
      <c r="BM8" s="1900"/>
      <c r="BN8" s="1900"/>
      <c r="BO8" s="1900"/>
      <c r="BP8" s="1900"/>
      <c r="BQ8" s="1900"/>
      <c r="BR8" s="1900"/>
      <c r="BS8" s="1901"/>
      <c r="BT8" s="1901"/>
      <c r="BU8" s="1901"/>
      <c r="BV8" s="1901"/>
      <c r="BW8" s="1902"/>
      <c r="DD8" s="1903" t="s">
        <v>1021</v>
      </c>
      <c r="DE8" s="1903"/>
      <c r="DF8" s="1903"/>
      <c r="DG8" s="1903"/>
      <c r="DH8" s="1904"/>
      <c r="DI8" s="1904"/>
      <c r="DJ8" s="1905"/>
    </row>
    <row r="9" s="1414" customFormat="true" ht="28.55" hidden="false" customHeight="true" outlineLevel="0" collapsed="false">
      <c r="A9" s="1906" t="s">
        <v>1668</v>
      </c>
      <c r="B9" s="1906"/>
      <c r="C9" s="1227" t="s">
        <v>1428</v>
      </c>
      <c r="D9" s="1907" t="s">
        <v>1669</v>
      </c>
      <c r="E9" s="1477" t="s">
        <v>1366</v>
      </c>
      <c r="F9" s="1226" t="s">
        <v>1670</v>
      </c>
      <c r="G9" s="1225" t="s">
        <v>1596</v>
      </c>
      <c r="H9" s="1226" t="s">
        <v>1216</v>
      </c>
      <c r="I9" s="1226" t="s">
        <v>1215</v>
      </c>
      <c r="J9" s="1477" t="s">
        <v>1671</v>
      </c>
      <c r="K9" s="1226" t="s">
        <v>1216</v>
      </c>
      <c r="L9" s="1227" t="s">
        <v>1215</v>
      </c>
      <c r="M9" s="1226" t="s">
        <v>1672</v>
      </c>
      <c r="N9" s="1908" t="s">
        <v>1673</v>
      </c>
      <c r="O9" s="1227" t="s">
        <v>1674</v>
      </c>
      <c r="P9" s="1227" t="s">
        <v>1216</v>
      </c>
      <c r="Q9" s="1227" t="s">
        <v>1215</v>
      </c>
      <c r="R9" s="1680" t="s">
        <v>1672</v>
      </c>
      <c r="S9" s="1230" t="s">
        <v>835</v>
      </c>
      <c r="T9" s="1227" t="s">
        <v>1675</v>
      </c>
      <c r="U9" s="1477" t="s">
        <v>1676</v>
      </c>
      <c r="V9" s="1480"/>
      <c r="W9" s="1682"/>
      <c r="AH9" s="1909" t="s">
        <v>1374</v>
      </c>
      <c r="AI9" s="1910" t="s">
        <v>1375</v>
      </c>
      <c r="AJ9" s="1910" t="s">
        <v>1376</v>
      </c>
      <c r="AK9" s="1910" t="s">
        <v>1377</v>
      </c>
      <c r="AL9" s="1910" t="s">
        <v>1378</v>
      </c>
      <c r="AM9" s="1910" t="s">
        <v>1522</v>
      </c>
      <c r="AN9" s="1910" t="s">
        <v>1523</v>
      </c>
      <c r="AO9" s="1910" t="s">
        <v>1524</v>
      </c>
      <c r="AP9" s="1910" t="s">
        <v>1525</v>
      </c>
      <c r="AQ9" s="1911" t="s">
        <v>1526</v>
      </c>
      <c r="AR9" s="1909" t="s">
        <v>1374</v>
      </c>
      <c r="AS9" s="1910" t="s">
        <v>1375</v>
      </c>
      <c r="AT9" s="1910" t="s">
        <v>1376</v>
      </c>
      <c r="AU9" s="1910" t="s">
        <v>1377</v>
      </c>
      <c r="AV9" s="1910" t="s">
        <v>1378</v>
      </c>
      <c r="AW9" s="1910" t="s">
        <v>1522</v>
      </c>
      <c r="AX9" s="1910" t="s">
        <v>1523</v>
      </c>
      <c r="AY9" s="1910" t="s">
        <v>1524</v>
      </c>
      <c r="AZ9" s="1910" t="s">
        <v>1525</v>
      </c>
      <c r="BA9" s="1911" t="s">
        <v>1526</v>
      </c>
      <c r="BB9" s="1414" t="s">
        <v>1677</v>
      </c>
      <c r="BC9" s="1414" t="s">
        <v>1678</v>
      </c>
      <c r="BD9" s="1414" t="s">
        <v>1385</v>
      </c>
      <c r="BE9" s="1414" t="s">
        <v>1386</v>
      </c>
      <c r="BF9" s="1414" t="s">
        <v>1387</v>
      </c>
      <c r="BG9" s="1414" t="s">
        <v>1679</v>
      </c>
      <c r="BH9" s="427" t="s">
        <v>1680</v>
      </c>
      <c r="BJ9" s="1912" t="s">
        <v>577</v>
      </c>
      <c r="BK9" s="1913" t="s">
        <v>1388</v>
      </c>
      <c r="BL9" s="1914" t="s">
        <v>1681</v>
      </c>
      <c r="BM9" s="1913" t="s">
        <v>1389</v>
      </c>
      <c r="BN9" s="1913" t="s">
        <v>1682</v>
      </c>
      <c r="BO9" s="1913" t="s">
        <v>1391</v>
      </c>
      <c r="BP9" s="1914" t="s">
        <v>1683</v>
      </c>
      <c r="BQ9" s="1913" t="s">
        <v>1393</v>
      </c>
      <c r="BR9" s="1915"/>
      <c r="BS9" s="1913" t="s">
        <v>1684</v>
      </c>
      <c r="BT9" s="1913"/>
      <c r="BU9" s="1913" t="s">
        <v>1685</v>
      </c>
      <c r="BV9" s="1913" t="s">
        <v>1686</v>
      </c>
      <c r="BW9" s="1915" t="s">
        <v>1687</v>
      </c>
      <c r="DB9" s="427" t="s">
        <v>1688</v>
      </c>
      <c r="DC9" s="427" t="s">
        <v>1689</v>
      </c>
      <c r="DD9" s="1916" t="s">
        <v>1250</v>
      </c>
      <c r="DE9" s="1917" t="s">
        <v>1396</v>
      </c>
      <c r="DF9" s="1917" t="s">
        <v>1397</v>
      </c>
      <c r="DG9" s="1917" t="s">
        <v>1690</v>
      </c>
      <c r="DH9" s="1917" t="s">
        <v>1141</v>
      </c>
      <c r="DI9" s="1917" t="s">
        <v>1691</v>
      </c>
      <c r="DJ9" s="1918" t="s">
        <v>1692</v>
      </c>
    </row>
    <row r="10" s="1414" customFormat="true" ht="15" hidden="false" customHeight="false" outlineLevel="0" collapsed="false">
      <c r="A10" s="507"/>
      <c r="B10" s="1312"/>
      <c r="C10" s="1919"/>
      <c r="D10" s="1920"/>
      <c r="E10" s="1937"/>
      <c r="F10" s="1234"/>
      <c r="G10" s="1235"/>
      <c r="H10" s="1236"/>
      <c r="I10" s="1234"/>
      <c r="J10" s="1235"/>
      <c r="K10" s="1236"/>
      <c r="L10" s="1234"/>
      <c r="M10" s="1234"/>
      <c r="N10" s="1922"/>
      <c r="O10" s="1234"/>
      <c r="P10" s="1234"/>
      <c r="Q10" s="1234"/>
      <c r="R10" s="1923"/>
      <c r="S10" s="1924"/>
      <c r="T10" s="78"/>
      <c r="U10" s="900"/>
      <c r="V10" s="1925" t="n">
        <f aca="false">((E10*I10/16*I10/16*10.680159*J10)*IF(H10=0,0,(G10/H10))+(G10/12*L10/16*L10/16*10.680159*M10)*IF(K10=0,0,(E10*12/K10))+(E10*IF(P10=0,0,N10/P10)*Q10/16*Q10/16*10.680159*R10)+(IF(P10=0,0,E10/P10*N10)*Q10/16*Q10/16*10.680159*R10)+((T10*U10*S10*0.03*0.2836*G10)/12+4)*IF(H10=0,0,(G10/H10))*I10/16*I10/16*10.680159)*(1+J$56)</f>
        <v>0</v>
      </c>
      <c r="W10" s="1926" t="n">
        <f aca="false">((E10*F10/12*G10/324)+ROUNDUP(S10*T10*U10*G10/46656,0)+(N10*O10*E10/3888))*(1+J$51)</f>
        <v>0</v>
      </c>
      <c r="AH10" s="1927" t="n">
        <f aca="false">IF($R$8=1,$N10*$O10*$E10/3888*(1+$J$51),0)</f>
        <v>0</v>
      </c>
      <c r="AI10" s="1928" t="n">
        <f aca="false">IF($R$8=2,$N10*$O10*$E10/3888*(1+$J$51),0)</f>
        <v>0</v>
      </c>
      <c r="AJ10" s="1928" t="n">
        <f aca="false">IF($R$8=3,$N10*$O10*$E10/3888*(1+$J$51),0)</f>
        <v>0</v>
      </c>
      <c r="AK10" s="1928" t="n">
        <f aca="false">IF($R$8=4,$N10*$O10*$E10/3888*(1+$J$51),0)</f>
        <v>0</v>
      </c>
      <c r="AL10" s="1928" t="n">
        <f aca="false">IF($R$8=5,$N10*$O10*$E10/3888*(1+$J$51),0)</f>
        <v>0</v>
      </c>
      <c r="AM10" s="1928" t="n">
        <f aca="false">IF($R$8=6,$N10*$O10*$E10/3888*(1+$J$51),0)</f>
        <v>0</v>
      </c>
      <c r="AN10" s="1928" t="n">
        <f aca="false">IF($R$8=7,$N10*$O10*$E10/3888*(1+$J$51),0)</f>
        <v>0</v>
      </c>
      <c r="AO10" s="1928" t="n">
        <f aca="false">IF($R$8=8,$N10*$O10*$E10/3888*(1+$J$51),0)</f>
        <v>0</v>
      </c>
      <c r="AP10" s="1928" t="n">
        <f aca="false">IF($R$8=9,$N10*$O10*$E10/3888*(1+$J$51),0)</f>
        <v>0</v>
      </c>
      <c r="AQ10" s="1928" t="n">
        <f aca="false">IF($R$8=10,$N10*$O10*$E10/3888*(1+$J$51),0)</f>
        <v>0</v>
      </c>
      <c r="AR10" s="1929" t="n">
        <f aca="false">IF($D10=1,$W10-SUM($AH10:$AQ10),0)</f>
        <v>0</v>
      </c>
      <c r="AS10" s="1928" t="n">
        <f aca="false">IF($D10=2,W10-SUM($AH10:$AQ10),0)</f>
        <v>0</v>
      </c>
      <c r="AT10" s="1928" t="n">
        <f aca="false">IF($D10=3,W10-SUM($AH10:$AQ10),0)</f>
        <v>0</v>
      </c>
      <c r="AU10" s="1928" t="n">
        <f aca="false">IF($D10=4,W10-SUM($AH10:$AQ10),0)</f>
        <v>0</v>
      </c>
      <c r="AV10" s="1928" t="n">
        <f aca="false">IF($D10=5,W10-SUM($AH10:$AQ10),0)</f>
        <v>0</v>
      </c>
      <c r="AW10" s="1928" t="n">
        <f aca="false">IF($D10=6,W10-SUM($AH10:$AQ10),0)</f>
        <v>0</v>
      </c>
      <c r="AX10" s="1928" t="n">
        <f aca="false">IF($D10=7,W10-SUM($AH10:$AQ10),0)</f>
        <v>0</v>
      </c>
      <c r="AY10" s="1928" t="n">
        <f aca="false">IF($D10=8,W10-SUM($AH10:$AQ10),0)</f>
        <v>0</v>
      </c>
      <c r="AZ10" s="1928" t="n">
        <f aca="false">IF($D10=9,W10-SUM($AH10:$AQ10),0)</f>
        <v>0</v>
      </c>
      <c r="BA10" s="1930" t="n">
        <f aca="false">IF($D10=10,W10-SUM($AH10:$AQ10),0)</f>
        <v>0</v>
      </c>
      <c r="BB10" s="1928" t="n">
        <f aca="false">SUM(AH10:AM10)</f>
        <v>0</v>
      </c>
      <c r="BC10" s="1928" t="n">
        <f aca="false">SUM(AR10:AW10)</f>
        <v>0</v>
      </c>
      <c r="BD10" s="1928" t="n">
        <f aca="false">V10</f>
        <v>0</v>
      </c>
      <c r="BE10" s="1928" t="n">
        <f aca="false">E10*G10/12*2+(U10*U10*G10/1728*S10)</f>
        <v>0</v>
      </c>
      <c r="BF10" s="1928" t="n">
        <f aca="false">BE10/2</f>
        <v>0</v>
      </c>
      <c r="BG10" s="1928" t="n">
        <f aca="false">N10*E10/12</f>
        <v>0</v>
      </c>
      <c r="BH10" s="1928" t="n">
        <f aca="false">ROUND(IF(C10="Y",BF10*3/27,0),0)</f>
        <v>0</v>
      </c>
      <c r="BJ10" s="1931" t="n">
        <f aca="false">V10*F$56*IF(T$39="N",(1+V$39),1)</f>
        <v>0</v>
      </c>
      <c r="BK10" s="1932" t="n">
        <f aca="false">(AR10*Pricing!F$3+AS10*Pricing!G$3+AT10*Pricing!H$3+AU10*Pricing!I$3+AV10*Pricing!J$3+AW10*Pricing!K$3+AH10*Pricing!F$3+AI10*Pricing!G$3+AJ10*Pricing!H$3+AK10*Pricing!I$3+AL10*Pricing!J$3+AM10*Pricing!K$3)*IF(T$39="N",(1+V$39),1)</f>
        <v>0</v>
      </c>
      <c r="BL10" s="1932" t="n">
        <f aca="false">IF(C10="Y",(N$59+N$60)/DF$36*DF10,0)</f>
        <v>0</v>
      </c>
      <c r="BM10" s="1932" t="n">
        <f aca="false">BF10*(G$67+D$70)</f>
        <v>0</v>
      </c>
      <c r="BN10" s="1932" t="n">
        <f aca="false">BG10*D$66</f>
        <v>0</v>
      </c>
      <c r="BO10" s="1932" t="n">
        <f aca="false">V10/2000*D$71</f>
        <v>0</v>
      </c>
      <c r="BP10" s="1932" t="n">
        <f aca="false">IF(C10="Y",(N$74+N$73+N$72)/DF$36*DF10,0)</f>
        <v>0</v>
      </c>
      <c r="BQ10" s="1932" t="n">
        <f aca="false">IF(SUM(BF$36:BG$36)=0,0,(SUM(N$78:O$81)+SUM(N$83:O$88)+SUM(N$90:O$96)+W$95)/SUM(BF$36:BG$36)*(BF10+BG10))</f>
        <v>0</v>
      </c>
      <c r="BR10" s="1933"/>
      <c r="BS10" s="1934" t="n">
        <f aca="false">IF(SUM(BF$36:BG$36)=0,0,(BQ$36-W$58-N$64-W77-(L$79*0.15))/SUM(BF$36:BG$36)*BG10+BN10)</f>
        <v>0</v>
      </c>
      <c r="BT10" s="1932" t="n">
        <f aca="false">(AH10*Pricing!F$3+AI10*Pricing!G$3+AJ10*Pricing!H$3+AK10*Pricing!I$3+AL10*Pricing!J$3+AM10*Pricing!K$3)*IF(T$39="N",(1+V$39),1)</f>
        <v>0</v>
      </c>
      <c r="BU10" s="1932" t="n">
        <f aca="false">IF(BG10=0,0,(BS10+BT10)/BG10)</f>
        <v>0</v>
      </c>
      <c r="BV10" s="1932" t="n">
        <f aca="false">SUM(BJ10:BQ10)-BS10-BT10</f>
        <v>0</v>
      </c>
      <c r="BW10" s="1933" t="n">
        <f aca="false">IF(BE10=0,0,BV10/BF10)</f>
        <v>0</v>
      </c>
      <c r="DB10" s="1935" t="n">
        <f aca="false">IF(W10=0,0,D$40/SUM(W$10:W$35)*W10)</f>
        <v>0</v>
      </c>
      <c r="DC10" s="1932" t="n">
        <f aca="false">E10*N10/12*(D$40-7980)/H$66</f>
        <v>0</v>
      </c>
      <c r="DD10" s="179" t="n">
        <f aca="false">ROUND(N10*O10/3088*E10,0)</f>
        <v>0</v>
      </c>
      <c r="DE10" s="908" t="n">
        <f aca="false">ROUND(V10,0)</f>
        <v>0</v>
      </c>
      <c r="DF10" s="356" t="n">
        <f aca="false">ROUND(IF(C10="Y",(G10*0.25*E10+G10*G10/144*0.5*E10)/27*1.3,0),0)</f>
        <v>0</v>
      </c>
      <c r="DG10" s="908" t="n">
        <f aca="false">ROUND(E10*G10/12,0)</f>
        <v>0</v>
      </c>
      <c r="DH10" s="908" t="n">
        <f aca="false">IF(C10="y",ROUNDUP(E10*G10/12,0),0)</f>
        <v>0</v>
      </c>
      <c r="DI10" s="908" t="n">
        <f aca="false">IF(C10="Y",IF(E10&gt;0,E10,0),0)</f>
        <v>0</v>
      </c>
      <c r="DJ10" s="1936" t="n">
        <f aca="false">ROUND(E10*N10/12,0)</f>
        <v>0</v>
      </c>
    </row>
    <row r="11" s="1414" customFormat="true" ht="15" hidden="false" customHeight="false" outlineLevel="0" collapsed="false">
      <c r="A11" s="507"/>
      <c r="B11" s="1312"/>
      <c r="C11" s="1919" t="s">
        <v>1302</v>
      </c>
      <c r="D11" s="1920" t="n">
        <v>5</v>
      </c>
      <c r="E11" s="1937" t="n">
        <f aca="false">405/3</f>
        <v>135</v>
      </c>
      <c r="F11" s="1234" t="n">
        <v>12</v>
      </c>
      <c r="G11" s="1235" t="n">
        <v>36</v>
      </c>
      <c r="H11" s="1236" t="n">
        <v>12</v>
      </c>
      <c r="I11" s="1234" t="n">
        <v>5</v>
      </c>
      <c r="J11" s="1235" t="n">
        <v>2</v>
      </c>
      <c r="K11" s="1236" t="n">
        <v>12</v>
      </c>
      <c r="L11" s="1234" t="n">
        <v>5</v>
      </c>
      <c r="M11" s="1234" t="n">
        <v>2</v>
      </c>
      <c r="N11" s="1922" t="n">
        <v>70</v>
      </c>
      <c r="O11" s="1234" t="n">
        <v>12</v>
      </c>
      <c r="P11" s="1234" t="n">
        <v>12</v>
      </c>
      <c r="Q11" s="1237" t="n">
        <v>5</v>
      </c>
      <c r="R11" s="1923" t="n">
        <v>2</v>
      </c>
      <c r="S11" s="1924"/>
      <c r="T11" s="78"/>
      <c r="U11" s="900"/>
      <c r="V11" s="1925" t="n">
        <f aca="false">((E11*I11/16*I11/16*10.680159*J11)*IF(H11=0,0,(G11/H11))+(G11/12*L11/16*L11/16*10.680159*M11)*IF(K11=0,0,(E11*12/K11))+(E11*IF(P11=0,0,N11/P11)*Q11/16*Q11/16*10.680159*R11)+(IF(P11=0,0,E11/P11*N11)*Q11/16*Q11/16*10.680159*R11)+((T11*U11*S11*0.03*0.2836*G11)/12+4)*IF(H11=0,0,(G11/H11))*I11/16*I11/16*10.680159)*(1+J$56)</f>
        <v>5486.3058956836</v>
      </c>
      <c r="W11" s="1926" t="n">
        <f aca="false">((E11*F11/12*G11/324)+ROUNDUP(S11*T11*U11*G11/46656,0)+(N11*O11*E11/3888))*(1+J$51)</f>
        <v>46.8166666666667</v>
      </c>
      <c r="AH11" s="1929" t="n">
        <f aca="false">IF($R$8=1,$N11*$O11*$E11/3888*(1+$J$51),0)</f>
        <v>0</v>
      </c>
      <c r="AI11" s="1928" t="n">
        <f aca="false">IF($R$8=2,$N11*$O11*$E11/3888*(1+$J$51),0)</f>
        <v>0</v>
      </c>
      <c r="AJ11" s="1928" t="n">
        <f aca="false">IF($R$8=3,$N11*$O11*$E11/3888*(1+$J$51),0)</f>
        <v>30.9166666666667</v>
      </c>
      <c r="AK11" s="1928" t="n">
        <f aca="false">IF($R$8=4,$N11*$O11*$E11/3888*(1+$J$51),0)</f>
        <v>0</v>
      </c>
      <c r="AL11" s="1928" t="n">
        <f aca="false">IF($R$8=5,$N11*$O11*$E11/3888*(1+$J$51),0)</f>
        <v>0</v>
      </c>
      <c r="AM11" s="1928" t="n">
        <f aca="false">IF($R$8=6,$N11*$O11*$E11/3888*(1+$J$51),0)</f>
        <v>0</v>
      </c>
      <c r="AN11" s="1928" t="n">
        <f aca="false">IF($R$8=7,$N11*$O11*$E11/3888*(1+$J$51),0)</f>
        <v>0</v>
      </c>
      <c r="AO11" s="1928" t="n">
        <f aca="false">IF($R$8=8,$N11*$O11*$E11/3888*(1+$J$51),0)</f>
        <v>0</v>
      </c>
      <c r="AP11" s="1928" t="n">
        <f aca="false">IF($R$8=9,$N11*$O11*$E11/3888*(1+$J$51),0)</f>
        <v>0</v>
      </c>
      <c r="AQ11" s="1928" t="n">
        <f aca="false">IF($R$8=10,$N11*$O11*$E11/3888*(1+$J$51),0)</f>
        <v>0</v>
      </c>
      <c r="AR11" s="1929" t="n">
        <f aca="false">IF($D11=1,$W11-SUM($AH11:$AQ11),0)</f>
        <v>0</v>
      </c>
      <c r="AS11" s="1928" t="n">
        <f aca="false">IF($D11=2,W11-SUM($AH11:$AQ11),0)</f>
        <v>0</v>
      </c>
      <c r="AT11" s="1928" t="n">
        <f aca="false">IF($D11=3,W11-SUM($AH11:$AQ11),0)</f>
        <v>0</v>
      </c>
      <c r="AU11" s="1928" t="n">
        <f aca="false">IF($D11=4,W11-SUM($AH11:$AQ11),0)</f>
        <v>0</v>
      </c>
      <c r="AV11" s="1928" t="n">
        <f aca="false">IF($D11=5,W11-SUM($AH11:$AQ11),0)</f>
        <v>15.9</v>
      </c>
      <c r="AW11" s="1928" t="n">
        <f aca="false">IF($D11=6,W11-SUM($AH11:$AQ11),0)</f>
        <v>0</v>
      </c>
      <c r="AX11" s="1928" t="n">
        <f aca="false">IF($D11=7,W11-SUM($AH11:$AQ11),0)</f>
        <v>0</v>
      </c>
      <c r="AY11" s="1928" t="n">
        <f aca="false">IF($D11=8,W11-SUM($AH11:$AQ11),0)</f>
        <v>0</v>
      </c>
      <c r="AZ11" s="1928" t="n">
        <f aca="false">IF($D11=9,W11-SUM($AH11:$AQ11),0)</f>
        <v>0</v>
      </c>
      <c r="BA11" s="1930" t="n">
        <f aca="false">IF($D11=10,W11-SUM($AH11:$AQ11),0)</f>
        <v>0</v>
      </c>
      <c r="BB11" s="1928" t="n">
        <f aca="false">SUM(AH11:AM11)</f>
        <v>30.9166666666667</v>
      </c>
      <c r="BC11" s="1928" t="n">
        <f aca="false">SUM(AR11:AW11)</f>
        <v>15.9</v>
      </c>
      <c r="BD11" s="1928" t="n">
        <f aca="false">V11</f>
        <v>5486.3058956836</v>
      </c>
      <c r="BE11" s="1928" t="n">
        <f aca="false">E11*G11/12*2+(U11*U11*G11/1728*S11)</f>
        <v>810</v>
      </c>
      <c r="BF11" s="1928" t="n">
        <f aca="false">BE11/2</f>
        <v>405</v>
      </c>
      <c r="BG11" s="1928" t="n">
        <f aca="false">N11*E11/12</f>
        <v>787.5</v>
      </c>
      <c r="BH11" s="1928" t="n">
        <f aca="false">ROUND(IF(C11="Y",BF11*3/27,0),0)</f>
        <v>45</v>
      </c>
      <c r="BJ11" s="1931" t="n">
        <f aca="false">V11*F$56*IF(T$39="N",(1+V$39),1)</f>
        <v>3266.40937264262</v>
      </c>
      <c r="BK11" s="1932" t="n">
        <f aca="false">(AR11*Pricing!F$3+AS11*Pricing!G$3+AT11*Pricing!H$3+AU11*Pricing!I$3+AV11*Pricing!J$3+AW11*Pricing!K$3+AH11*Pricing!F$3+AI11*Pricing!G$3+AJ11*Pricing!H$3+AK11*Pricing!I$3+AL11*Pricing!J$3+AM11*Pricing!K$3)*IF(T$39="N",(1+V$39),1)</f>
        <v>7181.12458333334</v>
      </c>
      <c r="BL11" s="1932" t="n">
        <f aca="false">IF(C11="Y",(N$59+N$60)/DF$36*DF11,0)</f>
        <v>690.337078651685</v>
      </c>
      <c r="BM11" s="1932" t="n">
        <f aca="false">BF11*(G$67+D$70)</f>
        <v>3341.25</v>
      </c>
      <c r="BN11" s="1932" t="n">
        <f aca="false">BG11*D$66</f>
        <v>6300</v>
      </c>
      <c r="BO11" s="1932" t="n">
        <f aca="false">V11/2000*D$71</f>
        <v>1234.41882652881</v>
      </c>
      <c r="BP11" s="1932" t="n">
        <f aca="false">IF(C11="Y",(N$74+N$73+N$72)/DF$36*DF11,0)</f>
        <v>1485.30337078652</v>
      </c>
      <c r="BQ11" s="1932" t="n">
        <f aca="false">IF(SUM(BF$36:BG$36)=0,0,(SUM(N$78:O$81)+SUM(N$83:O$88)+SUM(N$90:O$96)+W$95)/SUM(BF$36:BG$36)*(BF11+BG11))</f>
        <v>7525.43070629925</v>
      </c>
      <c r="BR11" s="1933"/>
      <c r="BS11" s="1934" t="n">
        <f aca="false">IF(SUM(BF$36:BG$36)=0,0,(BQ$36-W$58-N$64-W59-(L$79*0.15))/SUM(BF$36:BG$36)*BG11+BN11)</f>
        <v>10277.8661246443</v>
      </c>
      <c r="BT11" s="1932" t="n">
        <f aca="false">(AH11*Pricing!F$3+AI11*Pricing!G$3+AJ11*Pricing!H$3+AK11*Pricing!I$3+AL11*Pricing!J$3+AM11*Pricing!K$3)*IF(T$39="N",(1+V$39),1)</f>
        <v>4685.42083333333</v>
      </c>
      <c r="BU11" s="1932" t="n">
        <f aca="false">IF(BG11=0,0,(BS11+BT11)/BG11)</f>
        <v>19.0009993117177</v>
      </c>
      <c r="BV11" s="1932" t="n">
        <f aca="false">SUM(BJ11:BQ11)-BS11-BT11</f>
        <v>16060.9869802645</v>
      </c>
      <c r="BW11" s="1933" t="n">
        <f aca="false">IF(BE11=0,0,BV11/BF11)</f>
        <v>39.6567579759618</v>
      </c>
      <c r="DB11" s="1935" t="n">
        <f aca="false">IF(W11=0,0,D$40/SUM(W$10:W$35)*W11)</f>
        <v>37890.5430778065</v>
      </c>
      <c r="DC11" s="1932" t="n">
        <f aca="false">E11*N11/12*(D$40-7980)/H$66</f>
        <v>46084.0160914235</v>
      </c>
      <c r="DD11" s="179" t="n">
        <f aca="false">ROUND(N11*O11/3088*E11,0)</f>
        <v>37</v>
      </c>
      <c r="DE11" s="908" t="n">
        <f aca="false">ROUND(V11,0)</f>
        <v>5486</v>
      </c>
      <c r="DF11" s="356" t="n">
        <f aca="false">ROUND(IF(C11="Y",(G11*0.25*E11+G11*G11/144*0.5*E11)/27*1.3,0),0)</f>
        <v>88</v>
      </c>
      <c r="DG11" s="908" t="n">
        <f aca="false">ROUND(E11*G11/12,0)</f>
        <v>405</v>
      </c>
      <c r="DH11" s="908" t="n">
        <f aca="false">IF(C11="y",ROUNDUP(E11*G11/12,0),0)</f>
        <v>405</v>
      </c>
      <c r="DI11" s="908" t="n">
        <f aca="false">IF(C11="Y",IF(E11&gt;0,E11,0),0)</f>
        <v>135</v>
      </c>
      <c r="DJ11" s="1936" t="n">
        <f aca="false">ROUND(E11*N11/12,0)</f>
        <v>788</v>
      </c>
    </row>
    <row r="12" s="1414" customFormat="true" ht="15" hidden="false" customHeight="false" outlineLevel="0" collapsed="false">
      <c r="A12" s="507"/>
      <c r="B12" s="1312"/>
      <c r="C12" s="1919"/>
      <c r="D12" s="1920"/>
      <c r="E12" s="1937"/>
      <c r="F12" s="1234"/>
      <c r="G12" s="1235"/>
      <c r="H12" s="1236"/>
      <c r="I12" s="1234"/>
      <c r="J12" s="1235"/>
      <c r="K12" s="1236"/>
      <c r="L12" s="1234"/>
      <c r="M12" s="1234"/>
      <c r="N12" s="1922"/>
      <c r="O12" s="1234"/>
      <c r="P12" s="1234"/>
      <c r="Q12" s="1237"/>
      <c r="R12" s="1923"/>
      <c r="S12" s="1924"/>
      <c r="T12" s="78"/>
      <c r="U12" s="900"/>
      <c r="V12" s="1925" t="n">
        <f aca="false">((E12*I12/16*I12/16*10.680159*J12)*IF(H12=0,0,(G12/H12))+(G12/12*L12/16*L12/16*10.680159*M12)*IF(K12=0,0,(E12*12/K12))+(E12*IF(P12=0,0,N12/P12)*Q12/16*Q12/16*10.680159*R12)+(IF(P12=0,0,E12/P12*N12)*Q12/16*Q12/16*10.680159*R12)+((T12*U12*S12*0.03*0.2836*G12)/12+4)*IF(H12=0,0,(G12/H12))*I12/16*I12/16*10.680159)*(1+J$56)</f>
        <v>0</v>
      </c>
      <c r="W12" s="1926" t="n">
        <f aca="false">((E12*F12/12*G12/324)+ROUNDUP(S12*T12*U12*G12/46656,0)+(N12*O12*E12/3888))*(1+J$51)</f>
        <v>0</v>
      </c>
      <c r="AH12" s="1929" t="n">
        <f aca="false">IF($R$8=1,$N12*$O12*$E12/3888*(1+$J$51),0)</f>
        <v>0</v>
      </c>
      <c r="AI12" s="1928" t="n">
        <f aca="false">IF($R$8=2,$N12*$O12*$E12/3888*(1+$J$51),0)</f>
        <v>0</v>
      </c>
      <c r="AJ12" s="1928" t="n">
        <f aca="false">IF($R$8=3,$N12*$O12*$E12/3888*(1+$J$51),0)</f>
        <v>0</v>
      </c>
      <c r="AK12" s="1928" t="n">
        <f aca="false">IF($R$8=4,$N12*$O12*$E12/3888*(1+$J$51),0)</f>
        <v>0</v>
      </c>
      <c r="AL12" s="1928" t="n">
        <f aca="false">IF($R$8=5,$N12*$O12*$E12/3888*(1+$J$51),0)</f>
        <v>0</v>
      </c>
      <c r="AM12" s="1928" t="n">
        <f aca="false">IF($R$8=6,$N12*$O12*$E12/3888*(1+$J$51),0)</f>
        <v>0</v>
      </c>
      <c r="AN12" s="1928" t="n">
        <f aca="false">IF($R$8=7,$N12*$O12*$E12/3888*(1+$J$51),0)</f>
        <v>0</v>
      </c>
      <c r="AO12" s="1928" t="n">
        <f aca="false">IF($R$8=8,$N12*$O12*$E12/3888*(1+$J$51),0)</f>
        <v>0</v>
      </c>
      <c r="AP12" s="1928" t="n">
        <f aca="false">IF($R$8=9,$N12*$O12*$E12/3888*(1+$J$51),0)</f>
        <v>0</v>
      </c>
      <c r="AQ12" s="1928" t="n">
        <f aca="false">IF($R$8=10,$N12*$O12*$E12/3888*(1+$J$51),0)</f>
        <v>0</v>
      </c>
      <c r="AR12" s="1929" t="n">
        <f aca="false">IF($D12=1,$W12-SUM($AH12:$AQ12),0)</f>
        <v>0</v>
      </c>
      <c r="AS12" s="1928" t="n">
        <f aca="false">IF($D12=2,W12-SUM($AH12:$AQ12),0)</f>
        <v>0</v>
      </c>
      <c r="AT12" s="1928" t="n">
        <f aca="false">IF($D12=3,W12-SUM($AH12:$AQ12),0)</f>
        <v>0</v>
      </c>
      <c r="AU12" s="1928" t="n">
        <f aca="false">IF($D12=4,W12-SUM($AH12:$AQ12),0)</f>
        <v>0</v>
      </c>
      <c r="AV12" s="1928" t="n">
        <f aca="false">IF($D12=5,W12-SUM($AH12:$AQ12),0)</f>
        <v>0</v>
      </c>
      <c r="AW12" s="1928" t="n">
        <f aca="false">IF($D12=6,W12-SUM($AH12:$AQ12),0)</f>
        <v>0</v>
      </c>
      <c r="AX12" s="1928" t="n">
        <f aca="false">IF($D12=7,W12-SUM($AH12:$AQ12),0)</f>
        <v>0</v>
      </c>
      <c r="AY12" s="1928" t="n">
        <f aca="false">IF($D12=8,W12-SUM($AH12:$AQ12),0)</f>
        <v>0</v>
      </c>
      <c r="AZ12" s="1928" t="n">
        <f aca="false">IF($D12=9,W12-SUM($AH12:$AQ12),0)</f>
        <v>0</v>
      </c>
      <c r="BA12" s="1930" t="n">
        <f aca="false">IF($D12=10,W12-SUM($AH12:$AQ12),0)</f>
        <v>0</v>
      </c>
      <c r="BB12" s="1928" t="n">
        <f aca="false">SUM(AH12:AM12)</f>
        <v>0</v>
      </c>
      <c r="BC12" s="1928" t="n">
        <f aca="false">SUM(AR12:AW12)</f>
        <v>0</v>
      </c>
      <c r="BD12" s="1928" t="n">
        <f aca="false">V12</f>
        <v>0</v>
      </c>
      <c r="BE12" s="1928" t="n">
        <f aca="false">E12*G12/12*2+(U12*U12*G12/1728*S12)</f>
        <v>0</v>
      </c>
      <c r="BF12" s="1928" t="n">
        <f aca="false">BE12/2</f>
        <v>0</v>
      </c>
      <c r="BG12" s="1928" t="n">
        <f aca="false">N12*E12/12</f>
        <v>0</v>
      </c>
      <c r="BH12" s="1928" t="n">
        <f aca="false">ROUND(IF(C12="Y",BF12*3/27,0),0)</f>
        <v>0</v>
      </c>
      <c r="BJ12" s="1931" t="n">
        <f aca="false">V12*F$56*IF(T$39="N",(1+V$39),1)</f>
        <v>0</v>
      </c>
      <c r="BK12" s="1932" t="n">
        <f aca="false">(AR12*Pricing!F$3+AS12*Pricing!G$3+AT12*Pricing!H$3+AU12*Pricing!I$3+AV12*Pricing!J$3+AW12*Pricing!K$3+AH12*Pricing!F$3+AI12*Pricing!G$3+AJ12*Pricing!H$3+AK12*Pricing!I$3+AL12*Pricing!J$3+AM12*Pricing!K$3)*IF(T$39="N",(1+V$39),1)</f>
        <v>0</v>
      </c>
      <c r="BL12" s="1932" t="n">
        <f aca="false">IF(C12="Y",(N$59+N$60)/DF$36*DF12,0)</f>
        <v>0</v>
      </c>
      <c r="BM12" s="1932" t="n">
        <f aca="false">BF12*(G$67+D$70)</f>
        <v>0</v>
      </c>
      <c r="BN12" s="1932" t="n">
        <f aca="false">BG12*D$66</f>
        <v>0</v>
      </c>
      <c r="BO12" s="1932" t="n">
        <f aca="false">V12/2000*D$71</f>
        <v>0</v>
      </c>
      <c r="BP12" s="1932" t="n">
        <f aca="false">IF(C12="Y",(N$74+N$73+N$72)/DF$36*DF12,0)</f>
        <v>0</v>
      </c>
      <c r="BQ12" s="1932" t="n">
        <f aca="false">IF(SUM(BF$36:BG$36)=0,0,(SUM(N$78:O$81)+SUM(N$83:O$88)+SUM(N$90:O$96)+W$95)/SUM(BF$36:BG$36)*(BF12+BG12))</f>
        <v>0</v>
      </c>
      <c r="BR12" s="1933"/>
      <c r="BS12" s="1934" t="n">
        <f aca="false">IF(SUM(BF$36:BG$36)=0,0,(BQ$36-W$58-N$64-W56-(L$79*0.15))/SUM(BF$36:BG$36)*BG12+BN12)</f>
        <v>0</v>
      </c>
      <c r="BT12" s="1932" t="n">
        <f aca="false">(AH12*Pricing!F$3+AI12*Pricing!G$3+AJ12*Pricing!H$3+AK12*Pricing!I$3+AL12*Pricing!J$3+AM12*Pricing!K$3)*IF(T$39="N",(1+V$39),1)</f>
        <v>0</v>
      </c>
      <c r="BU12" s="1932" t="n">
        <f aca="false">IF(BG12=0,0,(BS12+BT12)/BG12)</f>
        <v>0</v>
      </c>
      <c r="BV12" s="1932" t="n">
        <f aca="false">SUM(BJ12:BQ12)-BS12-BT12</f>
        <v>0</v>
      </c>
      <c r="BW12" s="1933" t="n">
        <f aca="false">IF(BE12=0,0,BV12/BF12)</f>
        <v>0</v>
      </c>
      <c r="DB12" s="1935" t="n">
        <f aca="false">IF(W12=0,0,D$40/SUM(W$10:W$35)*W12)</f>
        <v>0</v>
      </c>
      <c r="DC12" s="1932" t="n">
        <f aca="false">E12*N12/12*(D$40-7980)/H$66</f>
        <v>0</v>
      </c>
      <c r="DD12" s="179" t="n">
        <f aca="false">ROUND(N12*O12/3088*E12,0)</f>
        <v>0</v>
      </c>
      <c r="DE12" s="908" t="n">
        <f aca="false">ROUND(V12,0)</f>
        <v>0</v>
      </c>
      <c r="DF12" s="356" t="n">
        <f aca="false">ROUND(IF(C12="Y",(G12*0.25*E12+G12*G12/144*0.5*E12)/27*1.3,0),0)</f>
        <v>0</v>
      </c>
      <c r="DG12" s="908" t="n">
        <f aca="false">ROUND(E12*G12/12,0)</f>
        <v>0</v>
      </c>
      <c r="DH12" s="908" t="n">
        <f aca="false">IF(C12="y",ROUNDUP(E12*G12/12,0),0)</f>
        <v>0</v>
      </c>
      <c r="DI12" s="908" t="n">
        <f aca="false">IF(C12="Y",IF(E12&gt;0,E12,0),0)</f>
        <v>0</v>
      </c>
      <c r="DJ12" s="1936" t="n">
        <f aca="false">ROUND(E12*N12/12,0)</f>
        <v>0</v>
      </c>
    </row>
    <row r="13" s="1414" customFormat="true" ht="15" hidden="false" customHeight="false" outlineLevel="0" collapsed="false">
      <c r="A13" s="507"/>
      <c r="B13" s="1312"/>
      <c r="C13" s="1919" t="s">
        <v>1302</v>
      </c>
      <c r="D13" s="1920" t="n">
        <v>5</v>
      </c>
      <c r="E13" s="1937" t="n">
        <v>57</v>
      </c>
      <c r="F13" s="1234" t="n">
        <v>12</v>
      </c>
      <c r="G13" s="1235" t="n">
        <f aca="false">2.9*12</f>
        <v>34.8</v>
      </c>
      <c r="H13" s="1236" t="n">
        <v>12</v>
      </c>
      <c r="I13" s="1234" t="n">
        <v>5</v>
      </c>
      <c r="J13" s="1235" t="n">
        <v>2</v>
      </c>
      <c r="K13" s="1236" t="n">
        <v>12</v>
      </c>
      <c r="L13" s="1234" t="n">
        <v>5</v>
      </c>
      <c r="M13" s="1234" t="n">
        <v>2</v>
      </c>
      <c r="N13" s="1922" t="n">
        <v>70</v>
      </c>
      <c r="O13" s="1234" t="n">
        <v>12</v>
      </c>
      <c r="P13" s="1234" t="n">
        <v>12</v>
      </c>
      <c r="Q13" s="1237" t="n">
        <v>5</v>
      </c>
      <c r="R13" s="1923" t="n">
        <v>2</v>
      </c>
      <c r="S13" s="1924"/>
      <c r="T13" s="78"/>
      <c r="U13" s="900"/>
      <c r="V13" s="1925" t="n">
        <f aca="false">((E13*I13/16*I13/16*10.680159*J13)*IF(H13=0,0,(G13/H13))+(G13/12*L13/16*L13/16*10.680159*M13)*IF(K13=0,0,(E13*12/K13))+(E13*IF(P13=0,0,N13/P13)*Q13/16*Q13/16*10.680159*R13)+(IF(P13=0,0,E13/P13*N13)*Q13/16*Q13/16*10.680159*R13)+((T13*U13*S13*0.03*0.2836*G13)/12+4)*IF(H13=0,0,(G13/H13))*I13/16*I13/16*10.680159)*(1+J$56)</f>
        <v>2297.77780173047</v>
      </c>
      <c r="W13" s="1926" t="n">
        <f aca="false">((E13*F13/12*G13/324)+ROUNDUP(S13*T13*U13*G13/46656,0)+(N13*O13*E13/3888))*(1+J$51)</f>
        <v>19.5432592592593</v>
      </c>
      <c r="AH13" s="1929" t="n">
        <f aca="false">IF($R$8=1,$N13*$O13*$E13/3888*(1+$J$51),0)</f>
        <v>0</v>
      </c>
      <c r="AI13" s="1928" t="n">
        <f aca="false">IF($R$8=2,$N13*$O13*$E13/3888*(1+$J$51),0)</f>
        <v>0</v>
      </c>
      <c r="AJ13" s="1928" t="n">
        <f aca="false">IF($R$8=3,$N13*$O13*$E13/3888*(1+$J$51),0)</f>
        <v>13.0537037037037</v>
      </c>
      <c r="AK13" s="1928" t="n">
        <f aca="false">IF($R$8=4,$N13*$O13*$E13/3888*(1+$J$51),0)</f>
        <v>0</v>
      </c>
      <c r="AL13" s="1928" t="n">
        <f aca="false">IF($R$8=5,$N13*$O13*$E13/3888*(1+$J$51),0)</f>
        <v>0</v>
      </c>
      <c r="AM13" s="1928" t="n">
        <f aca="false">IF($R$8=6,$N13*$O13*$E13/3888*(1+$J$51),0)</f>
        <v>0</v>
      </c>
      <c r="AN13" s="1928" t="n">
        <f aca="false">IF($R$8=7,$N13*$O13*$E13/3888*(1+$J$51),0)</f>
        <v>0</v>
      </c>
      <c r="AO13" s="1928" t="n">
        <f aca="false">IF($R$8=8,$N13*$O13*$E13/3888*(1+$J$51),0)</f>
        <v>0</v>
      </c>
      <c r="AP13" s="1928" t="n">
        <f aca="false">IF($R$8=9,$N13*$O13*$E13/3888*(1+$J$51),0)</f>
        <v>0</v>
      </c>
      <c r="AQ13" s="1928" t="n">
        <f aca="false">IF($R$8=10,$N13*$O13*$E13/3888*(1+$J$51),0)</f>
        <v>0</v>
      </c>
      <c r="AR13" s="1929" t="n">
        <f aca="false">IF($D13=1,$W13-SUM($AH13:$AQ13),0)</f>
        <v>0</v>
      </c>
      <c r="AS13" s="1928" t="n">
        <f aca="false">IF($D13=2,W13-SUM($AH13:$AQ13),0)</f>
        <v>0</v>
      </c>
      <c r="AT13" s="1928" t="n">
        <f aca="false">IF($D13=3,W13-SUM($AH13:$AQ13),0)</f>
        <v>0</v>
      </c>
      <c r="AU13" s="1928" t="n">
        <f aca="false">IF($D13=4,W13-SUM($AH13:$AQ13),0)</f>
        <v>0</v>
      </c>
      <c r="AV13" s="1928" t="n">
        <f aca="false">IF($D13=5,W13-SUM($AH13:$AQ13),0)</f>
        <v>6.48955555555556</v>
      </c>
      <c r="AW13" s="1928" t="n">
        <f aca="false">IF($D13=6,W13-SUM($AH13:$AQ13),0)</f>
        <v>0</v>
      </c>
      <c r="AX13" s="1928" t="n">
        <f aca="false">IF($D13=7,W13-SUM($AH13:$AQ13),0)</f>
        <v>0</v>
      </c>
      <c r="AY13" s="1928" t="n">
        <f aca="false">IF($D13=8,W13-SUM($AH13:$AQ13),0)</f>
        <v>0</v>
      </c>
      <c r="AZ13" s="1928" t="n">
        <f aca="false">IF($D13=9,W13-SUM($AH13:$AQ13),0)</f>
        <v>0</v>
      </c>
      <c r="BA13" s="1930" t="n">
        <f aca="false">IF($D13=10,W13-SUM($AH13:$AQ13),0)</f>
        <v>0</v>
      </c>
      <c r="BB13" s="1928" t="n">
        <f aca="false">SUM(AH13:AM13)</f>
        <v>13.0537037037037</v>
      </c>
      <c r="BC13" s="1928" t="n">
        <f aca="false">SUM(AR13:AW13)</f>
        <v>6.48955555555556</v>
      </c>
      <c r="BD13" s="1928" t="n">
        <f aca="false">V13</f>
        <v>2297.77780173047</v>
      </c>
      <c r="BE13" s="1928" t="n">
        <f aca="false">E13*G13/12*2+(U13*U13*G13/1728*S13)</f>
        <v>330.6</v>
      </c>
      <c r="BF13" s="1928" t="n">
        <f aca="false">BE13/2</f>
        <v>165.3</v>
      </c>
      <c r="BG13" s="1928" t="n">
        <f aca="false">N13*E13/12</f>
        <v>332.5</v>
      </c>
      <c r="BH13" s="1928" t="n">
        <f aca="false">ROUND(IF(C13="Y",BF13*3/27,0),0)</f>
        <v>18</v>
      </c>
      <c r="BJ13" s="1931" t="n">
        <f aca="false">V13*F$56*IF(T$39="N",(1+V$39),1)</f>
        <v>1368.03945870528</v>
      </c>
      <c r="BK13" s="1932" t="n">
        <f aca="false">(AR13*Pricing!F$3+AS13*Pricing!G$3+AT13*Pricing!H$3+AU13*Pricing!I$3+AV13*Pricing!J$3+AW13*Pricing!K$3+AH13*Pricing!F$3+AI13*Pricing!G$3+AJ13*Pricing!H$3+AK13*Pricing!I$3+AL13*Pricing!J$3+AM13*Pricing!K$3)*IF(T$39="N",(1+V$39),1)</f>
        <v>2996.90566018519</v>
      </c>
      <c r="BL13" s="1932" t="n">
        <f aca="false">IF(C13="Y",(N$59+N$60)/DF$36*DF13,0)</f>
        <v>274.565883554648</v>
      </c>
      <c r="BM13" s="1932" t="n">
        <f aca="false">BF13*(G$67+D$70)</f>
        <v>1363.725</v>
      </c>
      <c r="BN13" s="1932" t="n">
        <f aca="false">BG13*D$66</f>
        <v>2660</v>
      </c>
      <c r="BO13" s="1932" t="n">
        <f aca="false">V13/2000*D$71</f>
        <v>517.000005389356</v>
      </c>
      <c r="BP13" s="1932" t="n">
        <f aca="false">IF(C13="Y",(N$74+N$73+N$72)/DF$36*DF13,0)</f>
        <v>590.745658835547</v>
      </c>
      <c r="BQ13" s="1932" t="n">
        <f aca="false">IF(SUM(BF$36:BG$36)=0,0,(SUM(N$78:O$81)+SUM(N$83:O$88)+SUM(N$90:O$96)+W$95)/SUM(BF$36:BG$36)*(BF13+BG13))</f>
        <v>3141.43346381196</v>
      </c>
      <c r="BR13" s="1933"/>
      <c r="BS13" s="1934" t="n">
        <f aca="false">IF(SUM(BF$36:BG$36)=0,0,(BQ$36-W$58-N$64-W58-(L$79*0.15))/SUM(BF$36:BG$36)*BG13+BN13)</f>
        <v>4012.52212402935</v>
      </c>
      <c r="BT13" s="1932" t="n">
        <f aca="false">(AH13*Pricing!F$3+AI13*Pricing!G$3+AJ13*Pricing!H$3+AK13*Pricing!I$3+AL13*Pricing!J$3+AM13*Pricing!K$3)*IF(T$39="N",(1+V$39),1)</f>
        <v>1978.2887962963</v>
      </c>
      <c r="BU13" s="1932" t="n">
        <f aca="false">IF(BG13=0,0,(BS13+BT13)/BG13)</f>
        <v>18.0174764521072</v>
      </c>
      <c r="BV13" s="1932" t="n">
        <f aca="false">SUM(BJ13:BQ13)-BS13-BT13</f>
        <v>6921.60421015633</v>
      </c>
      <c r="BW13" s="1933" t="n">
        <f aca="false">IF(BE13=0,0,BV13/BF13)</f>
        <v>41.8729837275035</v>
      </c>
      <c r="DB13" s="1935" t="n">
        <f aca="false">IF(W13=0,0,D$40/SUM(W$10:W$35)*W13)</f>
        <v>15817.1172697124</v>
      </c>
      <c r="DC13" s="1932" t="n">
        <f aca="false">E13*N13/12*(D$40-7980)/H$66</f>
        <v>19457.6956830455</v>
      </c>
      <c r="DD13" s="179" t="n">
        <f aca="false">ROUND(N13*O13/3088*E13,0)</f>
        <v>16</v>
      </c>
      <c r="DE13" s="908" t="n">
        <f aca="false">ROUND(V13,0)</f>
        <v>2298</v>
      </c>
      <c r="DF13" s="356" t="n">
        <f aca="false">ROUND(IF(C13="Y",(G13*0.25*E13+G13*G13/144*0.5*E13)/27*1.3,0),0)</f>
        <v>35</v>
      </c>
      <c r="DG13" s="908" t="n">
        <f aca="false">ROUND(E13*G13/12,0)</f>
        <v>165</v>
      </c>
      <c r="DH13" s="908" t="n">
        <f aca="false">IF(C13="y",ROUNDUP(E13*G13/12,0),0)</f>
        <v>166</v>
      </c>
      <c r="DI13" s="908" t="n">
        <f aca="false">IF(C13="Y",IF(E13&gt;0,E13,0),0)</f>
        <v>57</v>
      </c>
      <c r="DJ13" s="1936" t="n">
        <f aca="false">ROUND(E13*N13/12,0)</f>
        <v>333</v>
      </c>
    </row>
    <row r="14" s="1414" customFormat="true" ht="15" hidden="false" customHeight="false" outlineLevel="0" collapsed="false">
      <c r="A14" s="507"/>
      <c r="B14" s="1312"/>
      <c r="C14" s="1919" t="s">
        <v>1302</v>
      </c>
      <c r="D14" s="1920" t="n">
        <v>5</v>
      </c>
      <c r="E14" s="1937" t="n">
        <v>28</v>
      </c>
      <c r="F14" s="1234" t="n">
        <v>12</v>
      </c>
      <c r="G14" s="1235" t="n">
        <f aca="false">5.1*12</f>
        <v>61.2</v>
      </c>
      <c r="H14" s="1236" t="n">
        <v>12</v>
      </c>
      <c r="I14" s="1234" t="n">
        <v>5</v>
      </c>
      <c r="J14" s="1235" t="n">
        <v>2</v>
      </c>
      <c r="K14" s="1236" t="n">
        <v>12</v>
      </c>
      <c r="L14" s="1234" t="n">
        <v>5</v>
      </c>
      <c r="M14" s="1234" t="n">
        <v>2</v>
      </c>
      <c r="N14" s="1922" t="n">
        <v>70</v>
      </c>
      <c r="O14" s="1234" t="n">
        <v>12</v>
      </c>
      <c r="P14" s="1234" t="n">
        <v>12</v>
      </c>
      <c r="Q14" s="1237" t="n">
        <v>5</v>
      </c>
      <c r="R14" s="1923" t="n">
        <v>2</v>
      </c>
      <c r="S14" s="1924"/>
      <c r="T14" s="78"/>
      <c r="U14" s="900"/>
      <c r="V14" s="1925" t="n">
        <f aca="false">((E14*I14/16*I14/16*10.680159*J14)*IF(H14=0,0,(G14/H14))+(G14/12*L14/16*L14/16*10.680159*M14)*IF(K14=0,0,(E14*12/K14))+(E14*IF(P14=0,0,N14/P14)*Q14/16*Q14/16*10.680159*R14)+(IF(P14=0,0,E14/P14*N14)*Q14/16*Q14/16*10.680159*R14)+((T14*U14*S14*0.03*0.2836*G14)/12+4)*IF(H14=0,0,(G14/H14))*I14/16*I14/16*10.680159)*(1+J$56)</f>
        <v>1428.29048230859</v>
      </c>
      <c r="W14" s="1926" t="n">
        <f aca="false">((E14*F14/12*G14/324)+ROUNDUP(S14*T14*U14*G14/46656,0)+(N14*O14*E14/3888))*(1+J$51)</f>
        <v>12.0185679012346</v>
      </c>
      <c r="AH14" s="1929" t="n">
        <f aca="false">IF($R$8=1,$N14*$O14*$E14/3888*(1+$J$51),0)</f>
        <v>0</v>
      </c>
      <c r="AI14" s="1928" t="n">
        <f aca="false">IF($R$8=2,$N14*$O14*$E14/3888*(1+$J$51),0)</f>
        <v>0</v>
      </c>
      <c r="AJ14" s="1928" t="n">
        <f aca="false">IF($R$8=3,$N14*$O14*$E14/3888*(1+$J$51),0)</f>
        <v>6.41234567901235</v>
      </c>
      <c r="AK14" s="1928" t="n">
        <f aca="false">IF($R$8=4,$N14*$O14*$E14/3888*(1+$J$51),0)</f>
        <v>0</v>
      </c>
      <c r="AL14" s="1928" t="n">
        <f aca="false">IF($R$8=5,$N14*$O14*$E14/3888*(1+$J$51),0)</f>
        <v>0</v>
      </c>
      <c r="AM14" s="1928" t="n">
        <f aca="false">IF($R$8=6,$N14*$O14*$E14/3888*(1+$J$51),0)</f>
        <v>0</v>
      </c>
      <c r="AN14" s="1928" t="n">
        <f aca="false">IF($R$8=7,$N14*$O14*$E14/3888*(1+$J$51),0)</f>
        <v>0</v>
      </c>
      <c r="AO14" s="1928" t="n">
        <f aca="false">IF($R$8=8,$N14*$O14*$E14/3888*(1+$J$51),0)</f>
        <v>0</v>
      </c>
      <c r="AP14" s="1928" t="n">
        <f aca="false">IF($R$8=9,$N14*$O14*$E14/3888*(1+$J$51),0)</f>
        <v>0</v>
      </c>
      <c r="AQ14" s="1928" t="n">
        <f aca="false">IF($R$8=10,$N14*$O14*$E14/3888*(1+$J$51),0)</f>
        <v>0</v>
      </c>
      <c r="AR14" s="1929" t="n">
        <f aca="false">IF($D14=1,$W14-SUM($AH14:$AQ14),0)</f>
        <v>0</v>
      </c>
      <c r="AS14" s="1928" t="n">
        <f aca="false">IF($D14=2,W14-SUM($AH14:$AQ14),0)</f>
        <v>0</v>
      </c>
      <c r="AT14" s="1928" t="n">
        <f aca="false">IF($D14=3,W14-SUM($AH14:$AQ14),0)</f>
        <v>0</v>
      </c>
      <c r="AU14" s="1928" t="n">
        <f aca="false">IF($D14=4,W14-SUM($AH14:$AQ14),0)</f>
        <v>0</v>
      </c>
      <c r="AV14" s="1928" t="n">
        <f aca="false">IF($D14=5,W14-SUM($AH14:$AQ14),0)</f>
        <v>5.60622222222222</v>
      </c>
      <c r="AW14" s="1928" t="n">
        <f aca="false">IF($D14=6,W14-SUM($AH14:$AQ14),0)</f>
        <v>0</v>
      </c>
      <c r="AX14" s="1928" t="n">
        <f aca="false">IF($D14=7,W14-SUM($AH14:$AQ14),0)</f>
        <v>0</v>
      </c>
      <c r="AY14" s="1928" t="n">
        <f aca="false">IF($D14=8,W14-SUM($AH14:$AQ14),0)</f>
        <v>0</v>
      </c>
      <c r="AZ14" s="1928" t="n">
        <f aca="false">IF($D14=9,W14-SUM($AH14:$AQ14),0)</f>
        <v>0</v>
      </c>
      <c r="BA14" s="1930" t="n">
        <f aca="false">IF($D14=10,W14-SUM($AH14:$AQ14),0)</f>
        <v>0</v>
      </c>
      <c r="BB14" s="1928" t="n">
        <f aca="false">SUM(AH14:AM14)</f>
        <v>6.41234567901235</v>
      </c>
      <c r="BC14" s="1928" t="n">
        <f aca="false">SUM(AR14:AW14)</f>
        <v>5.60622222222222</v>
      </c>
      <c r="BD14" s="1928" t="n">
        <f aca="false">V14</f>
        <v>1428.29048230859</v>
      </c>
      <c r="BE14" s="1928" t="n">
        <f aca="false">E14*G14/12*2+(U14*U14*G14/1728*S14)</f>
        <v>285.6</v>
      </c>
      <c r="BF14" s="1928" t="n">
        <f aca="false">BE14/2</f>
        <v>142.8</v>
      </c>
      <c r="BG14" s="1928" t="n">
        <f aca="false">N14*E14/12</f>
        <v>163.333333333333</v>
      </c>
      <c r="BH14" s="1928" t="n">
        <f aca="false">ROUND(IF(C14="Y",BF14*3/27,0),0)</f>
        <v>16</v>
      </c>
      <c r="BJ14" s="1931" t="n">
        <f aca="false">V14*F$56*IF(T$39="N",(1+V$39),1)</f>
        <v>850.368445904479</v>
      </c>
      <c r="BK14" s="1932" t="n">
        <f aca="false">(AR14*Pricing!F$3+AS14*Pricing!G$3+AT14*Pricing!H$3+AU14*Pricing!I$3+AV14*Pricing!J$3+AW14*Pricing!K$3+AH14*Pricing!F$3+AI14*Pricing!G$3+AJ14*Pricing!H$3+AK14*Pricing!I$3+AL14*Pricing!J$3+AM14*Pricing!K$3)*IF(T$39="N",(1+V$39),1)</f>
        <v>1851.75764320988</v>
      </c>
      <c r="BL14" s="1932" t="n">
        <f aca="false">IF(C14="Y",(N$59+N$60)/DF$36*DF14,0)</f>
        <v>298.100102145046</v>
      </c>
      <c r="BM14" s="1932" t="n">
        <f aca="false">BF14*(G$67+D$70)</f>
        <v>1178.1</v>
      </c>
      <c r="BN14" s="1932" t="n">
        <f aca="false">BG14*D$66</f>
        <v>1306.66666666667</v>
      </c>
      <c r="BO14" s="1932" t="n">
        <f aca="false">V14/2000*D$71</f>
        <v>321.365358519434</v>
      </c>
      <c r="BP14" s="1932" t="n">
        <f aca="false">IF(C14="Y",(N$74+N$73+N$72)/DF$36*DF14,0)</f>
        <v>641.381001021451</v>
      </c>
      <c r="BQ14" s="1932" t="n">
        <f aca="false">IF(SUM(BF$36:BG$36)=0,0,(SUM(N$78:O$81)+SUM(N$83:O$88)+SUM(N$90:O$96)+W$95)/SUM(BF$36:BG$36)*(BF14+BG14))</f>
        <v>1931.8953349169</v>
      </c>
      <c r="BR14" s="1933"/>
      <c r="BS14" s="1934" t="n">
        <f aca="false">IF(SUM(BF$36:BG$36)=0,0,(BQ$36-W$58-N$64-W78-(L$79*0.15))/SUM(BF$36:BG$36)*BG14+BN14)</f>
        <v>2141.35188762434</v>
      </c>
      <c r="BT14" s="1932" t="n">
        <f aca="false">(AH14*Pricing!F$3+AI14*Pricing!G$3+AJ14*Pricing!H$3+AK14*Pricing!I$3+AL14*Pricing!J$3+AM14*Pricing!K$3)*IF(T$39="N",(1+V$39),1)</f>
        <v>971.790987654321</v>
      </c>
      <c r="BU14" s="1932" t="n">
        <f aca="false">IF(BG14=0,0,(BS14+BT14)/BG14)</f>
        <v>19.0600584200734</v>
      </c>
      <c r="BV14" s="1932" t="n">
        <f aca="false">SUM(BJ14:BQ14)-BS14-BT14</f>
        <v>5266.4916771052</v>
      </c>
      <c r="BW14" s="1933" t="n">
        <f aca="false">IF(BE14=0,0,BV14/BF14)</f>
        <v>36.8801938172633</v>
      </c>
      <c r="DB14" s="1935" t="n">
        <f aca="false">IF(W14=0,0,D$40/SUM(W$10:W$35)*W14)</f>
        <v>9727.09287565549</v>
      </c>
      <c r="DC14" s="1932" t="n">
        <f aca="false">E14*N14/12*(D$40-7980)/H$66</f>
        <v>9558.1663004434</v>
      </c>
      <c r="DD14" s="179" t="n">
        <f aca="false">ROUND(N14*O14/3088*E14,0)</f>
        <v>8</v>
      </c>
      <c r="DE14" s="908" t="n">
        <f aca="false">ROUND(V14,0)</f>
        <v>1428</v>
      </c>
      <c r="DF14" s="356" t="n">
        <f aca="false">ROUND(IF(C14="Y",(G14*0.25*E14+G14*G14/144*0.5*E14)/27*1.3,0),0)</f>
        <v>38</v>
      </c>
      <c r="DG14" s="908" t="n">
        <f aca="false">ROUND(E14*G14/12,0)</f>
        <v>143</v>
      </c>
      <c r="DH14" s="908" t="n">
        <f aca="false">IF(C14="y",ROUNDUP(E14*G14/12,0),0)</f>
        <v>143</v>
      </c>
      <c r="DI14" s="908" t="n">
        <f aca="false">IF(C14="Y",IF(E14&gt;0,E14,0),0)</f>
        <v>28</v>
      </c>
      <c r="DJ14" s="1936" t="n">
        <f aca="false">ROUND(E14*N14/12,0)</f>
        <v>163</v>
      </c>
    </row>
    <row r="15" s="1414" customFormat="true" ht="15" hidden="false" customHeight="false" outlineLevel="0" collapsed="false">
      <c r="A15" s="507"/>
      <c r="B15" s="1312"/>
      <c r="C15" s="1919" t="s">
        <v>1302</v>
      </c>
      <c r="D15" s="1920" t="n">
        <v>5</v>
      </c>
      <c r="E15" s="1937" t="n">
        <v>65</v>
      </c>
      <c r="F15" s="1234" t="n">
        <v>12</v>
      </c>
      <c r="G15" s="1235" t="n">
        <f aca="false">12*6.29</f>
        <v>75.48</v>
      </c>
      <c r="H15" s="1236" t="n">
        <v>12</v>
      </c>
      <c r="I15" s="1234" t="n">
        <v>5</v>
      </c>
      <c r="J15" s="1235" t="n">
        <v>2</v>
      </c>
      <c r="K15" s="1236" t="n">
        <v>12</v>
      </c>
      <c r="L15" s="1234" t="n">
        <v>5</v>
      </c>
      <c r="M15" s="1234" t="n">
        <v>2</v>
      </c>
      <c r="N15" s="1922" t="n">
        <v>70</v>
      </c>
      <c r="O15" s="1234" t="n">
        <v>12</v>
      </c>
      <c r="P15" s="1234" t="n">
        <v>12</v>
      </c>
      <c r="Q15" s="1237" t="n">
        <v>5</v>
      </c>
      <c r="R15" s="1923" t="n">
        <v>2</v>
      </c>
      <c r="S15" s="1924"/>
      <c r="T15" s="78"/>
      <c r="U15" s="900"/>
      <c r="V15" s="1925" t="n">
        <f aca="false">((E15*I15/16*I15/16*10.680159*J15)*IF(H15=0,0,(G15/H15))+(G15/12*L15/16*L15/16*10.680159*M15)*IF(K15=0,0,(E15*12/K15))+(E15*IF(P15=0,0,N15/P15)*Q15/16*Q15/16*10.680159*R15)+(IF(P15=0,0,E15/P15*N15)*Q15/16*Q15/16*10.680159*R15)+((T15*U15*S15*0.03*0.2836*G15)/12+4)*IF(H15=0,0,(G15/H15))*I15/16*I15/16*10.680159)*(1+J$56)</f>
        <v>3645.17720477969</v>
      </c>
      <c r="W15" s="1926" t="n">
        <f aca="false">((E15*F15/12*G15/324)+ROUNDUP(S15*T15*U15*G15/46656,0)+(N15*O15*E15/3888))*(1+J$51)</f>
        <v>30.936950617284</v>
      </c>
      <c r="AH15" s="1929" t="n">
        <f aca="false">IF($R$8=1,$N15*$O15*$E15/3888*(1+$J$51),0)</f>
        <v>0</v>
      </c>
      <c r="AI15" s="1928" t="n">
        <f aca="false">IF($R$8=2,$N15*$O15*$E15/3888*(1+$J$51),0)</f>
        <v>0</v>
      </c>
      <c r="AJ15" s="1928" t="n">
        <f aca="false">IF($R$8=3,$N15*$O15*$E15/3888*(1+$J$51),0)</f>
        <v>14.8858024691358</v>
      </c>
      <c r="AK15" s="1928" t="n">
        <f aca="false">IF($R$8=4,$N15*$O15*$E15/3888*(1+$J$51),0)</f>
        <v>0</v>
      </c>
      <c r="AL15" s="1928" t="n">
        <f aca="false">IF($R$8=5,$N15*$O15*$E15/3888*(1+$J$51),0)</f>
        <v>0</v>
      </c>
      <c r="AM15" s="1928" t="n">
        <f aca="false">IF($R$8=6,$N15*$O15*$E15/3888*(1+$J$51),0)</f>
        <v>0</v>
      </c>
      <c r="AN15" s="1928" t="n">
        <f aca="false">IF($R$8=7,$N15*$O15*$E15/3888*(1+$J$51),0)</f>
        <v>0</v>
      </c>
      <c r="AO15" s="1928" t="n">
        <f aca="false">IF($R$8=8,$N15*$O15*$E15/3888*(1+$J$51),0)</f>
        <v>0</v>
      </c>
      <c r="AP15" s="1928" t="n">
        <f aca="false">IF($R$8=9,$N15*$O15*$E15/3888*(1+$J$51),0)</f>
        <v>0</v>
      </c>
      <c r="AQ15" s="1928" t="n">
        <f aca="false">IF($R$8=10,$N15*$O15*$E15/3888*(1+$J$51),0)</f>
        <v>0</v>
      </c>
      <c r="AR15" s="1929" t="n">
        <f aca="false">IF($D15=1,$W15-SUM($AH15:$AQ15),0)</f>
        <v>0</v>
      </c>
      <c r="AS15" s="1928" t="n">
        <f aca="false">IF($D15=2,W15-SUM($AH15:$AQ15),0)</f>
        <v>0</v>
      </c>
      <c r="AT15" s="1928" t="n">
        <f aca="false">IF($D15=3,W15-SUM($AH15:$AQ15),0)</f>
        <v>0</v>
      </c>
      <c r="AU15" s="1928" t="n">
        <f aca="false">IF($D15=4,W15-SUM($AH15:$AQ15),0)</f>
        <v>0</v>
      </c>
      <c r="AV15" s="1928" t="n">
        <f aca="false">IF($D15=5,W15-SUM($AH15:$AQ15),0)</f>
        <v>16.0511481481481</v>
      </c>
      <c r="AW15" s="1928" t="n">
        <f aca="false">IF($D15=6,W15-SUM($AH15:$AQ15),0)</f>
        <v>0</v>
      </c>
      <c r="AX15" s="1928" t="n">
        <f aca="false">IF($D15=7,W15-SUM($AH15:$AQ15),0)</f>
        <v>0</v>
      </c>
      <c r="AY15" s="1928" t="n">
        <f aca="false">IF($D15=8,W15-SUM($AH15:$AQ15),0)</f>
        <v>0</v>
      </c>
      <c r="AZ15" s="1928" t="n">
        <f aca="false">IF($D15=9,W15-SUM($AH15:$AQ15),0)</f>
        <v>0</v>
      </c>
      <c r="BA15" s="1930" t="n">
        <f aca="false">IF($D15=10,W15-SUM($AH15:$AQ15),0)</f>
        <v>0</v>
      </c>
      <c r="BB15" s="1928" t="n">
        <f aca="false">SUM(AH15:AM15)</f>
        <v>14.8858024691358</v>
      </c>
      <c r="BC15" s="1928" t="n">
        <f aca="false">SUM(AR15:AW15)</f>
        <v>16.0511481481481</v>
      </c>
      <c r="BD15" s="1928" t="n">
        <f aca="false">V15</f>
        <v>3645.17720477969</v>
      </c>
      <c r="BE15" s="1928" t="n">
        <f aca="false">E15*G15/12*2+(U15*U15*G15/1728*S15)</f>
        <v>817.7</v>
      </c>
      <c r="BF15" s="1928" t="n">
        <f aca="false">BE15/2</f>
        <v>408.85</v>
      </c>
      <c r="BG15" s="1928" t="n">
        <f aca="false">N15*E15/12</f>
        <v>379.166666666667</v>
      </c>
      <c r="BH15" s="1928" t="n">
        <f aca="false">ROUND(IF(C15="Y",BF15*3/27,0),0)</f>
        <v>45</v>
      </c>
      <c r="BJ15" s="1931" t="n">
        <f aca="false">V15*F$56*IF(T$39="N",(1+V$39),1)</f>
        <v>2170.24737829571</v>
      </c>
      <c r="BK15" s="1932" t="n">
        <f aca="false">(AR15*Pricing!F$3+AS15*Pricing!G$3+AT15*Pricing!H$3+AU15*Pricing!I$3+AV15*Pricing!J$3+AW15*Pricing!K$3+AH15*Pricing!F$3+AI15*Pricing!G$3+AJ15*Pricing!H$3+AK15*Pricing!I$3+AL15*Pricing!J$3+AM15*Pricing!K$3)*IF(T$39="N",(1+V$39),1)</f>
        <v>4775.37170540123</v>
      </c>
      <c r="BL15" s="1932" t="n">
        <f aca="false">IF(C15="Y",(N$59+N$60)/DF$36*DF15,0)</f>
        <v>949.213483146068</v>
      </c>
      <c r="BM15" s="1932" t="n">
        <f aca="false">BF15*(G$67+D$70)</f>
        <v>3373.0125</v>
      </c>
      <c r="BN15" s="1932" t="n">
        <f aca="false">BG15*D$66</f>
        <v>3033.33333333333</v>
      </c>
      <c r="BO15" s="1932" t="n">
        <f aca="false">V15/2000*D$71</f>
        <v>820.16487107543</v>
      </c>
      <c r="BP15" s="1932" t="n">
        <f aca="false">IF(C15="Y",(N$74+N$73+N$72)/DF$36*DF15,0)</f>
        <v>2042.29213483146</v>
      </c>
      <c r="BQ15" s="1932" t="n">
        <f aca="false">IF(SUM(BF$36:BG$36)=0,0,(SUM(N$78:O$81)+SUM(N$83:O$88)+SUM(N$90:O$96)+W$95)/SUM(BF$36:BG$36)*(BF15+BG15))</f>
        <v>4972.88454541628</v>
      </c>
      <c r="BR15" s="1933"/>
      <c r="BS15" s="1934" t="n">
        <f aca="false">IF(SUM(BF$36:BG$36)=0,0,(BQ$36-W$58-N$64-W79-(L$79*0.15))/SUM(BF$36:BG$36)*BG15+BN15)</f>
        <v>4954.18720527937</v>
      </c>
      <c r="BT15" s="1932" t="n">
        <f aca="false">(AH15*Pricing!F$3+AI15*Pricing!G$3+AJ15*Pricing!H$3+AK15*Pricing!I$3+AL15*Pricing!J$3+AM15*Pricing!K$3)*IF(T$39="N",(1+V$39),1)</f>
        <v>2255.94336419753</v>
      </c>
      <c r="BU15" s="1932" t="n">
        <f aca="false">IF(BG15=0,0,(BS15+BT15)/BG15)</f>
        <v>19.0157289744446</v>
      </c>
      <c r="BV15" s="1932" t="n">
        <f aca="false">SUM(BJ15:BQ15)-BS15-BT15</f>
        <v>14926.3893820226</v>
      </c>
      <c r="BW15" s="1933" t="n">
        <f aca="false">IF(BE15=0,0,BV15/BF15)</f>
        <v>36.5082288908465</v>
      </c>
      <c r="DB15" s="1935" t="n">
        <f aca="false">IF(W15=0,0,D$40/SUM(W$10:W$35)*W15)</f>
        <v>25038.4733369919</v>
      </c>
      <c r="DC15" s="1932" t="n">
        <f aca="false">E15*N15/12*(D$40-7980)/H$66</f>
        <v>22188.600340315</v>
      </c>
      <c r="DD15" s="179" t="n">
        <f aca="false">ROUND(N15*O15/3088*E15,0)</f>
        <v>18</v>
      </c>
      <c r="DE15" s="908" t="n">
        <f aca="false">ROUND(V15,0)</f>
        <v>3645</v>
      </c>
      <c r="DF15" s="356" t="n">
        <f aca="false">ROUND(IF(C15="Y",(G15*0.25*E15+G15*G15/144*0.5*E15)/27*1.3,0),0)</f>
        <v>121</v>
      </c>
      <c r="DG15" s="908" t="n">
        <f aca="false">ROUND(E15*G15/12,0)</f>
        <v>409</v>
      </c>
      <c r="DH15" s="908" t="n">
        <f aca="false">IF(C15="y",ROUNDUP(E15*G15/12,0),0)</f>
        <v>409</v>
      </c>
      <c r="DI15" s="908" t="n">
        <f aca="false">IF(C15="Y",IF(E15&gt;0,E15,0),0)</f>
        <v>65</v>
      </c>
      <c r="DJ15" s="1936" t="n">
        <f aca="false">ROUND(E15*N15/12,0)</f>
        <v>379</v>
      </c>
    </row>
    <row r="16" s="1414" customFormat="true" ht="15" hidden="false" customHeight="false" outlineLevel="0" collapsed="false">
      <c r="A16" s="507"/>
      <c r="B16" s="1312"/>
      <c r="C16" s="1919" t="s">
        <v>1302</v>
      </c>
      <c r="D16" s="1920" t="n">
        <v>5</v>
      </c>
      <c r="E16" s="1937" t="n">
        <v>32</v>
      </c>
      <c r="F16" s="1234" t="n">
        <v>12</v>
      </c>
      <c r="G16" s="1235" t="n">
        <f aca="false">12*5.9</f>
        <v>70.8</v>
      </c>
      <c r="H16" s="1236" t="n">
        <v>12</v>
      </c>
      <c r="I16" s="1234" t="n">
        <v>5</v>
      </c>
      <c r="J16" s="1235" t="n">
        <v>2</v>
      </c>
      <c r="K16" s="1236" t="n">
        <v>12</v>
      </c>
      <c r="L16" s="1234" t="n">
        <v>5</v>
      </c>
      <c r="M16" s="1234" t="n">
        <v>2</v>
      </c>
      <c r="N16" s="1922" t="n">
        <v>70</v>
      </c>
      <c r="O16" s="1234" t="n">
        <v>12</v>
      </c>
      <c r="P16" s="1234" t="n">
        <v>12</v>
      </c>
      <c r="Q16" s="1237" t="n">
        <v>5</v>
      </c>
      <c r="R16" s="1923" t="n">
        <v>2</v>
      </c>
      <c r="S16" s="1924"/>
      <c r="T16" s="78"/>
      <c r="U16" s="900"/>
      <c r="V16" s="1925" t="n">
        <f aca="false">((E16*I16/16*I16/16*10.680159*J16)*IF(H16=0,0,(G16/H16))+(G16/12*L16/16*L16/16*10.680159*M16)*IF(K16=0,0,(E16*12/K16))+(E16*IF(P16=0,0,N16/P16)*Q16/16*Q16/16*10.680159*R16)+(IF(P16=0,0,E16/P16*N16)*Q16/16*Q16/16*10.680159*R16)+((T16*U16*S16*0.03*0.2836*G16)/12+4)*IF(H16=0,0,(G16/H16))*I16/16*I16/16*10.680159)*(1+J$56)</f>
        <v>1750.14152383984</v>
      </c>
      <c r="W16" s="1926" t="n">
        <f aca="false">((E16*F16/12*G16/324)+ROUNDUP(S16*T16*U16*G16/46656,0)+(N16*O16*E16/3888))*(1+J$51)</f>
        <v>14.7405432098765</v>
      </c>
      <c r="AH16" s="1929" t="n">
        <f aca="false">IF($R$8=1,$N16*$O16*$E16/3888*(1+$J$51),0)</f>
        <v>0</v>
      </c>
      <c r="AI16" s="1928" t="n">
        <f aca="false">IF($R$8=2,$N16*$O16*$E16/3888*(1+$J$51),0)</f>
        <v>0</v>
      </c>
      <c r="AJ16" s="1928" t="n">
        <f aca="false">IF($R$8=3,$N16*$O16*$E16/3888*(1+$J$51),0)</f>
        <v>7.3283950617284</v>
      </c>
      <c r="AK16" s="1928" t="n">
        <f aca="false">IF($R$8=4,$N16*$O16*$E16/3888*(1+$J$51),0)</f>
        <v>0</v>
      </c>
      <c r="AL16" s="1928" t="n">
        <f aca="false">IF($R$8=5,$N16*$O16*$E16/3888*(1+$J$51),0)</f>
        <v>0</v>
      </c>
      <c r="AM16" s="1928" t="n">
        <f aca="false">IF($R$8=6,$N16*$O16*$E16/3888*(1+$J$51),0)</f>
        <v>0</v>
      </c>
      <c r="AN16" s="1928" t="n">
        <f aca="false">IF($R$8=7,$N16*$O16*$E16/3888*(1+$J$51),0)</f>
        <v>0</v>
      </c>
      <c r="AO16" s="1928" t="n">
        <f aca="false">IF($R$8=8,$N16*$O16*$E16/3888*(1+$J$51),0)</f>
        <v>0</v>
      </c>
      <c r="AP16" s="1928" t="n">
        <f aca="false">IF($R$8=9,$N16*$O16*$E16/3888*(1+$J$51),0)</f>
        <v>0</v>
      </c>
      <c r="AQ16" s="1928" t="n">
        <f aca="false">IF($R$8=10,$N16*$O16*$E16/3888*(1+$J$51),0)</f>
        <v>0</v>
      </c>
      <c r="AR16" s="1929" t="n">
        <f aca="false">IF($D16=1,$W16-SUM($AH16:$AQ16),0)</f>
        <v>0</v>
      </c>
      <c r="AS16" s="1928" t="n">
        <f aca="false">IF($D16=2,W16-SUM($AH16:$AQ16),0)</f>
        <v>0</v>
      </c>
      <c r="AT16" s="1928" t="n">
        <f aca="false">IF($D16=3,W16-SUM($AH16:$AQ16),0)</f>
        <v>0</v>
      </c>
      <c r="AU16" s="1928" t="n">
        <f aca="false">IF($D16=4,W16-SUM($AH16:$AQ16),0)</f>
        <v>0</v>
      </c>
      <c r="AV16" s="1928" t="n">
        <f aca="false">IF($D16=5,W16-SUM($AH16:$AQ16),0)</f>
        <v>7.41214814814815</v>
      </c>
      <c r="AW16" s="1928" t="n">
        <f aca="false">IF($D16=6,W16-SUM($AH16:$AQ16),0)</f>
        <v>0</v>
      </c>
      <c r="AX16" s="1928" t="n">
        <f aca="false">IF($D16=7,W16-SUM($AH16:$AQ16),0)</f>
        <v>0</v>
      </c>
      <c r="AY16" s="1928" t="n">
        <f aca="false">IF($D16=8,W16-SUM($AH16:$AQ16),0)</f>
        <v>0</v>
      </c>
      <c r="AZ16" s="1928" t="n">
        <f aca="false">IF($D16=9,W16-SUM($AH16:$AQ16),0)</f>
        <v>0</v>
      </c>
      <c r="BA16" s="1930" t="n">
        <f aca="false">IF($D16=10,W16-SUM($AH16:$AQ16),0)</f>
        <v>0</v>
      </c>
      <c r="BB16" s="1928" t="n">
        <f aca="false">SUM(AH16:AM16)</f>
        <v>7.3283950617284</v>
      </c>
      <c r="BC16" s="1928" t="n">
        <f aca="false">SUM(AR16:AW16)</f>
        <v>7.41214814814815</v>
      </c>
      <c r="BD16" s="1928" t="n">
        <f aca="false">V16</f>
        <v>1750.14152383984</v>
      </c>
      <c r="BE16" s="1928" t="n">
        <f aca="false">E16*G16/12*2+(U16*U16*G16/1728*S16)</f>
        <v>377.6</v>
      </c>
      <c r="BF16" s="1928" t="n">
        <f aca="false">BE16/2</f>
        <v>188.8</v>
      </c>
      <c r="BG16" s="1928" t="n">
        <f aca="false">N16*E16/12</f>
        <v>186.666666666667</v>
      </c>
      <c r="BH16" s="1928" t="n">
        <f aca="false">ROUND(IF(C16="Y",BF16*3/27,0),0)</f>
        <v>21</v>
      </c>
      <c r="BJ16" s="1931" t="n">
        <f aca="false">V16*F$56*IF(T$39="N",(1+V$39),1)</f>
        <v>1041.99050975615</v>
      </c>
      <c r="BK16" s="1932" t="n">
        <f aca="false">(AR16*Pricing!F$3+AS16*Pricing!G$3+AT16*Pricing!H$3+AU16*Pricing!I$3+AV16*Pricing!J$3+AW16*Pricing!K$3+AH16*Pricing!F$3+AI16*Pricing!G$3+AJ16*Pricing!H$3+AK16*Pricing!I$3+AL16*Pricing!J$3+AM16*Pricing!K$3)*IF(T$39="N",(1+V$39),1)</f>
        <v>2274.04757530864</v>
      </c>
      <c r="BL16" s="1932" t="n">
        <f aca="false">IF(C16="Y",(N$59+N$60)/DF$36*DF16,0)</f>
        <v>423.615934627171</v>
      </c>
      <c r="BM16" s="1932" t="n">
        <f aca="false">BF16*(G$67+D$70)</f>
        <v>1557.6</v>
      </c>
      <c r="BN16" s="1932" t="n">
        <f aca="false">BG16*D$66</f>
        <v>1493.33333333333</v>
      </c>
      <c r="BO16" s="1932" t="n">
        <f aca="false">V16/2000*D$71</f>
        <v>393.781842863965</v>
      </c>
      <c r="BP16" s="1932" t="n">
        <f aca="false">IF(C16="Y",(N$74+N$73+N$72)/DF$36*DF16,0)</f>
        <v>911.436159346272</v>
      </c>
      <c r="BQ16" s="1932" t="n">
        <f aca="false">IF(SUM(BF$36:BG$36)=0,0,(SUM(N$78:O$81)+SUM(N$83:O$88)+SUM(N$90:O$96)+W$95)/SUM(BF$36:BG$36)*(BF16+BG16))</f>
        <v>2369.43260589112</v>
      </c>
      <c r="BR16" s="1933"/>
      <c r="BS16" s="1934" t="n">
        <f aca="false">IF(SUM(BF$36:BG$36)=0,0,(BQ$36-W$58-N$64-W71-(L$79*0.15))/SUM(BF$36:BG$36)*BG16+BN16)</f>
        <v>2450.40433417196</v>
      </c>
      <c r="BT16" s="1932" t="n">
        <f aca="false">(AH16*Pricing!F$3+AI16*Pricing!G$3+AJ16*Pricing!H$3+AK16*Pricing!I$3+AL16*Pricing!J$3+AM16*Pricing!K$3)*IF(T$39="N",(1+V$39),1)</f>
        <v>1110.61827160494</v>
      </c>
      <c r="BU16" s="1932" t="n">
        <f aca="false">IF(BG16=0,0,(BS16+BT16)/BG16)</f>
        <v>19.0769068166619</v>
      </c>
      <c r="BV16" s="1932" t="n">
        <f aca="false">SUM(BJ16:BQ16)-BS16-BT16</f>
        <v>6904.21535534975</v>
      </c>
      <c r="BW16" s="1933" t="n">
        <f aca="false">IF(BE16=0,0,BV16/BF16)</f>
        <v>36.568937263505</v>
      </c>
      <c r="DB16" s="1935" t="n">
        <f aca="false">IF(W16=0,0,D$40/SUM(W$10:W$35)*W16)</f>
        <v>11930.0930042883</v>
      </c>
      <c r="DC16" s="1932" t="n">
        <f aca="false">E16*N16/12*(D$40-7980)/H$66</f>
        <v>10923.6186290782</v>
      </c>
      <c r="DD16" s="179" t="n">
        <f aca="false">ROUND(N16*O16/3088*E16,0)</f>
        <v>9</v>
      </c>
      <c r="DE16" s="908" t="n">
        <f aca="false">ROUND(V16,0)</f>
        <v>1750</v>
      </c>
      <c r="DF16" s="356" t="n">
        <f aca="false">ROUND(IF(C16="Y",(G16*0.25*E16+G16*G16/144*0.5*E16)/27*1.3,0),0)</f>
        <v>54</v>
      </c>
      <c r="DG16" s="908" t="n">
        <f aca="false">ROUND(E16*G16/12,0)</f>
        <v>189</v>
      </c>
      <c r="DH16" s="908" t="n">
        <f aca="false">IF(C16="y",ROUNDUP(E16*G16/12,0),0)</f>
        <v>189</v>
      </c>
      <c r="DI16" s="908" t="n">
        <f aca="false">IF(C16="Y",IF(E16&gt;0,E16,0),0)</f>
        <v>32</v>
      </c>
      <c r="DJ16" s="1936" t="n">
        <f aca="false">ROUND(E16*N16/12,0)</f>
        <v>187</v>
      </c>
    </row>
    <row r="17" s="1414" customFormat="true" ht="15" hidden="false" customHeight="false" outlineLevel="0" collapsed="false">
      <c r="A17" s="507"/>
      <c r="B17" s="1312"/>
      <c r="C17" s="1919" t="s">
        <v>1302</v>
      </c>
      <c r="D17" s="1920" t="n">
        <v>5</v>
      </c>
      <c r="E17" s="2059" t="n">
        <v>32</v>
      </c>
      <c r="F17" s="1234" t="n">
        <v>12</v>
      </c>
      <c r="G17" s="1235" t="n">
        <f aca="false">12*5.3</f>
        <v>63.6</v>
      </c>
      <c r="H17" s="1236" t="n">
        <v>12</v>
      </c>
      <c r="I17" s="1234" t="n">
        <v>5</v>
      </c>
      <c r="J17" s="1235" t="n">
        <v>2</v>
      </c>
      <c r="K17" s="1236" t="n">
        <v>12</v>
      </c>
      <c r="L17" s="1234" t="n">
        <v>5</v>
      </c>
      <c r="M17" s="1234" t="n">
        <v>2</v>
      </c>
      <c r="N17" s="1922" t="n">
        <v>70</v>
      </c>
      <c r="O17" s="1234" t="n">
        <v>12</v>
      </c>
      <c r="P17" s="1234" t="n">
        <v>12</v>
      </c>
      <c r="Q17" s="1237" t="n">
        <v>5</v>
      </c>
      <c r="R17" s="1923" t="n">
        <v>2</v>
      </c>
      <c r="S17" s="1924"/>
      <c r="T17" s="78"/>
      <c r="U17" s="900"/>
      <c r="V17" s="1925" t="n">
        <f aca="false">((E17*I17/16*I17/16*10.680159*J17)*IF(H17=0,0,(G17/H17))+(G17/12*L17/16*L17/16*10.680159*M17)*IF(K17=0,0,(E17*12/K17))+(E17*IF(P17=0,0,N17/P17)*Q17/16*Q17/16*10.680159*R17)+(IF(P17=0,0,E17/P17*N17)*Q17/16*Q17/16*10.680159*R17)+((T17*U17*S17*0.03*0.2836*G17)/12+4)*IF(H17=0,0,(G17/H17))*I17/16*I17/16*10.680159)*(1+J$56)</f>
        <v>1659.27673359766</v>
      </c>
      <c r="W17" s="1926" t="n">
        <f aca="false">((E17*F17/12*G17/324)+ROUNDUP(S17*T17*U17*G17/46656,0)+(N17*O17*E17/3888))*(1+J$51)</f>
        <v>13.9867654320988</v>
      </c>
      <c r="AH17" s="1929" t="n">
        <f aca="false">IF($R$8=1,$N17*$O17*$E17/3888*(1+$J$51),0)</f>
        <v>0</v>
      </c>
      <c r="AI17" s="1928" t="n">
        <f aca="false">IF($R$8=2,$N17*$O17*$E17/3888*(1+$J$51),0)</f>
        <v>0</v>
      </c>
      <c r="AJ17" s="1928" t="n">
        <f aca="false">IF($R$8=3,$N17*$O17*$E17/3888*(1+$J$51),0)</f>
        <v>7.3283950617284</v>
      </c>
      <c r="AK17" s="1928" t="n">
        <f aca="false">IF($R$8=4,$N17*$O17*$E17/3888*(1+$J$51),0)</f>
        <v>0</v>
      </c>
      <c r="AL17" s="1928" t="n">
        <f aca="false">IF($R$8=5,$N17*$O17*$E17/3888*(1+$J$51),0)</f>
        <v>0</v>
      </c>
      <c r="AM17" s="1928" t="n">
        <f aca="false">IF($R$8=6,$N17*$O17*$E17/3888*(1+$J$51),0)</f>
        <v>0</v>
      </c>
      <c r="AN17" s="1928" t="n">
        <f aca="false">IF($R$8=7,$N17*$O17*$E17/3888*(1+$J$51),0)</f>
        <v>0</v>
      </c>
      <c r="AO17" s="1928" t="n">
        <f aca="false">IF($R$8=8,$N17*$O17*$E17/3888*(1+$J$51),0)</f>
        <v>0</v>
      </c>
      <c r="AP17" s="1928" t="n">
        <f aca="false">IF($R$8=9,$N17*$O17*$E17/3888*(1+$J$51),0)</f>
        <v>0</v>
      </c>
      <c r="AQ17" s="1928" t="n">
        <f aca="false">IF($R$8=10,$N17*$O17*$E17/3888*(1+$J$51),0)</f>
        <v>0</v>
      </c>
      <c r="AR17" s="1929" t="n">
        <f aca="false">IF($D17=1,$W17-SUM($AH17:$AQ17),0)</f>
        <v>0</v>
      </c>
      <c r="AS17" s="1928" t="n">
        <f aca="false">IF($D17=2,W17-SUM($AH17:$AQ17),0)</f>
        <v>0</v>
      </c>
      <c r="AT17" s="1928" t="n">
        <f aca="false">IF($D17=3,W17-SUM($AH17:$AQ17),0)</f>
        <v>0</v>
      </c>
      <c r="AU17" s="1928" t="n">
        <f aca="false">IF($D17=4,W17-SUM($AH17:$AQ17),0)</f>
        <v>0</v>
      </c>
      <c r="AV17" s="1928" t="n">
        <f aca="false">IF($D17=5,W17-SUM($AH17:$AQ17),0)</f>
        <v>6.65837037037037</v>
      </c>
      <c r="AW17" s="1928" t="n">
        <f aca="false">IF($D17=6,W17-SUM($AH17:$AQ17),0)</f>
        <v>0</v>
      </c>
      <c r="AX17" s="1928" t="n">
        <f aca="false">IF($D17=7,W17-SUM($AH17:$AQ17),0)</f>
        <v>0</v>
      </c>
      <c r="AY17" s="1928" t="n">
        <f aca="false">IF($D17=8,W17-SUM($AH17:$AQ17),0)</f>
        <v>0</v>
      </c>
      <c r="AZ17" s="1928" t="n">
        <f aca="false">IF($D17=9,W17-SUM($AH17:$AQ17),0)</f>
        <v>0</v>
      </c>
      <c r="BA17" s="1930" t="n">
        <f aca="false">IF($D17=10,W17-SUM($AH17:$AQ17),0)</f>
        <v>0</v>
      </c>
      <c r="BB17" s="1928" t="n">
        <f aca="false">SUM(AH17:AM17)</f>
        <v>7.3283950617284</v>
      </c>
      <c r="BC17" s="1928" t="n">
        <f aca="false">SUM(AR17:AW17)</f>
        <v>6.65837037037037</v>
      </c>
      <c r="BD17" s="1928" t="n">
        <f aca="false">V17</f>
        <v>1659.27673359766</v>
      </c>
      <c r="BE17" s="1928" t="n">
        <f aca="false">E17*G17/12*2+(U17*U17*G17/1728*S17)</f>
        <v>339.2</v>
      </c>
      <c r="BF17" s="1928" t="n">
        <f aca="false">BE17/2</f>
        <v>169.6</v>
      </c>
      <c r="BG17" s="1928" t="n">
        <f aca="false">N17*E17/12</f>
        <v>186.666666666667</v>
      </c>
      <c r="BH17" s="1928" t="n">
        <f aca="false">ROUND(IF(C17="Y",BF17*3/27,0),0)</f>
        <v>19</v>
      </c>
      <c r="BJ17" s="1931" t="n">
        <f aca="false">V17*F$56*IF(T$39="N",(1+V$39),1)</f>
        <v>987.891885265705</v>
      </c>
      <c r="BK17" s="1932" t="n">
        <f aca="false">(AR17*Pricing!F$3+AS17*Pricing!G$3+AT17*Pricing!H$3+AU17*Pricing!I$3+AV17*Pricing!J$3+AW17*Pricing!K$3+AH17*Pricing!F$3+AI17*Pricing!G$3+AJ17*Pricing!H$3+AK17*Pricing!I$3+AL17*Pricing!J$3+AM17*Pricing!K$3)*IF(T$39="N",(1+V$39),1)</f>
        <v>2155.7327308642</v>
      </c>
      <c r="BL17" s="1932" t="n">
        <f aca="false">IF(C17="Y",(N$59+N$60)/DF$36*DF17,0)</f>
        <v>360.858018386108</v>
      </c>
      <c r="BM17" s="1932" t="n">
        <f aca="false">BF17*(G$67+D$70)</f>
        <v>1399.2</v>
      </c>
      <c r="BN17" s="1932" t="n">
        <f aca="false">BG17*D$66</f>
        <v>1493.33333333333</v>
      </c>
      <c r="BO17" s="1932" t="n">
        <f aca="false">V17/2000*D$71</f>
        <v>373.337265059473</v>
      </c>
      <c r="BP17" s="1932" t="n">
        <f aca="false">IF(C17="Y",(N$74+N$73+N$72)/DF$36*DF17,0)</f>
        <v>776.408580183861</v>
      </c>
      <c r="BQ17" s="1932" t="n">
        <f aca="false">IF(SUM(BF$36:BG$36)=0,0,(SUM(N$78:O$81)+SUM(N$83:O$88)+SUM(N$90:O$96)+W$95)/SUM(BF$36:BG$36)*(BF17+BG17))</f>
        <v>2248.26843854441</v>
      </c>
      <c r="BR17" s="1933"/>
      <c r="BS17" s="1934" t="n">
        <f aca="false">IF(SUM(BF$36:BG$36)=0,0,(BQ$36-W$58-N$64-W64-(L$79*0.15))/SUM(BF$36:BG$36)*BG17+BN17)</f>
        <v>2450.40433417196</v>
      </c>
      <c r="BT17" s="1932" t="n">
        <f aca="false">(AH17*Pricing!F$3+AI17*Pricing!G$3+AJ17*Pricing!H$3+AK17*Pricing!I$3+AL17*Pricing!J$3+AM17*Pricing!K$3)*IF(T$39="N",(1+V$39),1)</f>
        <v>1110.61827160494</v>
      </c>
      <c r="BU17" s="1932" t="n">
        <f aca="false">IF(BG17=0,0,(BS17+BT17)/BG17)</f>
        <v>19.0769068166619</v>
      </c>
      <c r="BV17" s="1932" t="n">
        <f aca="false">SUM(BJ17:BQ17)-BS17-BT17</f>
        <v>6234.0076458602</v>
      </c>
      <c r="BW17" s="1933" t="n">
        <f aca="false">IF(BE17=0,0,BV17/BF17)</f>
        <v>36.757120553421</v>
      </c>
      <c r="DB17" s="1935" t="n">
        <f aca="false">IF(W17=0,0,D$40/SUM(W$10:W$35)*W17)</f>
        <v>11320.0314302053</v>
      </c>
      <c r="DC17" s="1932" t="n">
        <f aca="false">E17*N17/12*(D$40-7980)/H$66</f>
        <v>10923.6186290782</v>
      </c>
      <c r="DD17" s="179" t="n">
        <f aca="false">ROUND(N17*O17/3088*E17,0)</f>
        <v>9</v>
      </c>
      <c r="DE17" s="908" t="n">
        <f aca="false">ROUND(V17,0)</f>
        <v>1659</v>
      </c>
      <c r="DF17" s="356" t="n">
        <f aca="false">ROUND(IF(C17="Y",(G17*0.25*E17+G17*G17/144*0.5*E17)/27*1.3,0),0)</f>
        <v>46</v>
      </c>
      <c r="DG17" s="908" t="n">
        <f aca="false">ROUND(E17*G17/12,0)</f>
        <v>170</v>
      </c>
      <c r="DH17" s="908" t="n">
        <f aca="false">IF(C17="y",ROUNDUP(E17*G17/12,0),0)</f>
        <v>170</v>
      </c>
      <c r="DI17" s="908" t="n">
        <f aca="false">IF(C17="Y",IF(E17&gt;0,E17,0),0)</f>
        <v>32</v>
      </c>
      <c r="DJ17" s="1936" t="n">
        <f aca="false">ROUND(E17*N17/12,0)</f>
        <v>187</v>
      </c>
    </row>
    <row r="18" s="1414" customFormat="true" ht="15" hidden="false" customHeight="false" outlineLevel="0" collapsed="false">
      <c r="A18" s="507"/>
      <c r="B18" s="1312"/>
      <c r="C18" s="1919" t="s">
        <v>1302</v>
      </c>
      <c r="D18" s="1920" t="n">
        <v>5</v>
      </c>
      <c r="E18" s="2059" t="n">
        <v>32</v>
      </c>
      <c r="F18" s="1234" t="n">
        <v>12</v>
      </c>
      <c r="G18" s="1235" t="n">
        <f aca="false">12*5.6</f>
        <v>67.2</v>
      </c>
      <c r="H18" s="1236" t="n">
        <v>12</v>
      </c>
      <c r="I18" s="1234" t="n">
        <v>5</v>
      </c>
      <c r="J18" s="1235" t="n">
        <v>2</v>
      </c>
      <c r="K18" s="1236" t="n">
        <v>12</v>
      </c>
      <c r="L18" s="1234" t="n">
        <v>5</v>
      </c>
      <c r="M18" s="1234" t="n">
        <v>2</v>
      </c>
      <c r="N18" s="1922" t="n">
        <v>70</v>
      </c>
      <c r="O18" s="1234" t="n">
        <v>12</v>
      </c>
      <c r="P18" s="1234" t="n">
        <v>12</v>
      </c>
      <c r="Q18" s="1237" t="n">
        <v>5</v>
      </c>
      <c r="R18" s="1923" t="n">
        <v>2</v>
      </c>
      <c r="S18" s="1924"/>
      <c r="T18" s="78"/>
      <c r="U18" s="900"/>
      <c r="V18" s="1925" t="n">
        <f aca="false">((E18*I18/16*I18/16*10.680159*J18)*IF(H18=0,0,(G18/H18))+(G18/12*L18/16*L18/16*10.680159*M18)*IF(K18=0,0,(E18*12/K18))+(E18*IF(P18=0,0,N18/P18)*Q18/16*Q18/16*10.680159*R18)+(IF(P18=0,0,E18/P18*N18)*Q18/16*Q18/16*10.680159*R18)+((T18*U18*S18*0.03*0.2836*G18)/12+4)*IF(H18=0,0,(G18/H18))*I18/16*I18/16*10.680159)*(1+J$56)</f>
        <v>1704.70912871875</v>
      </c>
      <c r="W18" s="1926" t="n">
        <f aca="false">((E18*F18/12*G18/324)+ROUNDUP(S18*T18*U18*G18/46656,0)+(N18*O18*E18/3888))*(1+J$51)</f>
        <v>14.3636543209877</v>
      </c>
      <c r="AH18" s="1929" t="n">
        <f aca="false">IF($R$8=1,$N18*$O18*$E18/3888*(1+$J$51),0)</f>
        <v>0</v>
      </c>
      <c r="AI18" s="1928" t="n">
        <f aca="false">IF($R$8=2,$N18*$O18*$E18/3888*(1+$J$51),0)</f>
        <v>0</v>
      </c>
      <c r="AJ18" s="1928" t="n">
        <f aca="false">IF($R$8=3,$N18*$O18*$E18/3888*(1+$J$51),0)</f>
        <v>7.3283950617284</v>
      </c>
      <c r="AK18" s="1928" t="n">
        <f aca="false">IF($R$8=4,$N18*$O18*$E18/3888*(1+$J$51),0)</f>
        <v>0</v>
      </c>
      <c r="AL18" s="1928" t="n">
        <f aca="false">IF($R$8=5,$N18*$O18*$E18/3888*(1+$J$51),0)</f>
        <v>0</v>
      </c>
      <c r="AM18" s="1928" t="n">
        <f aca="false">IF($R$8=6,$N18*$O18*$E18/3888*(1+$J$51),0)</f>
        <v>0</v>
      </c>
      <c r="AN18" s="1928" t="n">
        <f aca="false">IF($R$8=7,$N18*$O18*$E18/3888*(1+$J$51),0)</f>
        <v>0</v>
      </c>
      <c r="AO18" s="1928" t="n">
        <f aca="false">IF($R$8=8,$N18*$O18*$E18/3888*(1+$J$51),0)</f>
        <v>0</v>
      </c>
      <c r="AP18" s="1928" t="n">
        <f aca="false">IF($R$8=9,$N18*$O18*$E18/3888*(1+$J$51),0)</f>
        <v>0</v>
      </c>
      <c r="AQ18" s="1928" t="n">
        <f aca="false">IF($R$8=10,$N18*$O18*$E18/3888*(1+$J$51),0)</f>
        <v>0</v>
      </c>
      <c r="AR18" s="1929" t="n">
        <f aca="false">IF($D18=1,$W18-SUM($AH18:$AQ18),0)</f>
        <v>0</v>
      </c>
      <c r="AS18" s="1928" t="n">
        <f aca="false">IF($D18=2,W18-SUM($AH18:$AQ18),0)</f>
        <v>0</v>
      </c>
      <c r="AT18" s="1928" t="n">
        <f aca="false">IF($D18=3,W18-SUM($AH18:$AQ18),0)</f>
        <v>0</v>
      </c>
      <c r="AU18" s="1928" t="n">
        <f aca="false">IF($D18=4,W18-SUM($AH18:$AQ18),0)</f>
        <v>0</v>
      </c>
      <c r="AV18" s="1928" t="n">
        <f aca="false">IF($D18=5,W18-SUM($AH18:$AQ18),0)</f>
        <v>7.03525925925926</v>
      </c>
      <c r="AW18" s="1928" t="n">
        <f aca="false">IF($D18=6,W18-SUM($AH18:$AQ18),0)</f>
        <v>0</v>
      </c>
      <c r="AX18" s="1928" t="n">
        <f aca="false">IF($D18=7,W18-SUM($AH18:$AQ18),0)</f>
        <v>0</v>
      </c>
      <c r="AY18" s="1928" t="n">
        <f aca="false">IF($D18=8,W18-SUM($AH18:$AQ18),0)</f>
        <v>0</v>
      </c>
      <c r="AZ18" s="1928" t="n">
        <f aca="false">IF($D18=9,W18-SUM($AH18:$AQ18),0)</f>
        <v>0</v>
      </c>
      <c r="BA18" s="1930" t="n">
        <f aca="false">IF($D18=10,W18-SUM($AH18:$AQ18),0)</f>
        <v>0</v>
      </c>
      <c r="BB18" s="1928" t="n">
        <f aca="false">SUM(AH18:AM18)</f>
        <v>7.3283950617284</v>
      </c>
      <c r="BC18" s="1928" t="n">
        <f aca="false">SUM(AR18:AW18)</f>
        <v>7.03525925925926</v>
      </c>
      <c r="BD18" s="1928" t="n">
        <f aca="false">V18</f>
        <v>1704.70912871875</v>
      </c>
      <c r="BE18" s="1928" t="n">
        <f aca="false">E18*G18/12*2+(U18*U18*G18/1728*S18)</f>
        <v>358.4</v>
      </c>
      <c r="BF18" s="1928" t="n">
        <f aca="false">BE18/2</f>
        <v>179.2</v>
      </c>
      <c r="BG18" s="1928" t="n">
        <f aca="false">N18*E18/12</f>
        <v>186.666666666667</v>
      </c>
      <c r="BH18" s="1928" t="n">
        <f aca="false">ROUND(IF(C18="Y",BF18*3/27,0),0)</f>
        <v>20</v>
      </c>
      <c r="BJ18" s="1931" t="n">
        <f aca="false">V18*F$56*IF(T$39="N",(1+V$39),1)</f>
        <v>1014.94119751093</v>
      </c>
      <c r="BK18" s="1932" t="n">
        <f aca="false">(AR18*Pricing!F$3+AS18*Pricing!G$3+AT18*Pricing!H$3+AU18*Pricing!I$3+AV18*Pricing!J$3+AW18*Pricing!K$3+AH18*Pricing!F$3+AI18*Pricing!G$3+AJ18*Pricing!H$3+AK18*Pricing!I$3+AL18*Pricing!J$3+AM18*Pricing!K$3)*IF(T$39="N",(1+V$39),1)</f>
        <v>2214.89015308642</v>
      </c>
      <c r="BL18" s="1932" t="n">
        <f aca="false">IF(C18="Y",(N$59+N$60)/DF$36*DF18,0)</f>
        <v>392.236976506639</v>
      </c>
      <c r="BM18" s="1932" t="n">
        <f aca="false">BF18*(G$67+D$70)</f>
        <v>1478.4</v>
      </c>
      <c r="BN18" s="1932" t="n">
        <f aca="false">BG18*D$66</f>
        <v>1493.33333333333</v>
      </c>
      <c r="BO18" s="1932" t="n">
        <f aca="false">V18/2000*D$71</f>
        <v>383.559553961719</v>
      </c>
      <c r="BP18" s="1932" t="n">
        <f aca="false">IF(C18="Y",(N$74+N$73+N$72)/DF$36*DF18,0)</f>
        <v>843.922369765067</v>
      </c>
      <c r="BQ18" s="1932" t="n">
        <f aca="false">IF(SUM(BF$36:BG$36)=0,0,(SUM(N$78:O$81)+SUM(N$83:O$88)+SUM(N$90:O$96)+W$95)/SUM(BF$36:BG$36)*(BF18+BG18))</f>
        <v>2308.85052221776</v>
      </c>
      <c r="BR18" s="1933"/>
      <c r="BS18" s="1934" t="n">
        <f aca="false">IF(SUM(BF$36:BG$36)=0,0,(BQ$36-W$58-N$64-W60-(L$79*0.15))/SUM(BF$36:BG$36)*BG18+BN18)</f>
        <v>2446.60577622013</v>
      </c>
      <c r="BT18" s="1932" t="n">
        <f aca="false">(AH18*Pricing!F$3+AI18*Pricing!G$3+AJ18*Pricing!H$3+AK18*Pricing!I$3+AL18*Pricing!J$3+AM18*Pricing!K$3)*IF(T$39="N",(1+V$39),1)</f>
        <v>1110.61827160494</v>
      </c>
      <c r="BU18" s="1932" t="n">
        <f aca="false">IF(BG18=0,0,(BS18+BT18)/BG18)</f>
        <v>19.0565573990629</v>
      </c>
      <c r="BV18" s="1932" t="n">
        <f aca="false">SUM(BJ18:BQ18)-BS18-BT18</f>
        <v>6572.9100585568</v>
      </c>
      <c r="BW18" s="1933" t="n">
        <f aca="false">IF(BE18=0,0,BV18/BF18)</f>
        <v>36.679185594625</v>
      </c>
      <c r="DB18" s="1935" t="n">
        <f aca="false">IF(W18=0,0,D$40/SUM(W$10:W$35)*W18)</f>
        <v>11625.0622172468</v>
      </c>
      <c r="DC18" s="1932" t="n">
        <f aca="false">E18*N18/12*(D$40-7980)/H$66</f>
        <v>10923.6186290782</v>
      </c>
      <c r="DD18" s="179" t="n">
        <f aca="false">ROUND(N18*O18/3088*E18,0)</f>
        <v>9</v>
      </c>
      <c r="DE18" s="908" t="n">
        <f aca="false">ROUND(V18,0)</f>
        <v>1705</v>
      </c>
      <c r="DF18" s="356" t="n">
        <f aca="false">ROUND(IF(C18="Y",(G18*0.25*E18+G18*G18/144*0.5*E18)/27*1.3,0),0)</f>
        <v>50</v>
      </c>
      <c r="DG18" s="908" t="n">
        <f aca="false">ROUND(E18*G18/12,0)</f>
        <v>179</v>
      </c>
      <c r="DH18" s="908" t="n">
        <f aca="false">IF(C18="y",ROUNDUP(E18*G18/12,0),0)</f>
        <v>180</v>
      </c>
      <c r="DI18" s="908" t="n">
        <f aca="false">IF(C18="Y",IF(E18&gt;0,E18,0),0)</f>
        <v>32</v>
      </c>
      <c r="DJ18" s="1936" t="n">
        <f aca="false">ROUND(E18*N18/12,0)</f>
        <v>187</v>
      </c>
    </row>
    <row r="19" s="1414" customFormat="true" ht="15" hidden="false" customHeight="false" outlineLevel="0" collapsed="false">
      <c r="A19" s="507"/>
      <c r="B19" s="1312"/>
      <c r="C19" s="1919" t="s">
        <v>1302</v>
      </c>
      <c r="D19" s="1920" t="n">
        <v>5</v>
      </c>
      <c r="E19" s="2059" t="n">
        <v>32</v>
      </c>
      <c r="F19" s="1234" t="n">
        <v>12</v>
      </c>
      <c r="G19" s="1235" t="n">
        <f aca="false">12*6.25</f>
        <v>75</v>
      </c>
      <c r="H19" s="1236" t="n">
        <v>12</v>
      </c>
      <c r="I19" s="1234" t="n">
        <v>5</v>
      </c>
      <c r="J19" s="1235" t="n">
        <v>2</v>
      </c>
      <c r="K19" s="1236" t="n">
        <v>12</v>
      </c>
      <c r="L19" s="1234" t="n">
        <v>5</v>
      </c>
      <c r="M19" s="1234" t="n">
        <v>2</v>
      </c>
      <c r="N19" s="1922" t="n">
        <v>70</v>
      </c>
      <c r="O19" s="1234" t="n">
        <v>12</v>
      </c>
      <c r="P19" s="1234" t="n">
        <v>12</v>
      </c>
      <c r="Q19" s="1237" t="n">
        <v>5</v>
      </c>
      <c r="R19" s="1923" t="n">
        <v>2</v>
      </c>
      <c r="S19" s="1924"/>
      <c r="T19" s="78"/>
      <c r="U19" s="900"/>
      <c r="V19" s="1925" t="n">
        <f aca="false">((E19*I19/16*I19/16*10.680159*J19)*IF(H19=0,0,(G19/H19))+(G19/12*L19/16*L19/16*10.680159*M19)*IF(K19=0,0,(E19*12/K19))+(E19*IF(P19=0,0,N19/P19)*Q19/16*Q19/16*10.680159*R19)+(IF(P19=0,0,E19/P19*N19)*Q19/16*Q19/16*10.680159*R19)+((T19*U19*S19*0.03*0.2836*G19)/12+4)*IF(H19=0,0,(G19/H19))*I19/16*I19/16*10.680159)*(1+J$56)</f>
        <v>1803.14598481445</v>
      </c>
      <c r="W19" s="1926" t="n">
        <f aca="false">((E19*F19/12*G19/324)+ROUNDUP(S19*T19*U19*G19/46656,0)+(N19*O19*E19/3888))*(1+J$51)</f>
        <v>15.1802469135802</v>
      </c>
      <c r="AH19" s="1929" t="n">
        <f aca="false">IF($R$8=1,$N19*$O19*$E19/3888*(1+$J$51),0)</f>
        <v>0</v>
      </c>
      <c r="AI19" s="1928" t="n">
        <f aca="false">IF($R$8=2,$N19*$O19*$E19/3888*(1+$J$51),0)</f>
        <v>0</v>
      </c>
      <c r="AJ19" s="1928" t="n">
        <f aca="false">IF($R$8=3,$N19*$O19*$E19/3888*(1+$J$51),0)</f>
        <v>7.3283950617284</v>
      </c>
      <c r="AK19" s="1928" t="n">
        <f aca="false">IF($R$8=4,$N19*$O19*$E19/3888*(1+$J$51),0)</f>
        <v>0</v>
      </c>
      <c r="AL19" s="1928" t="n">
        <f aca="false">IF($R$8=5,$N19*$O19*$E19/3888*(1+$J$51),0)</f>
        <v>0</v>
      </c>
      <c r="AM19" s="1928" t="n">
        <f aca="false">IF($R$8=6,$N19*$O19*$E19/3888*(1+$J$51),0)</f>
        <v>0</v>
      </c>
      <c r="AN19" s="1928" t="n">
        <f aca="false">IF($R$8=7,$N19*$O19*$E19/3888*(1+$J$51),0)</f>
        <v>0</v>
      </c>
      <c r="AO19" s="1928" t="n">
        <f aca="false">IF($R$8=8,$N19*$O19*$E19/3888*(1+$J$51),0)</f>
        <v>0</v>
      </c>
      <c r="AP19" s="1928" t="n">
        <f aca="false">IF($R$8=9,$N19*$O19*$E19/3888*(1+$J$51),0)</f>
        <v>0</v>
      </c>
      <c r="AQ19" s="1928" t="n">
        <f aca="false">IF($R$8=10,$N19*$O19*$E19/3888*(1+$J$51),0)</f>
        <v>0</v>
      </c>
      <c r="AR19" s="1929" t="n">
        <f aca="false">IF($D19=1,$W19-SUM($AH19:$AQ19),0)</f>
        <v>0</v>
      </c>
      <c r="AS19" s="1928" t="n">
        <f aca="false">IF($D19=2,W19-SUM($AH19:$AQ19),0)</f>
        <v>0</v>
      </c>
      <c r="AT19" s="1928" t="n">
        <f aca="false">IF($D19=3,W19-SUM($AH19:$AQ19),0)</f>
        <v>0</v>
      </c>
      <c r="AU19" s="1928" t="n">
        <f aca="false">IF($D19=4,W19-SUM($AH19:$AQ19),0)</f>
        <v>0</v>
      </c>
      <c r="AV19" s="1928" t="n">
        <f aca="false">IF($D19=5,W19-SUM($AH19:$AQ19),0)</f>
        <v>7.85185185185185</v>
      </c>
      <c r="AW19" s="1928" t="n">
        <f aca="false">IF($D19=6,W19-SUM($AH19:$AQ19),0)</f>
        <v>0</v>
      </c>
      <c r="AX19" s="1928" t="n">
        <f aca="false">IF($D19=7,W19-SUM($AH19:$AQ19),0)</f>
        <v>0</v>
      </c>
      <c r="AY19" s="1928" t="n">
        <f aca="false">IF($D19=8,W19-SUM($AH19:$AQ19),0)</f>
        <v>0</v>
      </c>
      <c r="AZ19" s="1928" t="n">
        <f aca="false">IF($D19=9,W19-SUM($AH19:$AQ19),0)</f>
        <v>0</v>
      </c>
      <c r="BA19" s="1930" t="n">
        <f aca="false">IF($D19=10,W19-SUM($AH19:$AQ19),0)</f>
        <v>0</v>
      </c>
      <c r="BB19" s="1928" t="n">
        <f aca="false">SUM(AH19:AM19)</f>
        <v>7.3283950617284</v>
      </c>
      <c r="BC19" s="1928" t="n">
        <f aca="false">SUM(AR19:AW19)</f>
        <v>7.85185185185185</v>
      </c>
      <c r="BD19" s="1928" t="n">
        <f aca="false">V19</f>
        <v>1803.14598481445</v>
      </c>
      <c r="BE19" s="1928" t="n">
        <f aca="false">E19*G19/12*2+(U19*U19*G19/1728*S19)</f>
        <v>400</v>
      </c>
      <c r="BF19" s="1928" t="n">
        <f aca="false">BE19/2</f>
        <v>200</v>
      </c>
      <c r="BG19" s="1928" t="n">
        <f aca="false">N19*E19/12</f>
        <v>186.666666666667</v>
      </c>
      <c r="BH19" s="1928" t="n">
        <f aca="false">ROUND(IF(C19="Y",BF19*3/27,0),0)</f>
        <v>22</v>
      </c>
      <c r="BJ19" s="1931" t="n">
        <f aca="false">V19*F$56*IF(T$39="N",(1+V$39),1)</f>
        <v>1073.54804070891</v>
      </c>
      <c r="BK19" s="1932" t="n">
        <f aca="false">(AR19*Pricing!F$3+AS19*Pricing!G$3+AT19*Pricing!H$3+AU19*Pricing!I$3+AV19*Pricing!J$3+AW19*Pricing!K$3+AH19*Pricing!F$3+AI19*Pricing!G$3+AJ19*Pricing!H$3+AK19*Pricing!I$3+AL19*Pricing!J$3+AM19*Pricing!K$3)*IF(T$39="N",(1+V$39),1)</f>
        <v>2343.06456790123</v>
      </c>
      <c r="BL19" s="1932" t="n">
        <f aca="false">IF(C19="Y",(N$59+N$60)/DF$36*DF19,0)</f>
        <v>462.839632277835</v>
      </c>
      <c r="BM19" s="1932" t="n">
        <f aca="false">BF19*(G$67+D$70)</f>
        <v>1650</v>
      </c>
      <c r="BN19" s="1932" t="n">
        <f aca="false">BG19*D$66</f>
        <v>1493.33333333333</v>
      </c>
      <c r="BO19" s="1932" t="n">
        <f aca="false">V19/2000*D$71</f>
        <v>405.707846583252</v>
      </c>
      <c r="BP19" s="1932" t="n">
        <f aca="false">IF(C19="Y",(N$74+N$73+N$72)/DF$36*DF19,0)</f>
        <v>995.828396322778</v>
      </c>
      <c r="BQ19" s="1932" t="n">
        <f aca="false">IF(SUM(BF$36:BG$36)=0,0,(SUM(N$78:O$81)+SUM(N$83:O$88)+SUM(N$90:O$96)+W$95)/SUM(BF$36:BG$36)*(BF19+BG19))</f>
        <v>2440.11170351003</v>
      </c>
      <c r="BR19" s="1933"/>
      <c r="BS19" s="1934" t="n">
        <f aca="false">IF(SUM(BF$36:BG$36)=0,0,(BQ$36-W$58-N$64-W61-(L$79*0.15))/SUM(BF$36:BG$36)*BG19+BN19)</f>
        <v>2442.80721826831</v>
      </c>
      <c r="BT19" s="1932" t="n">
        <f aca="false">(AH19*Pricing!F$3+AI19*Pricing!G$3+AJ19*Pricing!H$3+AK19*Pricing!I$3+AL19*Pricing!J$3+AM19*Pricing!K$3)*IF(T$39="N",(1+V$39),1)</f>
        <v>1110.61827160494</v>
      </c>
      <c r="BU19" s="1932" t="n">
        <f aca="false">IF(BG19=0,0,(BS19+BT19)/BG19)</f>
        <v>19.0362079814638</v>
      </c>
      <c r="BV19" s="1932" t="n">
        <f aca="false">SUM(BJ19:BQ19)-BS19-BT19</f>
        <v>7311.00803076412</v>
      </c>
      <c r="BW19" s="1933" t="n">
        <f aca="false">IF(BE19=0,0,BV19/BF19)</f>
        <v>36.5550401538206</v>
      </c>
      <c r="DB19" s="1935" t="n">
        <f aca="false">IF(W19=0,0,D$40/SUM(W$10:W$35)*W19)</f>
        <v>12285.9622558366</v>
      </c>
      <c r="DC19" s="1932" t="n">
        <f aca="false">E19*N19/12*(D$40-7980)/H$66</f>
        <v>10923.6186290782</v>
      </c>
      <c r="DD19" s="179" t="n">
        <f aca="false">ROUND(N19*O19/3088*E19,0)</f>
        <v>9</v>
      </c>
      <c r="DE19" s="908" t="n">
        <f aca="false">ROUND(V19,0)</f>
        <v>1803</v>
      </c>
      <c r="DF19" s="356" t="n">
        <f aca="false">ROUND(IF(C19="Y",(G19*0.25*E19+G19*G19/144*0.5*E19)/27*1.3,0),0)</f>
        <v>59</v>
      </c>
      <c r="DG19" s="908" t="n">
        <f aca="false">ROUND(E19*G19/12,0)</f>
        <v>200</v>
      </c>
      <c r="DH19" s="908" t="n">
        <f aca="false">IF(C19="y",ROUNDUP(E19*G19/12,0),0)</f>
        <v>200</v>
      </c>
      <c r="DI19" s="908" t="n">
        <f aca="false">IF(C19="Y",IF(E19&gt;0,E19,0),0)</f>
        <v>32</v>
      </c>
      <c r="DJ19" s="1936" t="n">
        <f aca="false">ROUND(E19*N19/12,0)</f>
        <v>187</v>
      </c>
    </row>
    <row r="20" s="1414" customFormat="true" ht="15" hidden="false" customHeight="false" outlineLevel="0" collapsed="false">
      <c r="A20" s="507"/>
      <c r="B20" s="1312"/>
      <c r="C20" s="1919" t="s">
        <v>1302</v>
      </c>
      <c r="D20" s="1920" t="n">
        <v>5</v>
      </c>
      <c r="E20" s="2059" t="n">
        <v>32</v>
      </c>
      <c r="F20" s="1234" t="n">
        <v>12</v>
      </c>
      <c r="G20" s="1235" t="n">
        <f aca="false">12*6.75</f>
        <v>81</v>
      </c>
      <c r="H20" s="1236" t="n">
        <v>12</v>
      </c>
      <c r="I20" s="1234" t="n">
        <v>5</v>
      </c>
      <c r="J20" s="1235" t="n">
        <v>2</v>
      </c>
      <c r="K20" s="1236" t="n">
        <v>12</v>
      </c>
      <c r="L20" s="1234" t="n">
        <v>5</v>
      </c>
      <c r="M20" s="1234" t="n">
        <v>2</v>
      </c>
      <c r="N20" s="1922" t="n">
        <v>70</v>
      </c>
      <c r="O20" s="1234" t="n">
        <v>12</v>
      </c>
      <c r="P20" s="1234" t="n">
        <v>12</v>
      </c>
      <c r="Q20" s="1237" t="n">
        <v>5</v>
      </c>
      <c r="R20" s="1923" t="n">
        <v>2</v>
      </c>
      <c r="S20" s="1924"/>
      <c r="T20" s="78"/>
      <c r="U20" s="900"/>
      <c r="V20" s="1925" t="n">
        <f aca="false">((E20*I20/16*I20/16*10.680159*J20)*IF(H20=0,0,(G20/H20))+(G20/12*L20/16*L20/16*10.680159*M20)*IF(K20=0,0,(E20*12/K20))+(E20*IF(P20=0,0,N20/P20)*Q20/16*Q20/16*10.680159*R20)+(IF(P20=0,0,E20/P20*N20)*Q20/16*Q20/16*10.680159*R20)+((T20*U20*S20*0.03*0.2836*G20)/12+4)*IF(H20=0,0,(G20/H20))*I20/16*I20/16*10.680159)*(1+J$56)</f>
        <v>1878.86664334961</v>
      </c>
      <c r="W20" s="1926" t="n">
        <f aca="false">((E20*F20/12*G20/324)+ROUNDUP(S20*T20*U20*G20/46656,0)+(N20*O20*E20/3888))*(1+J$51)</f>
        <v>15.8083950617284</v>
      </c>
      <c r="AH20" s="1929" t="n">
        <f aca="false">IF($R$8=1,$N20*$O20*$E20/3888*(1+$J$51),0)</f>
        <v>0</v>
      </c>
      <c r="AI20" s="1928" t="n">
        <f aca="false">IF($R$8=2,$N20*$O20*$E20/3888*(1+$J$51),0)</f>
        <v>0</v>
      </c>
      <c r="AJ20" s="1928" t="n">
        <f aca="false">IF($R$8=3,$N20*$O20*$E20/3888*(1+$J$51),0)</f>
        <v>7.3283950617284</v>
      </c>
      <c r="AK20" s="1928" t="n">
        <f aca="false">IF($R$8=4,$N20*$O20*$E20/3888*(1+$J$51),0)</f>
        <v>0</v>
      </c>
      <c r="AL20" s="1928" t="n">
        <f aca="false">IF($R$8=5,$N20*$O20*$E20/3888*(1+$J$51),0)</f>
        <v>0</v>
      </c>
      <c r="AM20" s="1928" t="n">
        <f aca="false">IF($R$8=6,$N20*$O20*$E20/3888*(1+$J$51),0)</f>
        <v>0</v>
      </c>
      <c r="AN20" s="1928" t="n">
        <f aca="false">IF($R$8=7,$N20*$O20*$E20/3888*(1+$J$51),0)</f>
        <v>0</v>
      </c>
      <c r="AO20" s="1928" t="n">
        <f aca="false">IF($R$8=8,$N20*$O20*$E20/3888*(1+$J$51),0)</f>
        <v>0</v>
      </c>
      <c r="AP20" s="1928" t="n">
        <f aca="false">IF($R$8=9,$N20*$O20*$E20/3888*(1+$J$51),0)</f>
        <v>0</v>
      </c>
      <c r="AQ20" s="1928" t="n">
        <f aca="false">IF($R$8=10,$N20*$O20*$E20/3888*(1+$J$51),0)</f>
        <v>0</v>
      </c>
      <c r="AR20" s="1929" t="n">
        <f aca="false">IF($D20=1,$W20-SUM($AH20:$AQ20),0)</f>
        <v>0</v>
      </c>
      <c r="AS20" s="1928" t="n">
        <f aca="false">IF($D20=2,W20-SUM($AH20:$AQ20),0)</f>
        <v>0</v>
      </c>
      <c r="AT20" s="1928" t="n">
        <f aca="false">IF($D20=3,W20-SUM($AH20:$AQ20),0)</f>
        <v>0</v>
      </c>
      <c r="AU20" s="1928" t="n">
        <f aca="false">IF($D20=4,W20-SUM($AH20:$AQ20),0)</f>
        <v>0</v>
      </c>
      <c r="AV20" s="1928" t="n">
        <f aca="false">IF($D20=5,W20-SUM($AH20:$AQ20),0)</f>
        <v>8.48</v>
      </c>
      <c r="AW20" s="1928" t="n">
        <f aca="false">IF($D20=6,W20-SUM($AH20:$AQ20),0)</f>
        <v>0</v>
      </c>
      <c r="AX20" s="1928" t="n">
        <f aca="false">IF($D20=7,W20-SUM($AH20:$AQ20),0)</f>
        <v>0</v>
      </c>
      <c r="AY20" s="1928" t="n">
        <f aca="false">IF($D20=8,W20-SUM($AH20:$AQ20),0)</f>
        <v>0</v>
      </c>
      <c r="AZ20" s="1928" t="n">
        <f aca="false">IF($D20=9,W20-SUM($AH20:$AQ20),0)</f>
        <v>0</v>
      </c>
      <c r="BA20" s="1930" t="n">
        <f aca="false">IF($D20=10,W20-SUM($AH20:$AQ20),0)</f>
        <v>0</v>
      </c>
      <c r="BB20" s="1928" t="n">
        <f aca="false">SUM(AH20:AM20)</f>
        <v>7.3283950617284</v>
      </c>
      <c r="BC20" s="1928" t="n">
        <f aca="false">SUM(AR20:AW20)</f>
        <v>8.48</v>
      </c>
      <c r="BD20" s="1928" t="n">
        <f aca="false">V20</f>
        <v>1878.86664334961</v>
      </c>
      <c r="BE20" s="1928" t="n">
        <f aca="false">E20*G20/12*2+(U20*U20*G20/1728*S20)</f>
        <v>432</v>
      </c>
      <c r="BF20" s="1928" t="n">
        <f aca="false">BE20/2</f>
        <v>216</v>
      </c>
      <c r="BG20" s="1928" t="n">
        <f aca="false">N20*E20/12</f>
        <v>186.666666666667</v>
      </c>
      <c r="BH20" s="1928" t="n">
        <f aca="false">ROUND(IF(C20="Y",BF20*3/27,0),0)</f>
        <v>24</v>
      </c>
      <c r="BJ20" s="1931" t="n">
        <f aca="false">V20*F$56*IF(T$39="N",(1+V$39),1)</f>
        <v>1118.63022778427</v>
      </c>
      <c r="BK20" s="1932" t="n">
        <f aca="false">(AR20*Pricing!F$3+AS20*Pricing!G$3+AT20*Pricing!H$3+AU20*Pricing!I$3+AV20*Pricing!J$3+AW20*Pricing!K$3+AH20*Pricing!F$3+AI20*Pricing!G$3+AJ20*Pricing!H$3+AK20*Pricing!I$3+AL20*Pricing!J$3+AM20*Pricing!K$3)*IF(T$39="N",(1+V$39),1)</f>
        <v>2441.66027160494</v>
      </c>
      <c r="BL20" s="1932" t="n">
        <f aca="false">IF(C20="Y",(N$59+N$60)/DF$36*DF20,0)</f>
        <v>517.752808988764</v>
      </c>
      <c r="BM20" s="1932" t="n">
        <f aca="false">BF20*(G$67+D$70)</f>
        <v>1782</v>
      </c>
      <c r="BN20" s="1932" t="n">
        <f aca="false">BG20*D$66</f>
        <v>1493.33333333333</v>
      </c>
      <c r="BO20" s="1932" t="n">
        <f aca="false">V20/2000*D$71</f>
        <v>422.744994753662</v>
      </c>
      <c r="BP20" s="1932" t="n">
        <f aca="false">IF(C20="Y",(N$74+N$73+N$72)/DF$36*DF20,0)</f>
        <v>1113.97752808989</v>
      </c>
      <c r="BQ20" s="1932" t="n">
        <f aca="false">IF(SUM(BF$36:BG$36)=0,0,(SUM(N$78:O$81)+SUM(N$83:O$88)+SUM(N$90:O$96)+W$95)/SUM(BF$36:BG$36)*(BF20+BG20))</f>
        <v>2541.08184296562</v>
      </c>
      <c r="BR20" s="1933"/>
      <c r="BS20" s="1934" t="n">
        <f aca="false">IF(SUM(BF$36:BG$36)=0,0,(BQ$36-W$58-N$64-W62-(L$79*0.15))/SUM(BF$36:BG$36)*BG20+BN20)</f>
        <v>2442.80721826831</v>
      </c>
      <c r="BT20" s="1932" t="n">
        <f aca="false">(AH20*Pricing!F$3+AI20*Pricing!G$3+AJ20*Pricing!H$3+AK20*Pricing!I$3+AL20*Pricing!J$3+AM20*Pricing!K$3)*IF(T$39="N",(1+V$39),1)</f>
        <v>1110.61827160494</v>
      </c>
      <c r="BU20" s="1932" t="n">
        <f aca="false">IF(BG20=0,0,(BS20+BT20)/BG20)</f>
        <v>19.0362079814638</v>
      </c>
      <c r="BV20" s="1932" t="n">
        <f aca="false">SUM(BJ20:BQ20)-BS20-BT20</f>
        <v>7877.75551764723</v>
      </c>
      <c r="BW20" s="1933" t="n">
        <f aca="false">IF(BE20=0,0,BV20/BF20)</f>
        <v>36.4710903594779</v>
      </c>
      <c r="DB20" s="1935" t="n">
        <f aca="false">IF(W20=0,0,D$40/SUM(W$10:W$35)*W20)</f>
        <v>12794.3469009057</v>
      </c>
      <c r="DC20" s="1932" t="n">
        <f aca="false">E20*N20/12*(D$40-7980)/H$66</f>
        <v>10923.6186290782</v>
      </c>
      <c r="DD20" s="179" t="n">
        <f aca="false">ROUND(N20*O20/3088*E20,0)</f>
        <v>9</v>
      </c>
      <c r="DE20" s="908" t="n">
        <f aca="false">ROUND(V20,0)</f>
        <v>1879</v>
      </c>
      <c r="DF20" s="356" t="n">
        <f aca="false">ROUND(IF(C20="Y",(G20*0.25*E20+G20*G20/144*0.5*E20)/27*1.3,0),0)</f>
        <v>66</v>
      </c>
      <c r="DG20" s="908" t="n">
        <f aca="false">ROUND(E20*G20/12,0)</f>
        <v>216</v>
      </c>
      <c r="DH20" s="908" t="n">
        <f aca="false">IF(C20="y",ROUNDUP(E20*G20/12,0),0)</f>
        <v>216</v>
      </c>
      <c r="DI20" s="908" t="n">
        <f aca="false">IF(C20="Y",IF(E20&gt;0,E20,0),0)</f>
        <v>32</v>
      </c>
      <c r="DJ20" s="1936" t="n">
        <f aca="false">ROUND(E20*N20/12,0)</f>
        <v>187</v>
      </c>
    </row>
    <row r="21" s="1414" customFormat="true" ht="15" hidden="false" customHeight="false" outlineLevel="0" collapsed="false">
      <c r="A21" s="507"/>
      <c r="B21" s="1312"/>
      <c r="C21" s="1919" t="s">
        <v>1302</v>
      </c>
      <c r="D21" s="1920" t="n">
        <v>5</v>
      </c>
      <c r="E21" s="2059" t="n">
        <v>32</v>
      </c>
      <c r="F21" s="1234" t="n">
        <v>12</v>
      </c>
      <c r="G21" s="1235" t="n">
        <f aca="false">12*6.64</f>
        <v>79.68</v>
      </c>
      <c r="H21" s="1236" t="n">
        <v>12</v>
      </c>
      <c r="I21" s="1234" t="n">
        <v>5</v>
      </c>
      <c r="J21" s="1235" t="n">
        <v>2</v>
      </c>
      <c r="K21" s="1236" t="n">
        <v>12</v>
      </c>
      <c r="L21" s="1234" t="n">
        <v>5</v>
      </c>
      <c r="M21" s="1234" t="n">
        <v>2</v>
      </c>
      <c r="N21" s="1922" t="n">
        <v>70</v>
      </c>
      <c r="O21" s="1234" t="n">
        <v>12</v>
      </c>
      <c r="P21" s="1234" t="n">
        <v>12</v>
      </c>
      <c r="Q21" s="1237" t="n">
        <v>5</v>
      </c>
      <c r="R21" s="1923" t="n">
        <v>2</v>
      </c>
      <c r="S21" s="1924"/>
      <c r="T21" s="78"/>
      <c r="U21" s="900"/>
      <c r="V21" s="1925" t="n">
        <f aca="false">((E21*I21/16*I21/16*10.680159*J21)*IF(H21=0,0,(G21/H21))+(G21/12*L21/16*L21/16*10.680159*M21)*IF(K21=0,0,(E21*12/K21))+(E21*IF(P21=0,0,N21/P21)*Q21/16*Q21/16*10.680159*R21)+(IF(P21=0,0,E21/P21*N21)*Q21/16*Q21/16*10.680159*R21)+((T21*U21*S21*0.03*0.2836*G21)/12+4)*IF(H21=0,0,(G21/H21))*I21/16*I21/16*10.680159)*(1+J$56)</f>
        <v>1862.20809847188</v>
      </c>
      <c r="W21" s="1926" t="n">
        <f aca="false">((E21*F21/12*G21/324)+ROUNDUP(S21*T21*U21*G21/46656,0)+(N21*O21*E21/3888))*(1+J$51)</f>
        <v>15.6702024691358</v>
      </c>
      <c r="AH21" s="1929" t="n">
        <f aca="false">IF($R$8=1,$N21*$O21*$E21/3888*(1+$J$51),0)</f>
        <v>0</v>
      </c>
      <c r="AI21" s="1928" t="n">
        <f aca="false">IF($R$8=2,$N21*$O21*$E21/3888*(1+$J$51),0)</f>
        <v>0</v>
      </c>
      <c r="AJ21" s="1928" t="n">
        <f aca="false">IF($R$8=3,$N21*$O21*$E21/3888*(1+$J$51),0)</f>
        <v>7.3283950617284</v>
      </c>
      <c r="AK21" s="1928" t="n">
        <f aca="false">IF($R$8=4,$N21*$O21*$E21/3888*(1+$J$51),0)</f>
        <v>0</v>
      </c>
      <c r="AL21" s="1928" t="n">
        <f aca="false">IF($R$8=5,$N21*$O21*$E21/3888*(1+$J$51),0)</f>
        <v>0</v>
      </c>
      <c r="AM21" s="1928" t="n">
        <f aca="false">IF($R$8=6,$N21*$O21*$E21/3888*(1+$J$51),0)</f>
        <v>0</v>
      </c>
      <c r="AN21" s="1928" t="n">
        <f aca="false">IF($R$8=7,$N21*$O21*$E21/3888*(1+$J$51),0)</f>
        <v>0</v>
      </c>
      <c r="AO21" s="1928" t="n">
        <f aca="false">IF($R$8=8,$N21*$O21*$E21/3888*(1+$J$51),0)</f>
        <v>0</v>
      </c>
      <c r="AP21" s="1928" t="n">
        <f aca="false">IF($R$8=9,$N21*$O21*$E21/3888*(1+$J$51),0)</f>
        <v>0</v>
      </c>
      <c r="AQ21" s="1928" t="n">
        <f aca="false">IF($R$8=10,$N21*$O21*$E21/3888*(1+$J$51),0)</f>
        <v>0</v>
      </c>
      <c r="AR21" s="1929" t="n">
        <f aca="false">IF($D21=1,$W21-SUM($AH21:$AQ21),0)</f>
        <v>0</v>
      </c>
      <c r="AS21" s="1928" t="n">
        <f aca="false">IF($D21=2,W21-SUM($AH21:$AQ21),0)</f>
        <v>0</v>
      </c>
      <c r="AT21" s="1928" t="n">
        <f aca="false">IF($D21=3,W21-SUM($AH21:$AQ21),0)</f>
        <v>0</v>
      </c>
      <c r="AU21" s="1928" t="n">
        <f aca="false">IF($D21=4,W21-SUM($AH21:$AQ21),0)</f>
        <v>0</v>
      </c>
      <c r="AV21" s="1928" t="n">
        <f aca="false">IF($D21=5,W21-SUM($AH21:$AQ21),0)</f>
        <v>8.34180740740741</v>
      </c>
      <c r="AW21" s="1928" t="n">
        <f aca="false">IF($D21=6,W21-SUM($AH21:$AQ21),0)</f>
        <v>0</v>
      </c>
      <c r="AX21" s="1928" t="n">
        <f aca="false">IF($D21=7,W21-SUM($AH21:$AQ21),0)</f>
        <v>0</v>
      </c>
      <c r="AY21" s="1928" t="n">
        <f aca="false">IF($D21=8,W21-SUM($AH21:$AQ21),0)</f>
        <v>0</v>
      </c>
      <c r="AZ21" s="1928" t="n">
        <f aca="false">IF($D21=9,W21-SUM($AH21:$AQ21),0)</f>
        <v>0</v>
      </c>
      <c r="BA21" s="1930" t="n">
        <f aca="false">IF($D21=10,W21-SUM($AH21:$AQ21),0)</f>
        <v>0</v>
      </c>
      <c r="BB21" s="1928" t="n">
        <f aca="false">SUM(AH21:AM21)</f>
        <v>7.3283950617284</v>
      </c>
      <c r="BC21" s="1928" t="n">
        <f aca="false">SUM(AR21:AW21)</f>
        <v>8.34180740740741</v>
      </c>
      <c r="BD21" s="1928" t="n">
        <f aca="false">V21</f>
        <v>1862.20809847188</v>
      </c>
      <c r="BE21" s="1928" t="n">
        <f aca="false">E21*G21/12*2+(U21*U21*G21/1728*S21)</f>
        <v>424.96</v>
      </c>
      <c r="BF21" s="1928" t="n">
        <f aca="false">BE21/2</f>
        <v>212.48</v>
      </c>
      <c r="BG21" s="1928" t="n">
        <f aca="false">N21*E21/12</f>
        <v>186.666666666667</v>
      </c>
      <c r="BH21" s="1928" t="n">
        <f aca="false">ROUND(IF(C21="Y",BF21*3/27,0),0)</f>
        <v>24</v>
      </c>
      <c r="BJ21" s="1931" t="n">
        <f aca="false">V21*F$56*IF(T$39="N",(1+V$39),1)</f>
        <v>1108.71214662769</v>
      </c>
      <c r="BK21" s="1932" t="n">
        <f aca="false">(AR21*Pricing!F$3+AS21*Pricing!G$3+AT21*Pricing!H$3+AU21*Pricing!I$3+AV21*Pricing!J$3+AW21*Pricing!K$3+AH21*Pricing!F$3+AI21*Pricing!G$3+AJ21*Pricing!H$3+AK21*Pricing!I$3+AL21*Pricing!J$3+AM21*Pricing!K$3)*IF(T$39="N",(1+V$39),1)</f>
        <v>2419.96921679012</v>
      </c>
      <c r="BL21" s="1932" t="n">
        <f aca="false">IF(C21="Y",(N$59+N$60)/DF$36*DF21,0)</f>
        <v>509.908069458631</v>
      </c>
      <c r="BM21" s="1932" t="n">
        <f aca="false">BF21*(G$67+D$70)</f>
        <v>1752.96</v>
      </c>
      <c r="BN21" s="1932" t="n">
        <f aca="false">BG21*D$66</f>
        <v>1493.33333333333</v>
      </c>
      <c r="BO21" s="1932" t="n">
        <f aca="false">V21/2000*D$71</f>
        <v>418.996822156172</v>
      </c>
      <c r="BP21" s="1932" t="n">
        <f aca="false">IF(C21="Y",(N$74+N$73+N$72)/DF$36*DF21,0)</f>
        <v>1097.09908069459</v>
      </c>
      <c r="BQ21" s="1932" t="n">
        <f aca="false">IF(SUM(BF$36:BG$36)=0,0,(SUM(N$78:O$81)+SUM(N$83:O$88)+SUM(N$90:O$96)+W$95)/SUM(BF$36:BG$36)*(BF21+BG21))</f>
        <v>2518.86841228539</v>
      </c>
      <c r="BR21" s="1933"/>
      <c r="BS21" s="1934" t="n">
        <f aca="false">IF(SUM(BF$36:BG$36)=0,0,(BQ$36-W$58-N$64-W52-(L$79*0.15))/SUM(BF$36:BG$36)*BG21+BN21)</f>
        <v>2331.42005865875</v>
      </c>
      <c r="BT21" s="1932" t="n">
        <f aca="false">(AH21*Pricing!F$3+AI21*Pricing!G$3+AJ21*Pricing!H$3+AK21*Pricing!I$3+AL21*Pricing!J$3+AM21*Pricing!K$3)*IF(T$39="N",(1+V$39),1)</f>
        <v>1110.61827160494</v>
      </c>
      <c r="BU21" s="1932" t="n">
        <f aca="false">IF(BG21=0,0,(BS21+BT21)/BG21)</f>
        <v>18.4394910549841</v>
      </c>
      <c r="BV21" s="1932" t="n">
        <f aca="false">SUM(BJ21:BQ21)-BS21-BT21</f>
        <v>7877.80875108223</v>
      </c>
      <c r="BW21" s="1933" t="n">
        <f aca="false">IF(BE21=0,0,BV21/BF21)</f>
        <v>37.0755306432711</v>
      </c>
      <c r="DB21" s="1935" t="n">
        <f aca="false">IF(W21=0,0,D$40/SUM(W$10:W$35)*W21)</f>
        <v>12682.5022789905</v>
      </c>
      <c r="DC21" s="1932" t="n">
        <f aca="false">E21*N21/12*(D$40-7980)/H$66</f>
        <v>10923.6186290782</v>
      </c>
      <c r="DD21" s="179" t="n">
        <f aca="false">ROUND(N21*O21/3088*E21,0)</f>
        <v>9</v>
      </c>
      <c r="DE21" s="908" t="n">
        <f aca="false">ROUND(V21,0)</f>
        <v>1862</v>
      </c>
      <c r="DF21" s="356" t="n">
        <f aca="false">ROUND(IF(C21="Y",(G21*0.25*E21+G21*G21/144*0.5*E21)/27*1.3,0),0)</f>
        <v>65</v>
      </c>
      <c r="DG21" s="908" t="n">
        <f aca="false">ROUND(E21*G21/12,0)</f>
        <v>212</v>
      </c>
      <c r="DH21" s="908" t="n">
        <f aca="false">IF(C21="y",ROUNDUP(E21*G21/12,0),0)</f>
        <v>213</v>
      </c>
      <c r="DI21" s="908" t="n">
        <f aca="false">IF(C21="Y",IF(E21&gt;0,E21,0),0)</f>
        <v>32</v>
      </c>
      <c r="DJ21" s="1936" t="n">
        <f aca="false">ROUND(E21*N21/12,0)</f>
        <v>187</v>
      </c>
    </row>
    <row r="22" s="1414" customFormat="true" ht="15" hidden="false" customHeight="false" outlineLevel="0" collapsed="false">
      <c r="A22" s="507"/>
      <c r="B22" s="1312"/>
      <c r="C22" s="1919" t="s">
        <v>1302</v>
      </c>
      <c r="D22" s="1920" t="n">
        <v>5</v>
      </c>
      <c r="E22" s="2059" t="n">
        <v>32</v>
      </c>
      <c r="F22" s="1234" t="n">
        <v>12</v>
      </c>
      <c r="G22" s="1235" t="n">
        <f aca="false">12*6.68</f>
        <v>80.16</v>
      </c>
      <c r="H22" s="1236" t="n">
        <v>12</v>
      </c>
      <c r="I22" s="1234" t="n">
        <v>5</v>
      </c>
      <c r="J22" s="1235" t="n">
        <v>2</v>
      </c>
      <c r="K22" s="1236" t="n">
        <v>12</v>
      </c>
      <c r="L22" s="1234" t="n">
        <v>5</v>
      </c>
      <c r="M22" s="1234" t="n">
        <v>2</v>
      </c>
      <c r="N22" s="1922" t="n">
        <v>70</v>
      </c>
      <c r="O22" s="1234" t="n">
        <v>12</v>
      </c>
      <c r="P22" s="1234" t="n">
        <v>12</v>
      </c>
      <c r="Q22" s="1237" t="n">
        <v>5</v>
      </c>
      <c r="R22" s="1923" t="n">
        <v>2</v>
      </c>
      <c r="S22" s="1924"/>
      <c r="T22" s="78"/>
      <c r="U22" s="900"/>
      <c r="V22" s="1925" t="n">
        <f aca="false">((E22*I22/16*I22/16*10.680159*J22)*IF(H22=0,0,(G22/H22))+(G22/12*L22/16*L22/16*10.680159*M22)*IF(K22=0,0,(E22*12/K22))+(E22*IF(P22=0,0,N22/P22)*Q22/16*Q22/16*10.680159*R22)+(IF(P22=0,0,E22/P22*N22)*Q22/16*Q22/16*10.680159*R22)+((T22*U22*S22*0.03*0.2836*G22)/12+4)*IF(H22=0,0,(G22/H22))*I22/16*I22/16*10.680159)*(1+J$56)</f>
        <v>1868.26575115469</v>
      </c>
      <c r="W22" s="1926" t="n">
        <f aca="false">((E22*F22/12*G22/324)+ROUNDUP(S22*T22*U22*G22/46656,0)+(N22*O22*E22/3888))*(1+J$51)</f>
        <v>15.7204543209877</v>
      </c>
      <c r="AH22" s="1929" t="n">
        <f aca="false">IF($R$8=1,$N22*$O22*$E22/3888*(1+$J$51),0)</f>
        <v>0</v>
      </c>
      <c r="AI22" s="1928" t="n">
        <f aca="false">IF($R$8=2,$N22*$O22*$E22/3888*(1+$J$51),0)</f>
        <v>0</v>
      </c>
      <c r="AJ22" s="1928" t="n">
        <f aca="false">IF($R$8=3,$N22*$O22*$E22/3888*(1+$J$51),0)</f>
        <v>7.3283950617284</v>
      </c>
      <c r="AK22" s="1928" t="n">
        <f aca="false">IF($R$8=4,$N22*$O22*$E22/3888*(1+$J$51),0)</f>
        <v>0</v>
      </c>
      <c r="AL22" s="1928" t="n">
        <f aca="false">IF($R$8=5,$N22*$O22*$E22/3888*(1+$J$51),0)</f>
        <v>0</v>
      </c>
      <c r="AM22" s="1928" t="n">
        <f aca="false">IF($R$8=6,$N22*$O22*$E22/3888*(1+$J$51),0)</f>
        <v>0</v>
      </c>
      <c r="AN22" s="1928" t="n">
        <f aca="false">IF($R$8=7,$N22*$O22*$E22/3888*(1+$J$51),0)</f>
        <v>0</v>
      </c>
      <c r="AO22" s="1928" t="n">
        <f aca="false">IF($R$8=8,$N22*$O22*$E22/3888*(1+$J$51),0)</f>
        <v>0</v>
      </c>
      <c r="AP22" s="1928" t="n">
        <f aca="false">IF($R$8=9,$N22*$O22*$E22/3888*(1+$J$51),0)</f>
        <v>0</v>
      </c>
      <c r="AQ22" s="1928" t="n">
        <f aca="false">IF($R$8=10,$N22*$O22*$E22/3888*(1+$J$51),0)</f>
        <v>0</v>
      </c>
      <c r="AR22" s="1929" t="n">
        <f aca="false">IF($D22=1,$W22-SUM($AH22:$AQ22),0)</f>
        <v>0</v>
      </c>
      <c r="AS22" s="1928" t="n">
        <f aca="false">IF($D22=2,W22-SUM($AH22:$AQ22),0)</f>
        <v>0</v>
      </c>
      <c r="AT22" s="1928" t="n">
        <f aca="false">IF($D22=3,W22-SUM($AH22:$AQ22),0)</f>
        <v>0</v>
      </c>
      <c r="AU22" s="1928" t="n">
        <f aca="false">IF($D22=4,W22-SUM($AH22:$AQ22),0)</f>
        <v>0</v>
      </c>
      <c r="AV22" s="1928" t="n">
        <f aca="false">IF($D22=5,W22-SUM($AH22:$AQ22),0)</f>
        <v>8.39205925925926</v>
      </c>
      <c r="AW22" s="1928" t="n">
        <f aca="false">IF($D22=6,W22-SUM($AH22:$AQ22),0)</f>
        <v>0</v>
      </c>
      <c r="AX22" s="1928" t="n">
        <f aca="false">IF($D22=7,W22-SUM($AH22:$AQ22),0)</f>
        <v>0</v>
      </c>
      <c r="AY22" s="1928" t="n">
        <f aca="false">IF($D22=8,W22-SUM($AH22:$AQ22),0)</f>
        <v>0</v>
      </c>
      <c r="AZ22" s="1928" t="n">
        <f aca="false">IF($D22=9,W22-SUM($AH22:$AQ22),0)</f>
        <v>0</v>
      </c>
      <c r="BA22" s="1930" t="n">
        <f aca="false">IF($D22=10,W22-SUM($AH22:$AQ22),0)</f>
        <v>0</v>
      </c>
      <c r="BB22" s="1928" t="n">
        <f aca="false">SUM(AH22:AM22)</f>
        <v>7.3283950617284</v>
      </c>
      <c r="BC22" s="1928" t="n">
        <f aca="false">SUM(AR22:AW22)</f>
        <v>8.39205925925926</v>
      </c>
      <c r="BD22" s="1928" t="n">
        <f aca="false">V22</f>
        <v>1868.26575115469</v>
      </c>
      <c r="BE22" s="1928" t="n">
        <f aca="false">E22*G22/12*2+(U22*U22*G22/1728*S22)</f>
        <v>427.52</v>
      </c>
      <c r="BF22" s="1928" t="n">
        <f aca="false">BE22/2</f>
        <v>213.76</v>
      </c>
      <c r="BG22" s="1928" t="n">
        <f aca="false">N22*E22/12</f>
        <v>186.666666666667</v>
      </c>
      <c r="BH22" s="1928" t="n">
        <f aca="false">ROUND(IF(C22="Y",BF22*3/27,0),0)</f>
        <v>24</v>
      </c>
      <c r="BJ22" s="1931" t="n">
        <f aca="false">V22*F$56*IF(T$39="N",(1+V$39),1)</f>
        <v>1112.31872159372</v>
      </c>
      <c r="BK22" s="1932" t="n">
        <f aca="false">(AR22*Pricing!F$3+AS22*Pricing!G$3+AT22*Pricing!H$3+AU22*Pricing!I$3+AV22*Pricing!J$3+AW22*Pricing!K$3+AH22*Pricing!F$3+AI22*Pricing!G$3+AJ22*Pricing!H$3+AK22*Pricing!I$3+AL22*Pricing!J$3+AM22*Pricing!K$3)*IF(T$39="N",(1+V$39),1)</f>
        <v>2427.85687308642</v>
      </c>
      <c r="BL22" s="1932" t="n">
        <f aca="false">IF(C22="Y",(N$59+N$60)/DF$36*DF22,0)</f>
        <v>509.908069458631</v>
      </c>
      <c r="BM22" s="1932" t="n">
        <f aca="false">BF22*(G$67+D$70)</f>
        <v>1763.52</v>
      </c>
      <c r="BN22" s="1932" t="n">
        <f aca="false">BG22*D$66</f>
        <v>1493.33333333333</v>
      </c>
      <c r="BO22" s="1932" t="n">
        <f aca="false">V22/2000*D$71</f>
        <v>420.359794009805</v>
      </c>
      <c r="BP22" s="1932" t="n">
        <f aca="false">IF(C22="Y",(N$74+N$73+N$72)/DF$36*DF22,0)</f>
        <v>1097.09908069459</v>
      </c>
      <c r="BQ22" s="1932" t="n">
        <f aca="false">IF(SUM(BF$36:BG$36)=0,0,(SUM(N$78:O$81)+SUM(N$83:O$88)+SUM(N$90:O$96)+W$95)/SUM(BF$36:BG$36)*(BF22+BG22))</f>
        <v>2526.94602344183</v>
      </c>
      <c r="BR22" s="1933"/>
      <c r="BS22" s="1934" t="n">
        <f aca="false">IF(SUM(BF$36:BG$36)=0,0,(BQ$36-W$58-N$64-W55-(L$79*0.15))/SUM(BF$36:BG$36)*BG22+BN22)</f>
        <v>2410.38235059024</v>
      </c>
      <c r="BT22" s="1932" t="n">
        <f aca="false">(AH22*Pricing!F$3+AI22*Pricing!G$3+AJ22*Pricing!H$3+AK22*Pricing!I$3+AL22*Pricing!J$3+AM22*Pricing!K$3)*IF(T$39="N",(1+V$39),1)</f>
        <v>1110.61827160494</v>
      </c>
      <c r="BU22" s="1932" t="n">
        <f aca="false">IF(BG22=0,0,(BS22+BT22)/BG22)</f>
        <v>18.8625033331885</v>
      </c>
      <c r="BV22" s="1932" t="n">
        <f aca="false">SUM(BJ22:BQ22)-BS22-BT22</f>
        <v>7830.34127342315</v>
      </c>
      <c r="BW22" s="1933" t="n">
        <f aca="false">IF(BE22=0,0,BV22/BF22)</f>
        <v>36.6314617955799</v>
      </c>
      <c r="DB22" s="1935" t="n">
        <f aca="false">IF(W22=0,0,D$40/SUM(W$10:W$35)*W22)</f>
        <v>12723.1730505961</v>
      </c>
      <c r="DC22" s="1932" t="n">
        <f aca="false">E22*N22/12*(D$40-7980)/H$66</f>
        <v>10923.6186290782</v>
      </c>
      <c r="DD22" s="179" t="n">
        <f aca="false">ROUND(N22*O22/3088*E22,0)</f>
        <v>9</v>
      </c>
      <c r="DE22" s="908" t="n">
        <f aca="false">ROUND(V22,0)</f>
        <v>1868</v>
      </c>
      <c r="DF22" s="356" t="n">
        <f aca="false">ROUND(IF(C22="Y",(G22*0.25*E22+G22*G22/144*0.5*E22)/27*1.3,0),0)</f>
        <v>65</v>
      </c>
      <c r="DG22" s="908" t="n">
        <f aca="false">ROUND(E22*G22/12,0)</f>
        <v>214</v>
      </c>
      <c r="DH22" s="908" t="n">
        <f aca="false">IF(C22="y",ROUNDUP(E22*G22/12,0),0)</f>
        <v>214</v>
      </c>
      <c r="DI22" s="908" t="n">
        <f aca="false">IF(C22="Y",IF(E22&gt;0,E22,0),0)</f>
        <v>32</v>
      </c>
      <c r="DJ22" s="1936" t="n">
        <f aca="false">ROUND(E22*N22/12,0)</f>
        <v>187</v>
      </c>
    </row>
    <row r="23" s="1414" customFormat="true" ht="15" hidden="false" customHeight="false" outlineLevel="0" collapsed="false">
      <c r="A23" s="507"/>
      <c r="B23" s="1312"/>
      <c r="C23" s="1919" t="s">
        <v>1302</v>
      </c>
      <c r="D23" s="1920" t="n">
        <v>5</v>
      </c>
      <c r="E23" s="2059" t="n">
        <v>32</v>
      </c>
      <c r="F23" s="1234" t="n">
        <v>12</v>
      </c>
      <c r="G23" s="1235" t="n">
        <f aca="false">12*7.18</f>
        <v>86.16</v>
      </c>
      <c r="H23" s="1236" t="n">
        <v>12</v>
      </c>
      <c r="I23" s="1234" t="n">
        <v>5</v>
      </c>
      <c r="J23" s="1235" t="n">
        <v>2</v>
      </c>
      <c r="K23" s="1236" t="n">
        <v>12</v>
      </c>
      <c r="L23" s="1234" t="n">
        <v>5</v>
      </c>
      <c r="M23" s="1234" t="n">
        <v>2</v>
      </c>
      <c r="N23" s="1922" t="n">
        <v>70</v>
      </c>
      <c r="O23" s="1234" t="n">
        <v>12</v>
      </c>
      <c r="P23" s="1234" t="n">
        <v>12</v>
      </c>
      <c r="Q23" s="1237" t="n">
        <v>5</v>
      </c>
      <c r="R23" s="1923" t="n">
        <v>2</v>
      </c>
      <c r="S23" s="1924"/>
      <c r="T23" s="78"/>
      <c r="U23" s="900"/>
      <c r="V23" s="1925" t="n">
        <f aca="false">((E23*I23/16*I23/16*10.680159*J23)*IF(H23=0,0,(G23/H23))+(G23/12*L23/16*L23/16*10.680159*M23)*IF(K23=0,0,(E23*12/K23))+(E23*IF(P23=0,0,N23/P23)*Q23/16*Q23/16*10.680159*R23)+(IF(P23=0,0,E23/P23*N23)*Q23/16*Q23/16*10.680159*R23)+((T23*U23*S23*0.03*0.2836*G23)/12+4)*IF(H23=0,0,(G23/H23))*I23/16*I23/16*10.680159)*(1+J$56)</f>
        <v>1943.98640968984</v>
      </c>
      <c r="W23" s="1926" t="n">
        <f aca="false">((E23*F23/12*G23/324)+ROUNDUP(S23*T23*U23*G23/46656,0)+(N23*O23*E23/3888))*(1+J$51)</f>
        <v>16.3486024691358</v>
      </c>
      <c r="AH23" s="1929" t="n">
        <f aca="false">IF($R$8=1,$N23*$O23*$E23/3888*(1+$J$51),0)</f>
        <v>0</v>
      </c>
      <c r="AI23" s="1928" t="n">
        <f aca="false">IF($R$8=2,$N23*$O23*$E23/3888*(1+$J$51),0)</f>
        <v>0</v>
      </c>
      <c r="AJ23" s="1928" t="n">
        <f aca="false">IF($R$8=3,$N23*$O23*$E23/3888*(1+$J$51),0)</f>
        <v>7.3283950617284</v>
      </c>
      <c r="AK23" s="1928" t="n">
        <f aca="false">IF($R$8=4,$N23*$O23*$E23/3888*(1+$J$51),0)</f>
        <v>0</v>
      </c>
      <c r="AL23" s="1928" t="n">
        <f aca="false">IF($R$8=5,$N23*$O23*$E23/3888*(1+$J$51),0)</f>
        <v>0</v>
      </c>
      <c r="AM23" s="1928" t="n">
        <f aca="false">IF($R$8=6,$N23*$O23*$E23/3888*(1+$J$51),0)</f>
        <v>0</v>
      </c>
      <c r="AN23" s="1928" t="n">
        <f aca="false">IF($R$8=7,$N23*$O23*$E23/3888*(1+$J$51),0)</f>
        <v>0</v>
      </c>
      <c r="AO23" s="1928" t="n">
        <f aca="false">IF($R$8=8,$N23*$O23*$E23/3888*(1+$J$51),0)</f>
        <v>0</v>
      </c>
      <c r="AP23" s="1928" t="n">
        <f aca="false">IF($R$8=9,$N23*$O23*$E23/3888*(1+$J$51),0)</f>
        <v>0</v>
      </c>
      <c r="AQ23" s="1928" t="n">
        <f aca="false">IF($R$8=10,$N23*$O23*$E23/3888*(1+$J$51),0)</f>
        <v>0</v>
      </c>
      <c r="AR23" s="1929" t="n">
        <f aca="false">IF($D23=1,$W23-SUM($AH23:$AQ23),0)</f>
        <v>0</v>
      </c>
      <c r="AS23" s="1928" t="n">
        <f aca="false">IF($D23=2,W23-SUM($AH23:$AQ23),0)</f>
        <v>0</v>
      </c>
      <c r="AT23" s="1928" t="n">
        <f aca="false">IF($D23=3,W23-SUM($AH23:$AQ23),0)</f>
        <v>0</v>
      </c>
      <c r="AU23" s="1928" t="n">
        <f aca="false">IF($D23=4,W23-SUM($AH23:$AQ23),0)</f>
        <v>0</v>
      </c>
      <c r="AV23" s="1928" t="n">
        <f aca="false">IF($D23=5,W23-SUM($AH23:$AQ23),0)</f>
        <v>9.02020740740741</v>
      </c>
      <c r="AW23" s="1928" t="n">
        <f aca="false">IF($D23=6,W23-SUM($AH23:$AQ23),0)</f>
        <v>0</v>
      </c>
      <c r="AX23" s="1928" t="n">
        <f aca="false">IF($D23=7,W23-SUM($AH23:$AQ23),0)</f>
        <v>0</v>
      </c>
      <c r="AY23" s="1928" t="n">
        <f aca="false">IF($D23=8,W23-SUM($AH23:$AQ23),0)</f>
        <v>0</v>
      </c>
      <c r="AZ23" s="1928" t="n">
        <f aca="false">IF($D23=9,W23-SUM($AH23:$AQ23),0)</f>
        <v>0</v>
      </c>
      <c r="BA23" s="1930" t="n">
        <f aca="false">IF($D23=10,W23-SUM($AH23:$AQ23),0)</f>
        <v>0</v>
      </c>
      <c r="BB23" s="1928" t="n">
        <f aca="false">SUM(AH23:AM23)</f>
        <v>7.3283950617284</v>
      </c>
      <c r="BC23" s="1928" t="n">
        <f aca="false">SUM(AR23:AW23)</f>
        <v>9.02020740740741</v>
      </c>
      <c r="BD23" s="1928" t="n">
        <f aca="false">V23</f>
        <v>1943.98640968984</v>
      </c>
      <c r="BE23" s="1928" t="n">
        <f aca="false">E23*G23/12*2+(U23*U23*G23/1728*S23)</f>
        <v>459.52</v>
      </c>
      <c r="BF23" s="1928" t="n">
        <f aca="false">BE23/2</f>
        <v>229.76</v>
      </c>
      <c r="BG23" s="1928" t="n">
        <f aca="false">N23*E23/12</f>
        <v>186.666666666667</v>
      </c>
      <c r="BH23" s="1928" t="n">
        <f aca="false">ROUND(IF(C23="Y",BF23*3/27,0),0)</f>
        <v>26</v>
      </c>
      <c r="BJ23" s="1931" t="n">
        <f aca="false">V23*F$56*IF(T$39="N",(1+V$39),1)</f>
        <v>1157.40090866909</v>
      </c>
      <c r="BK23" s="1932" t="n">
        <f aca="false">(AR23*Pricing!F$3+AS23*Pricing!G$3+AT23*Pricing!H$3+AU23*Pricing!I$3+AV23*Pricing!J$3+AW23*Pricing!K$3+AH23*Pricing!F$3+AI23*Pricing!G$3+AJ23*Pricing!H$3+AK23*Pricing!I$3+AL23*Pricing!J$3+AM23*Pricing!K$3)*IF(T$39="N",(1+V$39),1)</f>
        <v>2526.45257679012</v>
      </c>
      <c r="BL23" s="1932" t="n">
        <f aca="false">IF(C23="Y",(N$59+N$60)/DF$36*DF23,0)</f>
        <v>572.665985699694</v>
      </c>
      <c r="BM23" s="1932" t="n">
        <f aca="false">BF23*(G$67+D$70)</f>
        <v>1895.52</v>
      </c>
      <c r="BN23" s="1932" t="n">
        <f aca="false">BG23*D$66</f>
        <v>1493.33333333333</v>
      </c>
      <c r="BO23" s="1932" t="n">
        <f aca="false">V23/2000*D$71</f>
        <v>437.396942180215</v>
      </c>
      <c r="BP23" s="1932" t="n">
        <f aca="false">IF(C23="Y",(N$74+N$73+N$72)/DF$36*DF23,0)</f>
        <v>1232.126659857</v>
      </c>
      <c r="BQ23" s="1932" t="n">
        <f aca="false">IF(SUM(BF$36:BG$36)=0,0,(SUM(N$78:O$81)+SUM(N$83:O$88)+SUM(N$90:O$96)+W$95)/SUM(BF$36:BG$36)*(BF23+BG23))</f>
        <v>2627.91616289742</v>
      </c>
      <c r="BR23" s="1933"/>
      <c r="BS23" s="1934" t="n">
        <f aca="false">IF(SUM(BF$36:BG$36)=0,0,(BQ$36-W$58-N$64-W74-(L$79*0.15))/SUM(BF$36:BG$36)*BG23+BN23)</f>
        <v>2450.40433417196</v>
      </c>
      <c r="BT23" s="1932" t="n">
        <f aca="false">(AH23*Pricing!F$3+AI23*Pricing!G$3+AJ23*Pricing!H$3+AK23*Pricing!I$3+AL23*Pricing!J$3+AM23*Pricing!K$3)*IF(T$39="N",(1+V$39),1)</f>
        <v>1110.61827160494</v>
      </c>
      <c r="BU23" s="1932" t="n">
        <f aca="false">IF(BG23=0,0,(BS23+BT23)/BG23)</f>
        <v>19.0769068166619</v>
      </c>
      <c r="BV23" s="1932" t="n">
        <f aca="false">SUM(BJ23:BQ23)-BS23-BT23</f>
        <v>8381.78996364998</v>
      </c>
      <c r="BW23" s="1933" t="n">
        <f aca="false">IF(BE23=0,0,BV23/BF23)</f>
        <v>36.4806318055796</v>
      </c>
      <c r="DB23" s="1935" t="n">
        <f aca="false">IF(W23=0,0,D$40/SUM(W$10:W$35)*W23)</f>
        <v>13231.5576956652</v>
      </c>
      <c r="DC23" s="1932" t="n">
        <f aca="false">E23*N23/12*(D$40-7980)/H$66</f>
        <v>10923.6186290782</v>
      </c>
      <c r="DD23" s="179" t="n">
        <f aca="false">ROUND(N23*O23/3088*E23,0)</f>
        <v>9</v>
      </c>
      <c r="DE23" s="908" t="n">
        <f aca="false">ROUND(V23,0)</f>
        <v>1944</v>
      </c>
      <c r="DF23" s="356" t="n">
        <f aca="false">ROUND(IF(C23="Y",(G23*0.25*E23+G23*G23/144*0.5*E23)/27*1.3,0),0)</f>
        <v>73</v>
      </c>
      <c r="DG23" s="908" t="n">
        <f aca="false">ROUND(E23*G23/12,0)</f>
        <v>230</v>
      </c>
      <c r="DH23" s="908" t="n">
        <f aca="false">IF(C23="y",ROUNDUP(E23*G23/12,0),0)</f>
        <v>230</v>
      </c>
      <c r="DI23" s="908" t="n">
        <f aca="false">IF(C23="Y",IF(E23&gt;0,E23,0),0)</f>
        <v>32</v>
      </c>
      <c r="DJ23" s="1936" t="n">
        <f aca="false">ROUND(E23*N23/12,0)</f>
        <v>187</v>
      </c>
    </row>
    <row r="24" s="1414" customFormat="true" ht="15" hidden="false" customHeight="false" outlineLevel="0" collapsed="false">
      <c r="A24" s="507"/>
      <c r="B24" s="1312"/>
      <c r="C24" s="1919" t="s">
        <v>1302</v>
      </c>
      <c r="D24" s="1920" t="n">
        <v>5</v>
      </c>
      <c r="E24" s="2059" t="n">
        <v>32</v>
      </c>
      <c r="F24" s="1234" t="n">
        <v>12</v>
      </c>
      <c r="G24" s="1235" t="n">
        <f aca="false">12*6.52</f>
        <v>78.24</v>
      </c>
      <c r="H24" s="1236" t="n">
        <v>12</v>
      </c>
      <c r="I24" s="1234" t="n">
        <v>5</v>
      </c>
      <c r="J24" s="1235" t="n">
        <v>2</v>
      </c>
      <c r="K24" s="1236" t="n">
        <v>12</v>
      </c>
      <c r="L24" s="1234" t="n">
        <v>5</v>
      </c>
      <c r="M24" s="1234" t="n">
        <v>2</v>
      </c>
      <c r="N24" s="1922" t="n">
        <v>70</v>
      </c>
      <c r="O24" s="1234" t="n">
        <v>12</v>
      </c>
      <c r="P24" s="1234" t="n">
        <v>12</v>
      </c>
      <c r="Q24" s="1237" t="n">
        <v>5</v>
      </c>
      <c r="R24" s="1923" t="n">
        <v>2</v>
      </c>
      <c r="S24" s="1924"/>
      <c r="T24" s="78"/>
      <c r="U24" s="900"/>
      <c r="V24" s="1925" t="n">
        <f aca="false">((E24*I24/16*I24/16*10.680159*J24)*IF(H24=0,0,(G24/H24))+(G24/12*L24/16*L24/16*10.680159*M24)*IF(K24=0,0,(E24*12/K24))+(E24*IF(P24=0,0,N24/P24)*Q24/16*Q24/16*10.680159*R24)+(IF(P24=0,0,E24/P24*N24)*Q24/16*Q24/16*10.680159*R24)+((T24*U24*S24*0.03*0.2836*G24)/12+4)*IF(H24=0,0,(G24/H24))*I24/16*I24/16*10.680159)*(1+J$56)</f>
        <v>1844.03514042344</v>
      </c>
      <c r="W24" s="1926" t="n">
        <f aca="false">((E24*F24/12*G24/324)+ROUNDUP(S24*T24*U24*G24/46656,0)+(N24*O24*E24/3888))*(1+J$51)</f>
        <v>15.5194469135802</v>
      </c>
      <c r="AH24" s="1929" t="n">
        <f aca="false">IF($R$8=1,$N24*$O24*$E24/3888*(1+$J$51),0)</f>
        <v>0</v>
      </c>
      <c r="AI24" s="1928" t="n">
        <f aca="false">IF($R$8=2,$N24*$O24*$E24/3888*(1+$J$51),0)</f>
        <v>0</v>
      </c>
      <c r="AJ24" s="1928" t="n">
        <f aca="false">IF($R$8=3,$N24*$O24*$E24/3888*(1+$J$51),0)</f>
        <v>7.3283950617284</v>
      </c>
      <c r="AK24" s="1928" t="n">
        <f aca="false">IF($R$8=4,$N24*$O24*$E24/3888*(1+$J$51),0)</f>
        <v>0</v>
      </c>
      <c r="AL24" s="1928" t="n">
        <f aca="false">IF($R$8=5,$N24*$O24*$E24/3888*(1+$J$51),0)</f>
        <v>0</v>
      </c>
      <c r="AM24" s="1928" t="n">
        <f aca="false">IF($R$8=6,$N24*$O24*$E24/3888*(1+$J$51),0)</f>
        <v>0</v>
      </c>
      <c r="AN24" s="1928" t="n">
        <f aca="false">IF($R$8=7,$N24*$O24*$E24/3888*(1+$J$51),0)</f>
        <v>0</v>
      </c>
      <c r="AO24" s="1928" t="n">
        <f aca="false">IF($R$8=8,$N24*$O24*$E24/3888*(1+$J$51),0)</f>
        <v>0</v>
      </c>
      <c r="AP24" s="1928" t="n">
        <f aca="false">IF($R$8=9,$N24*$O24*$E24/3888*(1+$J$51),0)</f>
        <v>0</v>
      </c>
      <c r="AQ24" s="1928" t="n">
        <f aca="false">IF($R$8=10,$N24*$O24*$E24/3888*(1+$J$51),0)</f>
        <v>0</v>
      </c>
      <c r="AR24" s="1929" t="n">
        <f aca="false">IF($D24=1,$W24-SUM($AH24:$AQ24),0)</f>
        <v>0</v>
      </c>
      <c r="AS24" s="1928" t="n">
        <f aca="false">IF($D24=2,W24-SUM($AH24:$AQ24),0)</f>
        <v>0</v>
      </c>
      <c r="AT24" s="1928" t="n">
        <f aca="false">IF($D24=3,W24-SUM($AH24:$AQ24),0)</f>
        <v>0</v>
      </c>
      <c r="AU24" s="1928" t="n">
        <f aca="false">IF($D24=4,W24-SUM($AH24:$AQ24),0)</f>
        <v>0</v>
      </c>
      <c r="AV24" s="1928" t="n">
        <f aca="false">IF($D24=5,W24-SUM($AH24:$AQ24),0)</f>
        <v>8.19105185185185</v>
      </c>
      <c r="AW24" s="1928" t="n">
        <f aca="false">IF($D24=6,W24-SUM($AH24:$AQ24),0)</f>
        <v>0</v>
      </c>
      <c r="AX24" s="1928" t="n">
        <f aca="false">IF($D24=7,W24-SUM($AH24:$AQ24),0)</f>
        <v>0</v>
      </c>
      <c r="AY24" s="1928" t="n">
        <f aca="false">IF($D24=8,W24-SUM($AH24:$AQ24),0)</f>
        <v>0</v>
      </c>
      <c r="AZ24" s="1928" t="n">
        <f aca="false">IF($D24=9,W24-SUM($AH24:$AQ24),0)</f>
        <v>0</v>
      </c>
      <c r="BA24" s="1930" t="n">
        <f aca="false">IF($D24=10,W24-SUM($AH24:$AQ24),0)</f>
        <v>0</v>
      </c>
      <c r="BB24" s="1928" t="n">
        <f aca="false">SUM(AH24:AM24)</f>
        <v>7.3283950617284</v>
      </c>
      <c r="BC24" s="1928" t="n">
        <f aca="false">SUM(AR24:AW24)</f>
        <v>8.19105185185185</v>
      </c>
      <c r="BD24" s="1928" t="n">
        <f aca="false">V24</f>
        <v>1844.03514042344</v>
      </c>
      <c r="BE24" s="1928" t="n">
        <f aca="false">E24*G24/12*2+(U24*U24*G24/1728*S24)</f>
        <v>417.28</v>
      </c>
      <c r="BF24" s="1928" t="n">
        <f aca="false">BE24/2</f>
        <v>208.64</v>
      </c>
      <c r="BG24" s="1928" t="n">
        <f aca="false">N24*E24/12</f>
        <v>186.666666666667</v>
      </c>
      <c r="BH24" s="1928" t="n">
        <f aca="false">ROUND(IF(C24="Y",BF24*3/27,0),0)</f>
        <v>23</v>
      </c>
      <c r="BJ24" s="1931" t="n">
        <f aca="false">V24*F$56*IF(T$39="N",(1+V$39),1)</f>
        <v>1097.8924217296</v>
      </c>
      <c r="BK24" s="1932" t="n">
        <f aca="false">(AR24*Pricing!F$3+AS24*Pricing!G$3+AT24*Pricing!H$3+AU24*Pricing!I$3+AV24*Pricing!J$3+AW24*Pricing!K$3+AH24*Pricing!F$3+AI24*Pricing!G$3+AJ24*Pricing!H$3+AK24*Pricing!I$3+AL24*Pricing!J$3+AM24*Pricing!K$3)*IF(T$39="N",(1+V$39),1)</f>
        <v>2396.30624790123</v>
      </c>
      <c r="BL24" s="1932" t="n">
        <f aca="false">IF(C24="Y",(N$59+N$60)/DF$36*DF24,0)</f>
        <v>494.218590398366</v>
      </c>
      <c r="BM24" s="1932" t="n">
        <f aca="false">BF24*(G$67+D$70)</f>
        <v>1721.28</v>
      </c>
      <c r="BN24" s="1932" t="n">
        <f aca="false">BG24*D$66</f>
        <v>1493.33333333333</v>
      </c>
      <c r="BO24" s="1932" t="n">
        <f aca="false">V24/2000*D$71</f>
        <v>414.907906595273</v>
      </c>
      <c r="BP24" s="1932" t="n">
        <f aca="false">IF(C24="Y",(N$74+N$73+N$72)/DF$36*DF24,0)</f>
        <v>1063.34218590398</v>
      </c>
      <c r="BQ24" s="1932" t="n">
        <f aca="false">IF(SUM(BF$36:BG$36)=0,0,(SUM(N$78:O$81)+SUM(N$83:O$88)+SUM(N$90:O$96)+W$95)/SUM(BF$36:BG$36)*(BF24+BG24))</f>
        <v>2494.63557881604</v>
      </c>
      <c r="BR24" s="1933"/>
      <c r="BS24" s="1934" t="n">
        <f aca="false">IF(SUM(BF$36:BG$36)=0,0,(BQ$36-W$58-N$64-W76-(L$79*0.15))/SUM(BF$36:BG$36)*BG24+BN24)</f>
        <v>2450.40433417196</v>
      </c>
      <c r="BT24" s="1932" t="n">
        <f aca="false">(AH24*Pricing!F$3+AI24*Pricing!G$3+AJ24*Pricing!H$3+AK24*Pricing!I$3+AL24*Pricing!J$3+AM24*Pricing!K$3)*IF(T$39="N",(1+V$39),1)</f>
        <v>1110.61827160494</v>
      </c>
      <c r="BU24" s="1932" t="n">
        <f aca="false">IF(BG24=0,0,(BS24+BT24)/BG24)</f>
        <v>19.0769068166619</v>
      </c>
      <c r="BV24" s="1932" t="n">
        <f aca="false">SUM(BJ24:BQ24)-BS24-BT24</f>
        <v>7614.89365890095</v>
      </c>
      <c r="BW24" s="1933" t="n">
        <f aca="false">IF(BE24=0,0,BV24/BF24)</f>
        <v>36.4977648528611</v>
      </c>
      <c r="DB24" s="1935" t="n">
        <f aca="false">IF(W24=0,0,D$40/SUM(W$10:W$35)*W24)</f>
        <v>12560.489964174</v>
      </c>
      <c r="DC24" s="1932" t="n">
        <f aca="false">E24*N24/12*(D$40-7980)/H$66</f>
        <v>10923.6186290782</v>
      </c>
      <c r="DD24" s="179" t="n">
        <f aca="false">ROUND(N24*O24/3088*E24,0)</f>
        <v>9</v>
      </c>
      <c r="DE24" s="908" t="n">
        <f aca="false">ROUND(V24,0)</f>
        <v>1844</v>
      </c>
      <c r="DF24" s="356" t="n">
        <f aca="false">ROUND(IF(C24="Y",(G24*0.25*E24+G24*G24/144*0.5*E24)/27*1.3,0),0)</f>
        <v>63</v>
      </c>
      <c r="DG24" s="908" t="n">
        <f aca="false">ROUND(E24*G24/12,0)</f>
        <v>209</v>
      </c>
      <c r="DH24" s="908" t="n">
        <f aca="false">IF(C24="y",ROUNDUP(E24*G24/12,0),0)</f>
        <v>209</v>
      </c>
      <c r="DI24" s="908" t="n">
        <f aca="false">IF(C24="Y",IF(E24&gt;0,E24,0),0)</f>
        <v>32</v>
      </c>
      <c r="DJ24" s="1936" t="n">
        <f aca="false">ROUND(E24*N24/12,0)</f>
        <v>187</v>
      </c>
    </row>
    <row r="25" s="1414" customFormat="true" ht="15" hidden="false" customHeight="false" outlineLevel="0" collapsed="false">
      <c r="A25" s="507"/>
      <c r="B25" s="1312"/>
      <c r="C25" s="1919" t="s">
        <v>1302</v>
      </c>
      <c r="D25" s="1920" t="n">
        <v>5</v>
      </c>
      <c r="E25" s="2059" t="n">
        <v>26</v>
      </c>
      <c r="F25" s="1234" t="n">
        <v>12</v>
      </c>
      <c r="G25" s="1235" t="n">
        <f aca="false">12*7.7</f>
        <v>92.4</v>
      </c>
      <c r="H25" s="1236" t="n">
        <v>12</v>
      </c>
      <c r="I25" s="1234" t="n">
        <v>5</v>
      </c>
      <c r="J25" s="1235" t="n">
        <v>2</v>
      </c>
      <c r="K25" s="1236" t="n">
        <v>12</v>
      </c>
      <c r="L25" s="1234" t="n">
        <v>5</v>
      </c>
      <c r="M25" s="1234" t="n">
        <v>2</v>
      </c>
      <c r="N25" s="1922" t="n">
        <v>70</v>
      </c>
      <c r="O25" s="1234" t="n">
        <v>12</v>
      </c>
      <c r="P25" s="1234" t="n">
        <v>12</v>
      </c>
      <c r="Q25" s="1237" t="n">
        <v>5</v>
      </c>
      <c r="R25" s="1923" t="n">
        <v>2</v>
      </c>
      <c r="S25" s="1924"/>
      <c r="T25" s="78"/>
      <c r="U25" s="900"/>
      <c r="V25" s="1925" t="n">
        <f aca="false">((E25*I25/16*I25/16*10.680159*J25)*IF(H25=0,0,(G25/H25))+(G25/12*L25/16*L25/16*10.680159*M25)*IF(K25=0,0,(E25*12/K25))+(E25*IF(P25=0,0,N25/P25)*Q25/16*Q25/16*10.680159*R25)+(IF(P25=0,0,E25/P25*N25)*Q25/16*Q25/16*10.680159*R25)+((T25*U25*S25*0.03*0.2836*G25)/12+4)*IF(H25=0,0,(G25/H25))*I25/16*I25/16*10.680159)*(1+J$56)</f>
        <v>1650.09847195703</v>
      </c>
      <c r="W25" s="1926" t="n">
        <f aca="false">((E25*F25/12*G25/324)+ROUNDUP(S25*T25*U25*G25/46656,0)+(N25*O25*E25/3888))*(1+J$51)</f>
        <v>13.814024691358</v>
      </c>
      <c r="AH25" s="1929" t="n">
        <f aca="false">IF($R$8=1,$N25*$O25*$E25/3888*(1+$J$51),0)</f>
        <v>0</v>
      </c>
      <c r="AI25" s="1928" t="n">
        <f aca="false">IF($R$8=2,$N25*$O25*$E25/3888*(1+$J$51),0)</f>
        <v>0</v>
      </c>
      <c r="AJ25" s="1928" t="n">
        <f aca="false">IF($R$8=3,$N25*$O25*$E25/3888*(1+$J$51),0)</f>
        <v>5.95432098765432</v>
      </c>
      <c r="AK25" s="1928" t="n">
        <f aca="false">IF($R$8=4,$N25*$O25*$E25/3888*(1+$J$51),0)</f>
        <v>0</v>
      </c>
      <c r="AL25" s="1928" t="n">
        <f aca="false">IF($R$8=5,$N25*$O25*$E25/3888*(1+$J$51),0)</f>
        <v>0</v>
      </c>
      <c r="AM25" s="1928" t="n">
        <f aca="false">IF($R$8=6,$N25*$O25*$E25/3888*(1+$J$51),0)</f>
        <v>0</v>
      </c>
      <c r="AN25" s="1928" t="n">
        <f aca="false">IF($R$8=7,$N25*$O25*$E25/3888*(1+$J$51),0)</f>
        <v>0</v>
      </c>
      <c r="AO25" s="1928" t="n">
        <f aca="false">IF($R$8=8,$N25*$O25*$E25/3888*(1+$J$51),0)</f>
        <v>0</v>
      </c>
      <c r="AP25" s="1928" t="n">
        <f aca="false">IF($R$8=9,$N25*$O25*$E25/3888*(1+$J$51),0)</f>
        <v>0</v>
      </c>
      <c r="AQ25" s="1928" t="n">
        <f aca="false">IF($R$8=10,$N25*$O25*$E25/3888*(1+$J$51),0)</f>
        <v>0</v>
      </c>
      <c r="AR25" s="1929" t="n">
        <f aca="false">IF($D25=1,$W25-SUM($AH25:$AQ25),0)</f>
        <v>0</v>
      </c>
      <c r="AS25" s="1928" t="n">
        <f aca="false">IF($D25=2,W25-SUM($AH25:$AQ25),0)</f>
        <v>0</v>
      </c>
      <c r="AT25" s="1928" t="n">
        <f aca="false">IF($D25=3,W25-SUM($AH25:$AQ25),0)</f>
        <v>0</v>
      </c>
      <c r="AU25" s="1928" t="n">
        <f aca="false">IF($D25=4,W25-SUM($AH25:$AQ25),0)</f>
        <v>0</v>
      </c>
      <c r="AV25" s="1928" t="n">
        <f aca="false">IF($D25=5,W25-SUM($AH25:$AQ25),0)</f>
        <v>7.85970370370371</v>
      </c>
      <c r="AW25" s="1928" t="n">
        <f aca="false">IF($D25=6,W25-SUM($AH25:$AQ25),0)</f>
        <v>0</v>
      </c>
      <c r="AX25" s="1928" t="n">
        <f aca="false">IF($D25=7,W25-SUM($AH25:$AQ25),0)</f>
        <v>0</v>
      </c>
      <c r="AY25" s="1928" t="n">
        <f aca="false">IF($D25=8,W25-SUM($AH25:$AQ25),0)</f>
        <v>0</v>
      </c>
      <c r="AZ25" s="1928" t="n">
        <f aca="false">IF($D25=9,W25-SUM($AH25:$AQ25),0)</f>
        <v>0</v>
      </c>
      <c r="BA25" s="1930" t="n">
        <f aca="false">IF($D25=10,W25-SUM($AH25:$AQ25),0)</f>
        <v>0</v>
      </c>
      <c r="BB25" s="1928" t="n">
        <f aca="false">SUM(AH25:AM25)</f>
        <v>5.95432098765432</v>
      </c>
      <c r="BC25" s="1928" t="n">
        <f aca="false">SUM(AR25:AW25)</f>
        <v>7.85970370370371</v>
      </c>
      <c r="BD25" s="1928" t="n">
        <f aca="false">V25</f>
        <v>1650.09847195703</v>
      </c>
      <c r="BE25" s="1928" t="n">
        <f aca="false">E25*G25/12*2+(U25*U25*G25/1728*S25)</f>
        <v>400.4</v>
      </c>
      <c r="BF25" s="1928" t="n">
        <f aca="false">BE25/2</f>
        <v>200.2</v>
      </c>
      <c r="BG25" s="1928" t="n">
        <f aca="false">N25*E25/12</f>
        <v>151.666666666667</v>
      </c>
      <c r="BH25" s="1928" t="n">
        <f aca="false">ROUND(IF(C25="Y",BF25*3/27,0),0)</f>
        <v>22</v>
      </c>
      <c r="BJ25" s="1931" t="n">
        <f aca="false">V25*F$56*IF(T$39="N",(1+V$39),1)</f>
        <v>982.427377741418</v>
      </c>
      <c r="BK25" s="1932" t="n">
        <f aca="false">(AR25*Pricing!F$3+AS25*Pricing!G$3+AT25*Pricing!H$3+AU25*Pricing!I$3+AV25*Pricing!J$3+AW25*Pricing!K$3+AH25*Pricing!F$3+AI25*Pricing!G$3+AJ25*Pricing!H$3+AK25*Pricing!I$3+AL25*Pricing!J$3+AM25*Pricing!K$3)*IF(T$39="N",(1+V$39),1)</f>
        <v>2136.05608827161</v>
      </c>
      <c r="BL25" s="1932" t="n">
        <f aca="false">IF(C25="Y",(N$59+N$60)/DF$36*DF25,0)</f>
        <v>517.752808988764</v>
      </c>
      <c r="BM25" s="1932" t="n">
        <f aca="false">BF25*(G$67+D$70)</f>
        <v>1651.65</v>
      </c>
      <c r="BN25" s="1932" t="n">
        <f aca="false">BG25*D$66</f>
        <v>1213.33333333333</v>
      </c>
      <c r="BO25" s="1932" t="n">
        <f aca="false">V25/2000*D$71</f>
        <v>371.272156190332</v>
      </c>
      <c r="BP25" s="1932" t="n">
        <f aca="false">IF(C25="Y",(N$74+N$73+N$72)/DF$36*DF25,0)</f>
        <v>1113.97752808989</v>
      </c>
      <c r="BQ25" s="1932" t="n">
        <f aca="false">IF(SUM(BF$36:BG$36)=0,0,(SUM(N$78:O$81)+SUM(N$83:O$88)+SUM(N$90:O$96)+W$95)/SUM(BF$36:BG$36)*(BF25+BG25))</f>
        <v>2220.50165019413</v>
      </c>
      <c r="BR25" s="1933"/>
      <c r="BS25" s="1934" t="n">
        <f aca="false">IF(SUM(BF$36:BG$36)=0,0,(BQ$36-W$58-N$64-W63-(L$79*0.15))/SUM(BF$36:BG$36)*BG25+BN25)</f>
        <v>1990.95352151472</v>
      </c>
      <c r="BT25" s="1932" t="n">
        <f aca="false">(AH25*Pricing!F$3+AI25*Pricing!G$3+AJ25*Pricing!H$3+AK25*Pricing!I$3+AL25*Pricing!J$3+AM25*Pricing!K$3)*IF(T$39="N",(1+V$39),1)</f>
        <v>902.377345679012</v>
      </c>
      <c r="BU25" s="1932" t="n">
        <f aca="false">IF(BG25=0,0,(BS25+BT25)/BG25)</f>
        <v>19.0769068166619</v>
      </c>
      <c r="BV25" s="1932" t="n">
        <f aca="false">SUM(BJ25:BQ25)-BS25-BT25</f>
        <v>7313.64007561574</v>
      </c>
      <c r="BW25" s="1933" t="n">
        <f aca="false">IF(BE25=0,0,BV25/BF25)</f>
        <v>36.5316687093693</v>
      </c>
      <c r="DB25" s="1935" t="n">
        <f aca="false">IF(W25=0,0,D$40/SUM(W$10:W$35)*W25)</f>
        <v>11180.2256528113</v>
      </c>
      <c r="DC25" s="1932" t="n">
        <f aca="false">E25*N25/12*(D$40-7980)/H$66</f>
        <v>8875.44013612601</v>
      </c>
      <c r="DD25" s="179" t="n">
        <f aca="false">ROUND(N25*O25/3088*E25,0)</f>
        <v>7</v>
      </c>
      <c r="DE25" s="908" t="n">
        <f aca="false">ROUND(V25,0)</f>
        <v>1650</v>
      </c>
      <c r="DF25" s="356" t="n">
        <f aca="false">ROUND(IF(C25="Y",(G25*0.25*E25+G25*G25/144*0.5*E25)/27*1.3,0),0)</f>
        <v>66</v>
      </c>
      <c r="DG25" s="908" t="n">
        <f aca="false">ROUND(E25*G25/12,0)</f>
        <v>200</v>
      </c>
      <c r="DH25" s="908" t="n">
        <f aca="false">IF(C25="y",ROUNDUP(E25*G25/12,0),0)</f>
        <v>201</v>
      </c>
      <c r="DI25" s="908" t="n">
        <f aca="false">IF(C25="Y",IF(E25&gt;0,E25,0),0)</f>
        <v>26</v>
      </c>
      <c r="DJ25" s="1936" t="n">
        <f aca="false">ROUND(E25*N25/12,0)</f>
        <v>152</v>
      </c>
    </row>
    <row r="26" s="1414" customFormat="true" ht="15" hidden="false" customHeight="false" outlineLevel="0" collapsed="false">
      <c r="A26" s="507"/>
      <c r="B26" s="1312"/>
      <c r="C26" s="1919" t="s">
        <v>1302</v>
      </c>
      <c r="D26" s="1920" t="n">
        <v>5</v>
      </c>
      <c r="E26" s="2059" t="n">
        <v>38</v>
      </c>
      <c r="F26" s="1234" t="n">
        <v>12</v>
      </c>
      <c r="G26" s="1235" t="n">
        <f aca="false">12*5.87</f>
        <v>70.44</v>
      </c>
      <c r="H26" s="1236" t="n">
        <v>12</v>
      </c>
      <c r="I26" s="1234" t="n">
        <v>5</v>
      </c>
      <c r="J26" s="1235" t="n">
        <v>2</v>
      </c>
      <c r="K26" s="1236" t="n">
        <v>12</v>
      </c>
      <c r="L26" s="1234" t="n">
        <v>5</v>
      </c>
      <c r="M26" s="1234" t="n">
        <v>2</v>
      </c>
      <c r="N26" s="1922" t="n">
        <v>70</v>
      </c>
      <c r="O26" s="1234" t="n">
        <v>12</v>
      </c>
      <c r="P26" s="1234" t="n">
        <v>12</v>
      </c>
      <c r="Q26" s="1237" t="n">
        <v>5</v>
      </c>
      <c r="R26" s="1923" t="n">
        <v>2</v>
      </c>
      <c r="S26" s="1924"/>
      <c r="T26" s="78"/>
      <c r="U26" s="900"/>
      <c r="V26" s="1925" t="n">
        <f aca="false">((E26*I26/16*I26/16*10.680159*J26)*IF(H26=0,0,(G26/H26))+(G26/12*L26/16*L26/16*10.680159*M26)*IF(K26=0,0,(E26*12/K26))+(E26*IF(P26=0,0,N26/P26)*Q26/16*Q26/16*10.680159*R26)+(IF(P26=0,0,E26/P26*N26)*Q26/16*Q26/16*10.680159*R26)+((T26*U26*S26*0.03*0.2836*G26)/12+4)*IF(H26=0,0,(G26/H26))*I26/16*I26/16*10.680159)*(1+J$56)</f>
        <v>2067.84705053008</v>
      </c>
      <c r="W26" s="1926" t="n">
        <f aca="false">((E26*F26/12*G26/324)+ROUNDUP(S26*T26*U26*G26/46656,0)+(N26*O26*E26/3888))*(1+J$51)</f>
        <v>17.4596395061728</v>
      </c>
      <c r="AH26" s="1929" t="n">
        <f aca="false">IF($R$8=1,$N26*$O26*$E26/3888*(1+$J$51),0)</f>
        <v>0</v>
      </c>
      <c r="AI26" s="1928" t="n">
        <f aca="false">IF($R$8=2,$N26*$O26*$E26/3888*(1+$J$51),0)</f>
        <v>0</v>
      </c>
      <c r="AJ26" s="1928" t="n">
        <f aca="false">IF($R$8=3,$N26*$O26*$E26/3888*(1+$J$51),0)</f>
        <v>8.70246913580247</v>
      </c>
      <c r="AK26" s="1928" t="n">
        <f aca="false">IF($R$8=4,$N26*$O26*$E26/3888*(1+$J$51),0)</f>
        <v>0</v>
      </c>
      <c r="AL26" s="1928" t="n">
        <f aca="false">IF($R$8=5,$N26*$O26*$E26/3888*(1+$J$51),0)</f>
        <v>0</v>
      </c>
      <c r="AM26" s="1928" t="n">
        <f aca="false">IF($R$8=6,$N26*$O26*$E26/3888*(1+$J$51),0)</f>
        <v>0</v>
      </c>
      <c r="AN26" s="1928" t="n">
        <f aca="false">IF($R$8=7,$N26*$O26*$E26/3888*(1+$J$51),0)</f>
        <v>0</v>
      </c>
      <c r="AO26" s="1928" t="n">
        <f aca="false">IF($R$8=8,$N26*$O26*$E26/3888*(1+$J$51),0)</f>
        <v>0</v>
      </c>
      <c r="AP26" s="1928" t="n">
        <f aca="false">IF($R$8=9,$N26*$O26*$E26/3888*(1+$J$51),0)</f>
        <v>0</v>
      </c>
      <c r="AQ26" s="1928" t="n">
        <f aca="false">IF($R$8=10,$N26*$O26*$E26/3888*(1+$J$51),0)</f>
        <v>0</v>
      </c>
      <c r="AR26" s="1929" t="n">
        <f aca="false">IF($D26=1,$W26-SUM($AH26:$AQ26),0)</f>
        <v>0</v>
      </c>
      <c r="AS26" s="1928" t="n">
        <f aca="false">IF($D26=2,W26-SUM($AH26:$AQ26),0)</f>
        <v>0</v>
      </c>
      <c r="AT26" s="1928" t="n">
        <f aca="false">IF($D26=3,W26-SUM($AH26:$AQ26),0)</f>
        <v>0</v>
      </c>
      <c r="AU26" s="1928" t="n">
        <f aca="false">IF($D26=4,W26-SUM($AH26:$AQ26),0)</f>
        <v>0</v>
      </c>
      <c r="AV26" s="1928" t="n">
        <f aca="false">IF($D26=5,W26-SUM($AH26:$AQ26),0)</f>
        <v>8.75717037037037</v>
      </c>
      <c r="AW26" s="1928" t="n">
        <f aca="false">IF($D26=6,W26-SUM($AH26:$AQ26),0)</f>
        <v>0</v>
      </c>
      <c r="AX26" s="1928" t="n">
        <f aca="false">IF($D26=7,W26-SUM($AH26:$AQ26),0)</f>
        <v>0</v>
      </c>
      <c r="AY26" s="1928" t="n">
        <f aca="false">IF($D26=8,W26-SUM($AH26:$AQ26),0)</f>
        <v>0</v>
      </c>
      <c r="AZ26" s="1928" t="n">
        <f aca="false">IF($D26=9,W26-SUM($AH26:$AQ26),0)</f>
        <v>0</v>
      </c>
      <c r="BA26" s="1930" t="n">
        <f aca="false">IF($D26=10,W26-SUM($AH26:$AQ26),0)</f>
        <v>0</v>
      </c>
      <c r="BB26" s="1928" t="n">
        <f aca="false">SUM(AH26:AM26)</f>
        <v>8.70246913580247</v>
      </c>
      <c r="BC26" s="1928" t="n">
        <f aca="false">SUM(AR26:AW26)</f>
        <v>8.75717037037037</v>
      </c>
      <c r="BD26" s="1928" t="n">
        <f aca="false">V26</f>
        <v>2067.84705053008</v>
      </c>
      <c r="BE26" s="1928" t="n">
        <f aca="false">E26*G26/12*2+(U26*U26*G26/1728*S26)</f>
        <v>446.12</v>
      </c>
      <c r="BF26" s="1928" t="n">
        <f aca="false">BE26/2</f>
        <v>223.06</v>
      </c>
      <c r="BG26" s="1928" t="n">
        <f aca="false">N26*E26/12</f>
        <v>221.666666666667</v>
      </c>
      <c r="BH26" s="1928" t="n">
        <f aca="false">ROUND(IF(C26="Y",BF26*3/27,0),0)</f>
        <v>25</v>
      </c>
      <c r="BJ26" s="1931" t="n">
        <f aca="false">V26*F$56*IF(T$39="N",(1+V$39),1)</f>
        <v>1231.14443770935</v>
      </c>
      <c r="BK26" s="1932" t="n">
        <f aca="false">(AR26*Pricing!F$3+AS26*Pricing!G$3+AT26*Pricing!H$3+AU26*Pricing!I$3+AV26*Pricing!J$3+AW26*Pricing!K$3+AH26*Pricing!F$3+AI26*Pricing!G$3+AJ26*Pricing!H$3+AK26*Pricing!I$3+AL26*Pricing!J$3+AM26*Pricing!K$3)*IF(T$39="N",(1+V$39),1)</f>
        <v>2693.40655179012</v>
      </c>
      <c r="BL26" s="1932" t="n">
        <f aca="false">IF(C26="Y",(N$59+N$60)/DF$36*DF26,0)</f>
        <v>502.063329928499</v>
      </c>
      <c r="BM26" s="1932" t="n">
        <f aca="false">BF26*(G$67+D$70)</f>
        <v>1840.245</v>
      </c>
      <c r="BN26" s="1932" t="n">
        <f aca="false">BG26*D$66</f>
        <v>1773.33333333333</v>
      </c>
      <c r="BO26" s="1932" t="n">
        <f aca="false">V26/2000*D$71</f>
        <v>465.265586369268</v>
      </c>
      <c r="BP26" s="1932" t="n">
        <f aca="false">IF(C26="Y",(N$74+N$73+N$72)/DF$36*DF26,0)</f>
        <v>1080.22063329929</v>
      </c>
      <c r="BQ26" s="1932" t="n">
        <f aca="false">IF(SUM(BF$36:BG$36)=0,0,(SUM(N$78:O$81)+SUM(N$83:O$88)+SUM(N$90:O$96)+W$95)/SUM(BF$36:BG$36)*(BF26+BG26))</f>
        <v>2806.50709705949</v>
      </c>
      <c r="BR26" s="1933"/>
      <c r="BS26" s="1934" t="n">
        <f aca="false">IF(SUM(BF$36:BG$36)=0,0,(BQ$36-W$58-N$64-W57-(L$79*0.15))/SUM(BF$36:BG$36)*BG26+BN26)</f>
        <v>2890.98854633489</v>
      </c>
      <c r="BT26" s="1932" t="n">
        <f aca="false">(AH26*Pricing!F$3+AI26*Pricing!G$3+AJ26*Pricing!H$3+AK26*Pricing!I$3+AL26*Pricing!J$3+AM26*Pricing!K$3)*IF(T$39="N",(1+V$39),1)</f>
        <v>1318.85919753086</v>
      </c>
      <c r="BU26" s="1932" t="n">
        <f aca="false">IF(BG26=0,0,(BS26+BT26)/BG26)</f>
        <v>18.991794333229</v>
      </c>
      <c r="BV26" s="1932" t="n">
        <f aca="false">SUM(BJ26:BQ26)-BS26-BT26</f>
        <v>8182.33822562359</v>
      </c>
      <c r="BW26" s="1933" t="n">
        <f aca="false">IF(BE26=0,0,BV26/BF26)</f>
        <v>36.6822300081753</v>
      </c>
      <c r="DB26" s="1935" t="n">
        <f aca="false">IF(W26=0,0,D$40/SUM(W$10:W$35)*W26)</f>
        <v>14130.7630366311</v>
      </c>
      <c r="DC26" s="1932" t="n">
        <f aca="false">E26*N26/12*(D$40-7980)/H$66</f>
        <v>12971.7971220303</v>
      </c>
      <c r="DD26" s="179" t="n">
        <f aca="false">ROUND(N26*O26/3088*E26,0)</f>
        <v>10</v>
      </c>
      <c r="DE26" s="908" t="n">
        <f aca="false">ROUND(V26,0)</f>
        <v>2068</v>
      </c>
      <c r="DF26" s="356" t="n">
        <f aca="false">ROUND(IF(C26="Y",(G26*0.25*E26+G26*G26/144*0.5*E26)/27*1.3,0),0)</f>
        <v>64</v>
      </c>
      <c r="DG26" s="908" t="n">
        <f aca="false">ROUND(E26*G26/12,0)</f>
        <v>223</v>
      </c>
      <c r="DH26" s="908" t="n">
        <f aca="false">IF(C26="y",ROUNDUP(E26*G26/12,0),0)</f>
        <v>224</v>
      </c>
      <c r="DI26" s="908" t="n">
        <f aca="false">IF(C26="Y",IF(E26&gt;0,E26,0),0)</f>
        <v>38</v>
      </c>
      <c r="DJ26" s="1936" t="n">
        <f aca="false">ROUND(E26*N26/12,0)</f>
        <v>222</v>
      </c>
    </row>
    <row r="27" s="1414" customFormat="true" ht="15" hidden="false" customHeight="false" outlineLevel="0" collapsed="false">
      <c r="A27" s="507"/>
      <c r="B27" s="1312"/>
      <c r="C27" s="1919" t="s">
        <v>1302</v>
      </c>
      <c r="D27" s="1920" t="n">
        <v>5</v>
      </c>
      <c r="E27" s="2059" t="n">
        <v>15</v>
      </c>
      <c r="F27" s="1234" t="n">
        <v>12</v>
      </c>
      <c r="G27" s="1235" t="n">
        <f aca="false">12*5.94</f>
        <v>71.28</v>
      </c>
      <c r="H27" s="1236" t="n">
        <v>12</v>
      </c>
      <c r="I27" s="1234" t="n">
        <v>5</v>
      </c>
      <c r="J27" s="1235" t="n">
        <v>2</v>
      </c>
      <c r="K27" s="1236" t="n">
        <v>12</v>
      </c>
      <c r="L27" s="1234" t="n">
        <v>5</v>
      </c>
      <c r="M27" s="1234" t="n">
        <v>2</v>
      </c>
      <c r="N27" s="1922" t="n">
        <v>70</v>
      </c>
      <c r="O27" s="1234" t="n">
        <v>12</v>
      </c>
      <c r="P27" s="1234" t="n">
        <v>12</v>
      </c>
      <c r="Q27" s="1237" t="n">
        <v>5</v>
      </c>
      <c r="R27" s="1923" t="n">
        <v>2</v>
      </c>
      <c r="S27" s="1924"/>
      <c r="T27" s="78"/>
      <c r="U27" s="900"/>
      <c r="V27" s="1925" t="n">
        <f aca="false">((E27*I27/16*I27/16*10.680159*J27)*IF(H27=0,0,(G27/H27))+(G27/12*L27/16*L27/16*10.680159*M27)*IF(K27=0,0,(E27*12/K27))+(E27*IF(P27=0,0,N27/P27)*Q27/16*Q27/16*10.680159*R27)+(IF(P27=0,0,E27/P27*N27)*Q27/16*Q27/16*10.680159*R27)+((T27*U27*S27*0.03*0.2836*G27)/12+4)*IF(H27=0,0,(G27/H27))*I27/16*I27/16*10.680159)*(1+J$56)</f>
        <v>837.699939939844</v>
      </c>
      <c r="W27" s="1926" t="n">
        <f aca="false">((E27*F27/12*G27/324)+ROUNDUP(S27*T27*U27*G27/46656,0)+(N27*O27*E27/3888))*(1+J$51)</f>
        <v>6.93318518518519</v>
      </c>
      <c r="AH27" s="1929" t="n">
        <f aca="false">IF($R$8=1,$N27*$O27*$E27/3888*(1+$J$51),0)</f>
        <v>0</v>
      </c>
      <c r="AI27" s="1928" t="n">
        <f aca="false">IF($R$8=2,$N27*$O27*$E27/3888*(1+$J$51),0)</f>
        <v>0</v>
      </c>
      <c r="AJ27" s="1928" t="n">
        <f aca="false">IF($R$8=3,$N27*$O27*$E27/3888*(1+$J$51),0)</f>
        <v>3.43518518518519</v>
      </c>
      <c r="AK27" s="1928" t="n">
        <f aca="false">IF($R$8=4,$N27*$O27*$E27/3888*(1+$J$51),0)</f>
        <v>0</v>
      </c>
      <c r="AL27" s="1928" t="n">
        <f aca="false">IF($R$8=5,$N27*$O27*$E27/3888*(1+$J$51),0)</f>
        <v>0</v>
      </c>
      <c r="AM27" s="1928" t="n">
        <f aca="false">IF($R$8=6,$N27*$O27*$E27/3888*(1+$J$51),0)</f>
        <v>0</v>
      </c>
      <c r="AN27" s="1928" t="n">
        <f aca="false">IF($R$8=7,$N27*$O27*$E27/3888*(1+$J$51),0)</f>
        <v>0</v>
      </c>
      <c r="AO27" s="1928" t="n">
        <f aca="false">IF($R$8=8,$N27*$O27*$E27/3888*(1+$J$51),0)</f>
        <v>0</v>
      </c>
      <c r="AP27" s="1928" t="n">
        <f aca="false">IF($R$8=9,$N27*$O27*$E27/3888*(1+$J$51),0)</f>
        <v>0</v>
      </c>
      <c r="AQ27" s="1928" t="n">
        <f aca="false">IF($R$8=10,$N27*$O27*$E27/3888*(1+$J$51),0)</f>
        <v>0</v>
      </c>
      <c r="AR27" s="1929" t="n">
        <f aca="false">IF($D27=1,$W27-SUM($AH27:$AQ27),0)</f>
        <v>0</v>
      </c>
      <c r="AS27" s="1928" t="n">
        <f aca="false">IF($D27=2,W27-SUM($AH27:$AQ27),0)</f>
        <v>0</v>
      </c>
      <c r="AT27" s="1928" t="n">
        <f aca="false">IF($D27=3,W27-SUM($AH27:$AQ27),0)</f>
        <v>0</v>
      </c>
      <c r="AU27" s="1928" t="n">
        <f aca="false">IF($D27=4,W27-SUM($AH27:$AQ27),0)</f>
        <v>0</v>
      </c>
      <c r="AV27" s="1928" t="n">
        <f aca="false">IF($D27=5,W27-SUM($AH27:$AQ27),0)</f>
        <v>3.498</v>
      </c>
      <c r="AW27" s="1928" t="n">
        <f aca="false">IF($D27=6,W27-SUM($AH27:$AQ27),0)</f>
        <v>0</v>
      </c>
      <c r="AX27" s="1928" t="n">
        <f aca="false">IF($D27=7,W27-SUM($AH27:$AQ27),0)</f>
        <v>0</v>
      </c>
      <c r="AY27" s="1928" t="n">
        <f aca="false">IF($D27=8,W27-SUM($AH27:$AQ27),0)</f>
        <v>0</v>
      </c>
      <c r="AZ27" s="1928" t="n">
        <f aca="false">IF($D27=9,W27-SUM($AH27:$AQ27),0)</f>
        <v>0</v>
      </c>
      <c r="BA27" s="1930" t="n">
        <f aca="false">IF($D27=10,W27-SUM($AH27:$AQ27),0)</f>
        <v>0</v>
      </c>
      <c r="BB27" s="1928" t="n">
        <f aca="false">SUM(AH27:AM27)</f>
        <v>3.43518518518519</v>
      </c>
      <c r="BC27" s="1928" t="n">
        <f aca="false">SUM(AR27:AW27)</f>
        <v>3.498</v>
      </c>
      <c r="BD27" s="1928" t="n">
        <f aca="false">V27</f>
        <v>837.699939939844</v>
      </c>
      <c r="BE27" s="1928" t="n">
        <f aca="false">E27*G27/12*2+(U27*U27*G27/1728*S27)</f>
        <v>178.2</v>
      </c>
      <c r="BF27" s="1928" t="n">
        <f aca="false">BE27/2</f>
        <v>89.1</v>
      </c>
      <c r="BG27" s="1928" t="n">
        <f aca="false">N27*E27/12</f>
        <v>87.5</v>
      </c>
      <c r="BH27" s="1928" t="n">
        <f aca="false">ROUND(IF(C27="Y",BF27*3/27,0),0)</f>
        <v>10</v>
      </c>
      <c r="BJ27" s="1931" t="n">
        <f aca="false">V27*F$56*IF(T$39="N",(1+V$39),1)</f>
        <v>498.745601741685</v>
      </c>
      <c r="BK27" s="1932" t="n">
        <f aca="false">(AR27*Pricing!F$3+AS27*Pricing!G$3+AT27*Pricing!H$3+AU27*Pricing!I$3+AV27*Pricing!J$3+AW27*Pricing!K$3+AH27*Pricing!F$3+AI27*Pricing!G$3+AJ27*Pricing!H$3+AK27*Pricing!I$3+AL27*Pricing!J$3+AM27*Pricing!K$3)*IF(T$39="N",(1+V$39),1)</f>
        <v>1069.65713981482</v>
      </c>
      <c r="BL27" s="1932" t="n">
        <f aca="false">IF(C27="Y",(N$59+N$60)/DF$36*DF27,0)</f>
        <v>203.963227783453</v>
      </c>
      <c r="BM27" s="1932" t="n">
        <f aca="false">BF27*(G$67+D$70)</f>
        <v>735.075</v>
      </c>
      <c r="BN27" s="1932" t="n">
        <f aca="false">BG27*D$66</f>
        <v>700</v>
      </c>
      <c r="BO27" s="1932" t="n">
        <f aca="false">V27/2000*D$71</f>
        <v>188.482486486465</v>
      </c>
      <c r="BP27" s="1932" t="n">
        <f aca="false">IF(C27="Y",(N$74+N$73+N$72)/DF$36*DF27,0)</f>
        <v>438.839632277835</v>
      </c>
      <c r="BQ27" s="1932" t="n">
        <f aca="false">IF(SUM(BF$36:BG$36)=0,0,(SUM(N$78:O$81)+SUM(N$83:O$88)+SUM(N$90:O$96)+W$95)/SUM(BF$36:BG$36)*(BF27+BG27))</f>
        <v>1114.45791424105</v>
      </c>
      <c r="BR27" s="1933"/>
      <c r="BS27" s="1934" t="n">
        <f aca="false">IF(SUM(BF$36:BG$36)=0,0,(BQ$36-W$58-N$64-W65-(L$79*0.15))/SUM(BF$36:BG$36)*BG27+BN27)</f>
        <v>1144.37140747146</v>
      </c>
      <c r="BT27" s="1932" t="n">
        <f aca="false">(AH27*Pricing!F$3+AI27*Pricing!G$3+AJ27*Pricing!H$3+AK27*Pricing!I$3+AL27*Pricing!J$3+AM27*Pricing!K$3)*IF(T$39="N",(1+V$39),1)</f>
        <v>520.602314814815</v>
      </c>
      <c r="BU27" s="1932" t="n">
        <f aca="false">IF(BG27=0,0,(BS27+BT27)/BG27)</f>
        <v>19.0282711118431</v>
      </c>
      <c r="BV27" s="1932" t="n">
        <f aca="false">SUM(BJ27:BQ27)-BS27-BT27</f>
        <v>3284.24728005903</v>
      </c>
      <c r="BW27" s="1933" t="n">
        <f aca="false">IF(BE27=0,0,BV27/BF27)</f>
        <v>36.8602388334346</v>
      </c>
      <c r="DB27" s="1935" t="n">
        <f aca="false">IF(W27=0,0,D$40/SUM(W$10:W$35)*W27)</f>
        <v>5611.29551995022</v>
      </c>
      <c r="DC27" s="1932" t="n">
        <f aca="false">E27*N27/12*(D$40-7980)/H$66</f>
        <v>5120.44623238039</v>
      </c>
      <c r="DD27" s="179" t="n">
        <f aca="false">ROUND(N27*O27/3088*E27,0)</f>
        <v>4</v>
      </c>
      <c r="DE27" s="908" t="n">
        <f aca="false">ROUND(V27,0)</f>
        <v>838</v>
      </c>
      <c r="DF27" s="356" t="n">
        <f aca="false">ROUND(IF(C27="Y",(G27*0.25*E27+G27*G27/144*0.5*E27)/27*1.3,0),0)</f>
        <v>26</v>
      </c>
      <c r="DG27" s="908" t="n">
        <f aca="false">ROUND(E27*G27/12,0)</f>
        <v>89</v>
      </c>
      <c r="DH27" s="908" t="n">
        <f aca="false">IF(C27="y",ROUNDUP(E27*G27/12,0),0)</f>
        <v>90</v>
      </c>
      <c r="DI27" s="908" t="n">
        <f aca="false">IF(C27="Y",IF(E27&gt;0,E27,0),0)</f>
        <v>15</v>
      </c>
      <c r="DJ27" s="1936" t="n">
        <f aca="false">ROUND(E27*N27/12,0)</f>
        <v>88</v>
      </c>
    </row>
    <row r="28" s="1414" customFormat="true" ht="15" hidden="false" customHeight="false" outlineLevel="0" collapsed="false">
      <c r="A28" s="507"/>
      <c r="B28" s="1312"/>
      <c r="C28" s="1919"/>
      <c r="D28" s="1920"/>
      <c r="E28" s="2059"/>
      <c r="F28" s="1234"/>
      <c r="G28" s="1235"/>
      <c r="H28" s="1236"/>
      <c r="I28" s="1234"/>
      <c r="J28" s="1235"/>
      <c r="K28" s="1236"/>
      <c r="L28" s="1234"/>
      <c r="M28" s="1234"/>
      <c r="N28" s="1922"/>
      <c r="O28" s="1234"/>
      <c r="P28" s="1234"/>
      <c r="Q28" s="1234"/>
      <c r="R28" s="1923"/>
      <c r="S28" s="1924"/>
      <c r="T28" s="78"/>
      <c r="U28" s="900"/>
      <c r="V28" s="1925" t="n">
        <f aca="false">((E28*I28/16*I28/16*10.680159*J28)*IF(H28=0,0,(G28/H28))+(G28/12*L28/16*L28/16*10.680159*M28)*IF(K28=0,0,(E28*12/K28))+(E28*IF(P28=0,0,N28/P28)*Q28/16*Q28/16*10.680159*R28)+(IF(P28=0,0,E28/P28*N28)*Q28/16*Q28/16*10.680159*R28)+((T28*U28*S28*0.03*0.2836*G28)/12+4)*IF(H28=0,0,(G28/H28))*I28/16*I28/16*10.680159)*(1+J$56)</f>
        <v>0</v>
      </c>
      <c r="W28" s="1926" t="n">
        <f aca="false">((E28*F28/12*G28/324)+ROUNDUP(S28*T28*U28*G28/46656,0)+(N28*O28*E28/3888))*(1+J$51)</f>
        <v>0</v>
      </c>
      <c r="AH28" s="1929" t="n">
        <f aca="false">IF($R$8=1,$N28*$O28*$E28/3888*(1+$J$51),0)</f>
        <v>0</v>
      </c>
      <c r="AI28" s="1928" t="n">
        <f aca="false">IF($R$8=2,$N28*$O28*$E28/3888*(1+$J$51),0)</f>
        <v>0</v>
      </c>
      <c r="AJ28" s="1928" t="n">
        <f aca="false">IF($R$8=3,$N28*$O28*$E28/3888*(1+$J$51),0)</f>
        <v>0</v>
      </c>
      <c r="AK28" s="1928" t="n">
        <f aca="false">IF($R$8=4,$N28*$O28*$E28/3888*(1+$J$51),0)</f>
        <v>0</v>
      </c>
      <c r="AL28" s="1928" t="n">
        <f aca="false">IF($R$8=5,$N28*$O28*$E28/3888*(1+$J$51),0)</f>
        <v>0</v>
      </c>
      <c r="AM28" s="1928" t="n">
        <f aca="false">IF($R$8=6,$N28*$O28*$E28/3888*(1+$J$51),0)</f>
        <v>0</v>
      </c>
      <c r="AN28" s="1928" t="n">
        <f aca="false">IF($R$8=7,$N28*$O28*$E28/3888*(1+$J$51),0)</f>
        <v>0</v>
      </c>
      <c r="AO28" s="1928" t="n">
        <f aca="false">IF($R$8=8,$N28*$O28*$E28/3888*(1+$J$51),0)</f>
        <v>0</v>
      </c>
      <c r="AP28" s="1928" t="n">
        <f aca="false">IF($R$8=9,$N28*$O28*$E28/3888*(1+$J$51),0)</f>
        <v>0</v>
      </c>
      <c r="AQ28" s="1928" t="n">
        <f aca="false">IF($R$8=10,$N28*$O28*$E28/3888*(1+$J$51),0)</f>
        <v>0</v>
      </c>
      <c r="AR28" s="1929" t="n">
        <f aca="false">IF($D28=1,$W28-SUM($AH28:$AQ28),0)</f>
        <v>0</v>
      </c>
      <c r="AS28" s="1928" t="n">
        <f aca="false">IF($D28=2,W28-SUM($AH28:$AQ28),0)</f>
        <v>0</v>
      </c>
      <c r="AT28" s="1928" t="n">
        <f aca="false">IF($D28=3,W28-SUM($AH28:$AQ28),0)</f>
        <v>0</v>
      </c>
      <c r="AU28" s="1928" t="n">
        <f aca="false">IF($D28=4,W28-SUM($AH28:$AQ28),0)</f>
        <v>0</v>
      </c>
      <c r="AV28" s="1928" t="n">
        <f aca="false">IF($D28=5,W28-SUM($AH28:$AQ28),0)</f>
        <v>0</v>
      </c>
      <c r="AW28" s="1928" t="n">
        <f aca="false">IF($D28=6,W28-SUM($AH28:$AQ28),0)</f>
        <v>0</v>
      </c>
      <c r="AX28" s="1928" t="n">
        <f aca="false">IF($D28=7,W28-SUM($AH28:$AQ28),0)</f>
        <v>0</v>
      </c>
      <c r="AY28" s="1928" t="n">
        <f aca="false">IF($D28=8,W28-SUM($AH28:$AQ28),0)</f>
        <v>0</v>
      </c>
      <c r="AZ28" s="1928" t="n">
        <f aca="false">IF($D28=9,W28-SUM($AH28:$AQ28),0)</f>
        <v>0</v>
      </c>
      <c r="BA28" s="1930" t="n">
        <f aca="false">IF($D28=10,W28-SUM($AH28:$AQ28),0)</f>
        <v>0</v>
      </c>
      <c r="BB28" s="1928" t="n">
        <f aca="false">SUM(AH28:AM28)</f>
        <v>0</v>
      </c>
      <c r="BC28" s="1928" t="n">
        <f aca="false">SUM(AR28:AW28)</f>
        <v>0</v>
      </c>
      <c r="BD28" s="1928" t="n">
        <f aca="false">V28</f>
        <v>0</v>
      </c>
      <c r="BE28" s="1928" t="n">
        <f aca="false">E28*G28/12*2+(U28*U28*G28/1728*S28)</f>
        <v>0</v>
      </c>
      <c r="BF28" s="1928" t="n">
        <f aca="false">BE28/2</f>
        <v>0</v>
      </c>
      <c r="BG28" s="1928" t="n">
        <f aca="false">N28*E28/12</f>
        <v>0</v>
      </c>
      <c r="BH28" s="1928" t="n">
        <f aca="false">ROUND(IF(C28="Y",BF28*3/27,0),0)</f>
        <v>0</v>
      </c>
      <c r="BJ28" s="1931" t="n">
        <f aca="false">V28*F$56*IF(T$39="N",(1+V$39),1)</f>
        <v>0</v>
      </c>
      <c r="BK28" s="1932" t="n">
        <f aca="false">(AR28*Pricing!F$3+AS28*Pricing!G$3+AT28*Pricing!H$3+AU28*Pricing!I$3+AV28*Pricing!J$3+AW28*Pricing!K$3+AH28*Pricing!F$3+AI28*Pricing!G$3+AJ28*Pricing!H$3+AK28*Pricing!I$3+AL28*Pricing!J$3+AM28*Pricing!K$3)*IF(T$39="N",(1+V$39),1)</f>
        <v>0</v>
      </c>
      <c r="BL28" s="1932" t="n">
        <f aca="false">IF(C28="Y",(N$59+N$60)/DF$36*DF28,0)</f>
        <v>0</v>
      </c>
      <c r="BM28" s="1932" t="n">
        <f aca="false">BF28*(G$67+D$70)</f>
        <v>0</v>
      </c>
      <c r="BN28" s="1932" t="n">
        <f aca="false">BG28*D$66</f>
        <v>0</v>
      </c>
      <c r="BO28" s="1932" t="n">
        <f aca="false">V28/2000*D$71</f>
        <v>0</v>
      </c>
      <c r="BP28" s="1932" t="n">
        <f aca="false">IF(C28="Y",(N$74+N$73+N$72)/DF$36*DF28,0)</f>
        <v>0</v>
      </c>
      <c r="BQ28" s="1932" t="n">
        <f aca="false">IF(SUM(BF$36:BG$36)=0,0,(SUM(N$78:O$81)+SUM(N$83:O$88)+SUM(N$90:O$96)+W$95)/SUM(BF$36:BG$36)*(BF28+BG28))</f>
        <v>0</v>
      </c>
      <c r="BR28" s="1933"/>
      <c r="BS28" s="1934" t="n">
        <f aca="false">IF(SUM(BF$36:BG$36)=0,0,(BQ$36-W$58-N$64-W66-(L$79*0.15))/SUM(BF$36:BG$36)*BG28+BN28)</f>
        <v>0</v>
      </c>
      <c r="BT28" s="1932" t="n">
        <f aca="false">(AH28*Pricing!F$3+AI28*Pricing!G$3+AJ28*Pricing!H$3+AK28*Pricing!I$3+AL28*Pricing!J$3+AM28*Pricing!K$3)*IF(T$39="N",(1+V$39),1)</f>
        <v>0</v>
      </c>
      <c r="BU28" s="1932" t="n">
        <f aca="false">IF(BG28=0,0,(BS28+BT28)/BG28)</f>
        <v>0</v>
      </c>
      <c r="BV28" s="1932" t="n">
        <f aca="false">SUM(BJ28:BQ28)-BS28-BT28</f>
        <v>0</v>
      </c>
      <c r="BW28" s="1933" t="n">
        <f aca="false">IF(BE28=0,0,BV28/BF28)</f>
        <v>0</v>
      </c>
      <c r="DB28" s="1935" t="n">
        <f aca="false">IF(W28=0,0,D$40/SUM(W$10:W$35)*W28)</f>
        <v>0</v>
      </c>
      <c r="DC28" s="1932" t="n">
        <f aca="false">E28*N28/12*(D$40-7980)/H$66</f>
        <v>0</v>
      </c>
      <c r="DD28" s="179" t="n">
        <f aca="false">ROUND(N28*O28/3088*E28,0)</f>
        <v>0</v>
      </c>
      <c r="DE28" s="908" t="n">
        <f aca="false">ROUND(V28,0)</f>
        <v>0</v>
      </c>
      <c r="DF28" s="356" t="n">
        <f aca="false">ROUND(IF(C28="Y",(G28*0.25*E28+G28*G28/144*0.5*E28)/27*1.3,0),0)</f>
        <v>0</v>
      </c>
      <c r="DG28" s="908" t="n">
        <f aca="false">ROUND(E28*G28/12,0)</f>
        <v>0</v>
      </c>
      <c r="DH28" s="908" t="n">
        <f aca="false">IF(C28="y",ROUNDUP(E28*G28/12,0),0)</f>
        <v>0</v>
      </c>
      <c r="DI28" s="908" t="n">
        <f aca="false">IF(C28="Y",IF(E28&gt;0,E28,0),0)</f>
        <v>0</v>
      </c>
      <c r="DJ28" s="1936" t="n">
        <f aca="false">ROUND(E28*N28/12,0)</f>
        <v>0</v>
      </c>
    </row>
    <row r="29" s="1414" customFormat="true" ht="15" hidden="false" customHeight="false" outlineLevel="0" collapsed="false">
      <c r="A29" s="507"/>
      <c r="B29" s="1312"/>
      <c r="C29" s="1919"/>
      <c r="D29" s="1920"/>
      <c r="E29" s="2059"/>
      <c r="F29" s="1234"/>
      <c r="G29" s="1235"/>
      <c r="H29" s="1236"/>
      <c r="I29" s="1234"/>
      <c r="J29" s="1235"/>
      <c r="K29" s="1236"/>
      <c r="L29" s="1234"/>
      <c r="M29" s="1234"/>
      <c r="N29" s="1922"/>
      <c r="O29" s="1234"/>
      <c r="P29" s="1234"/>
      <c r="Q29" s="1234"/>
      <c r="R29" s="1923"/>
      <c r="S29" s="1924"/>
      <c r="T29" s="78"/>
      <c r="U29" s="900"/>
      <c r="V29" s="1925" t="n">
        <f aca="false">((E29*I29/16*I29/16*10.680159*J29)*IF(H29=0,0,(G29/H29))+(G29/12*L29/16*L29/16*10.680159*M29)*IF(K29=0,0,(E29*12/K29))+(E29*IF(P29=0,0,N29/P29)*Q29/16*Q29/16*10.680159*R29)+(IF(P29=0,0,E29/P29*N29)*Q29/16*Q29/16*10.680159*R29)+((T29*U29*S29*0.03*0.2836*G29)/12+4)*IF(H29=0,0,(G29/H29))*I29/16*I29/16*10.680159)*(1+J$56)</f>
        <v>0</v>
      </c>
      <c r="W29" s="1926" t="n">
        <f aca="false">((E29*F29/12*G29/324)+ROUNDUP(S29*T29*U29*G29/46656,0)+(N29*O29*E29/3888))*(1+J$51)</f>
        <v>0</v>
      </c>
      <c r="AH29" s="1929" t="n">
        <f aca="false">IF($R$8=1,$N29*$O29*$E29/3888*(1+$J$51),0)</f>
        <v>0</v>
      </c>
      <c r="AI29" s="1928" t="n">
        <f aca="false">IF($R$8=2,$N29*$O29*$E29/3888*(1+$J$51),0)</f>
        <v>0</v>
      </c>
      <c r="AJ29" s="1928" t="n">
        <f aca="false">IF($R$8=3,$N29*$O29*$E29/3888*(1+$J$51),0)</f>
        <v>0</v>
      </c>
      <c r="AK29" s="1928" t="n">
        <f aca="false">IF($R$8=4,$N29*$O29*$E29/3888*(1+$J$51),0)</f>
        <v>0</v>
      </c>
      <c r="AL29" s="1928" t="n">
        <f aca="false">IF($R$8=5,$N29*$O29*$E29/3888*(1+$J$51),0)</f>
        <v>0</v>
      </c>
      <c r="AM29" s="1928" t="n">
        <f aca="false">IF($R$8=6,$N29*$O29*$E29/3888*(1+$J$51),0)</f>
        <v>0</v>
      </c>
      <c r="AN29" s="1928" t="n">
        <f aca="false">IF($R$8=7,$N29*$O29*$E29/3888*(1+$J$51),0)</f>
        <v>0</v>
      </c>
      <c r="AO29" s="1928" t="n">
        <f aca="false">IF($R$8=8,$N29*$O29*$E29/3888*(1+$J$51),0)</f>
        <v>0</v>
      </c>
      <c r="AP29" s="1928" t="n">
        <f aca="false">IF($R$8=9,$N29*$O29*$E29/3888*(1+$J$51),0)</f>
        <v>0</v>
      </c>
      <c r="AQ29" s="1928" t="n">
        <f aca="false">IF($R$8=10,$N29*$O29*$E29/3888*(1+$J$51),0)</f>
        <v>0</v>
      </c>
      <c r="AR29" s="1929" t="n">
        <f aca="false">IF($D29=1,$W29-SUM($AH29:$AQ29),0)</f>
        <v>0</v>
      </c>
      <c r="AS29" s="1928" t="n">
        <f aca="false">IF($D29=2,W29-SUM($AH29:$AQ29),0)</f>
        <v>0</v>
      </c>
      <c r="AT29" s="1928" t="n">
        <f aca="false">IF($D29=3,W29-SUM($AH29:$AQ29),0)</f>
        <v>0</v>
      </c>
      <c r="AU29" s="1928" t="n">
        <f aca="false">IF($D29=4,W29-SUM($AH29:$AQ29),0)</f>
        <v>0</v>
      </c>
      <c r="AV29" s="1928" t="n">
        <f aca="false">IF($D29=5,W29-SUM($AH29:$AQ29),0)</f>
        <v>0</v>
      </c>
      <c r="AW29" s="1928" t="n">
        <f aca="false">IF($D29=6,W29-SUM($AH29:$AQ29),0)</f>
        <v>0</v>
      </c>
      <c r="AX29" s="1928" t="n">
        <f aca="false">IF($D29=7,W29-SUM($AH29:$AQ29),0)</f>
        <v>0</v>
      </c>
      <c r="AY29" s="1928" t="n">
        <f aca="false">IF($D29=8,W29-SUM($AH29:$AQ29),0)</f>
        <v>0</v>
      </c>
      <c r="AZ29" s="1928" t="n">
        <f aca="false">IF($D29=9,W29-SUM($AH29:$AQ29),0)</f>
        <v>0</v>
      </c>
      <c r="BA29" s="1930" t="n">
        <f aca="false">IF($D29=10,W29-SUM($AH29:$AQ29),0)</f>
        <v>0</v>
      </c>
      <c r="BB29" s="1928" t="n">
        <f aca="false">SUM(AH29:AM29)</f>
        <v>0</v>
      </c>
      <c r="BC29" s="1928" t="n">
        <f aca="false">SUM(AR29:AW29)</f>
        <v>0</v>
      </c>
      <c r="BD29" s="1928" t="n">
        <f aca="false">V29</f>
        <v>0</v>
      </c>
      <c r="BE29" s="1928" t="n">
        <f aca="false">E29*G29/12*2+(U29*U29*G29/1728*S29)</f>
        <v>0</v>
      </c>
      <c r="BF29" s="1928" t="n">
        <f aca="false">BE29/2</f>
        <v>0</v>
      </c>
      <c r="BG29" s="1928" t="n">
        <f aca="false">N29*E29/12</f>
        <v>0</v>
      </c>
      <c r="BH29" s="1928" t="n">
        <f aca="false">ROUND(IF(C29="Y",BF29*3/27,0),0)</f>
        <v>0</v>
      </c>
      <c r="BJ29" s="1931" t="n">
        <f aca="false">V29*F$56*IF(T$39="N",(1+V$39),1)</f>
        <v>0</v>
      </c>
      <c r="BK29" s="1932" t="n">
        <f aca="false">(AR29*Pricing!F$3+AS29*Pricing!G$3+AT29*Pricing!H$3+AU29*Pricing!I$3+AV29*Pricing!J$3+AW29*Pricing!K$3+AH29*Pricing!F$3+AI29*Pricing!G$3+AJ29*Pricing!H$3+AK29*Pricing!I$3+AL29*Pricing!J$3+AM29*Pricing!K$3)*IF(T$39="N",(1+V$39),1)</f>
        <v>0</v>
      </c>
      <c r="BL29" s="1932" t="n">
        <f aca="false">IF(C29="Y",(N$59+N$60)/DF$36*DF29,0)</f>
        <v>0</v>
      </c>
      <c r="BM29" s="1932" t="n">
        <f aca="false">BF29*(G$67+D$70)</f>
        <v>0</v>
      </c>
      <c r="BN29" s="1932" t="n">
        <f aca="false">BG29*D$66</f>
        <v>0</v>
      </c>
      <c r="BO29" s="1932" t="n">
        <f aca="false">V29/2000*D$71</f>
        <v>0</v>
      </c>
      <c r="BP29" s="1932" t="n">
        <f aca="false">IF(C29="Y",(N$74+N$73+N$72)/DF$36*DF29,0)</f>
        <v>0</v>
      </c>
      <c r="BQ29" s="1932" t="n">
        <f aca="false">IF(SUM(BF$36:BG$36)=0,0,(SUM(N$78:O$81)+SUM(N$83:O$88)+SUM(N$90:O$96)+W$95)/SUM(BF$36:BG$36)*(BF29+BG29))</f>
        <v>0</v>
      </c>
      <c r="BR29" s="1933"/>
      <c r="BS29" s="1934" t="n">
        <f aca="false">IF(SUM(BF$36:BG$36)=0,0,(BQ$36-W$58-N$64-W67-(L$79*0.15))/SUM(BF$36:BG$36)*BG29+BN29)</f>
        <v>0</v>
      </c>
      <c r="BT29" s="1932" t="n">
        <f aca="false">(AH29*Pricing!F$3+AI29*Pricing!G$3+AJ29*Pricing!H$3+AK29*Pricing!I$3+AL29*Pricing!J$3+AM29*Pricing!K$3)*IF(T$39="N",(1+V$39),1)</f>
        <v>0</v>
      </c>
      <c r="BU29" s="1932" t="n">
        <f aca="false">IF(BG29=0,0,(BS29+BT29)/BG29)</f>
        <v>0</v>
      </c>
      <c r="BV29" s="1932" t="n">
        <f aca="false">SUM(BJ29:BQ29)-BS29-BT29</f>
        <v>0</v>
      </c>
      <c r="BW29" s="1933" t="n">
        <f aca="false">IF(BE29=0,0,BV29/BF29)</f>
        <v>0</v>
      </c>
      <c r="DB29" s="1935" t="n">
        <f aca="false">IF(W29=0,0,D$40/SUM(W$10:W$35)*W29)</f>
        <v>0</v>
      </c>
      <c r="DC29" s="1932" t="n">
        <f aca="false">E29*N29/12*(D$40-7980)/H$66</f>
        <v>0</v>
      </c>
      <c r="DD29" s="179" t="n">
        <f aca="false">ROUND(N29*O29/3088*E29,0)</f>
        <v>0</v>
      </c>
      <c r="DE29" s="908" t="n">
        <f aca="false">ROUND(V29,0)</f>
        <v>0</v>
      </c>
      <c r="DF29" s="356" t="n">
        <f aca="false">ROUND(IF(C29="Y",(G29*0.25*E29+G29*G29/144*0.5*E29)/27*1.3,0),0)</f>
        <v>0</v>
      </c>
      <c r="DG29" s="908" t="n">
        <f aca="false">ROUND(E29*G29/12,0)</f>
        <v>0</v>
      </c>
      <c r="DH29" s="908" t="n">
        <f aca="false">IF(C29="y",ROUNDUP(E29*G29/12,0),0)</f>
        <v>0</v>
      </c>
      <c r="DI29" s="908" t="n">
        <f aca="false">IF(C29="Y",IF(E29&gt;0,E29,0),0)</f>
        <v>0</v>
      </c>
      <c r="DJ29" s="1936" t="n">
        <f aca="false">ROUND(E29*N29/12,0)</f>
        <v>0</v>
      </c>
    </row>
    <row r="30" s="1414" customFormat="true" ht="15" hidden="false" customHeight="false" outlineLevel="0" collapsed="false">
      <c r="A30" s="507"/>
      <c r="B30" s="1312"/>
      <c r="C30" s="1919"/>
      <c r="D30" s="1920"/>
      <c r="E30" s="2059"/>
      <c r="F30" s="1234"/>
      <c r="G30" s="1235"/>
      <c r="H30" s="1236"/>
      <c r="I30" s="1234"/>
      <c r="J30" s="1235"/>
      <c r="K30" s="1236"/>
      <c r="L30" s="1234"/>
      <c r="M30" s="1234"/>
      <c r="N30" s="1922"/>
      <c r="O30" s="1234"/>
      <c r="P30" s="1234"/>
      <c r="Q30" s="1234"/>
      <c r="R30" s="1923"/>
      <c r="S30" s="1924"/>
      <c r="T30" s="78"/>
      <c r="U30" s="900"/>
      <c r="V30" s="1925" t="n">
        <f aca="false">((E30*I30/16*I30/16*10.680159*J30)*IF(H30=0,0,(G30/H30))+(G30/12*L30/16*L30/16*10.680159*M30)*IF(K30=0,0,(E30*12/K30))+(E30*IF(P30=0,0,N30/P30)*Q30/16*Q30/16*10.680159*R30)+(IF(P30=0,0,E30/P30*N30)*Q30/16*Q30/16*10.680159*R30)+((T30*U30*S30*0.03*0.2836*G30)/12+4)*IF(H30=0,0,(G30/H30))*I30/16*I30/16*10.680159)*(1+J$56)</f>
        <v>0</v>
      </c>
      <c r="W30" s="1926" t="n">
        <f aca="false">((E30*F30/12*G30/324)+ROUNDUP(S30*T30*U30*G30/46656,0)+(N30*O30*E30/3888))*(1+J$51)</f>
        <v>0</v>
      </c>
      <c r="AH30" s="1929" t="n">
        <f aca="false">IF($R$8=1,$N30*$O30*$E30/3888*(1+$J$51),0)</f>
        <v>0</v>
      </c>
      <c r="AI30" s="1928" t="n">
        <f aca="false">IF($R$8=2,$N30*$O30*$E30/3888*(1+$J$51),0)</f>
        <v>0</v>
      </c>
      <c r="AJ30" s="1928" t="n">
        <f aca="false">IF($R$8=3,$N30*$O30*$E30/3888*(1+$J$51),0)</f>
        <v>0</v>
      </c>
      <c r="AK30" s="1928" t="n">
        <f aca="false">IF($R$8=4,$N30*$O30*$E30/3888*(1+$J$51),0)</f>
        <v>0</v>
      </c>
      <c r="AL30" s="1928" t="n">
        <f aca="false">IF($R$8=5,$N30*$O30*$E30/3888*(1+$J$51),0)</f>
        <v>0</v>
      </c>
      <c r="AM30" s="1928" t="n">
        <f aca="false">IF($R$8=6,$N30*$O30*$E30/3888*(1+$J$51),0)</f>
        <v>0</v>
      </c>
      <c r="AN30" s="1928" t="n">
        <f aca="false">IF($R$8=7,$N30*$O30*$E30/3888*(1+$J$51),0)</f>
        <v>0</v>
      </c>
      <c r="AO30" s="1928" t="n">
        <f aca="false">IF($R$8=8,$N30*$O30*$E30/3888*(1+$J$51),0)</f>
        <v>0</v>
      </c>
      <c r="AP30" s="1928" t="n">
        <f aca="false">IF($R$8=9,$N30*$O30*$E30/3888*(1+$J$51),0)</f>
        <v>0</v>
      </c>
      <c r="AQ30" s="1928" t="n">
        <f aca="false">IF($R$8=10,$N30*$O30*$E30/3888*(1+$J$51),0)</f>
        <v>0</v>
      </c>
      <c r="AR30" s="1929" t="n">
        <f aca="false">IF($D30=1,$W30-SUM($AH30:$AQ30),0)</f>
        <v>0</v>
      </c>
      <c r="AS30" s="1928" t="n">
        <f aca="false">IF($D30=2,W30-SUM($AH30:$AQ30),0)</f>
        <v>0</v>
      </c>
      <c r="AT30" s="1928" t="n">
        <f aca="false">IF($D30=3,W30-SUM($AH30:$AQ30),0)</f>
        <v>0</v>
      </c>
      <c r="AU30" s="1928" t="n">
        <f aca="false">IF($D30=4,W30-SUM($AH30:$AQ30),0)</f>
        <v>0</v>
      </c>
      <c r="AV30" s="1928" t="n">
        <f aca="false">IF($D30=5,W30-SUM($AH30:$AQ30),0)</f>
        <v>0</v>
      </c>
      <c r="AW30" s="1928" t="n">
        <f aca="false">IF($D30=6,W30-SUM($AH30:$AQ30),0)</f>
        <v>0</v>
      </c>
      <c r="AX30" s="1928" t="n">
        <f aca="false">IF($D30=7,W30-SUM($AH30:$AQ30),0)</f>
        <v>0</v>
      </c>
      <c r="AY30" s="1928" t="n">
        <f aca="false">IF($D30=8,W30-SUM($AH30:$AQ30),0)</f>
        <v>0</v>
      </c>
      <c r="AZ30" s="1928" t="n">
        <f aca="false">IF($D30=9,W30-SUM($AH30:$AQ30),0)</f>
        <v>0</v>
      </c>
      <c r="BA30" s="1930" t="n">
        <f aca="false">IF($D30=10,W30-SUM($AH30:$AQ30),0)</f>
        <v>0</v>
      </c>
      <c r="BB30" s="1928" t="n">
        <f aca="false">SUM(AH30:AM30)</f>
        <v>0</v>
      </c>
      <c r="BC30" s="1928" t="n">
        <f aca="false">SUM(AR30:AW30)</f>
        <v>0</v>
      </c>
      <c r="BD30" s="1928" t="n">
        <f aca="false">V30</f>
        <v>0</v>
      </c>
      <c r="BE30" s="1928" t="n">
        <f aca="false">E30*G30/12*2+(U30*U30*G30/1728*S30)</f>
        <v>0</v>
      </c>
      <c r="BF30" s="1928" t="n">
        <f aca="false">BE30/2</f>
        <v>0</v>
      </c>
      <c r="BG30" s="1928" t="n">
        <f aca="false">N30*E30/12</f>
        <v>0</v>
      </c>
      <c r="BH30" s="1928" t="n">
        <f aca="false">ROUND(IF(C30="Y",BF30*3/27,0),0)</f>
        <v>0</v>
      </c>
      <c r="BJ30" s="1931" t="n">
        <f aca="false">V30*F$56*IF(T$39="N",(1+V$39),1)</f>
        <v>0</v>
      </c>
      <c r="BK30" s="1932" t="n">
        <f aca="false">(AR30*Pricing!F$3+AS30*Pricing!G$3+AT30*Pricing!H$3+AU30*Pricing!I$3+AV30*Pricing!J$3+AW30*Pricing!K$3+AH30*Pricing!F$3+AI30*Pricing!G$3+AJ30*Pricing!H$3+AK30*Pricing!I$3+AL30*Pricing!J$3+AM30*Pricing!K$3)*IF(T$39="N",(1+V$39),1)</f>
        <v>0</v>
      </c>
      <c r="BL30" s="1932" t="n">
        <f aca="false">IF(C30="Y",(N$59+N$60)/DF$36*DF30,0)</f>
        <v>0</v>
      </c>
      <c r="BM30" s="1932" t="n">
        <f aca="false">BF30*(G$67+D$70)</f>
        <v>0</v>
      </c>
      <c r="BN30" s="1932" t="n">
        <f aca="false">BG30*D$66</f>
        <v>0</v>
      </c>
      <c r="BO30" s="1932" t="n">
        <f aca="false">V30/2000*D$71</f>
        <v>0</v>
      </c>
      <c r="BP30" s="1932" t="n">
        <f aca="false">IF(C30="Y",(N$74+N$73+N$72)/DF$36*DF30,0)</f>
        <v>0</v>
      </c>
      <c r="BQ30" s="1932" t="n">
        <f aca="false">IF(SUM(BF$36:BG$36)=0,0,(SUM(N$78:O$81)+SUM(N$83:O$88)+SUM(N$90:O$96)+W$95)/SUM(BF$36:BG$36)*(BF30+BG30))</f>
        <v>0</v>
      </c>
      <c r="BR30" s="1933"/>
      <c r="BS30" s="1934" t="n">
        <f aca="false">IF(SUM(BF$36:BG$36)=0,0,(BQ$36-W$58-N$64-W68-(L$79*0.15))/SUM(BF$36:BG$36)*BG30+BN30)</f>
        <v>0</v>
      </c>
      <c r="BT30" s="1932" t="n">
        <f aca="false">(AH30*Pricing!F$3+AI30*Pricing!G$3+AJ30*Pricing!H$3+AK30*Pricing!I$3+AL30*Pricing!J$3+AM30*Pricing!K$3)*IF(T$39="N",(1+V$39),1)</f>
        <v>0</v>
      </c>
      <c r="BU30" s="1932" t="n">
        <f aca="false">IF(BG30=0,0,(BS30+BT30)/BG30)</f>
        <v>0</v>
      </c>
      <c r="BV30" s="1932" t="n">
        <f aca="false">SUM(BJ30:BQ30)-BS30-BT30</f>
        <v>0</v>
      </c>
      <c r="BW30" s="1933" t="n">
        <f aca="false">IF(BE30=0,0,BV30/BF30)</f>
        <v>0</v>
      </c>
      <c r="DB30" s="1935" t="n">
        <f aca="false">IF(W30=0,0,D$40/SUM(W$10:W$35)*W30)</f>
        <v>0</v>
      </c>
      <c r="DC30" s="1932" t="n">
        <f aca="false">E30*N30/12*(D$40-7980)/H$66</f>
        <v>0</v>
      </c>
      <c r="DD30" s="179" t="n">
        <f aca="false">ROUND(N30*O30/3088*E30,0)</f>
        <v>0</v>
      </c>
      <c r="DE30" s="908" t="n">
        <f aca="false">ROUND(V30,0)</f>
        <v>0</v>
      </c>
      <c r="DF30" s="356" t="n">
        <f aca="false">ROUND(IF(C30="Y",(G30*0.25*E30+G30*G30/144*0.5*E30)/27*1.3,0),0)</f>
        <v>0</v>
      </c>
      <c r="DG30" s="908" t="n">
        <f aca="false">ROUND(E30*G30/12,0)</f>
        <v>0</v>
      </c>
      <c r="DH30" s="908" t="n">
        <f aca="false">IF(C30="y",ROUNDUP(E30*G30/12,0),0)</f>
        <v>0</v>
      </c>
      <c r="DI30" s="908" t="n">
        <f aca="false">IF(C30="Y",IF(E30&gt;0,E30,0),0)</f>
        <v>0</v>
      </c>
      <c r="DJ30" s="1936" t="n">
        <f aca="false">ROUND(E30*N30/12,0)</f>
        <v>0</v>
      </c>
    </row>
    <row r="31" s="1414" customFormat="true" ht="15" hidden="false" customHeight="false" outlineLevel="0" collapsed="false">
      <c r="A31" s="507"/>
      <c r="B31" s="1312"/>
      <c r="C31" s="1919"/>
      <c r="D31" s="1920"/>
      <c r="E31" s="2059"/>
      <c r="F31" s="1234"/>
      <c r="G31" s="1235"/>
      <c r="H31" s="1236"/>
      <c r="I31" s="1234"/>
      <c r="J31" s="1235"/>
      <c r="K31" s="1236"/>
      <c r="L31" s="1234"/>
      <c r="M31" s="1234"/>
      <c r="N31" s="1922"/>
      <c r="O31" s="1234"/>
      <c r="P31" s="1234"/>
      <c r="Q31" s="1234"/>
      <c r="R31" s="1923"/>
      <c r="S31" s="1924"/>
      <c r="T31" s="78"/>
      <c r="U31" s="900"/>
      <c r="V31" s="1925" t="n">
        <f aca="false">((E31*I31/16*I31/16*10.680159*J31)*IF(H31=0,0,(G31/H31))+(G31/12*L31/16*L31/16*10.680159*M31)*IF(K31=0,0,(E31*12/K31))+(E31*IF(P31=0,0,N31/P31)*Q31/16*Q31/16*10.680159*R31)+(IF(P31=0,0,E31/P31*N31)*Q31/16*Q31/16*10.680159*R31)+((T31*U31*S31*0.03*0.2836*G31)/12+4)*IF(H31=0,0,(G31/H31))*I31/16*I31/16*10.680159)*(1+J$56)</f>
        <v>0</v>
      </c>
      <c r="W31" s="1926" t="n">
        <f aca="false">((E31*F31/12*G31/324)+ROUNDUP(S31*T31*U31*G31/46656,0)+(N31*O31*E31/3888))*(1+J$51)</f>
        <v>0</v>
      </c>
      <c r="AH31" s="1929" t="n">
        <f aca="false">IF($R$8=1,$N31*$O31*$E31/3888*(1+$J$51),0)</f>
        <v>0</v>
      </c>
      <c r="AI31" s="1928" t="n">
        <f aca="false">IF($R$8=2,$N31*$O31*$E31/3888*(1+$J$51),0)</f>
        <v>0</v>
      </c>
      <c r="AJ31" s="1928" t="n">
        <f aca="false">IF($R$8=3,$N31*$O31*$E31/3888*(1+$J$51),0)</f>
        <v>0</v>
      </c>
      <c r="AK31" s="1928" t="n">
        <f aca="false">IF($R$8=4,$N31*$O31*$E31/3888*(1+$J$51),0)</f>
        <v>0</v>
      </c>
      <c r="AL31" s="1928" t="n">
        <f aca="false">IF($R$8=5,$N31*$O31*$E31/3888*(1+$J$51),0)</f>
        <v>0</v>
      </c>
      <c r="AM31" s="1928" t="n">
        <f aca="false">IF($R$8=6,$N31*$O31*$E31/3888*(1+$J$51),0)</f>
        <v>0</v>
      </c>
      <c r="AN31" s="1928" t="n">
        <f aca="false">IF($R$8=7,$N31*$O31*$E31/3888*(1+$J$51),0)</f>
        <v>0</v>
      </c>
      <c r="AO31" s="1928" t="n">
        <f aca="false">IF($R$8=8,$N31*$O31*$E31/3888*(1+$J$51),0)</f>
        <v>0</v>
      </c>
      <c r="AP31" s="1928" t="n">
        <f aca="false">IF($R$8=9,$N31*$O31*$E31/3888*(1+$J$51),0)</f>
        <v>0</v>
      </c>
      <c r="AQ31" s="1928" t="n">
        <f aca="false">IF($R$8=10,$N31*$O31*$E31/3888*(1+$J$51),0)</f>
        <v>0</v>
      </c>
      <c r="AR31" s="1929" t="n">
        <f aca="false">IF($D31=1,$W31-SUM($AH31:$AQ31),0)</f>
        <v>0</v>
      </c>
      <c r="AS31" s="1928" t="n">
        <f aca="false">IF($D31=2,W31-SUM($AH31:$AQ31),0)</f>
        <v>0</v>
      </c>
      <c r="AT31" s="1928" t="n">
        <f aca="false">IF($D31=3,W31-SUM($AH31:$AQ31),0)</f>
        <v>0</v>
      </c>
      <c r="AU31" s="1928" t="n">
        <f aca="false">IF($D31=4,W31-SUM($AH31:$AQ31),0)</f>
        <v>0</v>
      </c>
      <c r="AV31" s="1928" t="n">
        <f aca="false">IF($D31=5,W31-SUM($AH31:$AQ31),0)</f>
        <v>0</v>
      </c>
      <c r="AW31" s="1928" t="n">
        <f aca="false">IF($D31=6,W31-SUM($AH31:$AQ31),0)</f>
        <v>0</v>
      </c>
      <c r="AX31" s="1928" t="n">
        <f aca="false">IF($D31=7,W31-SUM($AH31:$AQ31),0)</f>
        <v>0</v>
      </c>
      <c r="AY31" s="1928" t="n">
        <f aca="false">IF($D31=8,W31-SUM($AH31:$AQ31),0)</f>
        <v>0</v>
      </c>
      <c r="AZ31" s="1928" t="n">
        <f aca="false">IF($D31=9,W31-SUM($AH31:$AQ31),0)</f>
        <v>0</v>
      </c>
      <c r="BA31" s="1930" t="n">
        <f aca="false">IF($D31=10,W31-SUM($AH31:$AQ31),0)</f>
        <v>0</v>
      </c>
      <c r="BB31" s="1928" t="n">
        <f aca="false">SUM(AH31:AM31)</f>
        <v>0</v>
      </c>
      <c r="BC31" s="1928" t="n">
        <f aca="false">SUM(AR31:AW31)</f>
        <v>0</v>
      </c>
      <c r="BD31" s="1928" t="n">
        <f aca="false">V31</f>
        <v>0</v>
      </c>
      <c r="BE31" s="1928" t="n">
        <f aca="false">E31*G31/12*2+(U31*U31*G31/1728*S31)</f>
        <v>0</v>
      </c>
      <c r="BF31" s="1928" t="n">
        <f aca="false">BE31/2</f>
        <v>0</v>
      </c>
      <c r="BG31" s="1928" t="n">
        <f aca="false">N31*E31/12</f>
        <v>0</v>
      </c>
      <c r="BH31" s="1928" t="n">
        <f aca="false">ROUND(IF(C31="Y",BF31*3/27,0),0)</f>
        <v>0</v>
      </c>
      <c r="BJ31" s="1931" t="n">
        <f aca="false">V31*F$56*IF(T$39="N",(1+V$39),1)</f>
        <v>0</v>
      </c>
      <c r="BK31" s="1932" t="n">
        <f aca="false">(AR31*Pricing!F$3+AS31*Pricing!G$3+AT31*Pricing!H$3+AU31*Pricing!I$3+AV31*Pricing!J$3+AW31*Pricing!K$3+AH31*Pricing!F$3+AI31*Pricing!G$3+AJ31*Pricing!H$3+AK31*Pricing!I$3+AL31*Pricing!J$3+AM31*Pricing!K$3)*IF(T$39="N",(1+V$39),1)</f>
        <v>0</v>
      </c>
      <c r="BL31" s="1932" t="n">
        <f aca="false">IF(C31="Y",(N$59+N$60)/DF$36*DF31,0)</f>
        <v>0</v>
      </c>
      <c r="BM31" s="1932" t="n">
        <f aca="false">BF31*(G$67+D$70)</f>
        <v>0</v>
      </c>
      <c r="BN31" s="1932" t="n">
        <f aca="false">BG31*D$66</f>
        <v>0</v>
      </c>
      <c r="BO31" s="1932" t="n">
        <f aca="false">V31/2000*D$71</f>
        <v>0</v>
      </c>
      <c r="BP31" s="1932" t="n">
        <f aca="false">IF(C31="Y",(N$74+N$73+N$72)/DF$36*DF31,0)</f>
        <v>0</v>
      </c>
      <c r="BQ31" s="1932" t="n">
        <f aca="false">IF(SUM(BF$36:BG$36)=0,0,(SUM(N$78:O$81)+SUM(N$83:O$88)+SUM(N$90:O$96)+W$95)/SUM(BF$36:BG$36)*(BF31+BG31))</f>
        <v>0</v>
      </c>
      <c r="BR31" s="1933"/>
      <c r="BS31" s="1934" t="n">
        <f aca="false">IF(SUM(BF$36:BG$36)=0,0,(BQ$36-W$58-N$64-W69-(L$79*0.15))/SUM(BF$36:BG$36)*BG31+BN31)</f>
        <v>0</v>
      </c>
      <c r="BT31" s="1932" t="n">
        <f aca="false">(AH31*Pricing!F$3+AI31*Pricing!G$3+AJ31*Pricing!H$3+AK31*Pricing!I$3+AL31*Pricing!J$3+AM31*Pricing!K$3)*IF(T$39="N",(1+V$39),1)</f>
        <v>0</v>
      </c>
      <c r="BU31" s="1932" t="n">
        <f aca="false">IF(BG31=0,0,(BS31+BT31)/BG31)</f>
        <v>0</v>
      </c>
      <c r="BV31" s="1932" t="n">
        <f aca="false">SUM(BJ31:BQ31)-BS31-BT31</f>
        <v>0</v>
      </c>
      <c r="BW31" s="1933" t="n">
        <f aca="false">IF(BE31=0,0,BV31/BF31)</f>
        <v>0</v>
      </c>
      <c r="DB31" s="1935" t="n">
        <f aca="false">IF(W31=0,0,D$40/SUM(W$10:W$35)*W31)</f>
        <v>0</v>
      </c>
      <c r="DC31" s="1932" t="n">
        <f aca="false">E31*N31/12*(D$40-7980)/H$66</f>
        <v>0</v>
      </c>
      <c r="DD31" s="179" t="n">
        <f aca="false">ROUND(N31*O31/3088*E31,0)</f>
        <v>0</v>
      </c>
      <c r="DE31" s="908" t="n">
        <f aca="false">ROUND(V31,0)</f>
        <v>0</v>
      </c>
      <c r="DF31" s="356" t="n">
        <f aca="false">ROUND(IF(C31="Y",(G31*0.25*E31+G31*G31/144*0.5*E31)/27*1.3,0),0)</f>
        <v>0</v>
      </c>
      <c r="DG31" s="908" t="n">
        <f aca="false">ROUND(E31*G31/12,0)</f>
        <v>0</v>
      </c>
      <c r="DH31" s="908" t="n">
        <f aca="false">IF(C31="y",ROUNDUP(E31*G31/12,0),0)</f>
        <v>0</v>
      </c>
      <c r="DI31" s="908" t="n">
        <f aca="false">IF(C31="Y",IF(E31&gt;0,E31,0),0)</f>
        <v>0</v>
      </c>
      <c r="DJ31" s="1936" t="n">
        <f aca="false">ROUND(E31*N31/12,0)</f>
        <v>0</v>
      </c>
    </row>
    <row r="32" s="1414" customFormat="true" ht="15" hidden="false" customHeight="false" outlineLevel="0" collapsed="false">
      <c r="A32" s="507"/>
      <c r="B32" s="1312"/>
      <c r="C32" s="1919"/>
      <c r="D32" s="1920"/>
      <c r="E32" s="2059"/>
      <c r="F32" s="1234"/>
      <c r="G32" s="1235"/>
      <c r="H32" s="1236"/>
      <c r="I32" s="1234"/>
      <c r="J32" s="1235"/>
      <c r="K32" s="1236"/>
      <c r="L32" s="1234"/>
      <c r="M32" s="1234"/>
      <c r="N32" s="1922"/>
      <c r="O32" s="1234"/>
      <c r="P32" s="1234"/>
      <c r="Q32" s="1234"/>
      <c r="R32" s="1923"/>
      <c r="S32" s="1924"/>
      <c r="T32" s="78"/>
      <c r="U32" s="900"/>
      <c r="V32" s="1925" t="n">
        <f aca="false">((E32*I32/16*I32/16*10.680159*J32)*IF(H32=0,0,(G32/H32))+(G32/12*L32/16*L32/16*10.680159*M32)*IF(K32=0,0,(E32*12/K32))+(E32*IF(P32=0,0,N32/P32)*Q32/16*Q32/16*10.680159*R32)+(IF(P32=0,0,E32/P32*N32)*Q32/16*Q32/16*10.680159*R32)+((T32*U32*S32*0.03*0.2836*G32)/12+4)*IF(H32=0,0,(G32/H32))*I32/16*I32/16*10.680159)*(1+J$56)</f>
        <v>0</v>
      </c>
      <c r="W32" s="1926" t="n">
        <f aca="false">((E32*F32/12*G32/324)+ROUNDUP(S32*T32*U32*G32/46656,0)+(N32*O32*E32/3888))*(1+J$51)</f>
        <v>0</v>
      </c>
      <c r="AH32" s="1929" t="n">
        <f aca="false">IF($R$8=1,$N32*$O32*$E32/3888*(1+$J$51),0)</f>
        <v>0</v>
      </c>
      <c r="AI32" s="1928" t="n">
        <f aca="false">IF($R$8=2,$N32*$O32*$E32/3888*(1+$J$51),0)</f>
        <v>0</v>
      </c>
      <c r="AJ32" s="1928" t="n">
        <f aca="false">IF($R$8=3,$N32*$O32*$E32/3888*(1+$J$51),0)</f>
        <v>0</v>
      </c>
      <c r="AK32" s="1928" t="n">
        <f aca="false">IF($R$8=4,$N32*$O32*$E32/3888*(1+$J$51),0)</f>
        <v>0</v>
      </c>
      <c r="AL32" s="1928" t="n">
        <f aca="false">IF($R$8=5,$N32*$O32*$E32/3888*(1+$J$51),0)</f>
        <v>0</v>
      </c>
      <c r="AM32" s="1928" t="n">
        <f aca="false">IF($R$8=6,$N32*$O32*$E32/3888*(1+$J$51),0)</f>
        <v>0</v>
      </c>
      <c r="AN32" s="1928" t="n">
        <f aca="false">IF($R$8=7,$N32*$O32*$E32/3888*(1+$J$51),0)</f>
        <v>0</v>
      </c>
      <c r="AO32" s="1928" t="n">
        <f aca="false">IF($R$8=8,$N32*$O32*$E32/3888*(1+$J$51),0)</f>
        <v>0</v>
      </c>
      <c r="AP32" s="1928" t="n">
        <f aca="false">IF($R$8=9,$N32*$O32*$E32/3888*(1+$J$51),0)</f>
        <v>0</v>
      </c>
      <c r="AQ32" s="1928" t="n">
        <f aca="false">IF($R$8=10,$N32*$O32*$E32/3888*(1+$J$51),0)</f>
        <v>0</v>
      </c>
      <c r="AR32" s="1929" t="n">
        <f aca="false">IF($D32=1,$W32-SUM($AH32:$AQ32),0)</f>
        <v>0</v>
      </c>
      <c r="AS32" s="1928" t="n">
        <f aca="false">IF($D32=2,W32-SUM($AH32:$AQ32),0)</f>
        <v>0</v>
      </c>
      <c r="AT32" s="1928" t="n">
        <f aca="false">IF($D32=3,W32-SUM($AH32:$AQ32),0)</f>
        <v>0</v>
      </c>
      <c r="AU32" s="1928" t="n">
        <f aca="false">IF($D32=4,W32-SUM($AH32:$AQ32),0)</f>
        <v>0</v>
      </c>
      <c r="AV32" s="1928" t="n">
        <f aca="false">IF($D32=5,W32-SUM($AH32:$AQ32),0)</f>
        <v>0</v>
      </c>
      <c r="AW32" s="1928" t="n">
        <f aca="false">IF($D32=6,W32-SUM($AH32:$AQ32),0)</f>
        <v>0</v>
      </c>
      <c r="AX32" s="1928" t="n">
        <f aca="false">IF($D32=7,W32-SUM($AH32:$AQ32),0)</f>
        <v>0</v>
      </c>
      <c r="AY32" s="1928" t="n">
        <f aca="false">IF($D32=8,W32-SUM($AH32:$AQ32),0)</f>
        <v>0</v>
      </c>
      <c r="AZ32" s="1928" t="n">
        <f aca="false">IF($D32=9,W32-SUM($AH32:$AQ32),0)</f>
        <v>0</v>
      </c>
      <c r="BA32" s="1930" t="n">
        <f aca="false">IF($D32=10,W32-SUM($AH32:$AQ32),0)</f>
        <v>0</v>
      </c>
      <c r="BB32" s="1928" t="n">
        <f aca="false">SUM(AH32:AM32)</f>
        <v>0</v>
      </c>
      <c r="BC32" s="1928" t="n">
        <f aca="false">SUM(AR32:AW32)</f>
        <v>0</v>
      </c>
      <c r="BD32" s="1928" t="n">
        <f aca="false">V32</f>
        <v>0</v>
      </c>
      <c r="BE32" s="1928" t="n">
        <f aca="false">E32*G32/12*2+(U32*U32*G32/1728*S32)</f>
        <v>0</v>
      </c>
      <c r="BF32" s="1928" t="n">
        <f aca="false">BE32/2</f>
        <v>0</v>
      </c>
      <c r="BG32" s="1928" t="n">
        <f aca="false">N32*E32/12</f>
        <v>0</v>
      </c>
      <c r="BH32" s="1928" t="n">
        <f aca="false">ROUND(IF(C32="Y",BF32*3/27,0),0)</f>
        <v>0</v>
      </c>
      <c r="BJ32" s="1931" t="n">
        <f aca="false">V32*F$56*IF(T$39="N",(1+V$39),1)</f>
        <v>0</v>
      </c>
      <c r="BK32" s="1932" t="n">
        <f aca="false">(AR32*Pricing!F$3+AS32*Pricing!G$3+AT32*Pricing!H$3+AU32*Pricing!I$3+AV32*Pricing!J$3+AW32*Pricing!K$3+AH32*Pricing!F$3+AI32*Pricing!G$3+AJ32*Pricing!H$3+AK32*Pricing!I$3+AL32*Pricing!J$3+AM32*Pricing!K$3)*IF(T$39="N",(1+V$39),1)</f>
        <v>0</v>
      </c>
      <c r="BL32" s="1932" t="n">
        <f aca="false">IF(C32="Y",(N$59+N$60)/DF$36*DF32,0)</f>
        <v>0</v>
      </c>
      <c r="BM32" s="1932" t="n">
        <f aca="false">BF32*(G$67+D$70)</f>
        <v>0</v>
      </c>
      <c r="BN32" s="1932" t="n">
        <f aca="false">BG32*D$66</f>
        <v>0</v>
      </c>
      <c r="BO32" s="1932" t="n">
        <f aca="false">V32/2000*D$71</f>
        <v>0</v>
      </c>
      <c r="BP32" s="1932" t="n">
        <f aca="false">IF(C32="Y",(N$74+N$73+N$72)/DF$36*DF32,0)</f>
        <v>0</v>
      </c>
      <c r="BQ32" s="1932" t="n">
        <f aca="false">IF(SUM(BF$36:BG$36)=0,0,(SUM(N$78:O$81)+SUM(N$83:O$88)+SUM(N$90:O$96)+W$95)/SUM(BF$36:BG$36)*(BF32+BG32))</f>
        <v>0</v>
      </c>
      <c r="BR32" s="1933"/>
      <c r="BS32" s="1934" t="n">
        <f aca="false">IF(SUM(BF$36:BG$36)=0,0,(BQ$36-W$58-N$64-W70-(L$79*0.15))/SUM(BF$36:BG$36)*BG32+BN32)</f>
        <v>0</v>
      </c>
      <c r="BT32" s="1932" t="n">
        <f aca="false">(AH32*Pricing!F$3+AI32*Pricing!G$3+AJ32*Pricing!H$3+AK32*Pricing!I$3+AL32*Pricing!J$3+AM32*Pricing!K$3)*IF(T$39="N",(1+V$39),1)</f>
        <v>0</v>
      </c>
      <c r="BU32" s="1932" t="n">
        <f aca="false">IF(BG32=0,0,(BS32+BT32)/BG32)</f>
        <v>0</v>
      </c>
      <c r="BV32" s="1932" t="n">
        <f aca="false">SUM(BJ32:BQ32)-BS32-BT32</f>
        <v>0</v>
      </c>
      <c r="BW32" s="1933" t="n">
        <f aca="false">IF(BE32=0,0,BV32/BF32)</f>
        <v>0</v>
      </c>
      <c r="DB32" s="1935" t="n">
        <f aca="false">IF(W32=0,0,D$40/SUM(W$10:W$35)*W32)</f>
        <v>0</v>
      </c>
      <c r="DC32" s="1932" t="n">
        <f aca="false">E32*N32/12*(D$40-7980)/H$66</f>
        <v>0</v>
      </c>
      <c r="DD32" s="179" t="n">
        <f aca="false">ROUND(N32*O32/3088*E32,0)</f>
        <v>0</v>
      </c>
      <c r="DE32" s="908" t="n">
        <f aca="false">ROUND(V32,0)</f>
        <v>0</v>
      </c>
      <c r="DF32" s="356" t="n">
        <f aca="false">ROUND(IF(C32="Y",(G32*0.25*E32+G32*G32/144*0.5*E32)/27*1.3,0),0)</f>
        <v>0</v>
      </c>
      <c r="DG32" s="908" t="n">
        <f aca="false">ROUND(E32*G32/12,0)</f>
        <v>0</v>
      </c>
      <c r="DH32" s="908" t="n">
        <f aca="false">IF(C32="y",ROUNDUP(E32*G32/12,0),0)</f>
        <v>0</v>
      </c>
      <c r="DI32" s="908" t="n">
        <f aca="false">IF(C32="Y",IF(E32&gt;0,E32,0),0)</f>
        <v>0</v>
      </c>
      <c r="DJ32" s="1936" t="n">
        <f aca="false">ROUND(E32*N32/12,0)</f>
        <v>0</v>
      </c>
    </row>
    <row r="33" s="1414" customFormat="true" ht="15" hidden="false" customHeight="false" outlineLevel="0" collapsed="false">
      <c r="A33" s="507"/>
      <c r="B33" s="1312"/>
      <c r="C33" s="1919"/>
      <c r="D33" s="1920"/>
      <c r="E33" s="2059"/>
      <c r="F33" s="1234"/>
      <c r="G33" s="1235"/>
      <c r="H33" s="1236"/>
      <c r="I33" s="1234"/>
      <c r="J33" s="1235"/>
      <c r="K33" s="1236"/>
      <c r="L33" s="1234"/>
      <c r="M33" s="1234"/>
      <c r="N33" s="1922"/>
      <c r="O33" s="1234"/>
      <c r="P33" s="1234"/>
      <c r="Q33" s="1234"/>
      <c r="R33" s="1923"/>
      <c r="S33" s="1924"/>
      <c r="T33" s="78"/>
      <c r="U33" s="900"/>
      <c r="V33" s="1925" t="n">
        <f aca="false">((E33*I33/16*I33/16*10.680159*J33)*IF(H33=0,0,(G33/H33))+(G33/12*L33/16*L33/16*10.680159*M33)*IF(K33=0,0,(E33*12/K33))+(E33*IF(P33=0,0,N33/P33)*Q33/16*Q33/16*10.680159*R33)+(IF(P33=0,0,E33/P33*N33)*Q33/16*Q33/16*10.680159*R33)+((T33*U33*S33*0.03*0.2836*G33)/12+4)*IF(H33=0,0,(G33/H33))*I33/16*I33/16*10.680159)*(1+J$56)</f>
        <v>0</v>
      </c>
      <c r="W33" s="1926" t="n">
        <f aca="false">((E33*F33/12*G33/324)+ROUNDUP(S33*T33*U33*G33/46656,0)+(N33*O33*E33/3888))*(1+J$51)</f>
        <v>0</v>
      </c>
      <c r="AH33" s="1929" t="n">
        <f aca="false">IF($R$8=1,$N33*$O33*$E33/3888*(1+$J$51),0)</f>
        <v>0</v>
      </c>
      <c r="AI33" s="1928" t="n">
        <f aca="false">IF($R$8=2,$N33*$O33*$E33/3888*(1+$J$51),0)</f>
        <v>0</v>
      </c>
      <c r="AJ33" s="1928" t="n">
        <f aca="false">IF($R$8=3,$N33*$O33*$E33/3888*(1+$J$51),0)</f>
        <v>0</v>
      </c>
      <c r="AK33" s="1928" t="n">
        <f aca="false">IF($R$8=4,$N33*$O33*$E33/3888*(1+$J$51),0)</f>
        <v>0</v>
      </c>
      <c r="AL33" s="1928" t="n">
        <f aca="false">IF($R$8=5,$N33*$O33*$E33/3888*(1+$J$51),0)</f>
        <v>0</v>
      </c>
      <c r="AM33" s="1928" t="n">
        <f aca="false">IF($R$8=6,$N33*$O33*$E33/3888*(1+$J$51),0)</f>
        <v>0</v>
      </c>
      <c r="AN33" s="1928" t="n">
        <f aca="false">IF($R$8=7,$N33*$O33*$E33/3888*(1+$J$51),0)</f>
        <v>0</v>
      </c>
      <c r="AO33" s="1928" t="n">
        <f aca="false">IF($R$8=8,$N33*$O33*$E33/3888*(1+$J$51),0)</f>
        <v>0</v>
      </c>
      <c r="AP33" s="1928" t="n">
        <f aca="false">IF($R$8=9,$N33*$O33*$E33/3888*(1+$J$51),0)</f>
        <v>0</v>
      </c>
      <c r="AQ33" s="1928" t="n">
        <f aca="false">IF($R$8=10,$N33*$O33*$E33/3888*(1+$J$51),0)</f>
        <v>0</v>
      </c>
      <c r="AR33" s="1929" t="n">
        <f aca="false">IF($D33=1,$W33-SUM($AH33:$AQ33),0)</f>
        <v>0</v>
      </c>
      <c r="AS33" s="1928" t="n">
        <f aca="false">IF($D33=2,W33-SUM($AH33:$AQ33),0)</f>
        <v>0</v>
      </c>
      <c r="AT33" s="1928" t="n">
        <f aca="false">IF($D33=3,W33-SUM($AH33:$AQ33),0)</f>
        <v>0</v>
      </c>
      <c r="AU33" s="1928" t="n">
        <f aca="false">IF($D33=4,W33-SUM($AH33:$AQ33),0)</f>
        <v>0</v>
      </c>
      <c r="AV33" s="1928" t="n">
        <f aca="false">IF($D33=5,W33-SUM($AH33:$AQ33),0)</f>
        <v>0</v>
      </c>
      <c r="AW33" s="1928" t="n">
        <f aca="false">IF($D33=6,W33-SUM($AH33:$AQ33),0)</f>
        <v>0</v>
      </c>
      <c r="AX33" s="1928" t="n">
        <f aca="false">IF($D33=7,W33-SUM($AH33:$AQ33),0)</f>
        <v>0</v>
      </c>
      <c r="AY33" s="1928" t="n">
        <f aca="false">IF($D33=8,W33-SUM($AH33:$AQ33),0)</f>
        <v>0</v>
      </c>
      <c r="AZ33" s="1928" t="n">
        <f aca="false">IF($D33=9,W33-SUM($AH33:$AQ33),0)</f>
        <v>0</v>
      </c>
      <c r="BA33" s="1930" t="n">
        <f aca="false">IF($D33=10,W33-SUM($AH33:$AQ33),0)</f>
        <v>0</v>
      </c>
      <c r="BB33" s="1928" t="n">
        <f aca="false">SUM(AH33:AM33)</f>
        <v>0</v>
      </c>
      <c r="BC33" s="1928" t="n">
        <f aca="false">SUM(AR33:AW33)</f>
        <v>0</v>
      </c>
      <c r="BD33" s="1928" t="n">
        <f aca="false">V33</f>
        <v>0</v>
      </c>
      <c r="BE33" s="1928" t="n">
        <f aca="false">E33*G33/12*2+(U33*U33*G33/1728*S33)</f>
        <v>0</v>
      </c>
      <c r="BF33" s="1928" t="n">
        <f aca="false">BE33/2</f>
        <v>0</v>
      </c>
      <c r="BG33" s="1928" t="n">
        <f aca="false">N33*E33/12</f>
        <v>0</v>
      </c>
      <c r="BH33" s="1928" t="n">
        <f aca="false">ROUND(IF(C33="Y",BF33*3/27,0),0)</f>
        <v>0</v>
      </c>
      <c r="BJ33" s="1931" t="n">
        <f aca="false">V33*F$56*IF(T$39="N",(1+V$39),1)</f>
        <v>0</v>
      </c>
      <c r="BK33" s="1932" t="n">
        <f aca="false">(AR33*Pricing!F$3+AS33*Pricing!G$3+AT33*Pricing!H$3+AU33*Pricing!I$3+AV33*Pricing!J$3+AW33*Pricing!K$3+AH33*Pricing!F$3+AI33*Pricing!G$3+AJ33*Pricing!H$3+AK33*Pricing!I$3+AL33*Pricing!J$3+AM33*Pricing!K$3)*IF(T$39="N",(1+V$39),1)</f>
        <v>0</v>
      </c>
      <c r="BL33" s="1932" t="n">
        <f aca="false">IF(C33="Y",(N$59+N$60)/DF$36*DF33,0)</f>
        <v>0</v>
      </c>
      <c r="BM33" s="1932" t="n">
        <f aca="false">BF33*(G$67+D$70)</f>
        <v>0</v>
      </c>
      <c r="BN33" s="1932" t="n">
        <f aca="false">BG33*D$66</f>
        <v>0</v>
      </c>
      <c r="BO33" s="1932" t="n">
        <f aca="false">V33/2000*D$71</f>
        <v>0</v>
      </c>
      <c r="BP33" s="1932" t="n">
        <f aca="false">IF(C33="Y",(N$74+N$73+N$72)/DF$36*DF33,0)</f>
        <v>0</v>
      </c>
      <c r="BQ33" s="1932" t="n">
        <f aca="false">IF(SUM(BF$36:BG$36)=0,0,(SUM(N$78:O$81)+SUM(N$83:O$88)+SUM(N$90:O$96)+W$95)/SUM(BF$36:BG$36)*(BF33+BG33))</f>
        <v>0</v>
      </c>
      <c r="BR33" s="1933"/>
      <c r="BS33" s="1934" t="n">
        <f aca="false">IF(SUM(BF$36:BG$36)=0,0,(BQ$36-W$58-N$64-W81-(L$79*0.15))/SUM(BF$36:BG$36)*BG33+BN33)</f>
        <v>0</v>
      </c>
      <c r="BT33" s="1932" t="n">
        <f aca="false">(AH33*Pricing!F$3+AI33*Pricing!G$3+AJ33*Pricing!H$3+AK33*Pricing!I$3+AL33*Pricing!J$3+AM33*Pricing!K$3)*IF(T$39="N",(1+V$39),1)</f>
        <v>0</v>
      </c>
      <c r="BU33" s="1932" t="n">
        <f aca="false">IF(BG33=0,0,(BS33+BT33)/BG33)</f>
        <v>0</v>
      </c>
      <c r="BV33" s="1932" t="n">
        <f aca="false">SUM(BJ33:BQ33)-BS33-BT33</f>
        <v>0</v>
      </c>
      <c r="BW33" s="1933" t="n">
        <f aca="false">IF(BE33=0,0,BV33/BF33)</f>
        <v>0</v>
      </c>
      <c r="DB33" s="1935" t="n">
        <f aca="false">IF(W33=0,0,D$40/SUM(W$10:W$35)*W33)</f>
        <v>0</v>
      </c>
      <c r="DC33" s="1932" t="n">
        <f aca="false">E33*N33/12*(D$40-7980)/H$66</f>
        <v>0</v>
      </c>
      <c r="DD33" s="179" t="n">
        <f aca="false">ROUND(N33*O33/3088*E33,0)</f>
        <v>0</v>
      </c>
      <c r="DE33" s="908" t="n">
        <f aca="false">ROUND(V33,0)</f>
        <v>0</v>
      </c>
      <c r="DF33" s="356" t="n">
        <f aca="false">ROUND(IF(C33="Y",(G33*0.25*E33+G33*G33/144*0.5*E33)/27*1.3,0),0)</f>
        <v>0</v>
      </c>
      <c r="DG33" s="908" t="n">
        <f aca="false">ROUND(E33*G33/12,0)</f>
        <v>0</v>
      </c>
      <c r="DH33" s="908" t="n">
        <f aca="false">IF(C33="y",ROUNDUP(E33*G33/12,0),0)</f>
        <v>0</v>
      </c>
      <c r="DI33" s="908" t="n">
        <f aca="false">IF(C33="Y",IF(E33&gt;0,E33,0),0)</f>
        <v>0</v>
      </c>
      <c r="DJ33" s="1936" t="n">
        <f aca="false">ROUND(E33*N33/12,0)</f>
        <v>0</v>
      </c>
    </row>
    <row r="34" s="1414" customFormat="true" ht="15" hidden="false" customHeight="false" outlineLevel="0" collapsed="false">
      <c r="A34" s="507"/>
      <c r="B34" s="1312"/>
      <c r="C34" s="1919"/>
      <c r="D34" s="1920"/>
      <c r="E34" s="2059"/>
      <c r="F34" s="1234"/>
      <c r="G34" s="1235"/>
      <c r="H34" s="1236"/>
      <c r="I34" s="1234"/>
      <c r="J34" s="1235"/>
      <c r="K34" s="1236"/>
      <c r="L34" s="1234"/>
      <c r="M34" s="1234"/>
      <c r="N34" s="1922"/>
      <c r="O34" s="1234"/>
      <c r="P34" s="1234"/>
      <c r="Q34" s="1234"/>
      <c r="R34" s="1923"/>
      <c r="S34" s="1924"/>
      <c r="T34" s="78"/>
      <c r="U34" s="900"/>
      <c r="V34" s="1925" t="n">
        <f aca="false">((E34*I34/16*I34/16*10.680159*J34)*IF(H34=0,0,(G34/H34))+(G34/12*L34/16*L34/16*10.680159*M34)*IF(K34=0,0,(E34*12/K34))+(E34*IF(P34=0,0,N34/P34)*Q34/16*Q34/16*10.680159*R34)+(IF(P34=0,0,E34/P34*N34)*Q34/16*Q34/16*10.680159*R34)+((T34*U34*S34*0.03*0.2836*G34)/12+4)*IF(H34=0,0,(G34/H34))*I34/16*I34/16*10.680159)*(1+J$56)</f>
        <v>0</v>
      </c>
      <c r="W34" s="1926" t="n">
        <f aca="false">((E34*F34/12*G34/324)+ROUNDUP(S34*T34*U34*G34/46656,0)+(N34*O34*E34/3888))*(1+J$51)</f>
        <v>0</v>
      </c>
      <c r="AH34" s="1929" t="n">
        <f aca="false">IF($R$8=1,$N34*$O34*$E34/3888*(1+$J$51),0)</f>
        <v>0</v>
      </c>
      <c r="AI34" s="1928" t="n">
        <f aca="false">IF($R$8=2,$N34*$O34*$E34/3888*(1+$J$51),0)</f>
        <v>0</v>
      </c>
      <c r="AJ34" s="1928" t="n">
        <f aca="false">IF($R$8=3,$N34*$O34*$E34/3888*(1+$J$51),0)</f>
        <v>0</v>
      </c>
      <c r="AK34" s="1928" t="n">
        <f aca="false">IF($R$8=4,$N34*$O34*$E34/3888*(1+$J$51),0)</f>
        <v>0</v>
      </c>
      <c r="AL34" s="1928" t="n">
        <f aca="false">IF($R$8=5,$N34*$O34*$E34/3888*(1+$J$51),0)</f>
        <v>0</v>
      </c>
      <c r="AM34" s="1928" t="n">
        <f aca="false">IF($R$8=6,$N34*$O34*$E34/3888*(1+$J$51),0)</f>
        <v>0</v>
      </c>
      <c r="AN34" s="1928" t="n">
        <f aca="false">IF($R$8=7,$N34*$O34*$E34/3888*(1+$J$51),0)</f>
        <v>0</v>
      </c>
      <c r="AO34" s="1928" t="n">
        <f aca="false">IF($R$8=8,$N34*$O34*$E34/3888*(1+$J$51),0)</f>
        <v>0</v>
      </c>
      <c r="AP34" s="1928" t="n">
        <f aca="false">IF($R$8=9,$N34*$O34*$E34/3888*(1+$J$51),0)</f>
        <v>0</v>
      </c>
      <c r="AQ34" s="1928" t="n">
        <f aca="false">IF($R$8=10,$N34*$O34*$E34/3888*(1+$J$51),0)</f>
        <v>0</v>
      </c>
      <c r="AR34" s="1929" t="n">
        <f aca="false">IF($D34=1,$W34-SUM($AH34:$AQ34),0)</f>
        <v>0</v>
      </c>
      <c r="AS34" s="1928" t="n">
        <f aca="false">IF($D34=2,W34-SUM($AH34:$AQ34),0)</f>
        <v>0</v>
      </c>
      <c r="AT34" s="1928" t="n">
        <f aca="false">IF($D34=3,W34-SUM($AH34:$AQ34),0)</f>
        <v>0</v>
      </c>
      <c r="AU34" s="1928" t="n">
        <f aca="false">IF($D34=4,W34-SUM($AH34:$AQ34),0)</f>
        <v>0</v>
      </c>
      <c r="AV34" s="1928" t="n">
        <f aca="false">IF($D34=5,W34-SUM($AH34:$AQ34),0)</f>
        <v>0</v>
      </c>
      <c r="AW34" s="1928" t="n">
        <f aca="false">IF($D34=6,W34-SUM($AH34:$AQ34),0)</f>
        <v>0</v>
      </c>
      <c r="AX34" s="1928" t="n">
        <f aca="false">IF($D34=7,W34-SUM($AH34:$AQ34),0)</f>
        <v>0</v>
      </c>
      <c r="AY34" s="1928" t="n">
        <f aca="false">IF($D34=8,W34-SUM($AH34:$AQ34),0)</f>
        <v>0</v>
      </c>
      <c r="AZ34" s="1928" t="n">
        <f aca="false">IF($D34=9,W34-SUM($AH34:$AQ34),0)</f>
        <v>0</v>
      </c>
      <c r="BA34" s="1930" t="n">
        <f aca="false">IF($D34=10,W34-SUM($AH34:$AQ34),0)</f>
        <v>0</v>
      </c>
      <c r="BB34" s="1928" t="n">
        <f aca="false">SUM(AH34:AM34)</f>
        <v>0</v>
      </c>
      <c r="BC34" s="1928" t="n">
        <f aca="false">SUM(AR34:AW34)</f>
        <v>0</v>
      </c>
      <c r="BD34" s="1928" t="n">
        <f aca="false">V34</f>
        <v>0</v>
      </c>
      <c r="BE34" s="1928" t="n">
        <f aca="false">E34*G34/12*2+(U34*U34*G34/1728*S34)</f>
        <v>0</v>
      </c>
      <c r="BF34" s="1928" t="n">
        <f aca="false">BE34/2</f>
        <v>0</v>
      </c>
      <c r="BG34" s="1928" t="n">
        <f aca="false">N34*E34/12</f>
        <v>0</v>
      </c>
      <c r="BH34" s="1928" t="n">
        <f aca="false">ROUND(IF(C34="Y",BF34*3/27,0),0)</f>
        <v>0</v>
      </c>
      <c r="BJ34" s="1931" t="n">
        <f aca="false">V34*F$56*IF(T$39="N",(1+V$39),1)</f>
        <v>0</v>
      </c>
      <c r="BK34" s="1932" t="n">
        <f aca="false">(AR34*Pricing!F$3+AS34*Pricing!G$3+AT34*Pricing!H$3+AU34*Pricing!I$3+AV34*Pricing!J$3+AW34*Pricing!K$3+AH34*Pricing!F$3+AI34*Pricing!G$3+AJ34*Pricing!H$3+AK34*Pricing!I$3+AL34*Pricing!J$3+AM34*Pricing!K$3)*IF(T$39="N",(1+V$39),1)</f>
        <v>0</v>
      </c>
      <c r="BL34" s="1932" t="n">
        <f aca="false">IF(C34="Y",(N$59+N$60)/DF$36*DF34,0)</f>
        <v>0</v>
      </c>
      <c r="BM34" s="1932" t="n">
        <f aca="false">BF34*(G$67+D$70)</f>
        <v>0</v>
      </c>
      <c r="BN34" s="1932" t="n">
        <f aca="false">BG34*D$66</f>
        <v>0</v>
      </c>
      <c r="BO34" s="1932" t="n">
        <f aca="false">V34/2000*D$71</f>
        <v>0</v>
      </c>
      <c r="BP34" s="1932" t="n">
        <f aca="false">IF(C34="Y",(N$74+N$73+N$72)/DF$36*DF34,0)</f>
        <v>0</v>
      </c>
      <c r="BQ34" s="1932" t="n">
        <f aca="false">IF(SUM(BF$36:BG$36)=0,0,(SUM(N$78:O$81)+SUM(N$83:O$88)+SUM(N$90:O$96)+W$95)/SUM(BF$36:BG$36)*(BF34+BG34))</f>
        <v>0</v>
      </c>
      <c r="BR34" s="1933"/>
      <c r="BS34" s="1934" t="n">
        <f aca="false">IF(SUM(BF$36:BG$36)=0,0,(BQ$36-W$58-N$64-W82-(L$79*0.15))/SUM(BF$36:BG$36)*BG34+BN34)</f>
        <v>0</v>
      </c>
      <c r="BT34" s="1932" t="n">
        <f aca="false">(AH34*Pricing!F$3+AI34*Pricing!G$3+AJ34*Pricing!H$3+AK34*Pricing!I$3+AL34*Pricing!J$3+AM34*Pricing!K$3)*IF(T$39="N",(1+V$39),1)</f>
        <v>0</v>
      </c>
      <c r="BU34" s="1932" t="n">
        <f aca="false">IF(BG34=0,0,(BS34+BT34)/BG34)</f>
        <v>0</v>
      </c>
      <c r="BV34" s="1932" t="n">
        <f aca="false">SUM(BJ34:BQ34)-BS34-BT34</f>
        <v>0</v>
      </c>
      <c r="BW34" s="1933" t="n">
        <f aca="false">IF(BE34=0,0,BV34/BF34)</f>
        <v>0</v>
      </c>
      <c r="DB34" s="1935" t="n">
        <f aca="false">IF(W34=0,0,D$40/SUM(W$10:W$35)*W34)</f>
        <v>0</v>
      </c>
      <c r="DC34" s="1932" t="n">
        <f aca="false">E34*N34/12*(D$40-7980)/H$66</f>
        <v>0</v>
      </c>
      <c r="DD34" s="179" t="n">
        <f aca="false">ROUND(N34*O34/3088*E34,0)</f>
        <v>0</v>
      </c>
      <c r="DE34" s="908" t="n">
        <f aca="false">ROUND(V34,0)</f>
        <v>0</v>
      </c>
      <c r="DF34" s="356" t="n">
        <f aca="false">ROUND(IF(C34="Y",(G34*0.25*E34+G34*G34/144*0.5*E34)/27*1.3,0),0)</f>
        <v>0</v>
      </c>
      <c r="DG34" s="908" t="n">
        <f aca="false">ROUND(E34*G34/12,0)</f>
        <v>0</v>
      </c>
      <c r="DH34" s="908" t="n">
        <f aca="false">IF(C34="y",ROUNDUP(E34*G34/12,0),0)</f>
        <v>0</v>
      </c>
      <c r="DI34" s="908" t="n">
        <f aca="false">IF(C34="Y",IF(E34&gt;0,E34,0),0)</f>
        <v>0</v>
      </c>
      <c r="DJ34" s="1936" t="n">
        <f aca="false">ROUND(E34*N34/12,0)</f>
        <v>0</v>
      </c>
    </row>
    <row r="35" s="1414" customFormat="true" ht="15" hidden="false" customHeight="false" outlineLevel="0" collapsed="false">
      <c r="A35" s="507"/>
      <c r="B35" s="1312"/>
      <c r="C35" s="1938"/>
      <c r="D35" s="1920"/>
      <c r="E35" s="2059"/>
      <c r="F35" s="1234"/>
      <c r="G35" s="1235"/>
      <c r="H35" s="1236"/>
      <c r="I35" s="1234"/>
      <c r="J35" s="1235"/>
      <c r="K35" s="1236"/>
      <c r="L35" s="1234"/>
      <c r="M35" s="1234"/>
      <c r="N35" s="1922"/>
      <c r="O35" s="1234"/>
      <c r="P35" s="1234"/>
      <c r="Q35" s="1234"/>
      <c r="R35" s="1923"/>
      <c r="S35" s="1924"/>
      <c r="T35" s="78"/>
      <c r="U35" s="900"/>
      <c r="V35" s="1925" t="n">
        <f aca="false">((E35*I35/16*I35/16*10.680159*J35)*IF(H35=0,0,(G35/H35))+(G35/12*L35/16*L35/16*10.680159*M35)*IF(K35=0,0,(E35*12/K35))+(E35*IF(P35=0,0,N35/P35)*Q35/16*Q35/16*10.680159*R35)+(IF(P35=0,0,E35/P35*N35)*Q35/16*Q35/16*10.680159*R35)+((T35*U35*S35*0.03*0.2836*G35)/12+4)*IF(H35=0,0,(G35/H35))*I35/16*I35/16*10.680159)*(1+J$56)</f>
        <v>0</v>
      </c>
      <c r="W35" s="1926" t="n">
        <f aca="false">((E35*F35/12*G35/324)+ROUNDUP(S35*T35*U35*G35/46656,0)+(N35*O35*E35/3888))*(1+J$51)</f>
        <v>0</v>
      </c>
      <c r="AH35" s="1939" t="n">
        <f aca="false">IF($R$8=1,$N35*$O35*$E35/3888*(1+$J$51),0)</f>
        <v>0</v>
      </c>
      <c r="AI35" s="1940" t="n">
        <f aca="false">IF($R$8=2,$N35*$O35*$E35/3888*(1+$J$51),0)</f>
        <v>0</v>
      </c>
      <c r="AJ35" s="1940" t="n">
        <f aca="false">IF($R$8=3,$N35*$O35*$E35/3888*(1+$J$51),0)</f>
        <v>0</v>
      </c>
      <c r="AK35" s="1940" t="n">
        <f aca="false">IF($R$8=4,$N35*$O35*$E35/3888*(1+$J$51),0)</f>
        <v>0</v>
      </c>
      <c r="AL35" s="1940" t="n">
        <f aca="false">IF($R$8=5,$N35*$O35*$E35/3888*(1+$J$51),0)</f>
        <v>0</v>
      </c>
      <c r="AM35" s="1940" t="n">
        <f aca="false">IF($R$8=6,$N35*$O35*$E35/3888*(1+$J$51),0)</f>
        <v>0</v>
      </c>
      <c r="AN35" s="1940" t="n">
        <f aca="false">IF($R$8=7,$N35*$O35*$E35/3888*(1+$J$51),0)</f>
        <v>0</v>
      </c>
      <c r="AO35" s="1940" t="n">
        <f aca="false">IF($R$8=8,$N35*$O35*$E35/3888*(1+$J$51),0)</f>
        <v>0</v>
      </c>
      <c r="AP35" s="1940" t="n">
        <f aca="false">IF($R$8=9,$N35*$O35*$E35/3888*(1+$J$51),0)</f>
        <v>0</v>
      </c>
      <c r="AQ35" s="1940" t="n">
        <f aca="false">IF($R$8=10,$N35*$O35*$E35/3888*(1+$J$51),0)</f>
        <v>0</v>
      </c>
      <c r="AR35" s="1939" t="n">
        <f aca="false">IF($D35=1,$W35-SUM($AH35:$AQ35),0)</f>
        <v>0</v>
      </c>
      <c r="AS35" s="1940" t="n">
        <f aca="false">IF($D35=2,W35-SUM($AH35:$AQ35),0)</f>
        <v>0</v>
      </c>
      <c r="AT35" s="1940" t="n">
        <f aca="false">IF($D35=3,W35-SUM($AH35:$AQ35),0)</f>
        <v>0</v>
      </c>
      <c r="AU35" s="1940" t="n">
        <f aca="false">IF($D35=4,W35-SUM($AH35:$AQ35),0)</f>
        <v>0</v>
      </c>
      <c r="AV35" s="1940" t="n">
        <f aca="false">IF($D35=5,W35-SUM($AH35:$AQ35),0)</f>
        <v>0</v>
      </c>
      <c r="AW35" s="1940" t="n">
        <f aca="false">IF($D35=6,W35-SUM($AH35:$AQ35),0)</f>
        <v>0</v>
      </c>
      <c r="AX35" s="1940" t="n">
        <f aca="false">IF($D35=7,W35-SUM($AH35:$AQ35),0)</f>
        <v>0</v>
      </c>
      <c r="AY35" s="1940" t="n">
        <f aca="false">IF($D35=8,W35-SUM($AH35:$AQ35),0)</f>
        <v>0</v>
      </c>
      <c r="AZ35" s="1940" t="n">
        <f aca="false">IF($D35=9,W35-SUM($AH35:$AQ35),0)</f>
        <v>0</v>
      </c>
      <c r="BA35" s="1941" t="n">
        <f aca="false">IF($D35=10,W35-SUM($AH35:$AQ35),0)</f>
        <v>0</v>
      </c>
      <c r="BB35" s="1928" t="n">
        <f aca="false">SUM(AH35:AM35)</f>
        <v>0</v>
      </c>
      <c r="BC35" s="1928" t="n">
        <f aca="false">SUM(AR35:AW35)</f>
        <v>0</v>
      </c>
      <c r="BD35" s="1928" t="n">
        <f aca="false">V35</f>
        <v>0</v>
      </c>
      <c r="BE35" s="1928" t="n">
        <f aca="false">E35*G35/12*2+(U35*U35*G35/1728*S35)</f>
        <v>0</v>
      </c>
      <c r="BF35" s="1928" t="n">
        <f aca="false">BE35/2</f>
        <v>0</v>
      </c>
      <c r="BG35" s="1928" t="n">
        <f aca="false">N35*E35/12</f>
        <v>0</v>
      </c>
      <c r="BH35" s="1928" t="n">
        <f aca="false">ROUND(IF(C35="Y",BF35*3/27,0),0)</f>
        <v>0</v>
      </c>
      <c r="BJ35" s="1942" t="n">
        <f aca="false">V35*F$56*IF(T$39="N",(1+V$39),1)</f>
        <v>0</v>
      </c>
      <c r="BK35" s="1943" t="n">
        <f aca="false">(AR35*Pricing!F$3+AS35*Pricing!G$3+AT35*Pricing!H$3+AU35*Pricing!I$3+AV35*Pricing!J$3+AW35*Pricing!K$3+AH35*Pricing!F$3+AI35*Pricing!G$3+AJ35*Pricing!H$3+AK35*Pricing!I$3+AL35*Pricing!J$3+AM35*Pricing!K$3)*IF(T$39="N",(1+V$39),1)</f>
        <v>0</v>
      </c>
      <c r="BL35" s="1943" t="n">
        <f aca="false">IF(C35="Y",(N$59+N$60)/DF$36*DF35,0)</f>
        <v>0</v>
      </c>
      <c r="BM35" s="1943" t="n">
        <f aca="false">BF35*(G$67+D$70)</f>
        <v>0</v>
      </c>
      <c r="BN35" s="1943" t="n">
        <f aca="false">BG35*D$66</f>
        <v>0</v>
      </c>
      <c r="BO35" s="1943" t="n">
        <f aca="false">V35/2000*D$71</f>
        <v>0</v>
      </c>
      <c r="BP35" s="1943" t="n">
        <f aca="false">IF(C35="Y",(N$74+N$73+N$72)/DF$36*DF35,0)</f>
        <v>0</v>
      </c>
      <c r="BQ35" s="1943" t="n">
        <f aca="false">IF(SUM(BF$36:BG$36)=0,0,(SUM(N$78:O$81)+SUM(N$83:O$88)+SUM(N$90:O$96)+W$95)/SUM(BF$36:BG$36)*(BF35+BG35))</f>
        <v>0</v>
      </c>
      <c r="BR35" s="1944"/>
      <c r="BS35" s="1945" t="n">
        <f aca="false">IF(SUM(BF$36:BG$36)=0,0,(BQ$36-W$58-N$64-W83-(L$79*0.15))/SUM(BF$36:BG$36)*BG35+BN35)</f>
        <v>0</v>
      </c>
      <c r="BT35" s="1943" t="n">
        <f aca="false">(AH35*Pricing!F$3+AI35*Pricing!G$3+AJ35*Pricing!H$3+AK35*Pricing!I$3+AL35*Pricing!J$3+AM35*Pricing!K$3)*IF(T$39="N",(1+V$39),1)</f>
        <v>0</v>
      </c>
      <c r="BU35" s="1943" t="n">
        <f aca="false">IF(BG35=0,0,(BS35+BT35)/BG35)</f>
        <v>0</v>
      </c>
      <c r="BV35" s="1943" t="n">
        <f aca="false">SUM(BJ35:BQ35)-BS35-BT35</f>
        <v>0</v>
      </c>
      <c r="BW35" s="1944" t="n">
        <f aca="false">IF(BE35=0,0,BV35/BF35)</f>
        <v>0</v>
      </c>
      <c r="DB35" s="1935" t="n">
        <f aca="false">IF(W35=0,0,D$40/SUM(W$10:W$35)*W35)</f>
        <v>0</v>
      </c>
      <c r="DC35" s="1932" t="n">
        <f aca="false">E35*N35/12*(D$40-7980)/H$66</f>
        <v>0</v>
      </c>
      <c r="DD35" s="179" t="n">
        <f aca="false">ROUND(N35*O35/3088*E35,0)</f>
        <v>0</v>
      </c>
      <c r="DE35" s="908" t="n">
        <f aca="false">ROUND(V35,0)</f>
        <v>0</v>
      </c>
      <c r="DF35" s="356" t="n">
        <f aca="false">ROUND(IF(C35="Y",(G35*0.25*E35+G35*G35/144*0.5*E35)/27*1.3,0),0)</f>
        <v>0</v>
      </c>
      <c r="DG35" s="908" t="n">
        <f aca="false">ROUND(E35*G35/12,0)</f>
        <v>0</v>
      </c>
      <c r="DH35" s="908" t="n">
        <f aca="false">IF(C35="y",ROUNDUP(E35*G35/12,0),0)</f>
        <v>0</v>
      </c>
      <c r="DI35" s="908" t="n">
        <f aca="false">IF(C35="Y",IF(E35&gt;0,E35,0),0)</f>
        <v>0</v>
      </c>
      <c r="DJ35" s="1936" t="n">
        <f aca="false">ROUND(E35*N35/12,0)</f>
        <v>0</v>
      </c>
    </row>
    <row r="36" s="1414" customFormat="true" ht="15" hidden="false" customHeight="false" outlineLevel="0" collapsed="false">
      <c r="A36" s="406"/>
      <c r="B36" s="614"/>
      <c r="C36" s="614"/>
      <c r="D36" s="1946"/>
      <c r="E36" s="1246" t="n">
        <f aca="false">SUM(E10:E35)</f>
        <v>652</v>
      </c>
      <c r="F36" s="1946" t="s">
        <v>1398</v>
      </c>
      <c r="G36" s="1202"/>
      <c r="H36" s="1202"/>
      <c r="I36" s="614"/>
      <c r="J36" s="614"/>
      <c r="K36" s="614"/>
      <c r="L36" s="614"/>
      <c r="M36" s="614"/>
      <c r="N36" s="614"/>
      <c r="O36" s="1461" t="s">
        <v>1399</v>
      </c>
      <c r="P36" s="1462"/>
      <c r="Q36" s="1462"/>
      <c r="R36" s="1462"/>
      <c r="S36" s="614"/>
      <c r="T36" s="614"/>
      <c r="U36" s="1249" t="n">
        <f aca="false">SUM(V10:V35)</f>
        <v>33727.8322609895</v>
      </c>
      <c r="V36" s="1947"/>
      <c r="W36" s="1250" t="n">
        <f aca="false">ROUND(SUM(W10:W35),0)</f>
        <v>285</v>
      </c>
      <c r="AH36" s="1928" t="n">
        <f aca="false">SUM(AH10:AH35)</f>
        <v>0</v>
      </c>
      <c r="AI36" s="1928" t="n">
        <f aca="false">SUM(AI10:AI35)</f>
        <v>0</v>
      </c>
      <c r="AJ36" s="1928" t="n">
        <f aca="false">SUM(AJ10:AJ35)</f>
        <v>149.316049382716</v>
      </c>
      <c r="AK36" s="1928" t="n">
        <f aca="false">SUM(AK10:AK35)</f>
        <v>0</v>
      </c>
      <c r="AL36" s="1928" t="n">
        <f aca="false">SUM(AL10:AL35)</f>
        <v>0</v>
      </c>
      <c r="AM36" s="1928" t="n">
        <f aca="false">SUM(AM10:AM35)</f>
        <v>0</v>
      </c>
      <c r="AN36" s="1928" t="n">
        <f aca="false">SUM(AN10:AN35)</f>
        <v>0</v>
      </c>
      <c r="AO36" s="1928" t="n">
        <f aca="false">SUM(AO10:AO35)</f>
        <v>0</v>
      </c>
      <c r="AP36" s="1928" t="n">
        <f aca="false">SUM(AP10:AP35)</f>
        <v>0</v>
      </c>
      <c r="AQ36" s="1928" t="n">
        <f aca="false">SUM(AQ10:AQ35)</f>
        <v>0</v>
      </c>
      <c r="AR36" s="1928" t="n">
        <f aca="false">SUM(AR10:AR35)</f>
        <v>0</v>
      </c>
      <c r="AS36" s="1928" t="n">
        <f aca="false">SUM(AS10:AS35)</f>
        <v>0</v>
      </c>
      <c r="AT36" s="1928" t="n">
        <f aca="false">SUM(AT10:AT35)</f>
        <v>0</v>
      </c>
      <c r="AU36" s="1928" t="n">
        <f aca="false">SUM(AU10:AU35)</f>
        <v>0</v>
      </c>
      <c r="AV36" s="1928" t="n">
        <f aca="false">SUM(AV10:AV35)</f>
        <v>135.544555555556</v>
      </c>
      <c r="AW36" s="1928" t="n">
        <f aca="false">SUM(AW10:AW35)</f>
        <v>0</v>
      </c>
      <c r="AX36" s="1928" t="n">
        <f aca="false">SUM(AX10:AX35)</f>
        <v>0</v>
      </c>
      <c r="AY36" s="1928" t="n">
        <f aca="false">SUM(AY10:AY35)</f>
        <v>0</v>
      </c>
      <c r="AZ36" s="1928" t="n">
        <f aca="false">SUM(AZ10:AZ35)</f>
        <v>0</v>
      </c>
      <c r="BA36" s="1928" t="n">
        <f aca="false">SUM(BA10:BA35)</f>
        <v>0</v>
      </c>
      <c r="BB36" s="1928" t="n">
        <f aca="false">SUM(BB10:BB35)</f>
        <v>149.316049382716</v>
      </c>
      <c r="BC36" s="1928" t="n">
        <f aca="false">SUM(BC10:BC35)</f>
        <v>135.544555555556</v>
      </c>
      <c r="BD36" s="1928" t="n">
        <f aca="false">SUM(BD10:BD35)</f>
        <v>33727.8322609895</v>
      </c>
      <c r="BE36" s="1928" t="n">
        <f aca="false">SUM(BE10:BE35)</f>
        <v>6905.1</v>
      </c>
      <c r="BF36" s="1928" t="n">
        <f aca="false">SUM(BF10:BF35)</f>
        <v>3452.55</v>
      </c>
      <c r="BG36" s="1928" t="n">
        <f aca="false">SUM(BG10:BG35)</f>
        <v>3803.33333333333</v>
      </c>
      <c r="BH36" s="1928" t="n">
        <f aca="false">SUM(BH10:BH35)</f>
        <v>384</v>
      </c>
      <c r="BI36" s="1414" t="n">
        <f aca="false">SUM(BI10:BI35)</f>
        <v>0</v>
      </c>
      <c r="BJ36" s="1932" t="n">
        <f aca="false">SUM(BJ10:BJ35)</f>
        <v>20080.7081323866</v>
      </c>
      <c r="BK36" s="1932" t="n">
        <f aca="false">SUM(BK10:BK35)</f>
        <v>43904.2595853395</v>
      </c>
      <c r="BL36" s="1932" t="n">
        <f aca="false">SUM(BL10:BL35)</f>
        <v>7680</v>
      </c>
      <c r="BM36" s="1932" t="n">
        <f aca="false">SUM(BM10:BM35)</f>
        <v>28483.5375</v>
      </c>
      <c r="BN36" s="1932" t="n">
        <f aca="false">SUM(BN10:BN35)</f>
        <v>30426.6666666667</v>
      </c>
      <c r="BO36" s="1932" t="n">
        <f aca="false">SUM(BO10:BO35)</f>
        <v>7588.76225872263</v>
      </c>
      <c r="BP36" s="1932" t="n">
        <f aca="false">SUM(BP10:BP35)</f>
        <v>16524</v>
      </c>
      <c r="BQ36" s="1932" t="n">
        <f aca="false">SUM(BQ10:BQ35)</f>
        <v>45789.2220025087</v>
      </c>
      <c r="BR36" s="1932" t="n">
        <f aca="false">SUM(BJ36:BQ36)</f>
        <v>200477.156145624</v>
      </c>
      <c r="BS36" s="1932" t="n">
        <f aca="false">SUM(BS10:BS35)</f>
        <v>49287.880775592</v>
      </c>
      <c r="BT36" s="1932" t="n">
        <f aca="false">SUM(BT10:BT35)</f>
        <v>22628.8472839506</v>
      </c>
      <c r="BU36" s="1932"/>
      <c r="BV36" s="1932" t="n">
        <f aca="false">SUM(BV10:BV35)</f>
        <v>128560.428086081</v>
      </c>
      <c r="BW36" s="1932" t="n">
        <f aca="false">SUM(BS36:BV36)</f>
        <v>200477.156145624</v>
      </c>
      <c r="DB36" s="1948" t="n">
        <f aca="false">SUM(DB10:DB35)</f>
        <v>230548.729567468</v>
      </c>
      <c r="DC36" s="1948" t="n">
        <f aca="false">SUM(DC10:DC35)</f>
        <v>222568.729567468</v>
      </c>
      <c r="DD36" s="1254" t="n">
        <f aca="false">SUM(DD10:DD35)</f>
        <v>181</v>
      </c>
      <c r="DE36" s="1254" t="n">
        <f aca="false">SUM(DE10:DE35)</f>
        <v>33727</v>
      </c>
      <c r="DF36" s="1254" t="n">
        <f aca="false">SUM(DF10:DF35)</f>
        <v>979</v>
      </c>
      <c r="DG36" s="1254" t="n">
        <f aca="false">SUM(DG10:DG35)</f>
        <v>3453</v>
      </c>
      <c r="DH36" s="1949" t="n">
        <f aca="false">SUM(DH10:DH35)</f>
        <v>3459</v>
      </c>
      <c r="DI36" s="908" t="n">
        <f aca="false">IF(C36="Y",IF(D36&gt;0,D36,0),0)</f>
        <v>0</v>
      </c>
      <c r="DJ36" s="1254" t="n">
        <f aca="false">SUM(DJ10:DJ35)</f>
        <v>3808</v>
      </c>
    </row>
    <row r="37" s="1414" customFormat="true" ht="15" hidden="false" customHeight="false" outlineLevel="0" collapsed="false">
      <c r="A37" s="685"/>
      <c r="B37" s="726"/>
      <c r="C37" s="726"/>
      <c r="D37" s="726"/>
      <c r="E37" s="726"/>
      <c r="F37" s="726"/>
      <c r="G37" s="726"/>
      <c r="H37" s="726"/>
      <c r="I37" s="726"/>
      <c r="J37" s="726"/>
      <c r="K37" s="726"/>
      <c r="L37" s="726"/>
      <c r="M37" s="726"/>
      <c r="N37" s="726"/>
      <c r="O37" s="1950" t="s">
        <v>1400</v>
      </c>
      <c r="P37" s="1951"/>
      <c r="Q37" s="1951"/>
      <c r="R37" s="1951"/>
      <c r="S37" s="726"/>
      <c r="T37" s="726"/>
      <c r="U37" s="1952" t="n">
        <f aca="false">ROUNDUP(U36/2000,0)</f>
        <v>17</v>
      </c>
      <c r="V37" s="1258"/>
      <c r="W37" s="1258"/>
      <c r="BJ37" s="1948" t="n">
        <f aca="false">N56+N57+N58</f>
        <v>20080.7081323866</v>
      </c>
      <c r="BK37" s="1948" t="n">
        <f aca="false">SUM(N51:O55)</f>
        <v>43904.2595853395</v>
      </c>
      <c r="BL37" s="1948" t="n">
        <f aca="false">N59+N60</f>
        <v>7680</v>
      </c>
      <c r="BM37" s="1948" t="n">
        <f aca="false">N67+N68+N69+N70</f>
        <v>28483.5375</v>
      </c>
      <c r="BN37" s="1948" t="n">
        <f aca="false">N66</f>
        <v>30426.6666666667</v>
      </c>
      <c r="BO37" s="1948" t="n">
        <f aca="false">N71</f>
        <v>7588.76225872263</v>
      </c>
      <c r="BP37" s="1948" t="n">
        <f aca="false">N74+N73+N72</f>
        <v>16524</v>
      </c>
      <c r="BQ37" s="1948" t="n">
        <f aca="false">N83+N84+N85+N86+N87+N88+N90+N91+N92+N93+N94+N95+N96+W95+L79+N81</f>
        <v>45789.2220025087</v>
      </c>
      <c r="BR37" s="1948" t="n">
        <f aca="false">S40</f>
        <v>200477.156145624</v>
      </c>
      <c r="DB37" s="1948" t="n">
        <f aca="false">D40-DB36</f>
        <v>0</v>
      </c>
      <c r="DC37" s="1948" t="n">
        <f aca="false">DC36-D40</f>
        <v>-7979.99999999988</v>
      </c>
      <c r="DD37" s="1414" t="n">
        <f aca="false">SUM(DD10:DD36)</f>
        <v>362</v>
      </c>
      <c r="DE37" s="1414" t="n">
        <f aca="false">SUM(DE10:DE36)</f>
        <v>67454</v>
      </c>
      <c r="DF37" s="1414" t="n">
        <f aca="false">SUM(DF10:DF36)</f>
        <v>1958</v>
      </c>
      <c r="DG37" s="1414" t="n">
        <f aca="false">SUM(DG10:DG36)</f>
        <v>6906</v>
      </c>
      <c r="DH37" s="1414" t="n">
        <f aca="false">SUM(DH10:DH36)</f>
        <v>6918</v>
      </c>
      <c r="DI37" s="1247" t="n">
        <f aca="false">SUM(DI10:DI36)</f>
        <v>652</v>
      </c>
      <c r="DJ37" s="1414" t="n">
        <f aca="false">SUM(DJ10:DJ36)</f>
        <v>7616</v>
      </c>
    </row>
    <row r="38" s="1414" customFormat="true" ht="15" hidden="false" customHeight="false" outlineLevel="0" collapsed="false">
      <c r="A38" s="949"/>
      <c r="B38" s="950"/>
      <c r="C38" s="951" t="s">
        <v>1261</v>
      </c>
      <c r="D38" s="952"/>
      <c r="E38" s="952"/>
      <c r="F38" s="950"/>
      <c r="G38" s="950"/>
      <c r="H38" s="950"/>
      <c r="I38" s="950"/>
      <c r="J38" s="950"/>
      <c r="K38" s="954"/>
      <c r="L38" s="950"/>
      <c r="M38" s="950"/>
      <c r="N38" s="950"/>
      <c r="O38" s="1165"/>
      <c r="P38" s="950"/>
      <c r="Q38" s="950"/>
      <c r="R38" s="950"/>
      <c r="S38" s="950"/>
      <c r="T38" s="950"/>
      <c r="U38" s="950"/>
      <c r="V38" s="950"/>
      <c r="W38" s="957"/>
      <c r="BJ38" s="1948" t="n">
        <f aca="false">BJ36-BJ37</f>
        <v>0</v>
      </c>
      <c r="BK38" s="1948" t="n">
        <f aca="false">BK36-BK37</f>
        <v>0</v>
      </c>
      <c r="BL38" s="1948" t="n">
        <f aca="false">BL36-BL37</f>
        <v>0</v>
      </c>
      <c r="BM38" s="1948" t="n">
        <f aca="false">BM36-BM37</f>
        <v>0</v>
      </c>
      <c r="BN38" s="1948" t="n">
        <f aca="false">BN36-BN37</f>
        <v>0</v>
      </c>
      <c r="BO38" s="1948" t="n">
        <f aca="false">BO36-BO37</f>
        <v>0</v>
      </c>
      <c r="BP38" s="1948" t="n">
        <f aca="false">BP36-BP37</f>
        <v>0</v>
      </c>
      <c r="BQ38" s="1948" t="n">
        <f aca="false">BQ36-BQ37</f>
        <v>0</v>
      </c>
      <c r="BR38" s="1948" t="n">
        <f aca="false">BR36-BR37</f>
        <v>0</v>
      </c>
    </row>
    <row r="39" s="1414" customFormat="true" ht="28.55" hidden="false" customHeight="false" outlineLevel="0" collapsed="false">
      <c r="A39" s="958" t="s">
        <v>1262</v>
      </c>
      <c r="B39" s="958"/>
      <c r="C39" s="958"/>
      <c r="D39" s="1642" t="s">
        <v>982</v>
      </c>
      <c r="E39" s="1644"/>
      <c r="F39" s="1953" t="s">
        <v>1263</v>
      </c>
      <c r="G39" s="1643"/>
      <c r="H39" s="1644"/>
      <c r="I39" s="1167" t="s">
        <v>1264</v>
      </c>
      <c r="J39" s="1168"/>
      <c r="K39" s="1169"/>
      <c r="L39" s="1170" t="s">
        <v>1265</v>
      </c>
      <c r="M39" s="1171"/>
      <c r="N39" s="1171"/>
      <c r="O39" s="1172"/>
      <c r="P39" s="961"/>
      <c r="Q39" s="836" t="s">
        <v>1266</v>
      </c>
      <c r="R39" s="1068"/>
      <c r="S39" s="1068" t="s">
        <v>1267</v>
      </c>
      <c r="T39" s="1954" t="str">
        <f aca="false">Summary!P62</f>
        <v>N</v>
      </c>
      <c r="U39" s="1419" t="s">
        <v>1268</v>
      </c>
      <c r="V39" s="1955" t="n">
        <f aca="false">Summary!R62</f>
        <v>0.0825</v>
      </c>
      <c r="W39" s="964"/>
      <c r="DD39" s="1414" t="s">
        <v>1401</v>
      </c>
      <c r="DF39" s="1414" t="s">
        <v>1402</v>
      </c>
    </row>
    <row r="40" s="1414" customFormat="true" ht="15" hidden="false" customHeight="false" outlineLevel="0" collapsed="false">
      <c r="A40" s="965" t="s">
        <v>1269</v>
      </c>
      <c r="B40" s="966" t="n">
        <f aca="false">IF(BF36=0,0,D40/BF36)</f>
        <v>66.7763622735276</v>
      </c>
      <c r="C40" s="966"/>
      <c r="D40" s="967" t="n">
        <f aca="false">(S40-N96)*(1+L40)</f>
        <v>230548.729567468</v>
      </c>
      <c r="E40" s="967"/>
      <c r="F40" s="1956" t="n">
        <f aca="false">IF(D40=0,0,G40/D40)</f>
        <v>0.130434782608696</v>
      </c>
      <c r="G40" s="1038" t="n">
        <f aca="false">(D40-S40)</f>
        <v>30071.5734218436</v>
      </c>
      <c r="H40" s="1038"/>
      <c r="I40" s="1957" t="n">
        <f aca="false">IF(BF36=0,0,S40/BF36)</f>
        <v>58.0664019769805</v>
      </c>
      <c r="J40" s="1957"/>
      <c r="K40" s="1958"/>
      <c r="L40" s="1959" t="n">
        <v>0.15</v>
      </c>
      <c r="M40" s="1960"/>
      <c r="N40" s="1960"/>
      <c r="O40" s="1961"/>
      <c r="P40" s="1265"/>
      <c r="Q40" s="970" t="s">
        <v>980</v>
      </c>
      <c r="R40" s="16"/>
      <c r="S40" s="971" t="n">
        <f aca="false">SUM(N51:O63)+SUM(N66:O75)+SUM(N78:O80)+SUM(N83:O88)+SUM(N90:O96)+W95+N64+SUM(K66:L75)+N81</f>
        <v>200477.156145624</v>
      </c>
      <c r="T40" s="971"/>
      <c r="U40" s="1659"/>
      <c r="V40" s="843"/>
      <c r="W40" s="964"/>
      <c r="DB40" s="175"/>
      <c r="DC40" s="1268" t="s">
        <v>1403</v>
      </c>
      <c r="DD40" s="1269" t="n">
        <v>458</v>
      </c>
      <c r="DE40" s="1270"/>
    </row>
    <row r="41" s="1414" customFormat="true" ht="15" hidden="false" customHeight="false" outlineLevel="0" collapsed="false">
      <c r="A41" s="965"/>
      <c r="B41" s="1649"/>
      <c r="C41" s="1962" t="str">
        <f aca="false">IF(ROUND(D41,0)=0,"BINGO!!",IF(ROUND(D41,0)&lt;0,"To Low","T0 High"))</f>
        <v>T0 High</v>
      </c>
      <c r="D41" s="1963" t="n">
        <f aca="false">D40-D38</f>
        <v>230548.729567468</v>
      </c>
      <c r="E41" s="1963"/>
      <c r="F41" s="1964"/>
      <c r="G41" s="1965"/>
      <c r="H41" s="1965"/>
      <c r="I41" s="1966"/>
      <c r="J41" s="1966"/>
      <c r="K41" s="1966"/>
      <c r="L41" s="1967"/>
      <c r="M41" s="1967"/>
      <c r="N41" s="1967"/>
      <c r="O41" s="1968"/>
      <c r="P41" s="1265"/>
      <c r="Q41" s="1969"/>
      <c r="R41" s="1058"/>
      <c r="S41" s="1970"/>
      <c r="T41" s="1970"/>
      <c r="U41" s="1970"/>
      <c r="V41" s="1971"/>
      <c r="W41" s="964"/>
      <c r="DC41" s="1004" t="s">
        <v>1406</v>
      </c>
      <c r="DD41" s="1278" t="n">
        <v>-5</v>
      </c>
      <c r="DE41" s="1279"/>
      <c r="DF41" s="1280" t="n">
        <f aca="false">DD40+DD41</f>
        <v>453</v>
      </c>
    </row>
    <row r="42" s="1414" customFormat="true" ht="15" hidden="false" customHeight="false" outlineLevel="0" collapsed="false">
      <c r="A42" s="1972" t="s">
        <v>1693</v>
      </c>
      <c r="B42" s="1973" t="n">
        <f aca="false">IF(F42=0,B40,IF(BF36=0,0,BV36/BF36)*(1+L40))</f>
        <v>42.8218251144788</v>
      </c>
      <c r="C42" s="1973"/>
      <c r="D42" s="1974" t="s">
        <v>1694</v>
      </c>
      <c r="E42" s="1974"/>
      <c r="F42" s="1975" t="n">
        <f aca="false">IF(BG36=0,0,(BT36+BS36)/BG36)*(1+L40)</f>
        <v>21.7451982300984</v>
      </c>
      <c r="G42" s="1975"/>
      <c r="H42" s="1976" t="s">
        <v>1270</v>
      </c>
      <c r="I42" s="1977"/>
      <c r="J42" s="1978"/>
      <c r="K42" s="1979"/>
      <c r="L42" s="972"/>
      <c r="M42" s="1980" t="n">
        <f aca="false">IF(J42&gt;0,(J42-D40)/(1+L40),0)</f>
        <v>0</v>
      </c>
      <c r="N42" s="1981"/>
      <c r="O42" s="984"/>
      <c r="P42" s="973"/>
      <c r="Q42" s="973"/>
      <c r="R42" s="973"/>
      <c r="S42" s="983" t="n">
        <f aca="false">AE1</f>
        <v>0</v>
      </c>
      <c r="T42" s="983"/>
      <c r="U42" s="1982"/>
      <c r="V42" s="973"/>
      <c r="W42" s="984"/>
      <c r="DC42" s="1004" t="s">
        <v>1409</v>
      </c>
      <c r="DD42" s="1278" t="n">
        <v>460</v>
      </c>
      <c r="DE42" s="1279"/>
      <c r="DF42" s="1284" t="n">
        <f aca="false">DD42-DD40</f>
        <v>2</v>
      </c>
    </row>
    <row r="43" s="1414" customFormat="true" ht="15" hidden="false" customHeight="false" outlineLevel="0" collapsed="false">
      <c r="A43" s="654"/>
      <c r="B43" s="654"/>
      <c r="C43" s="654"/>
      <c r="D43" s="654"/>
      <c r="E43" s="654"/>
      <c r="F43" s="654"/>
      <c r="G43" s="654"/>
      <c r="H43" s="654"/>
      <c r="I43" s="654" t="s">
        <v>1061</v>
      </c>
      <c r="J43" s="654" t="s">
        <v>1083</v>
      </c>
      <c r="K43" s="654"/>
      <c r="L43" s="654"/>
      <c r="M43" s="654"/>
      <c r="N43" s="654"/>
      <c r="O43" s="654"/>
      <c r="P43" s="654"/>
      <c r="Q43" s="654"/>
      <c r="R43" s="654" t="s">
        <v>1695</v>
      </c>
      <c r="S43" s="654"/>
      <c r="T43" s="664" t="n">
        <f aca="false">IF(SUM(W77:W82)=0,0,SUM(W77:W82)/H67)</f>
        <v>0.83179334786255</v>
      </c>
      <c r="U43" s="654" t="s">
        <v>1696</v>
      </c>
      <c r="V43" s="654"/>
      <c r="W43" s="654"/>
      <c r="DB43" s="246"/>
      <c r="DC43" s="246"/>
      <c r="DD43" s="1288"/>
      <c r="DE43" s="749"/>
      <c r="DF43" s="1288"/>
    </row>
    <row r="44" s="1414" customFormat="true" ht="15" hidden="false" customHeight="false" outlineLevel="0" collapsed="false">
      <c r="A44" s="16" t="s">
        <v>1697</v>
      </c>
      <c r="B44" s="1983"/>
      <c r="C44" s="1983"/>
      <c r="D44" s="1984"/>
      <c r="E44" s="1985"/>
      <c r="F44" s="1986"/>
      <c r="G44" s="1987"/>
      <c r="H44" s="1984"/>
      <c r="I44" s="1706"/>
      <c r="J44" s="1271"/>
      <c r="K44" s="1271"/>
      <c r="L44" s="1271"/>
      <c r="M44" s="1271"/>
      <c r="N44" s="990" t="s">
        <v>721</v>
      </c>
      <c r="O44" s="990"/>
      <c r="P44" s="1274" t="s">
        <v>1272</v>
      </c>
      <c r="Q44" s="654"/>
      <c r="R44" s="783" t="s">
        <v>1698</v>
      </c>
      <c r="S44" s="1988"/>
      <c r="T44" s="1989" t="n">
        <f aca="false">IF(H67=0,0,(N64+W95-W77-W78-W79-W81-W82-W72-W71-W70-W69-W68-W67)/H67)</f>
        <v>5.65925877376022</v>
      </c>
      <c r="U44" s="1990" t="s">
        <v>1699</v>
      </c>
      <c r="V44" s="1991"/>
      <c r="W44" s="654"/>
    </row>
    <row r="45" s="1414" customFormat="true" ht="15" hidden="false" customHeight="false" outlineLevel="0" collapsed="false">
      <c r="A45" s="654"/>
      <c r="B45" s="1983"/>
      <c r="C45" s="1983"/>
      <c r="D45" s="1984"/>
      <c r="E45" s="1986"/>
      <c r="F45" s="1986"/>
      <c r="G45" s="1984"/>
      <c r="H45" s="1984"/>
      <c r="I45" s="1983"/>
      <c r="J45" s="1716"/>
      <c r="K45" s="1271"/>
      <c r="L45" s="1271"/>
      <c r="M45" s="1271"/>
      <c r="N45" s="1000" t="s">
        <v>1274</v>
      </c>
      <c r="O45" s="1001"/>
      <c r="P45" s="1002"/>
      <c r="Q45" s="1547"/>
      <c r="R45" s="1547" t="s">
        <v>1146</v>
      </c>
      <c r="S45" s="1547" t="s">
        <v>1268</v>
      </c>
      <c r="T45" s="1547" t="s">
        <v>1700</v>
      </c>
      <c r="U45" s="1547" t="s">
        <v>1701</v>
      </c>
      <c r="V45" s="1547"/>
      <c r="W45" s="1994"/>
    </row>
    <row r="46" s="1414" customFormat="true" ht="15" hidden="false" customHeight="false" outlineLevel="0" collapsed="false">
      <c r="A46" s="654"/>
      <c r="B46" s="1983"/>
      <c r="C46" s="1983"/>
      <c r="D46" s="1272"/>
      <c r="E46" s="1271"/>
      <c r="F46" s="1710"/>
      <c r="G46" s="1271"/>
      <c r="H46" s="1271"/>
      <c r="I46" s="1716"/>
      <c r="J46" s="1271"/>
      <c r="K46" s="1271"/>
      <c r="L46" s="1271"/>
      <c r="M46" s="1271"/>
      <c r="N46" s="1008" t="s">
        <v>1276</v>
      </c>
      <c r="O46" s="1009" t="n">
        <f aca="false">K56</f>
        <v>33727.8322609895</v>
      </c>
      <c r="P46" s="1285" t="n">
        <f aca="false">N56</f>
        <v>20080.7081323866</v>
      </c>
      <c r="Q46" s="654" t="s">
        <v>1702</v>
      </c>
      <c r="R46" s="656" t="n">
        <f aca="false">N67</f>
        <v>12083.925</v>
      </c>
      <c r="S46" s="1996" t="n">
        <v>17.5</v>
      </c>
      <c r="T46" s="664" t="n">
        <f aca="false">S46*1.3</f>
        <v>22.75</v>
      </c>
      <c r="U46" s="1997" t="n">
        <f aca="false">R46/T46</f>
        <v>531.161538461538</v>
      </c>
      <c r="V46" s="1998" t="n">
        <f aca="false">H67/U46</f>
        <v>6.5</v>
      </c>
      <c r="W46" s="1998"/>
    </row>
    <row r="47" s="1414" customFormat="true" ht="15" hidden="false" customHeight="false" outlineLevel="0" collapsed="false">
      <c r="A47" s="654"/>
      <c r="B47" s="1983"/>
      <c r="C47" s="1983"/>
      <c r="D47" s="1271"/>
      <c r="E47" s="1271"/>
      <c r="F47" s="1271"/>
      <c r="G47" s="1271"/>
      <c r="H47" s="1271"/>
      <c r="I47" s="1716"/>
      <c r="J47" s="1271"/>
      <c r="K47" s="1271"/>
      <c r="L47" s="1271"/>
      <c r="M47" s="1271"/>
      <c r="N47" s="1271"/>
      <c r="O47" s="1271"/>
      <c r="P47" s="654"/>
      <c r="Q47" s="859" t="s">
        <v>1703</v>
      </c>
      <c r="R47" s="656" t="n">
        <f aca="false">N68</f>
        <v>12083.925</v>
      </c>
      <c r="S47" s="1996" t="n">
        <v>17.5</v>
      </c>
      <c r="T47" s="664" t="n">
        <f aca="false">S47*1.3</f>
        <v>22.75</v>
      </c>
      <c r="U47" s="1997" t="n">
        <f aca="false">R47/T47</f>
        <v>531.161538461538</v>
      </c>
      <c r="V47" s="2001" t="n">
        <f aca="false">(K52+K55)/U47</f>
        <v>0.255185185185185</v>
      </c>
      <c r="W47" s="2001"/>
    </row>
    <row r="48" s="1414" customFormat="true" ht="15" hidden="false" customHeight="false" outlineLevel="0" collapsed="false">
      <c r="A48" s="16"/>
      <c r="B48" s="1983"/>
      <c r="C48" s="1983"/>
      <c r="D48" s="1271"/>
      <c r="E48" s="1271"/>
      <c r="F48" s="1271"/>
      <c r="G48" s="1271"/>
      <c r="H48" s="1271"/>
      <c r="I48" s="1716"/>
      <c r="J48" s="1271"/>
      <c r="K48" s="1271"/>
      <c r="L48" s="1271"/>
      <c r="M48" s="1271"/>
      <c r="N48" s="1271"/>
      <c r="O48" s="1271"/>
      <c r="Q48" s="785"/>
      <c r="R48" s="784"/>
      <c r="S48" s="784"/>
      <c r="T48" s="784"/>
      <c r="U48" s="2002"/>
      <c r="V48" s="2002"/>
      <c r="W48" s="2003"/>
      <c r="DD48" s="1414" t="n">
        <f aca="false">2.52/7.53</f>
        <v>0.334661354581673</v>
      </c>
    </row>
    <row r="49" s="1414"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726"/>
      <c r="U49" s="726"/>
      <c r="V49" s="726"/>
      <c r="W49" s="726"/>
      <c r="DB49" s="1414" t="n">
        <f aca="false">SUM(DE51:DE62)*(1+J56)</f>
        <v>38.861320265625</v>
      </c>
      <c r="DC49" s="427" t="s">
        <v>612</v>
      </c>
    </row>
    <row r="50" s="1414" customFormat="true" ht="42.1" hidden="false" customHeight="false" outlineLevel="0" collapsed="false">
      <c r="A50" s="1017" t="s">
        <v>1280</v>
      </c>
      <c r="B50" s="1296" t="s">
        <v>1281</v>
      </c>
      <c r="C50" s="1297"/>
      <c r="D50" s="1297"/>
      <c r="E50" s="1297"/>
      <c r="F50" s="1297"/>
      <c r="G50" s="1297"/>
      <c r="H50" s="1297"/>
      <c r="I50" s="1297"/>
      <c r="J50" s="1019" t="s">
        <v>1282</v>
      </c>
      <c r="K50" s="1020" t="str">
        <f aca="false">IF(ROUND(SUM(K51:K55),0)=W36,"Good","Missing Concrete!!!")</f>
        <v>Good</v>
      </c>
      <c r="L50" s="1020"/>
      <c r="M50" s="1297"/>
      <c r="N50" s="1297"/>
      <c r="O50" s="1298"/>
      <c r="P50" s="1299" t="s">
        <v>1284</v>
      </c>
      <c r="Q50" s="1022" t="s">
        <v>1283</v>
      </c>
      <c r="R50" s="1223"/>
      <c r="S50" s="879" t="s">
        <v>835</v>
      </c>
      <c r="T50" s="1023"/>
      <c r="U50" s="1024" t="s">
        <v>518</v>
      </c>
      <c r="V50" s="1023"/>
      <c r="W50" s="1025"/>
      <c r="DB50" s="1301" t="s">
        <v>1259</v>
      </c>
      <c r="DC50" s="1302" t="s">
        <v>1215</v>
      </c>
      <c r="DD50" s="1303" t="s">
        <v>1369</v>
      </c>
      <c r="DE50" s="1304" t="s">
        <v>1414</v>
      </c>
    </row>
    <row r="51" s="1414" customFormat="true" ht="18" hidden="false" customHeight="true" outlineLevel="0" collapsed="false">
      <c r="A51" s="2004" t="n">
        <v>1</v>
      </c>
      <c r="B51" s="1028" t="str">
        <f aca="false">IF(A51=1,Pricing!F$2,IF(A51=2,Pricing!G$2,IF(A51=3,Pricing!H$2,IF(A51=4,Pricing!I$2,IF(A51=5,Pricing!J$2,IF(A51=6,Pricing!K$2,IF(A51=7,Pricing!L$2,IF(A51=8,Pricing!M$2,IF(A51=9,Pricing!N$2,IF(A51=10,Pricing!O$2,0))))))))))</f>
        <v>3,000 PSI 5sk /Ash and Air</v>
      </c>
      <c r="C51" s="1726"/>
      <c r="D51" s="1726"/>
      <c r="E51" s="1726"/>
      <c r="F51" s="1048" t="n">
        <f aca="false">IF(A51=1,Pricing!F$3,IF(A51=2,Pricing!G$3,IF(A51=3,Pricing!H$3,IF(A51=4,Pricing!I$3,IF(A51=5,Pricing!J$3,IF(A51=6,Pricing!K$3,IF(A51=7,Pricing!L$3,IF(A51=8,Pricing!M$3,IF(A51=9,Pricing!N$3,IF(A51=10,Pricing!O$3))))))))))</f>
        <v>134</v>
      </c>
      <c r="G51" s="16" t="s">
        <v>1285</v>
      </c>
      <c r="H51" s="2005"/>
      <c r="I51" s="2005"/>
      <c r="J51" s="1334" t="n">
        <v>0.06</v>
      </c>
      <c r="K51" s="1051" t="n">
        <f aca="false">IF(A51=1,AR$36,IF(A51=2,AS$36,IF(A51=3,AT$36,IF(A51=4,AU$36,IF(A51=5,AV$36,IF(A51=6,AW$36,IF(A51=7,AX$36,IF(A51=8,AY$36,IF(A51=9,AZ$36,IF(A51=10,BA$36))))))))))+IF(A51=1,AH$36,IF(A51=2,AI$36,IF(A51=3,AJ$36,IF(A51=4,AK$36,IF(A51=5,AL$36,IF(A51=6,AM$36,IF(A51=7,AN$36,IF(A51=8,AOJ$36,IF(A51=9,AP$36,IF(A51=10,AQ$36))))))))))</f>
        <v>0</v>
      </c>
      <c r="L51" s="1051"/>
      <c r="M51" s="15" t="s">
        <v>1286</v>
      </c>
      <c r="N51" s="1318" t="n">
        <f aca="false">K51*F51*(IF(T$39="N",1+V$39,1))</f>
        <v>0</v>
      </c>
      <c r="O51" s="1318"/>
      <c r="P51" s="1306"/>
      <c r="Q51" s="920" t="s">
        <v>1415</v>
      </c>
      <c r="R51" s="78"/>
      <c r="S51" s="1307" t="n">
        <v>0.4</v>
      </c>
      <c r="T51" s="78"/>
      <c r="U51" s="1308" t="n">
        <f aca="false">BJ71</f>
        <v>0</v>
      </c>
      <c r="V51" s="78"/>
      <c r="W51" s="1309"/>
      <c r="DB51" s="149" t="n">
        <v>20</v>
      </c>
      <c r="DC51" s="150" t="n">
        <v>4</v>
      </c>
      <c r="DD51" s="151" t="n">
        <v>1</v>
      </c>
      <c r="DE51" s="152" t="n">
        <f aca="false">DB51*(DC51*DC51*0.04180884375)*DD51</f>
        <v>13.37883</v>
      </c>
    </row>
    <row r="52" s="1414" customFormat="true" ht="18" hidden="false" customHeight="true" outlineLevel="0" collapsed="false">
      <c r="A52" s="2006" t="n">
        <v>2</v>
      </c>
      <c r="B52" s="599" t="str">
        <f aca="false">IF(A52=1,Pricing!F$2,IF(A52=2,Pricing!G$2,IF(A52=3,Pricing!H$2,IF(A52=4,Pricing!I$2,IF(A52=5,Pricing!J$2,IF(A52=6,Pricing!K$2,IF(A52=7,Pricing!L$2,IF(A52=8,Pricing!M$2,IF(A52=9,Pricing!N$2,IF(A52=10,Pricing!O$2,0))))))))))</f>
        <v>3,000 PSI / Ash no Air</v>
      </c>
      <c r="C52" s="16"/>
      <c r="D52" s="16"/>
      <c r="E52" s="16"/>
      <c r="F52" s="1048" t="n">
        <f aca="false">IF(A52=1,Pricing!F$3,IF(A52=2,Pricing!G$3,IF(A52=3,Pricing!H$3,IF(A52=4,Pricing!I$3,IF(A52=5,Pricing!J$3,IF(A52=6,Pricing!K$3,IF(A52=7,Pricing!L$3,IF(A52=8,Pricing!M$3,IF(A52=9,Pricing!N$3,IF(A52=10,Pricing!O$3))))))))))</f>
        <v>145</v>
      </c>
      <c r="G52" s="16" t="s">
        <v>1285</v>
      </c>
      <c r="H52" s="2005"/>
      <c r="I52" s="2005"/>
      <c r="J52" s="1334"/>
      <c r="K52" s="1310" t="n">
        <f aca="false">IF(A52=1,AR$36,IF(A52=2,AS$36,IF(A52=3,AT$36,IF(A52=4,AU$36,IF(A52=5,AV$36,IF(A52=6,AW$36))))))+IF(A52=1,AH$36,IF(A52=2,AI$36,IF(A52=3,AJ$36,IF(A52=4,AK$36,IF(A52=5,AL$36,IF(A52=6,AM$36))))))</f>
        <v>0</v>
      </c>
      <c r="L52" s="1310"/>
      <c r="M52" s="15" t="s">
        <v>1286</v>
      </c>
      <c r="N52" s="1305" t="n">
        <f aca="false">K52*F52*(IF(T$39="N",1+V$39,1))</f>
        <v>0</v>
      </c>
      <c r="O52" s="1305"/>
      <c r="P52" s="1306" t="s">
        <v>1069</v>
      </c>
      <c r="Q52" s="920" t="s">
        <v>526</v>
      </c>
      <c r="R52" s="78"/>
      <c r="S52" s="1311" t="n">
        <f aca="false">H67*3.6*S51</f>
        <v>4971.672</v>
      </c>
      <c r="T52" s="1312" t="s">
        <v>1704</v>
      </c>
      <c r="U52" s="1308" t="n">
        <f aca="false">Pricing!Q4</f>
        <v>0.859375</v>
      </c>
      <c r="V52" s="78" t="s">
        <v>527</v>
      </c>
      <c r="W52" s="1309" t="n">
        <f aca="false">IF(T$39="Y",S52*U52,S52*U52*(1+V$39))</f>
        <v>4625.0144015625</v>
      </c>
      <c r="DB52" s="149" t="n">
        <v>3</v>
      </c>
      <c r="DC52" s="150" t="n">
        <v>5</v>
      </c>
      <c r="DD52" s="151" t="n">
        <v>3</v>
      </c>
      <c r="DE52" s="152" t="n">
        <f aca="false">DB52*(DC52*DC52*0.04180884375)*DD52</f>
        <v>9.40698984375</v>
      </c>
    </row>
    <row r="53" s="1414" customFormat="true" ht="18" hidden="false" customHeight="true" outlineLevel="0" collapsed="false">
      <c r="A53" s="2007" t="n">
        <v>3</v>
      </c>
      <c r="B53" s="599" t="str">
        <f aca="false">IF(A53=1,Pricing!F$2,IF(A53=2,Pricing!G$2,IF(A53=3,Pricing!H$2,IF(A53=4,Pricing!I$2,IF(A53=5,Pricing!J$2,IF(A53=6,Pricing!K$2,IF(A53=7,Pricing!L$2,IF(A53=8,Pricing!M$2,IF(A53=9,Pricing!N$2,IF(A53=10,Pricing!O$2,0))))))))))</f>
        <v>3,500 PSI 5.5sk /Ash and Air</v>
      </c>
      <c r="C53" s="16"/>
      <c r="D53" s="16"/>
      <c r="E53" s="16"/>
      <c r="F53" s="1048" t="n">
        <f aca="false">IF(A53=1,Pricing!F$3,IF(A53=2,Pricing!G$3,IF(A53=3,Pricing!H$3,IF(A53=4,Pricing!I$3,IF(A53=5,Pricing!J$3,IF(A53=6,Pricing!K$3,IF(A53=7,Pricing!L$3,IF(A53=8,Pricing!M$3,IF(A53=9,Pricing!N$3,IF(A53=10,Pricing!O$3))))))))))</f>
        <v>140</v>
      </c>
      <c r="G53" s="16" t="s">
        <v>1285</v>
      </c>
      <c r="H53" s="2005"/>
      <c r="I53" s="2005"/>
      <c r="J53" s="1334"/>
      <c r="K53" s="1310" t="n">
        <f aca="false">IF(A53=1,AR$36,IF(A53=2,AS$36,IF(A53=3,AT$36,IF(A53=4,AU$36,IF(A53=5,AV$36,IF(A53=6,AW$36))))))+IF(A53=1,AH$36,IF(A53=2,AI$36,IF(A53=3,AJ$36,IF(A53=4,AK$36,IF(A53=5,AL$36,IF(A53=6,AM$36))))))</f>
        <v>149.316049382716</v>
      </c>
      <c r="L53" s="1310"/>
      <c r="M53" s="15" t="s">
        <v>1286</v>
      </c>
      <c r="N53" s="1305" t="n">
        <f aca="false">K53*F53*(IF(T$39="N",1+V$39,1))</f>
        <v>22628.8472839506</v>
      </c>
      <c r="O53" s="1305"/>
      <c r="P53" s="1306"/>
      <c r="Q53" s="920"/>
      <c r="R53" s="78"/>
      <c r="S53" s="1311"/>
      <c r="T53" s="1312"/>
      <c r="U53" s="1308"/>
      <c r="V53" s="78"/>
      <c r="W53" s="1309" t="n">
        <f aca="false">IF(T$39="Y",S53*U53,S53*U53*(1+V$39))</f>
        <v>0</v>
      </c>
      <c r="DB53" s="149"/>
      <c r="DC53" s="150"/>
      <c r="DD53" s="151"/>
      <c r="DE53" s="152"/>
    </row>
    <row r="54" s="1414" customFormat="true" ht="18" hidden="false" customHeight="true" outlineLevel="0" collapsed="false">
      <c r="A54" s="2007" t="n">
        <v>4</v>
      </c>
      <c r="B54" s="599" t="str">
        <f aca="false">IF(A54=1,Pricing!F$2,IF(A54=2,Pricing!G$2,IF(A54=3,Pricing!H$2,IF(A54=4,Pricing!I$2,IF(A54=5,Pricing!J$2,IF(A54=6,Pricing!K$2,IF(A54=7,Pricing!L$2,IF(A54=8,Pricing!M$2,IF(A54=9,Pricing!N$2,IF(A54=10,Pricing!O$2,0))))))))))</f>
        <v>3,500 PSI /Ash No Air</v>
      </c>
      <c r="C54" s="16"/>
      <c r="D54" s="16"/>
      <c r="E54" s="16"/>
      <c r="F54" s="1048" t="n">
        <f aca="false">IF(A54=1,Pricing!F$3,IF(A54=2,Pricing!G$3,IF(A54=3,Pricing!H$3,IF(A54=4,Pricing!I$3,IF(A54=5,Pricing!J$3,IF(A54=6,Pricing!K$3,IF(A54=7,Pricing!L$3,IF(A54=8,Pricing!M$3,IF(A54=9,Pricing!N$3,IF(A54=10,Pricing!O$3))))))))))</f>
        <v>140</v>
      </c>
      <c r="G54" s="16" t="s">
        <v>1285</v>
      </c>
      <c r="H54" s="2005"/>
      <c r="I54" s="2005"/>
      <c r="J54" s="1334"/>
      <c r="K54" s="1310" t="n">
        <f aca="false">IF(A54=1,AR$36,IF(A54=2,AS$36,IF(A54=3,AT$36,IF(A54=4,AU$36,IF(A54=5,AV$36,IF(A54=6,AW$36))))))+IF(A54=1,AH$36,IF(A54=2,AI$36,IF(A54=3,AJ$36,IF(A54=4,AK$36,IF(A54=5,AL$36,IF(A54=6,AM$36))))))</f>
        <v>0</v>
      </c>
      <c r="L54" s="1310"/>
      <c r="M54" s="15" t="s">
        <v>1286</v>
      </c>
      <c r="N54" s="1305" t="n">
        <f aca="false">K54*F54*(IF(T$39="N",1+V$39,1))</f>
        <v>0</v>
      </c>
      <c r="O54" s="1305"/>
      <c r="P54" s="1306"/>
      <c r="Q54" s="920"/>
      <c r="R54" s="78"/>
      <c r="S54" s="1311"/>
      <c r="T54" s="1312"/>
      <c r="U54" s="1308"/>
      <c r="V54" s="78"/>
      <c r="W54" s="1309" t="n">
        <f aca="false">IF(T$39="Y",S54*U54,S54*U54*(1+V$39))</f>
        <v>0</v>
      </c>
      <c r="DB54" s="149"/>
      <c r="DC54" s="150"/>
      <c r="DD54" s="151"/>
      <c r="DE54" s="152"/>
    </row>
    <row r="55" s="1414" customFormat="true" ht="18" hidden="false" customHeight="true" outlineLevel="0" collapsed="false">
      <c r="A55" s="2008" t="n">
        <v>5</v>
      </c>
      <c r="B55" s="1044" t="str">
        <f aca="false">IF(A55=1,Pricing!F$2,IF(A55=2,Pricing!G$2,IF(A55=3,Pricing!H$2,IF(A55=4,Pricing!I$2,IF(A55=5,Pricing!J$2,IF(A55=6,Pricing!K$2,IF(A55=7,Pricing!L$2,IF(A55=8,Pricing!M$2,IF(A55=9,Pricing!N$2,IF(A55=10,Pricing!O$2,0))))))))))</f>
        <v>4,000 PSI /Ash and Air</v>
      </c>
      <c r="C55" s="397"/>
      <c r="D55" s="397"/>
      <c r="E55" s="397"/>
      <c r="F55" s="1315" t="n">
        <f aca="false">IF(A55=1,Pricing!F$3,IF(A55=2,Pricing!G$3,IF(A55=3,Pricing!H$3,IF(A55=4,Pricing!I$3,IF(A55=5,Pricing!J$3,IF(A55=6,Pricing!K$3,IF(A55=7,Pricing!L$3,IF(A55=8,Pricing!M$3,IF(A55=9,Pricing!N$3,IF(A55=10,Pricing!O$3))))))))))</f>
        <v>145</v>
      </c>
      <c r="G55" s="397" t="s">
        <v>1285</v>
      </c>
      <c r="H55" s="2005"/>
      <c r="I55" s="2005"/>
      <c r="J55" s="1334"/>
      <c r="K55" s="1316" t="n">
        <f aca="false">IF(A55=1,AR$36,IF(A55=2,AS$36,IF(A55=3,AT$36,IF(A55=4,AU$36,IF(A55=5,AV$36,IF(A55=6,AW$36))))))+IF(A55=1,AH$36,IF(A55=2,AI$36,IF(A55=3,AJ$36,IF(A55=4,AK$36,IF(A55=5,AL$36,IF(A55=6,AM$36))))))</f>
        <v>135.544555555556</v>
      </c>
      <c r="L55" s="1316"/>
      <c r="M55" s="1046" t="s">
        <v>1286</v>
      </c>
      <c r="N55" s="1332" t="n">
        <f aca="false">K55*F55*(IF(T$39="N",1+V$39,1))</f>
        <v>21275.4123013889</v>
      </c>
      <c r="O55" s="1332"/>
      <c r="P55" s="1306" t="s">
        <v>1069</v>
      </c>
      <c r="Q55" s="920" t="s">
        <v>534</v>
      </c>
      <c r="R55" s="78"/>
      <c r="S55" s="1311" t="n">
        <f aca="false">S52*0.2</f>
        <v>994.3344</v>
      </c>
      <c r="T55" s="1312" t="s">
        <v>1704</v>
      </c>
      <c r="U55" s="1308" t="n">
        <f aca="false">Pricing!Q5</f>
        <v>1.4453125</v>
      </c>
      <c r="V55" s="78" t="s">
        <v>527</v>
      </c>
      <c r="W55" s="1309" t="n">
        <f aca="false">IF(T$39="Y",S55*U55,S55*U55*(1+V$39))</f>
        <v>1555.68666234375</v>
      </c>
      <c r="DB55" s="149" t="n">
        <v>6</v>
      </c>
      <c r="DC55" s="150" t="n">
        <v>5</v>
      </c>
      <c r="DD55" s="151" t="n">
        <v>2</v>
      </c>
      <c r="DE55" s="152" t="n">
        <f aca="false">DB55*(DC55*DC55*0.04180884375)*DD55</f>
        <v>12.542653125</v>
      </c>
    </row>
    <row r="56" s="1414" customFormat="true" ht="18" hidden="false" customHeight="true" outlineLevel="0" collapsed="false">
      <c r="A56" s="2009" t="str">
        <f aca="false">Summary!V60</f>
        <v>Import</v>
      </c>
      <c r="B56" s="1041" t="s">
        <v>1287</v>
      </c>
      <c r="C56" s="16"/>
      <c r="D56" s="16"/>
      <c r="E56" s="16"/>
      <c r="F56" s="1048" t="n">
        <f aca="false">Pricing!D23</f>
        <v>0.55</v>
      </c>
      <c r="G56" s="16" t="s">
        <v>555</v>
      </c>
      <c r="H56" s="1867"/>
      <c r="I56" s="1867"/>
      <c r="J56" s="1050" t="n">
        <v>0.1</v>
      </c>
      <c r="K56" s="1051" t="n">
        <f aca="false">U36</f>
        <v>33727.8322609895</v>
      </c>
      <c r="L56" s="1051"/>
      <c r="M56" s="16" t="s">
        <v>1288</v>
      </c>
      <c r="N56" s="1318" t="n">
        <f aca="false">F56*K56*(IF(T39="N",1+V39,1))</f>
        <v>20080.7081323866</v>
      </c>
      <c r="O56" s="1318"/>
      <c r="P56" s="1306" t="s">
        <v>1069</v>
      </c>
      <c r="Q56" s="920" t="s">
        <v>536</v>
      </c>
      <c r="R56" s="78"/>
      <c r="S56" s="1311" t="n">
        <v>0</v>
      </c>
      <c r="T56" s="1312" t="s">
        <v>1704</v>
      </c>
      <c r="U56" s="1308" t="n">
        <f aca="false">Pricing!Q6</f>
        <v>1.171875</v>
      </c>
      <c r="V56" s="78" t="s">
        <v>527</v>
      </c>
      <c r="W56" s="1309" t="n">
        <f aca="false">IF(T$39="Y",S56*U56,S56*U56*(1+V$39))</f>
        <v>0</v>
      </c>
      <c r="DB56" s="149"/>
      <c r="DC56" s="150"/>
      <c r="DD56" s="151"/>
      <c r="DE56" s="152" t="n">
        <f aca="false">DB56*(DC56*DC56*0.04180884375)*DD56</f>
        <v>0</v>
      </c>
    </row>
    <row r="57" s="1414" customFormat="true" ht="18" hidden="false" customHeight="true" outlineLevel="0" collapsed="false">
      <c r="A57" s="599"/>
      <c r="B57" s="1041"/>
      <c r="C57" s="16"/>
      <c r="D57" s="16"/>
      <c r="E57" s="16"/>
      <c r="F57" s="1319" t="n">
        <f aca="false">Pricing!F6</f>
        <v>0</v>
      </c>
      <c r="G57" s="16" t="s">
        <v>600</v>
      </c>
      <c r="H57" s="895"/>
      <c r="I57" s="895"/>
      <c r="J57" s="1321" t="n">
        <v>0.05</v>
      </c>
      <c r="K57" s="1310"/>
      <c r="L57" s="1310"/>
      <c r="M57" s="16" t="s">
        <v>1418</v>
      </c>
      <c r="N57" s="1305" t="n">
        <f aca="false">K57*F57*(IF(T39="N",1+V39,1))*(J57+1)</f>
        <v>0</v>
      </c>
      <c r="O57" s="1305"/>
      <c r="P57" s="1306" t="s">
        <v>1069</v>
      </c>
      <c r="Q57" s="920" t="s">
        <v>538</v>
      </c>
      <c r="R57" s="78"/>
      <c r="S57" s="1311" t="n">
        <f aca="false">E36*2*S51</f>
        <v>521.6</v>
      </c>
      <c r="T57" s="1312" t="s">
        <v>1704</v>
      </c>
      <c r="U57" s="1308" t="n">
        <f aca="false">Pricing!Q7</f>
        <v>1.09375</v>
      </c>
      <c r="V57" s="78" t="s">
        <v>527</v>
      </c>
      <c r="W57" s="1309" t="n">
        <f aca="false">IF(T$39="Y",S57*U57,S57*U57*(1+V$39))</f>
        <v>617.56625</v>
      </c>
      <c r="DB57" s="1322"/>
      <c r="DC57" s="1323"/>
      <c r="DD57" s="1324"/>
      <c r="DE57" s="1325" t="n">
        <f aca="false">DB57*(DC57*DC57*0.04180884375)*DD57</f>
        <v>0</v>
      </c>
    </row>
    <row r="58" s="1414" customFormat="true" ht="18" hidden="false" customHeight="true" outlineLevel="0" collapsed="false">
      <c r="A58" s="599"/>
      <c r="B58" s="1044" t="s">
        <v>1419</v>
      </c>
      <c r="C58" s="397"/>
      <c r="D58" s="397"/>
      <c r="E58" s="397"/>
      <c r="F58" s="1315" t="n">
        <v>0.35</v>
      </c>
      <c r="G58" s="397" t="s">
        <v>600</v>
      </c>
      <c r="H58" s="1358" t="s">
        <v>1291</v>
      </c>
      <c r="I58" s="1054" t="n">
        <v>0</v>
      </c>
      <c r="J58" s="1054"/>
      <c r="K58" s="1316"/>
      <c r="L58" s="1316"/>
      <c r="M58" s="397" t="s">
        <v>1418</v>
      </c>
      <c r="N58" s="1326" t="n">
        <f aca="false">IF(L35="y",IF(I58=0,K58*F58,I58),0)*(IF(S$65="N",1+U$65,1))</f>
        <v>0</v>
      </c>
      <c r="O58" s="1326"/>
      <c r="P58" s="1306" t="s">
        <v>1069</v>
      </c>
      <c r="Q58" s="920" t="s">
        <v>540</v>
      </c>
      <c r="R58" s="78"/>
      <c r="S58" s="1311" t="n">
        <f aca="false">ROUNDUP(H67*2/32*S51*1.1,0)</f>
        <v>95</v>
      </c>
      <c r="T58" s="78" t="s">
        <v>1420</v>
      </c>
      <c r="U58" s="1308" t="n">
        <f aca="false">Pricing!Q8</f>
        <v>74.75</v>
      </c>
      <c r="V58" s="78" t="s">
        <v>541</v>
      </c>
      <c r="W58" s="1309" t="n">
        <f aca="false">IF(T$39="Y",S58*U58,S58*U58*(1+V$39))</f>
        <v>7687.103125</v>
      </c>
      <c r="DB58" s="149"/>
      <c r="DC58" s="150"/>
      <c r="DD58" s="151"/>
      <c r="DE58" s="152" t="n">
        <f aca="false">DB58*(DC58*DC58*0.04180884375)*DD58</f>
        <v>0</v>
      </c>
    </row>
    <row r="59" s="1414" customFormat="true" ht="18" hidden="false" customHeight="true" outlineLevel="0" collapsed="false">
      <c r="A59" s="1205"/>
      <c r="B59" s="15" t="s">
        <v>1421</v>
      </c>
      <c r="C59" s="16"/>
      <c r="D59" s="16"/>
      <c r="E59" s="16"/>
      <c r="F59" s="1328" t="n">
        <v>20</v>
      </c>
      <c r="G59" s="16" t="s">
        <v>1459</v>
      </c>
      <c r="H59" s="1329"/>
      <c r="I59" s="1329"/>
      <c r="J59" s="1334" t="n">
        <v>0.05</v>
      </c>
      <c r="K59" s="1051" t="n">
        <f aca="false">SUM(BH36)</f>
        <v>384</v>
      </c>
      <c r="L59" s="1051"/>
      <c r="M59" s="16" t="s">
        <v>1286</v>
      </c>
      <c r="N59" s="1318" t="n">
        <f aca="false">K59*F59*IF(Q29="N",1+T29,1)</f>
        <v>7680</v>
      </c>
      <c r="O59" s="1318"/>
      <c r="P59" s="1306" t="s">
        <v>1069</v>
      </c>
      <c r="Q59" s="920" t="s">
        <v>1298</v>
      </c>
      <c r="R59" s="78"/>
      <c r="S59" s="1311" t="n">
        <f aca="false">ROUNDUP(E36*2/25,0)*S51</f>
        <v>21.2</v>
      </c>
      <c r="T59" s="78" t="s">
        <v>1705</v>
      </c>
      <c r="U59" s="1308" t="n">
        <f aca="false">Pricing!Q15</f>
        <v>24</v>
      </c>
      <c r="V59" s="78" t="s">
        <v>1300</v>
      </c>
      <c r="W59" s="1309" t="n">
        <f aca="false">IF(T$39="Y",S59*U59,S59*U59*(1+V$39))</f>
        <v>550.776</v>
      </c>
      <c r="DB59" s="149"/>
      <c r="DC59" s="150"/>
      <c r="DD59" s="151"/>
      <c r="DE59" s="152" t="n">
        <f aca="false">DB59*(DC59*DC59*0.04180884375)*DD59</f>
        <v>0</v>
      </c>
    </row>
    <row r="60" s="1414" customFormat="true" ht="18" hidden="false" customHeight="true" outlineLevel="0" collapsed="false">
      <c r="A60" s="599"/>
      <c r="B60" s="1081" t="s">
        <v>1424</v>
      </c>
      <c r="C60" s="397"/>
      <c r="D60" s="1330"/>
      <c r="E60" s="397"/>
      <c r="F60" s="1331" t="n">
        <v>38</v>
      </c>
      <c r="G60" s="397" t="s">
        <v>1285</v>
      </c>
      <c r="H60" s="1329"/>
      <c r="I60" s="1329"/>
      <c r="J60" s="1334"/>
      <c r="K60" s="1316"/>
      <c r="L60" s="1316"/>
      <c r="M60" s="397" t="s">
        <v>1418</v>
      </c>
      <c r="N60" s="1332" t="n">
        <f aca="false">K60*F60</f>
        <v>0</v>
      </c>
      <c r="O60" s="1332"/>
      <c r="P60" s="1306" t="s">
        <v>1069</v>
      </c>
      <c r="Q60" s="920" t="s">
        <v>561</v>
      </c>
      <c r="R60" s="78"/>
      <c r="S60" s="1311" t="n">
        <f aca="false">ROUNDUP(H67/1800,0)</f>
        <v>2</v>
      </c>
      <c r="T60" s="78" t="s">
        <v>1303</v>
      </c>
      <c r="U60" s="1308" t="n">
        <f aca="false">Pricing!Q16</f>
        <v>68.2</v>
      </c>
      <c r="V60" s="78" t="s">
        <v>562</v>
      </c>
      <c r="W60" s="1309" t="n">
        <f aca="false">IF(T$39="Y",S60*U60,S60*U60*(1+V$39))</f>
        <v>147.653</v>
      </c>
      <c r="DB60" s="149"/>
      <c r="DC60" s="150"/>
      <c r="DD60" s="151"/>
      <c r="DE60" s="152" t="n">
        <f aca="false">DB60*(DC60*DC60*0.04180884375)*DD60</f>
        <v>0</v>
      </c>
    </row>
    <row r="61" s="1414" customFormat="true" ht="18" hidden="false" customHeight="true" outlineLevel="0" collapsed="false">
      <c r="A61" s="599"/>
      <c r="B61" s="1041"/>
      <c r="C61" s="16"/>
      <c r="D61" s="833"/>
      <c r="E61" s="16"/>
      <c r="F61" s="2010" t="n">
        <v>0.17</v>
      </c>
      <c r="G61" s="16" t="s">
        <v>1426</v>
      </c>
      <c r="H61" s="1329"/>
      <c r="I61" s="1329"/>
      <c r="J61" s="1334" t="n">
        <v>0.1</v>
      </c>
      <c r="K61" s="1051"/>
      <c r="L61" s="1051"/>
      <c r="M61" s="16" t="s">
        <v>1418</v>
      </c>
      <c r="N61" s="2011" t="n">
        <f aca="false">F61*K61</f>
        <v>0</v>
      </c>
      <c r="O61" s="2011"/>
      <c r="P61" s="1306" t="s">
        <v>1069</v>
      </c>
      <c r="Q61" s="920" t="s">
        <v>563</v>
      </c>
      <c r="R61" s="78"/>
      <c r="S61" s="1311" t="n">
        <f aca="false">ROUNDUP(H67/1000,0)</f>
        <v>4</v>
      </c>
      <c r="T61" s="78" t="s">
        <v>1303</v>
      </c>
      <c r="U61" s="1308" t="n">
        <f aca="false">Pricing!Q17</f>
        <v>68.2</v>
      </c>
      <c r="V61" s="78" t="s">
        <v>562</v>
      </c>
      <c r="W61" s="1309" t="n">
        <f aca="false">IF(T$39="Y",S61*U61,S61*U61*(1+V$39))</f>
        <v>295.306</v>
      </c>
      <c r="DB61" s="1335"/>
      <c r="DC61" s="150"/>
      <c r="DD61" s="151"/>
      <c r="DE61" s="152" t="n">
        <f aca="false">DB61*(DC61*DC61*0.04180884375)*DD61</f>
        <v>0</v>
      </c>
    </row>
    <row r="62" s="1414" customFormat="true" ht="18" hidden="false" customHeight="true" outlineLevel="0" collapsed="false">
      <c r="A62" s="1041" t="s">
        <v>1706</v>
      </c>
      <c r="B62" s="15"/>
      <c r="C62" s="15"/>
      <c r="D62" s="833" t="s">
        <v>1428</v>
      </c>
      <c r="E62" s="1336" t="s">
        <v>1029</v>
      </c>
      <c r="F62" s="1337" t="n">
        <v>1.25</v>
      </c>
      <c r="G62" s="16" t="s">
        <v>600</v>
      </c>
      <c r="H62" s="1329"/>
      <c r="I62" s="1329"/>
      <c r="J62" s="1334"/>
      <c r="K62" s="1310" t="n">
        <f aca="false">IF(E62="Y",E36,0)*(1+J60)</f>
        <v>0</v>
      </c>
      <c r="L62" s="1310"/>
      <c r="M62" s="16" t="s">
        <v>1259</v>
      </c>
      <c r="N62" s="1309" t="n">
        <f aca="false">K62*F62</f>
        <v>0</v>
      </c>
      <c r="O62" s="1309"/>
      <c r="P62" s="1306" t="s">
        <v>1069</v>
      </c>
      <c r="Q62" s="920" t="s">
        <v>564</v>
      </c>
      <c r="R62" s="78"/>
      <c r="S62" s="1311" t="n">
        <f aca="false">S61</f>
        <v>4</v>
      </c>
      <c r="T62" s="78" t="s">
        <v>1303</v>
      </c>
      <c r="U62" s="1308" t="n">
        <f aca="false">Pricing!Q18</f>
        <v>68.2</v>
      </c>
      <c r="V62" s="78" t="s">
        <v>562</v>
      </c>
      <c r="W62" s="1309" t="n">
        <f aca="false">IF(T$39="Y",S62*U62,S62*U62*(1+V$39))</f>
        <v>295.306</v>
      </c>
      <c r="DB62" s="1322"/>
      <c r="DC62" s="1323"/>
      <c r="DD62" s="1324"/>
      <c r="DE62" s="1325" t="n">
        <f aca="false">DB62*(DC62*DC62*0.04180884375)*DD62</f>
        <v>0</v>
      </c>
    </row>
    <row r="63" s="1414" customFormat="true" ht="18" hidden="false" customHeight="true" outlineLevel="0" collapsed="false">
      <c r="A63" s="1081" t="s">
        <v>1707</v>
      </c>
      <c r="B63" s="1046"/>
      <c r="C63" s="1046"/>
      <c r="D63" s="1330" t="s">
        <v>1428</v>
      </c>
      <c r="E63" s="1338" t="s">
        <v>1029</v>
      </c>
      <c r="F63" s="1339" t="n">
        <v>1.8</v>
      </c>
      <c r="G63" s="397" t="s">
        <v>1430</v>
      </c>
      <c r="H63" s="1329"/>
      <c r="I63" s="1329"/>
      <c r="J63" s="1334"/>
      <c r="K63" s="1316" t="n">
        <f aca="false">IF(E63="Y",E36*2,0)*(1+J61)</f>
        <v>0</v>
      </c>
      <c r="L63" s="1316"/>
      <c r="M63" s="397" t="s">
        <v>1259</v>
      </c>
      <c r="N63" s="1326" t="n">
        <f aca="false">K63*F63</f>
        <v>0</v>
      </c>
      <c r="O63" s="1326"/>
      <c r="P63" s="1306" t="s">
        <v>1069</v>
      </c>
      <c r="Q63" s="920" t="s">
        <v>1310</v>
      </c>
      <c r="R63" s="78"/>
      <c r="S63" s="1311" t="n">
        <f aca="false">AL23*12/48/50</f>
        <v>0</v>
      </c>
      <c r="T63" s="78" t="s">
        <v>1303</v>
      </c>
      <c r="U63" s="1308" t="n">
        <f aca="false">Pricing!Q34</f>
        <v>45.24</v>
      </c>
      <c r="V63" s="78" t="s">
        <v>562</v>
      </c>
      <c r="W63" s="1309" t="n">
        <f aca="false">IF(T$39="Y",S63*U63,S63*U63*(1+V$39))</f>
        <v>0</v>
      </c>
    </row>
    <row r="64" s="1414" customFormat="true" ht="18" hidden="false" customHeight="true" outlineLevel="0" collapsed="false">
      <c r="A64" s="602"/>
      <c r="B64" s="602" t="s">
        <v>1431</v>
      </c>
      <c r="C64" s="1058"/>
      <c r="D64" s="1058"/>
      <c r="E64" s="1058"/>
      <c r="F64" s="2012" t="n">
        <v>3.75</v>
      </c>
      <c r="G64" s="1058" t="s">
        <v>1432</v>
      </c>
      <c r="H64" s="1341" t="s">
        <v>1708</v>
      </c>
      <c r="I64" s="1341"/>
      <c r="J64" s="1060"/>
      <c r="K64" s="1342" t="n">
        <f aca="false">H67</f>
        <v>3452.55</v>
      </c>
      <c r="L64" s="2013"/>
      <c r="M64" s="1058" t="s">
        <v>1418</v>
      </c>
      <c r="N64" s="1343" t="n">
        <f aca="false">F64*J64*K64</f>
        <v>0</v>
      </c>
      <c r="O64" s="1343"/>
      <c r="P64" s="1306" t="s">
        <v>1069</v>
      </c>
      <c r="Q64" s="920" t="s">
        <v>571</v>
      </c>
      <c r="R64" s="78"/>
      <c r="S64" s="1311" t="n">
        <f aca="false">BN51+AD122</f>
        <v>0</v>
      </c>
      <c r="T64" s="1312" t="s">
        <v>1704</v>
      </c>
      <c r="U64" s="1308" t="n">
        <f aca="false">Pricing!Q19</f>
        <v>0.95</v>
      </c>
      <c r="V64" s="78" t="s">
        <v>527</v>
      </c>
      <c r="W64" s="1309" t="n">
        <f aca="false">IF(T$39="Y",S64*U64,S64*U64*(1+V$39))</f>
        <v>0</v>
      </c>
    </row>
    <row r="65" s="1414" customFormat="true" ht="18" hidden="false" customHeight="true" outlineLevel="0" collapsed="false">
      <c r="A65" s="1344" t="s">
        <v>1434</v>
      </c>
      <c r="B65" s="1345"/>
      <c r="C65" s="1345" t="s">
        <v>1296</v>
      </c>
      <c r="D65" s="1345"/>
      <c r="E65" s="1345"/>
      <c r="F65" s="2014"/>
      <c r="G65" s="1345"/>
      <c r="H65" s="1345"/>
      <c r="I65" s="1345"/>
      <c r="J65" s="1345"/>
      <c r="K65" s="1345" t="s">
        <v>973</v>
      </c>
      <c r="L65" s="1345"/>
      <c r="M65" s="1345" t="s">
        <v>1297</v>
      </c>
      <c r="N65" s="2015"/>
      <c r="O65" s="1203"/>
      <c r="P65" s="1306" t="s">
        <v>1069</v>
      </c>
      <c r="Q65" s="920" t="s">
        <v>576</v>
      </c>
      <c r="R65" s="78"/>
      <c r="S65" s="1311" t="n">
        <f aca="false">E36*2</f>
        <v>1304</v>
      </c>
      <c r="T65" s="1312" t="s">
        <v>1704</v>
      </c>
      <c r="U65" s="1308" t="n">
        <f aca="false">Pricing!Q20</f>
        <v>0.25</v>
      </c>
      <c r="V65" s="78" t="s">
        <v>527</v>
      </c>
      <c r="W65" s="1309" t="n">
        <f aca="false">IF(T$39="Y",S65*U65,S65*U65*(1+V$39))</f>
        <v>352.895</v>
      </c>
    </row>
    <row r="66" s="1414" customFormat="true" ht="18" hidden="false" customHeight="true" outlineLevel="0" collapsed="false">
      <c r="A66" s="1794" t="s">
        <v>1709</v>
      </c>
      <c r="B66" s="1068"/>
      <c r="C66" s="1066" t="s">
        <v>1306</v>
      </c>
      <c r="D66" s="1067" t="n">
        <v>8</v>
      </c>
      <c r="E66" s="1067"/>
      <c r="F66" s="2016" t="s">
        <v>1618</v>
      </c>
      <c r="G66" s="1068"/>
      <c r="H66" s="1350" t="n">
        <f aca="false">BG36</f>
        <v>3803.33333333333</v>
      </c>
      <c r="I66" s="1350"/>
      <c r="J66" s="1068" t="s">
        <v>1418</v>
      </c>
      <c r="K66" s="1770" t="n">
        <f aca="false">IF(C66="N",D66*H66,0)</f>
        <v>0</v>
      </c>
      <c r="L66" s="1770"/>
      <c r="M66" s="175"/>
      <c r="N66" s="1369" t="n">
        <f aca="false">IF(C66="y",D66*H66,0)</f>
        <v>30426.6666666667</v>
      </c>
      <c r="O66" s="1369"/>
      <c r="P66" s="1306" t="s">
        <v>1069</v>
      </c>
      <c r="Q66" s="920" t="s">
        <v>583</v>
      </c>
      <c r="R66" s="78"/>
      <c r="S66" s="1311" t="n">
        <f aca="false">H67/2.25/50</f>
        <v>30.6893333333333</v>
      </c>
      <c r="T66" s="78" t="s">
        <v>584</v>
      </c>
      <c r="U66" s="1308" t="n">
        <f aca="false">Pricing!Q21</f>
        <v>45</v>
      </c>
      <c r="V66" s="78" t="s">
        <v>562</v>
      </c>
      <c r="W66" s="1309" t="n">
        <f aca="false">IF(T$39="Y",S66*U66,S66*U66*(1+V$39))</f>
        <v>1494.95415</v>
      </c>
    </row>
    <row r="67" s="1414" customFormat="true" ht="18" hidden="false" customHeight="true" outlineLevel="0" collapsed="false">
      <c r="A67" s="507" t="s">
        <v>1437</v>
      </c>
      <c r="B67" s="405"/>
      <c r="C67" s="1352" t="s">
        <v>1306</v>
      </c>
      <c r="D67" s="1075" t="n">
        <v>3.5</v>
      </c>
      <c r="E67" s="1075"/>
      <c r="F67" s="78" t="s">
        <v>1618</v>
      </c>
      <c r="G67" s="1353" t="n">
        <f aca="false">SUM(D67:E69)</f>
        <v>8</v>
      </c>
      <c r="H67" s="2017" t="n">
        <f aca="false">BF36</f>
        <v>3452.55</v>
      </c>
      <c r="I67" s="2017"/>
      <c r="J67" s="16" t="s">
        <v>1439</v>
      </c>
      <c r="K67" s="1773" t="n">
        <f aca="false">IF(C67="N",D67*H$67,0)</f>
        <v>0</v>
      </c>
      <c r="L67" s="1773"/>
      <c r="N67" s="2018" t="n">
        <f aca="false">IF(C67="y",H$67*D67,0)</f>
        <v>12083.925</v>
      </c>
      <c r="O67" s="2018"/>
      <c r="P67" s="1306" t="s">
        <v>1069</v>
      </c>
      <c r="Q67" s="920" t="s">
        <v>1710</v>
      </c>
      <c r="R67" s="78"/>
      <c r="S67" s="1311" t="n">
        <f aca="false">E36</f>
        <v>652</v>
      </c>
      <c r="T67" s="78" t="s">
        <v>1259</v>
      </c>
      <c r="U67" s="1308" t="n">
        <v>1</v>
      </c>
      <c r="V67" s="78" t="s">
        <v>1511</v>
      </c>
      <c r="W67" s="1309" t="n">
        <f aca="false">IF(T$39="Y",S67*U67,S67*U67*(1+V$39))</f>
        <v>705.79</v>
      </c>
    </row>
    <row r="68" s="1414" customFormat="true" ht="18" hidden="false" customHeight="true" outlineLevel="0" collapsed="false">
      <c r="A68" s="507" t="s">
        <v>1442</v>
      </c>
      <c r="B68" s="405"/>
      <c r="C68" s="1074" t="s">
        <v>1306</v>
      </c>
      <c r="D68" s="1075" t="n">
        <v>3.5</v>
      </c>
      <c r="E68" s="1075"/>
      <c r="F68" s="78" t="s">
        <v>1618</v>
      </c>
      <c r="G68" s="1353"/>
      <c r="H68" s="2017"/>
      <c r="I68" s="2017"/>
      <c r="J68" s="16" t="s">
        <v>1439</v>
      </c>
      <c r="K68" s="1773" t="n">
        <f aca="false">IF(C68="N",D68*H$67,0)</f>
        <v>0</v>
      </c>
      <c r="L68" s="1773"/>
      <c r="N68" s="1309" t="n">
        <f aca="false">IF(C68="y",H$67*D68,0)</f>
        <v>12083.925</v>
      </c>
      <c r="O68" s="1309"/>
      <c r="P68" s="1306" t="s">
        <v>1069</v>
      </c>
      <c r="Q68" s="920" t="s">
        <v>1453</v>
      </c>
      <c r="R68" s="78"/>
      <c r="S68" s="1311" t="n">
        <v>0</v>
      </c>
      <c r="T68" s="78" t="s">
        <v>1711</v>
      </c>
      <c r="U68" s="1308" t="n">
        <f aca="false">Pricing!Q43</f>
        <v>105</v>
      </c>
      <c r="V68" s="78" t="s">
        <v>630</v>
      </c>
      <c r="W68" s="1309" t="n">
        <f aca="false">U68*S68</f>
        <v>0</v>
      </c>
    </row>
    <row r="69" s="1414" customFormat="true" ht="18" hidden="false" customHeight="true" outlineLevel="0" collapsed="false">
      <c r="A69" s="507" t="s">
        <v>1443</v>
      </c>
      <c r="B69" s="405"/>
      <c r="C69" s="1074" t="s">
        <v>1306</v>
      </c>
      <c r="D69" s="1075" t="n">
        <v>1</v>
      </c>
      <c r="E69" s="1075"/>
      <c r="F69" s="78" t="s">
        <v>1618</v>
      </c>
      <c r="G69" s="1353"/>
      <c r="H69" s="2017"/>
      <c r="I69" s="2017"/>
      <c r="J69" s="16" t="s">
        <v>1439</v>
      </c>
      <c r="K69" s="1773" t="n">
        <f aca="false">IF(C69="N",D69*H$67,0)</f>
        <v>0</v>
      </c>
      <c r="L69" s="1773"/>
      <c r="N69" s="2018" t="n">
        <f aca="false">IF(C69="y",H$67*D69,0)</f>
        <v>3452.55</v>
      </c>
      <c r="O69" s="2018"/>
      <c r="P69" s="1306" t="s">
        <v>1069</v>
      </c>
      <c r="Q69" s="920" t="s">
        <v>1712</v>
      </c>
      <c r="R69" s="78"/>
      <c r="S69" s="1311" t="n">
        <f aca="false">I72</f>
        <v>652</v>
      </c>
      <c r="T69" s="78" t="s">
        <v>836</v>
      </c>
      <c r="U69" s="1308" t="n">
        <v>8.5</v>
      </c>
      <c r="V69" s="78"/>
      <c r="W69" s="1309" t="n">
        <f aca="false">U69*S69</f>
        <v>5542</v>
      </c>
    </row>
    <row r="70" s="1414" customFormat="true" ht="18" hidden="false" customHeight="true" outlineLevel="0" collapsed="false">
      <c r="A70" s="507" t="s">
        <v>1444</v>
      </c>
      <c r="B70" s="405"/>
      <c r="C70" s="1074" t="s">
        <v>1306</v>
      </c>
      <c r="D70" s="1075" t="n">
        <v>0.25</v>
      </c>
      <c r="E70" s="1075"/>
      <c r="F70" s="78" t="s">
        <v>1618</v>
      </c>
      <c r="G70" s="16"/>
      <c r="H70" s="2017"/>
      <c r="I70" s="2017"/>
      <c r="J70" s="16" t="s">
        <v>1439</v>
      </c>
      <c r="K70" s="1773" t="n">
        <f aca="false">IF(C70="N",D70*H$67,0)</f>
        <v>0</v>
      </c>
      <c r="L70" s="1773"/>
      <c r="N70" s="1309" t="n">
        <f aca="false">IF(C70="y",H$67*D70,0)</f>
        <v>863.1375</v>
      </c>
      <c r="O70" s="1309"/>
      <c r="P70" s="1306" t="s">
        <v>1713</v>
      </c>
      <c r="Q70" s="920" t="s">
        <v>1714</v>
      </c>
      <c r="R70" s="78"/>
      <c r="S70" s="1311"/>
      <c r="T70" s="78" t="s">
        <v>1454</v>
      </c>
      <c r="U70" s="1308" t="n">
        <v>500</v>
      </c>
      <c r="V70" s="78"/>
      <c r="W70" s="1309" t="n">
        <f aca="false">U70*S70</f>
        <v>0</v>
      </c>
    </row>
    <row r="71" s="1414" customFormat="true" ht="18" hidden="false" customHeight="true" outlineLevel="0" collapsed="false">
      <c r="A71" s="507" t="s">
        <v>1307</v>
      </c>
      <c r="B71" s="405"/>
      <c r="C71" s="1074" t="s">
        <v>1306</v>
      </c>
      <c r="D71" s="2019" t="n">
        <v>450</v>
      </c>
      <c r="E71" s="2019"/>
      <c r="F71" s="78" t="s">
        <v>1308</v>
      </c>
      <c r="G71" s="16"/>
      <c r="H71" s="1042"/>
      <c r="I71" s="1042" t="n">
        <f aca="false">(K56/2000)</f>
        <v>16.8639161304947</v>
      </c>
      <c r="J71" s="16" t="s">
        <v>1309</v>
      </c>
      <c r="K71" s="1773" t="n">
        <f aca="false">IF(C71="N",D71*I71,0)</f>
        <v>0</v>
      </c>
      <c r="L71" s="1773"/>
      <c r="N71" s="1309" t="n">
        <f aca="false">IF(C71="y",I71*D71,0)</f>
        <v>7588.76225872263</v>
      </c>
      <c r="O71" s="1309"/>
      <c r="P71" s="1306" t="s">
        <v>1069</v>
      </c>
      <c r="Q71" s="920"/>
      <c r="R71" s="78"/>
      <c r="S71" s="1311"/>
      <c r="T71" s="78" t="s">
        <v>1018</v>
      </c>
      <c r="U71" s="1308"/>
      <c r="V71" s="78"/>
      <c r="W71" s="1309" t="n">
        <f aca="false">U71*S71</f>
        <v>0</v>
      </c>
    </row>
    <row r="72" s="1414" customFormat="true" ht="18" hidden="false" customHeight="true" outlineLevel="0" collapsed="false">
      <c r="A72" s="507" t="s">
        <v>1715</v>
      </c>
      <c r="B72" s="405"/>
      <c r="C72" s="1074" t="s">
        <v>1306</v>
      </c>
      <c r="D72" s="1075" t="n">
        <v>10</v>
      </c>
      <c r="E72" s="1075"/>
      <c r="F72" s="78" t="s">
        <v>1338</v>
      </c>
      <c r="G72" s="16"/>
      <c r="H72" s="1042"/>
      <c r="I72" s="1042" t="n">
        <f aca="false">DI37</f>
        <v>652</v>
      </c>
      <c r="J72" s="16" t="s">
        <v>1259</v>
      </c>
      <c r="K72" s="1773" t="n">
        <f aca="false">IF(C72="N",D72*I72,0)</f>
        <v>0</v>
      </c>
      <c r="L72" s="1773"/>
      <c r="N72" s="1309" t="n">
        <f aca="false">IF(C72="y",I72*D72,0)</f>
        <v>6520</v>
      </c>
      <c r="O72" s="1309"/>
      <c r="P72" s="1306" t="s">
        <v>1069</v>
      </c>
      <c r="Q72" s="920"/>
      <c r="R72" s="78"/>
      <c r="S72" s="1311"/>
      <c r="T72" s="78" t="s">
        <v>1018</v>
      </c>
      <c r="U72" s="1308"/>
      <c r="V72" s="78"/>
      <c r="W72" s="1309" t="n">
        <f aca="false">U72*S72</f>
        <v>0</v>
      </c>
    </row>
    <row r="73" s="1414" customFormat="true" ht="18" hidden="false" customHeight="true" outlineLevel="0" collapsed="false">
      <c r="A73" s="507" t="s">
        <v>1716</v>
      </c>
      <c r="B73" s="405"/>
      <c r="C73" s="1074" t="s">
        <v>1306</v>
      </c>
      <c r="D73" s="1075" t="n">
        <v>12</v>
      </c>
      <c r="E73" s="1075"/>
      <c r="F73" s="78" t="s">
        <v>1285</v>
      </c>
      <c r="G73" s="16"/>
      <c r="H73" s="1042"/>
      <c r="I73" s="1042" t="n">
        <f aca="false">SUM(DD10:DD35)</f>
        <v>181</v>
      </c>
      <c r="J73" s="16" t="s">
        <v>998</v>
      </c>
      <c r="K73" s="1773" t="n">
        <f aca="false">IF(C73="N",D73*I73,0)</f>
        <v>0</v>
      </c>
      <c r="L73" s="1773"/>
      <c r="N73" s="1309" t="n">
        <f aca="false">IF(C73="y",I73*D73,0)</f>
        <v>2172</v>
      </c>
      <c r="O73" s="1309"/>
      <c r="P73" s="1306" t="s">
        <v>1069</v>
      </c>
      <c r="Q73" s="920"/>
      <c r="R73" s="78"/>
      <c r="S73" s="1311"/>
      <c r="T73" s="78"/>
      <c r="U73" s="1308"/>
      <c r="V73" s="78"/>
      <c r="W73" s="1309" t="n">
        <f aca="false">U73*S73</f>
        <v>0</v>
      </c>
    </row>
    <row r="74" s="1414" customFormat="true" ht="18" hidden="false" customHeight="true" outlineLevel="0" collapsed="false">
      <c r="A74" s="507" t="s">
        <v>1660</v>
      </c>
      <c r="B74" s="405"/>
      <c r="C74" s="1074" t="s">
        <v>1306</v>
      </c>
      <c r="D74" s="1075" t="n">
        <v>8</v>
      </c>
      <c r="E74" s="1075"/>
      <c r="F74" s="78" t="s">
        <v>1285</v>
      </c>
      <c r="G74" s="16"/>
      <c r="H74" s="1042"/>
      <c r="I74" s="1042" t="n">
        <f aca="false">SUM(DF10:DF35)</f>
        <v>979</v>
      </c>
      <c r="J74" s="16" t="s">
        <v>998</v>
      </c>
      <c r="K74" s="1773" t="n">
        <f aca="false">IF(C74="N",D74*I74,0)</f>
        <v>0</v>
      </c>
      <c r="L74" s="1773"/>
      <c r="N74" s="1309" t="n">
        <f aca="false">IF(C74="y",I74*D74,0)</f>
        <v>7832</v>
      </c>
      <c r="O74" s="1309"/>
      <c r="P74" s="1306" t="s">
        <v>1069</v>
      </c>
      <c r="Q74" s="920"/>
      <c r="R74" s="78"/>
      <c r="S74" s="1311"/>
      <c r="T74" s="78"/>
      <c r="U74" s="1308"/>
      <c r="V74" s="78"/>
      <c r="W74" s="1309" t="n">
        <f aca="false">U74*S74</f>
        <v>0</v>
      </c>
    </row>
    <row r="75" s="1414" customFormat="true" ht="18" hidden="false" customHeight="true" outlineLevel="0" collapsed="false">
      <c r="A75" s="1747" t="s">
        <v>1313</v>
      </c>
      <c r="B75" s="1082"/>
      <c r="C75" s="1083" t="s">
        <v>1306</v>
      </c>
      <c r="D75" s="1084" t="n">
        <v>0</v>
      </c>
      <c r="E75" s="1084"/>
      <c r="F75" s="1358"/>
      <c r="G75" s="397"/>
      <c r="H75" s="1055"/>
      <c r="I75" s="1055"/>
      <c r="J75" s="397"/>
      <c r="K75" s="1789" t="n">
        <f aca="false">IF(C75="N",D75*I75,0)</f>
        <v>0</v>
      </c>
      <c r="L75" s="1789"/>
      <c r="M75" s="397"/>
      <c r="N75" s="1326" t="n">
        <f aca="false">IF(C75="y",D75,0)</f>
        <v>0</v>
      </c>
      <c r="O75" s="1326"/>
      <c r="P75" s="1306" t="s">
        <v>1069</v>
      </c>
      <c r="Q75" s="920"/>
      <c r="R75" s="78"/>
      <c r="S75" s="1311"/>
      <c r="T75" s="78"/>
      <c r="U75" s="1308"/>
      <c r="V75" s="78"/>
      <c r="W75" s="1309" t="n">
        <f aca="false">U75*S75</f>
        <v>0</v>
      </c>
    </row>
    <row r="76" s="1414" customFormat="true" ht="18" hidden="false" customHeight="true" outlineLevel="0" collapsed="false">
      <c r="A76" s="1087" t="s">
        <v>1447</v>
      </c>
      <c r="B76" s="1088"/>
      <c r="C76" s="1089"/>
      <c r="D76" s="1090" t="n">
        <f aca="false">IF(H67=0,0,(N76-N75+K76)/H67)</f>
        <v>24.0468541875974</v>
      </c>
      <c r="E76" s="2020"/>
      <c r="F76" s="855"/>
      <c r="G76" s="1058"/>
      <c r="H76" s="1088" t="s">
        <v>980</v>
      </c>
      <c r="I76" s="1088"/>
      <c r="J76" s="1088"/>
      <c r="K76" s="1791" t="n">
        <f aca="false">SUM(K66:L75)</f>
        <v>0</v>
      </c>
      <c r="L76" s="1791"/>
      <c r="M76" s="246"/>
      <c r="N76" s="736" t="n">
        <f aca="false">SUM(N66:O75)</f>
        <v>83022.9664253893</v>
      </c>
      <c r="O76" s="736"/>
      <c r="P76" s="1306" t="s">
        <v>1069</v>
      </c>
      <c r="Q76" s="1357"/>
      <c r="R76" s="1358"/>
      <c r="S76" s="1359"/>
      <c r="T76" s="2021"/>
      <c r="U76" s="1360"/>
      <c r="V76" s="1358"/>
      <c r="W76" s="1326" t="n">
        <f aca="false">U76*S76</f>
        <v>0</v>
      </c>
    </row>
    <row r="77" s="1414" customFormat="true" ht="18" hidden="false" customHeight="true" outlineLevel="0" collapsed="false">
      <c r="A77" s="2022" t="s">
        <v>1449</v>
      </c>
      <c r="B77" s="2022"/>
      <c r="C77" s="2022"/>
      <c r="D77" s="2022"/>
      <c r="E77" s="2022"/>
      <c r="F77" s="2022"/>
      <c r="G77" s="2022"/>
      <c r="H77" s="2022"/>
      <c r="I77" s="2022"/>
      <c r="J77" s="2022"/>
      <c r="K77" s="2022"/>
      <c r="L77" s="2022"/>
      <c r="M77" s="2022"/>
      <c r="N77" s="2022"/>
      <c r="O77" s="2022"/>
      <c r="P77" s="1306" t="s">
        <v>1448</v>
      </c>
      <c r="Q77" s="920" t="s">
        <v>601</v>
      </c>
      <c r="R77" s="78"/>
      <c r="S77" s="1311" t="n">
        <f aca="false">ROUNDUP(K64*0.55*S51,0)</f>
        <v>760</v>
      </c>
      <c r="T77" s="78" t="s">
        <v>1312</v>
      </c>
      <c r="U77" s="1308" t="n">
        <f aca="false">Pricing!Q26</f>
        <v>0.45</v>
      </c>
      <c r="V77" s="78" t="s">
        <v>595</v>
      </c>
      <c r="W77" s="1309" t="n">
        <f aca="false">S77*U77</f>
        <v>342</v>
      </c>
    </row>
    <row r="78" s="1414" customFormat="true" ht="18" hidden="false" customHeight="true" outlineLevel="0" collapsed="false">
      <c r="A78" s="1794" t="s">
        <v>1316</v>
      </c>
      <c r="B78" s="2016"/>
      <c r="C78" s="1097"/>
      <c r="D78" s="1098" t="n">
        <v>10</v>
      </c>
      <c r="E78" s="2016" t="s">
        <v>1317</v>
      </c>
      <c r="F78" s="2023" t="n">
        <v>425</v>
      </c>
      <c r="G78" s="2024" t="s">
        <v>1450</v>
      </c>
      <c r="H78" s="1068"/>
      <c r="I78" s="1068"/>
      <c r="J78" s="1068"/>
      <c r="K78" s="1068"/>
      <c r="L78" s="1101" t="n">
        <f aca="false">IF(D40=0,0,(SUM(N78:O81))/D40)</f>
        <v>0.0260248668958471</v>
      </c>
      <c r="M78" s="1101"/>
      <c r="N78" s="2025" t="n">
        <f aca="false">D78*F78</f>
        <v>4250</v>
      </c>
      <c r="O78" s="2025"/>
      <c r="P78" s="1306" t="n">
        <v>39</v>
      </c>
      <c r="Q78" s="920" t="s">
        <v>604</v>
      </c>
      <c r="R78" s="78"/>
      <c r="S78" s="1311" t="n">
        <f aca="false">E36/4</f>
        <v>163</v>
      </c>
      <c r="T78" s="78" t="s">
        <v>1312</v>
      </c>
      <c r="U78" s="1308" t="n">
        <f aca="false">Pricing!Q27</f>
        <v>0.75</v>
      </c>
      <c r="V78" s="78" t="s">
        <v>1312</v>
      </c>
      <c r="W78" s="1309" t="n">
        <f aca="false">S78*U78</f>
        <v>122.25</v>
      </c>
    </row>
    <row r="79" s="1414" customFormat="true" ht="18" hidden="false" customHeight="true" outlineLevel="0" collapsed="false">
      <c r="A79" s="507" t="s">
        <v>1318</v>
      </c>
      <c r="B79" s="78"/>
      <c r="C79" s="78"/>
      <c r="D79" s="1103" t="n">
        <v>5</v>
      </c>
      <c r="E79" s="2026" t="s">
        <v>1317</v>
      </c>
      <c r="F79" s="2027" t="n">
        <v>250</v>
      </c>
      <c r="G79" s="2028" t="s">
        <v>1450</v>
      </c>
      <c r="H79" s="16"/>
      <c r="I79" s="16"/>
      <c r="J79" s="16"/>
      <c r="K79" s="16"/>
      <c r="L79" s="2029" t="n">
        <f aca="false">SUM(N78:O80)</f>
        <v>6000</v>
      </c>
      <c r="M79" s="2029"/>
      <c r="N79" s="2030" t="n">
        <f aca="false">D79*F79</f>
        <v>1250</v>
      </c>
      <c r="O79" s="2030"/>
      <c r="P79" s="1306" t="s">
        <v>1451</v>
      </c>
      <c r="Q79" s="920" t="s">
        <v>1657</v>
      </c>
      <c r="R79" s="78"/>
      <c r="S79" s="1311" t="n">
        <f aca="false">H67/350</f>
        <v>9.86442857142857</v>
      </c>
      <c r="T79" s="78" t="s">
        <v>1452</v>
      </c>
      <c r="U79" s="1308" t="n">
        <f aca="false">Pricing!Q28</f>
        <v>45</v>
      </c>
      <c r="V79" s="78" t="s">
        <v>607</v>
      </c>
      <c r="W79" s="1309" t="n">
        <f aca="false">S79*U79</f>
        <v>443.899285714286</v>
      </c>
    </row>
    <row r="80" s="1414" customFormat="true" ht="18" hidden="false" customHeight="true" outlineLevel="0" collapsed="false">
      <c r="A80" s="78" t="s">
        <v>1320</v>
      </c>
      <c r="B80" s="78"/>
      <c r="C80" s="78"/>
      <c r="D80" s="2031" t="n">
        <v>5</v>
      </c>
      <c r="E80" s="78"/>
      <c r="F80" s="2032" t="n">
        <v>100</v>
      </c>
      <c r="G80" s="78"/>
      <c r="H80" s="16"/>
      <c r="I80" s="16"/>
      <c r="J80" s="16"/>
      <c r="K80" s="16"/>
      <c r="L80" s="2033"/>
      <c r="M80" s="2033"/>
      <c r="N80" s="2030" t="n">
        <f aca="false">D80*F80</f>
        <v>500</v>
      </c>
      <c r="O80" s="2030"/>
      <c r="P80" s="1306"/>
      <c r="Q80" s="920"/>
      <c r="R80" s="78"/>
      <c r="S80" s="1311"/>
      <c r="T80" s="78"/>
      <c r="U80" s="1308"/>
      <c r="V80" s="78"/>
      <c r="W80" s="1309" t="n">
        <f aca="false">S80*U80</f>
        <v>0</v>
      </c>
    </row>
    <row r="81" s="1414" customFormat="true" ht="18" hidden="false" customHeight="true" outlineLevel="0" collapsed="false">
      <c r="A81" s="1798" t="s">
        <v>1320</v>
      </c>
      <c r="B81" s="1826"/>
      <c r="C81" s="1826"/>
      <c r="D81" s="1110" t="n">
        <v>0</v>
      </c>
      <c r="E81" s="1826" t="s">
        <v>1317</v>
      </c>
      <c r="F81" s="2034" t="n">
        <v>200</v>
      </c>
      <c r="G81" s="1826" t="s">
        <v>1450</v>
      </c>
      <c r="H81" s="1058"/>
      <c r="I81" s="1058"/>
      <c r="J81" s="1058"/>
      <c r="K81" s="1058"/>
      <c r="L81" s="1372" t="n">
        <f aca="false">IF(D40=0,0,N81/D40)</f>
        <v>0</v>
      </c>
      <c r="M81" s="1372"/>
      <c r="N81" s="730" t="n">
        <f aca="false">D81*F81</f>
        <v>0</v>
      </c>
      <c r="O81" s="730"/>
      <c r="P81" s="1306" t="s">
        <v>1069</v>
      </c>
      <c r="Q81" s="920" t="s">
        <v>1717</v>
      </c>
      <c r="R81" s="78"/>
      <c r="S81" s="1311" t="n">
        <f aca="false">H67/30</f>
        <v>115.085</v>
      </c>
      <c r="T81" s="78" t="s">
        <v>1312</v>
      </c>
      <c r="U81" s="1308" t="n">
        <v>15</v>
      </c>
      <c r="V81" s="78" t="s">
        <v>595</v>
      </c>
      <c r="W81" s="1309" t="n">
        <f aca="false">S81*U81</f>
        <v>1726.275</v>
      </c>
    </row>
    <row r="82" s="1414" customFormat="true" ht="18" hidden="false" customHeight="true" outlineLevel="0" collapsed="false">
      <c r="A82" s="2022" t="s">
        <v>1325</v>
      </c>
      <c r="B82" s="2022"/>
      <c r="C82" s="2022"/>
      <c r="D82" s="2022"/>
      <c r="E82" s="2022"/>
      <c r="F82" s="2022"/>
      <c r="G82" s="2022"/>
      <c r="H82" s="2022"/>
      <c r="I82" s="2022"/>
      <c r="J82" s="2022"/>
      <c r="K82" s="2022"/>
      <c r="L82" s="2022"/>
      <c r="M82" s="2022"/>
      <c r="N82" s="2022"/>
      <c r="O82" s="2022"/>
      <c r="P82" s="1306" t="s">
        <v>1069</v>
      </c>
      <c r="Q82" s="1044" t="s">
        <v>1643</v>
      </c>
      <c r="R82" s="397"/>
      <c r="S82" s="2035" t="n">
        <f aca="false">SUM(K51:L55)/300</f>
        <v>0.949535349794239</v>
      </c>
      <c r="T82" s="397" t="s">
        <v>1323</v>
      </c>
      <c r="U82" s="1108" t="n">
        <v>250</v>
      </c>
      <c r="V82" s="397" t="s">
        <v>1324</v>
      </c>
      <c r="W82" s="1326" t="n">
        <f aca="false">S82*U82</f>
        <v>237.38383744856</v>
      </c>
    </row>
    <row r="83" s="1414" customFormat="true" ht="18" hidden="false" customHeight="true" outlineLevel="0" collapsed="false">
      <c r="A83" s="1794" t="s">
        <v>1326</v>
      </c>
      <c r="B83" s="1799"/>
      <c r="C83" s="1800"/>
      <c r="D83" s="1098" t="n">
        <v>0</v>
      </c>
      <c r="E83" s="2016" t="s">
        <v>1327</v>
      </c>
      <c r="F83" s="2023" t="n">
        <f aca="false">Pricing!D32</f>
        <v>425</v>
      </c>
      <c r="G83" s="2016" t="s">
        <v>1450</v>
      </c>
      <c r="H83" s="1068"/>
      <c r="I83" s="1068"/>
      <c r="J83" s="1068"/>
      <c r="K83" s="1068"/>
      <c r="L83" s="1068"/>
      <c r="M83" s="1068"/>
      <c r="N83" s="1369" t="n">
        <f aca="false">(IF(AND(D83&gt;0,D83&lt;4),D83*F83,0)+IF(AND(D83&gt;3,D83&lt;8),F83*3,0)+IF(AND(D83&gt;7,D83&lt;21),D83/7*F83*3,0)+IF(AND(D83&gt;20,D83&lt;30),F83*9,0)+IF(D83&gt;29,D83/30*F83*9,0))*(1+V$39+I$85)</f>
        <v>0</v>
      </c>
      <c r="O83" s="1369"/>
      <c r="P83" s="1306" t="s">
        <v>1073</v>
      </c>
      <c r="Q83" s="920" t="s">
        <v>618</v>
      </c>
      <c r="R83" s="78"/>
      <c r="S83" s="1311"/>
      <c r="T83" s="78" t="s">
        <v>1452</v>
      </c>
      <c r="U83" s="1308" t="n">
        <f aca="false">Pricing!Q31</f>
        <v>27</v>
      </c>
      <c r="V83" s="78" t="s">
        <v>607</v>
      </c>
      <c r="W83" s="1309" t="n">
        <f aca="false">S83*U83</f>
        <v>0</v>
      </c>
    </row>
    <row r="84" s="1414" customFormat="true" ht="18" hidden="false" customHeight="true" outlineLevel="0" collapsed="false">
      <c r="A84" s="507" t="s">
        <v>622</v>
      </c>
      <c r="B84" s="1312"/>
      <c r="C84" s="1801"/>
      <c r="D84" s="1115" t="n">
        <f aca="false">IF(D$78&gt;0,IF(D$78&lt;=3,D$78,7),0)+IF(D$78&gt;5,IF(D$78&lt;=10,7,0),0)+IF(D$78&gt;10,IF(D$78&lt;=15,14,0),0)+IF(D$78&gt;15,IF(D$78&lt;=20,23,0),0)+IF(D$78&gt;20,IF(D$78&lt;=40,53,0),0)+IF(D$78&gt;40,IF(D$78&lt;=60,83,0),0)+IF(D$78&gt;60,IF(D$78&lt;=80,113,0),0)+IF(D$78&gt;80,IF(D$78&lt;=100,143,0),0)+IF(D$78&gt;100,IF(D$78&lt;=120,163,0),0)+IF(D$78&gt;120,IF(D$78&lt;=140,193,0),0)+IF(D$78&gt;140,IF(D$78&lt;=160,223,0),0)</f>
        <v>14</v>
      </c>
      <c r="E84" s="78" t="s">
        <v>1327</v>
      </c>
      <c r="F84" s="2023" t="n">
        <f aca="false">Pricing!D33</f>
        <v>475</v>
      </c>
      <c r="G84" s="78" t="s">
        <v>1450</v>
      </c>
      <c r="H84" s="16"/>
      <c r="I84" s="1118" t="s">
        <v>1329</v>
      </c>
      <c r="J84" s="1118"/>
      <c r="K84" s="16"/>
      <c r="L84" s="1119" t="n">
        <f aca="false">IF(D40=0,0,(SUM(N83:O88))/D40)</f>
        <v>0.035917569424631</v>
      </c>
      <c r="M84" s="1119"/>
      <c r="N84" s="2030" t="n">
        <f aca="false">(IF(AND(D84&gt;0,D84&lt;4),D84*F84,0)+IF(AND(D84&gt;3,D84&lt;8),F84*3,0)+IF(AND(D84&gt;7,D84&lt;21),D84/7*F84*3,0)+IF(AND(D84&gt;20,D84&lt;30),F84*9,0)+IF(D84&gt;29,D84/30*F84*9,0))*(1+V$39+I$85)</f>
        <v>4510.125</v>
      </c>
      <c r="O84" s="2030"/>
      <c r="P84" s="1306" t="s">
        <v>1073</v>
      </c>
      <c r="Q84" s="920" t="s">
        <v>1457</v>
      </c>
      <c r="R84" s="78"/>
      <c r="S84" s="1311" t="n">
        <v>0</v>
      </c>
      <c r="T84" s="78" t="s">
        <v>1511</v>
      </c>
      <c r="U84" s="1308" t="n">
        <f aca="false">Pricing!Q32</f>
        <v>1.25</v>
      </c>
      <c r="V84" s="78" t="s">
        <v>1417</v>
      </c>
      <c r="W84" s="1309" t="n">
        <f aca="false">U84*S84</f>
        <v>0</v>
      </c>
    </row>
    <row r="85" s="1414" customFormat="true" ht="18" hidden="false" customHeight="true" outlineLevel="0" collapsed="false">
      <c r="A85" s="507" t="s">
        <v>626</v>
      </c>
      <c r="B85" s="1312"/>
      <c r="C85" s="1801"/>
      <c r="D85" s="1115" t="n">
        <f aca="false">IF(D$78&gt;0,IF(D$78&lt;=3,D$78,7),0)+IF(D$78&gt;5,IF(D$78&lt;=10,7,0),0)+IF(D$78&gt;10,IF(D$78&lt;=15,14,0),0)+IF(D$78&gt;15,IF(D$78&lt;=20,23,0),0)+IF(D$78&gt;20,IF(D$78&lt;=40,53,0),0)+IF(D$78&gt;40,IF(D$78&lt;=60,83,0),0)+IF(D$78&gt;60,IF(D$78&lt;=80,113,0),0)+IF(D$78&gt;80,IF(D$78&lt;=100,143,0),0)+IF(D$78&gt;100,IF(D$78&lt;=120,163,0),0)+IF(D$78&gt;120,IF(D$78&lt;=140,193,0),0)+IF(D$78&gt;140,IF(D$78&lt;=160,223,0),0)</f>
        <v>14</v>
      </c>
      <c r="E85" s="78" t="s">
        <v>1327</v>
      </c>
      <c r="F85" s="2027" t="n">
        <v>275</v>
      </c>
      <c r="G85" s="78" t="s">
        <v>1450</v>
      </c>
      <c r="H85" s="16"/>
      <c r="I85" s="2036" t="n">
        <v>0.5</v>
      </c>
      <c r="J85" s="2036"/>
      <c r="K85" s="16"/>
      <c r="L85" s="2029" t="n">
        <f aca="false">SUM(N83:O88)</f>
        <v>8280.75</v>
      </c>
      <c r="M85" s="2029"/>
      <c r="N85" s="2030" t="n">
        <f aca="false">(IF(AND(D85&gt;0,D85&lt;4),D85*F85,0)+IF(AND(D85&gt;3,D85&lt;8),F85*3,0)+IF(AND(D85&gt;7,D85&lt;21),D85/7*F85*3,0)+IF(AND(D85&gt;20,D85&lt;30),F85*9,0)+IF(D85&gt;29,D85/30*F85*9,0))*(1+V$39+I$85)</f>
        <v>2611.125</v>
      </c>
      <c r="O85" s="2030"/>
      <c r="P85" s="1306" t="s">
        <v>1073</v>
      </c>
      <c r="Q85" s="1357" t="s">
        <v>554</v>
      </c>
      <c r="R85" s="1358"/>
      <c r="S85" s="1359" t="n">
        <f aca="false">K56</f>
        <v>33727.8322609895</v>
      </c>
      <c r="T85" s="1358" t="s">
        <v>1288</v>
      </c>
      <c r="U85" s="1360" t="n">
        <v>0.04</v>
      </c>
      <c r="V85" s="1358" t="s">
        <v>555</v>
      </c>
      <c r="W85" s="1326" t="n">
        <f aca="false">U85*S85</f>
        <v>1349.11329043958</v>
      </c>
    </row>
    <row r="86" s="1414" customFormat="true" ht="18" hidden="false" customHeight="true" outlineLevel="0" collapsed="false">
      <c r="A86" s="507" t="s">
        <v>1332</v>
      </c>
      <c r="B86" s="1312"/>
      <c r="C86" s="1801"/>
      <c r="D86" s="1115" t="n">
        <f aca="false">IF(D$78&gt;0,IF(D$78&lt;=3,D$78,7),0)+IF(D$78&gt;5,IF(D$78&lt;=10,7,0),0)+IF(D$78&gt;10,IF(D$78&lt;=15,14,0),0)+IF(D$78&gt;15,IF(D$78&lt;=20,23,0),0)+IF(D$78&gt;20,IF(D$78&lt;=40,53,0),0)+IF(D$78&gt;40,IF(D$78&lt;=60,83,0),0)+IF(D$78&gt;60,IF(D$78&lt;=80,113,0),0)+IF(D$78&gt;80,IF(D$78&lt;=100,143,0),0)+IF(D$78&gt;100,IF(D$78&lt;=120,163,0),0)+IF(D$78&gt;120,IF(D$78&lt;=140,193,0),0)+IF(D$78&gt;140,IF(D$78&lt;=160,223,0),0)</f>
        <v>14</v>
      </c>
      <c r="E86" s="78" t="s">
        <v>1327</v>
      </c>
      <c r="F86" s="2027" t="n">
        <f aca="false">Pricing!D39</f>
        <v>100</v>
      </c>
      <c r="G86" s="78" t="s">
        <v>1450</v>
      </c>
      <c r="H86" s="16"/>
      <c r="I86" s="2036"/>
      <c r="J86" s="2036"/>
      <c r="K86" s="16"/>
      <c r="L86" s="16"/>
      <c r="M86" s="16"/>
      <c r="N86" s="1309" t="n">
        <f aca="false">(IF(AND(D86&gt;0,D86&lt;4),D86*F86,0)+IF(AND(D86&gt;3,D86&lt;8),F86*3,0)+IF(AND(D86&gt;7,D86&lt;21),D86/7*F86*3,0)+IF(AND(D86&gt;20,D86&lt;30),F86*9,0)+IF(D86&gt;29,D86/30*F86*9,0))*(1+V$39+I$85)</f>
        <v>949.5</v>
      </c>
      <c r="O86" s="1309"/>
      <c r="P86" s="1306" t="s">
        <v>1078</v>
      </c>
      <c r="Q86" s="920" t="s">
        <v>1105</v>
      </c>
      <c r="R86" s="78"/>
      <c r="S86" s="1311"/>
      <c r="T86" s="78"/>
      <c r="U86" s="1308"/>
      <c r="V86" s="78"/>
      <c r="W86" s="1309" t="n">
        <v>0</v>
      </c>
    </row>
    <row r="87" s="1414" customFormat="true" ht="18" hidden="false" customHeight="true" outlineLevel="0" collapsed="false">
      <c r="A87" s="507" t="s">
        <v>1333</v>
      </c>
      <c r="B87" s="1312"/>
      <c r="C87" s="1801"/>
      <c r="D87" s="1115" t="n">
        <v>0</v>
      </c>
      <c r="E87" s="78" t="s">
        <v>1327</v>
      </c>
      <c r="F87" s="2027" t="n">
        <v>50</v>
      </c>
      <c r="G87" s="78" t="s">
        <v>1450</v>
      </c>
      <c r="H87" s="16"/>
      <c r="I87" s="16"/>
      <c r="J87" s="16"/>
      <c r="K87" s="16"/>
      <c r="L87" s="16"/>
      <c r="M87" s="16"/>
      <c r="N87" s="1309" t="n">
        <f aca="false">(IF(AND(D87&gt;0,D87&lt;4),D87*F87,0)+IF(AND(D87&gt;3,D87&lt;8),F87*3,0)+IF(AND(D87&gt;7,D87&lt;21),D87/7*F87*3,0)+IF(AND(D87&gt;20,D87&lt;30),F87*9,0)+IF(D87&gt;29,D87/30*F87*9,0))*(1+V$39+I$85)</f>
        <v>0</v>
      </c>
      <c r="O87" s="1309"/>
      <c r="P87" s="1306" t="s">
        <v>1328</v>
      </c>
      <c r="Q87" s="920" t="s">
        <v>1105</v>
      </c>
      <c r="R87" s="78"/>
      <c r="S87" s="1311"/>
      <c r="T87" s="78"/>
      <c r="U87" s="1308"/>
      <c r="V87" s="78"/>
      <c r="W87" s="1309" t="n">
        <v>0</v>
      </c>
    </row>
    <row r="88" s="1414" customFormat="true" ht="18" hidden="false" customHeight="true" outlineLevel="0" collapsed="false">
      <c r="A88" s="1798" t="s">
        <v>1067</v>
      </c>
      <c r="B88" s="1804"/>
      <c r="C88" s="1805"/>
      <c r="D88" s="2037" t="n">
        <f aca="false">IF(D$78&gt;0,IF(D$78&lt;=3,D$78,7),0)+IF(D$78&gt;5,IF(D$78&lt;=10,7,0),0)+IF(D$78&gt;10,IF(D$78&lt;=15,14,0),0)+IF(D$78&gt;15,IF(D$78&lt;=20,23,0),0)+IF(D$78&gt;20,IF(D$78&lt;=40,53,0),0)+IF(D$78&gt;40,IF(D$78&lt;=60,83,0),0)+IF(D$78&gt;60,IF(D$78&lt;=80,113,0),0)+IF(D$78&gt;80,IF(D$78&lt;=100,143,0),0)+IF(D$78&gt;100,IF(D$78&lt;=120,163,0),0)+IF(D$78&gt;120,IF(D$78&lt;=140,193,0),0)+IF(D$78&gt;140,IF(D$78&lt;=160,223,0),0)</f>
        <v>14</v>
      </c>
      <c r="E88" s="1826" t="s">
        <v>1327</v>
      </c>
      <c r="F88" s="2034" t="n">
        <v>35</v>
      </c>
      <c r="G88" s="1826" t="s">
        <v>1450</v>
      </c>
      <c r="H88" s="1058"/>
      <c r="I88" s="1058"/>
      <c r="J88" s="1058"/>
      <c r="K88" s="1058"/>
      <c r="L88" s="1127"/>
      <c r="M88" s="1058"/>
      <c r="N88" s="730" t="n">
        <f aca="false">(IF(AND(D88&gt;0,D88&lt;4),D88*F88,0)+IF(AND(D88&gt;3,D88&lt;8),F88*3,0)+IF(AND(D88&gt;7,D88&lt;21),D88/7*F88*3,0)+IF(AND(D88&gt;20,D88&lt;30),F88*9,0)+IF(D88&gt;29,D88/30*F88*9,0))</f>
        <v>210</v>
      </c>
      <c r="O88" s="730"/>
      <c r="P88" s="1306" t="s">
        <v>1330</v>
      </c>
      <c r="Q88" s="1357" t="s">
        <v>1108</v>
      </c>
      <c r="R88" s="1358"/>
      <c r="S88" s="1359"/>
      <c r="T88" s="1358"/>
      <c r="U88" s="1360"/>
      <c r="V88" s="1358"/>
      <c r="W88" s="1326" t="n">
        <v>0</v>
      </c>
    </row>
    <row r="89" s="1414" customFormat="true" ht="18" hidden="false" customHeight="true" outlineLevel="0" collapsed="false">
      <c r="A89" s="2022" t="s">
        <v>1336</v>
      </c>
      <c r="B89" s="2022"/>
      <c r="C89" s="2022"/>
      <c r="D89" s="2022"/>
      <c r="E89" s="2022"/>
      <c r="F89" s="2022"/>
      <c r="G89" s="2022"/>
      <c r="H89" s="2022"/>
      <c r="I89" s="2022"/>
      <c r="J89" s="2022"/>
      <c r="K89" s="2022"/>
      <c r="L89" s="2022"/>
      <c r="M89" s="2022"/>
      <c r="N89" s="2022"/>
      <c r="O89" s="2022"/>
      <c r="P89" s="1306" t="s">
        <v>1342</v>
      </c>
      <c r="Q89" s="599"/>
      <c r="R89" s="16"/>
      <c r="S89" s="1037"/>
      <c r="T89" s="16"/>
      <c r="U89" s="922"/>
      <c r="V89" s="16"/>
      <c r="W89" s="2011"/>
    </row>
    <row r="90" s="1414" customFormat="true" ht="18" hidden="false" customHeight="true" outlineLevel="0" collapsed="false">
      <c r="A90" s="1794" t="s">
        <v>1458</v>
      </c>
      <c r="B90" s="2038"/>
      <c r="C90" s="2039"/>
      <c r="D90" s="2040" t="n">
        <f aca="false">W36</f>
        <v>285</v>
      </c>
      <c r="E90" s="1800" t="s">
        <v>998</v>
      </c>
      <c r="F90" s="1383" t="n">
        <v>10</v>
      </c>
      <c r="G90" s="2016" t="s">
        <v>1285</v>
      </c>
      <c r="H90" s="1068"/>
      <c r="I90" s="1068"/>
      <c r="J90" s="1068"/>
      <c r="K90" s="1068"/>
      <c r="L90" s="1068"/>
      <c r="M90" s="1068"/>
      <c r="N90" s="1369" t="n">
        <f aca="false">D90*F90</f>
        <v>2850</v>
      </c>
      <c r="O90" s="1369"/>
      <c r="P90" s="1306" t="s">
        <v>1342</v>
      </c>
      <c r="Q90" s="599" t="s">
        <v>646</v>
      </c>
      <c r="R90" s="16"/>
      <c r="S90" s="1037" t="n">
        <f aca="false">ROUNDUP(H67/300/55,0)</f>
        <v>1</v>
      </c>
      <c r="T90" s="16" t="s">
        <v>1720</v>
      </c>
      <c r="U90" s="922" t="n">
        <f aca="false">Pricing!Q44</f>
        <v>567.5</v>
      </c>
      <c r="V90" s="16" t="s">
        <v>647</v>
      </c>
      <c r="W90" s="1309" t="n">
        <f aca="false">U90*S90</f>
        <v>567.5</v>
      </c>
    </row>
    <row r="91" s="1414" customFormat="true" ht="18" hidden="false" customHeight="true" outlineLevel="0" collapsed="false">
      <c r="A91" s="507" t="s">
        <v>1721</v>
      </c>
      <c r="B91" s="528"/>
      <c r="C91" s="895"/>
      <c r="D91" s="2041" t="n">
        <v>0</v>
      </c>
      <c r="E91" s="78" t="s">
        <v>1418</v>
      </c>
      <c r="F91" s="1337" t="n">
        <v>5.25</v>
      </c>
      <c r="G91" s="78" t="s">
        <v>600</v>
      </c>
      <c r="H91" s="16"/>
      <c r="I91" s="16"/>
      <c r="J91" s="16"/>
      <c r="K91" s="16"/>
      <c r="L91" s="16"/>
      <c r="M91" s="16"/>
      <c r="N91" s="1309" t="n">
        <f aca="false">D91*F91</f>
        <v>0</v>
      </c>
      <c r="O91" s="1309"/>
      <c r="P91" s="1306" t="s">
        <v>1342</v>
      </c>
      <c r="Q91" s="1044" t="s">
        <v>649</v>
      </c>
      <c r="R91" s="397"/>
      <c r="S91" s="1107" t="n">
        <f aca="false">BN66</f>
        <v>0</v>
      </c>
      <c r="T91" s="397" t="s">
        <v>1720</v>
      </c>
      <c r="U91" s="1108" t="n">
        <f aca="false">Pricing!Q45</f>
        <v>542</v>
      </c>
      <c r="V91" s="397" t="s">
        <v>647</v>
      </c>
      <c r="W91" s="1326" t="n">
        <f aca="false">U91*S91</f>
        <v>0</v>
      </c>
    </row>
    <row r="92" s="1414" customFormat="true" ht="18" hidden="false" customHeight="true" outlineLevel="0" collapsed="false">
      <c r="A92" s="507" t="s">
        <v>1462</v>
      </c>
      <c r="B92" s="528"/>
      <c r="C92" s="895"/>
      <c r="D92" s="2041"/>
      <c r="E92" s="2026" t="s">
        <v>1341</v>
      </c>
      <c r="F92" s="1337" t="n">
        <v>0.25</v>
      </c>
      <c r="G92" s="78" t="s">
        <v>1341</v>
      </c>
      <c r="H92" s="16"/>
      <c r="I92" s="16"/>
      <c r="J92" s="16"/>
      <c r="K92" s="16"/>
      <c r="L92" s="16"/>
      <c r="M92" s="16"/>
      <c r="N92" s="1309" t="n">
        <f aca="false">D92*F92</f>
        <v>0</v>
      </c>
      <c r="O92" s="1309"/>
      <c r="P92" s="1306"/>
      <c r="Q92" s="599"/>
      <c r="R92" s="16"/>
      <c r="S92" s="16"/>
      <c r="T92" s="16"/>
      <c r="U92" s="905"/>
      <c r="V92" s="16"/>
      <c r="W92" s="1146"/>
    </row>
    <row r="93" s="1414" customFormat="true" ht="18" hidden="false" customHeight="true" outlineLevel="0" collapsed="false">
      <c r="A93" s="2042" t="s">
        <v>1067</v>
      </c>
      <c r="B93" s="2043"/>
      <c r="C93" s="2044"/>
      <c r="D93" s="2045"/>
      <c r="E93" s="2046" t="s">
        <v>1000</v>
      </c>
      <c r="F93" s="2047" t="n">
        <v>1000</v>
      </c>
      <c r="G93" s="2048" t="s">
        <v>1624</v>
      </c>
      <c r="H93" s="16"/>
      <c r="I93" s="16"/>
      <c r="J93" s="16"/>
      <c r="K93" s="16"/>
      <c r="L93" s="16"/>
      <c r="M93" s="170"/>
      <c r="N93" s="1309" t="n">
        <f aca="false">D93*F93</f>
        <v>0</v>
      </c>
      <c r="O93" s="1309"/>
      <c r="P93" s="1306"/>
      <c r="Q93" s="1151" t="s">
        <v>1349</v>
      </c>
      <c r="R93" s="5"/>
      <c r="S93" s="994" t="n">
        <v>18</v>
      </c>
      <c r="T93" s="994" t="s">
        <v>1350</v>
      </c>
      <c r="U93" s="16"/>
      <c r="V93" s="16"/>
      <c r="W93" s="1152"/>
    </row>
    <row r="94" s="1414" customFormat="true" ht="18" hidden="false" customHeight="true" outlineLevel="0" collapsed="false">
      <c r="A94" s="507" t="s">
        <v>1234</v>
      </c>
      <c r="B94" s="528"/>
      <c r="C94" s="895"/>
      <c r="D94" s="2041"/>
      <c r="E94" s="1308" t="s">
        <v>1285</v>
      </c>
      <c r="F94" s="1337" t="n">
        <v>6</v>
      </c>
      <c r="G94" s="78" t="s">
        <v>1285</v>
      </c>
      <c r="H94" s="16"/>
      <c r="I94" s="16"/>
      <c r="J94" s="16"/>
      <c r="K94" s="16"/>
      <c r="L94" s="16"/>
      <c r="M94" s="170"/>
      <c r="N94" s="1309" t="n">
        <f aca="false">D94*F94</f>
        <v>0</v>
      </c>
      <c r="O94" s="1309"/>
      <c r="P94" s="1306" t="s">
        <v>1072</v>
      </c>
      <c r="Q94" s="602" t="s">
        <v>1353</v>
      </c>
      <c r="R94" s="1058"/>
      <c r="S94" s="1058" t="n">
        <f aca="false">S64*12/S93</f>
        <v>0</v>
      </c>
      <c r="T94" s="1058" t="s">
        <v>1354</v>
      </c>
      <c r="U94" s="1162" t="n">
        <f aca="false">Pricing!D30</f>
        <v>1</v>
      </c>
      <c r="V94" s="1162"/>
      <c r="W94" s="2049" t="n">
        <f aca="false">U94*S94</f>
        <v>0</v>
      </c>
    </row>
    <row r="95" s="1414" customFormat="true" ht="18" hidden="false" customHeight="true" outlineLevel="0" collapsed="false">
      <c r="A95" s="1798" t="s">
        <v>1346</v>
      </c>
      <c r="B95" s="1605"/>
      <c r="C95" s="1609"/>
      <c r="D95" s="2050"/>
      <c r="E95" s="2051" t="s">
        <v>1347</v>
      </c>
      <c r="F95" s="2052" t="n">
        <v>200</v>
      </c>
      <c r="G95" s="1826" t="s">
        <v>620</v>
      </c>
      <c r="H95" s="1058"/>
      <c r="I95" s="1058"/>
      <c r="J95" s="1058"/>
      <c r="K95" s="1058"/>
      <c r="L95" s="1058"/>
      <c r="M95" s="1058"/>
      <c r="N95" s="730" t="n">
        <f aca="false">D95*F95</f>
        <v>0</v>
      </c>
      <c r="O95" s="730"/>
      <c r="P95" s="654"/>
      <c r="Q95" s="654"/>
      <c r="R95" s="654"/>
      <c r="S95" s="654"/>
      <c r="T95" s="654"/>
      <c r="U95" s="654"/>
      <c r="V95" s="654"/>
      <c r="W95" s="1393" t="n">
        <f aca="false">SUM(W52:W94)</f>
        <v>28658.4720025087</v>
      </c>
    </row>
    <row r="96" s="1414" customFormat="true" ht="18" hidden="false" customHeight="true" outlineLevel="0" collapsed="false">
      <c r="A96" s="1394" t="s">
        <v>1191</v>
      </c>
      <c r="B96" s="1394"/>
      <c r="C96" s="1394"/>
      <c r="D96" s="1395" t="n">
        <f aca="false">Summary!P60</f>
        <v>0</v>
      </c>
      <c r="E96" s="1396" t="s">
        <v>1465</v>
      </c>
      <c r="F96" s="2053" t="n">
        <f aca="false">(SUM(N51:O64)+SUM(N66:O75)+SUM(K66:L75)+SUM(N78:O81)+SUM(N83:O88)+SUM(N90:O95))*D96</f>
        <v>0</v>
      </c>
      <c r="G96" s="1398" t="s">
        <v>1039</v>
      </c>
      <c r="H96" s="1398"/>
      <c r="I96" s="1398"/>
      <c r="J96" s="1398"/>
      <c r="K96" s="1398"/>
      <c r="L96" s="1398"/>
      <c r="M96" s="1398"/>
      <c r="N96" s="1399" t="n">
        <f aca="false">F96</f>
        <v>0</v>
      </c>
      <c r="O96" s="1399"/>
      <c r="P96" s="654"/>
      <c r="Q96" s="654"/>
      <c r="R96" s="654"/>
      <c r="S96" s="654"/>
      <c r="T96" s="654"/>
      <c r="U96" s="654"/>
      <c r="V96" s="654"/>
      <c r="W96" s="654"/>
    </row>
    <row r="97" s="1414" customFormat="true" ht="18" hidden="false" customHeight="true" outlineLevel="0" collapsed="false">
      <c r="A97" s="949"/>
      <c r="B97" s="950"/>
      <c r="C97" s="950"/>
      <c r="D97" s="950"/>
      <c r="E97" s="950"/>
      <c r="F97" s="950"/>
      <c r="G97" s="950"/>
      <c r="H97" s="950"/>
      <c r="I97" s="950"/>
      <c r="J97" s="950"/>
      <c r="K97" s="954"/>
      <c r="L97" s="950"/>
      <c r="M97" s="950"/>
      <c r="N97" s="950"/>
      <c r="O97" s="950"/>
      <c r="P97" s="950"/>
      <c r="Q97" s="950"/>
      <c r="R97" s="950"/>
      <c r="S97" s="950"/>
      <c r="T97" s="950"/>
      <c r="U97" s="950"/>
      <c r="V97" s="950"/>
      <c r="W97" s="957"/>
    </row>
    <row r="98" s="1414" customFormat="true" ht="18" hidden="false" customHeight="true" outlineLevel="0" collapsed="false">
      <c r="A98" s="1642" t="s">
        <v>1262</v>
      </c>
      <c r="B98" s="1643"/>
      <c r="C98" s="1644"/>
      <c r="D98" s="1642" t="s">
        <v>982</v>
      </c>
      <c r="E98" s="1644"/>
      <c r="F98" s="1642" t="s">
        <v>1263</v>
      </c>
      <c r="G98" s="1643"/>
      <c r="H98" s="1644"/>
      <c r="I98" s="1167" t="s">
        <v>1264</v>
      </c>
      <c r="J98" s="1168"/>
      <c r="K98" s="1169"/>
      <c r="L98" s="1170" t="s">
        <v>1265</v>
      </c>
      <c r="M98" s="1171"/>
      <c r="N98" s="1171"/>
      <c r="O98" s="1172"/>
      <c r="P98" s="961"/>
      <c r="Q98" s="599" t="s">
        <v>1266</v>
      </c>
      <c r="R98" s="16"/>
      <c r="S98" s="16" t="s">
        <v>1267</v>
      </c>
      <c r="T98" s="1173" t="str">
        <f aca="false">T39</f>
        <v>N</v>
      </c>
      <c r="U98" s="833" t="s">
        <v>1268</v>
      </c>
      <c r="V98" s="1401" t="n">
        <f aca="false">V39</f>
        <v>0.0825</v>
      </c>
      <c r="W98" s="964"/>
    </row>
    <row r="99" s="1414" customFormat="true" ht="18" hidden="false" customHeight="true" outlineLevel="0" collapsed="false">
      <c r="A99" s="965" t="s">
        <v>1269</v>
      </c>
      <c r="B99" s="966" t="n">
        <f aca="false">B40</f>
        <v>66.7763622735276</v>
      </c>
      <c r="C99" s="966"/>
      <c r="D99" s="967" t="n">
        <f aca="false">D40</f>
        <v>230548.729567468</v>
      </c>
      <c r="E99" s="967"/>
      <c r="F99" s="968" t="n">
        <f aca="false">F40</f>
        <v>0.130434782608696</v>
      </c>
      <c r="G99" s="736" t="n">
        <f aca="false">G40</f>
        <v>30071.5734218436</v>
      </c>
      <c r="H99" s="736"/>
      <c r="I99" s="1651" t="n">
        <f aca="false">I40</f>
        <v>58.0664019769805</v>
      </c>
      <c r="J99" s="1652"/>
      <c r="K99" s="1653"/>
      <c r="L99" s="1402" t="n">
        <f aca="false">L40</f>
        <v>0.15</v>
      </c>
      <c r="M99" s="1402"/>
      <c r="N99" s="1402"/>
      <c r="O99" s="1402"/>
      <c r="P99" s="1265"/>
      <c r="Q99" s="970" t="s">
        <v>980</v>
      </c>
      <c r="R99" s="16"/>
      <c r="S99" s="16"/>
      <c r="T99" s="971" t="n">
        <f aca="false">S40</f>
        <v>200477.156145624</v>
      </c>
      <c r="U99" s="971"/>
      <c r="V99" s="16"/>
      <c r="W99" s="964"/>
    </row>
    <row r="100" s="1414" customFormat="true" ht="18" hidden="false" customHeight="true" outlineLevel="0" collapsed="false">
      <c r="A100" s="979"/>
      <c r="B100" s="973"/>
      <c r="C100" s="973"/>
      <c r="D100" s="973"/>
      <c r="E100" s="973"/>
      <c r="F100" s="973"/>
      <c r="G100" s="973"/>
      <c r="H100" s="973"/>
      <c r="I100" s="973"/>
      <c r="J100" s="973"/>
      <c r="K100" s="973"/>
      <c r="L100" s="973"/>
      <c r="M100" s="973"/>
      <c r="N100" s="973"/>
      <c r="O100" s="973"/>
      <c r="P100" s="973"/>
      <c r="Q100" s="973"/>
      <c r="R100" s="973"/>
      <c r="S100" s="973"/>
      <c r="T100" s="973"/>
      <c r="U100" s="973"/>
      <c r="V100" s="973"/>
      <c r="W100" s="984"/>
    </row>
    <row r="101" s="1414"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14"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14" customFormat="true" ht="15" hidden="false" customHeight="false" outlineLevel="0" collapsed="false">
      <c r="A103" s="717" t="s">
        <v>1055</v>
      </c>
      <c r="B103" s="1403" t="s">
        <v>853</v>
      </c>
      <c r="C103" s="719"/>
      <c r="D103" s="722" t="n">
        <f aca="false">D104-T99</f>
        <v>0</v>
      </c>
      <c r="E103" s="654"/>
      <c r="F103" s="654"/>
      <c r="G103" s="654"/>
      <c r="H103" s="654"/>
      <c r="I103" s="654"/>
      <c r="J103" s="654"/>
      <c r="K103" s="654"/>
      <c r="L103" s="654"/>
      <c r="M103" s="654"/>
      <c r="N103" s="654"/>
      <c r="O103" s="654"/>
      <c r="P103" s="654"/>
      <c r="Q103" s="654"/>
      <c r="R103" s="654"/>
      <c r="S103" s="654"/>
    </row>
    <row r="104" s="1414" customFormat="true" ht="15" hidden="false" customHeight="false" outlineLevel="0" collapsed="false">
      <c r="A104" s="733" t="s">
        <v>1070</v>
      </c>
      <c r="B104" s="735"/>
      <c r="C104" s="735"/>
      <c r="D104" s="736" t="n">
        <f aca="false">SUM(D105:D161)-D137-D147</f>
        <v>200477.156145624</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04" t="n">
        <f aca="false">Summary!P74</f>
        <v>40001</v>
      </c>
      <c r="B105" s="741" t="str">
        <f aca="false">Summary!Q74</f>
        <v>General Requirements</v>
      </c>
      <c r="C105" s="318"/>
      <c r="D105" s="742" t="n">
        <f aca="false">SUM(L100:M102)</f>
        <v>0</v>
      </c>
    </row>
    <row r="106" customFormat="false" ht="15" hidden="false" customHeight="false" outlineLevel="0" collapsed="false">
      <c r="A106" s="1404" t="n">
        <f aca="false">Summary!P75</f>
        <v>40002</v>
      </c>
      <c r="B106" s="741" t="str">
        <f aca="false">Summary!Q75</f>
        <v>Lumber</v>
      </c>
      <c r="C106" s="318"/>
      <c r="D106" s="751" t="n">
        <f aca="false">SUM(W51:W76)+W77+W78+W79+W81+W82</f>
        <v>26741.8587120691</v>
      </c>
    </row>
    <row r="107" customFormat="false" ht="15" hidden="false" customHeight="false" outlineLevel="0" collapsed="false">
      <c r="A107" s="1404" t="n">
        <f aca="false">Summary!P76</f>
        <v>40003</v>
      </c>
      <c r="B107" s="741" t="str">
        <f aca="false">Summary!Q76</f>
        <v>Sand Material</v>
      </c>
      <c r="C107" s="318"/>
      <c r="D107" s="751" t="n">
        <f aca="false">N59</f>
        <v>7680</v>
      </c>
    </row>
    <row r="108" customFormat="false" ht="15" hidden="false" customHeight="false" outlineLevel="0" collapsed="false">
      <c r="A108" s="1404" t="n">
        <f aca="false">Summary!P77</f>
        <v>40004</v>
      </c>
      <c r="B108" s="741" t="str">
        <f aca="false">Summary!Q77</f>
        <v>Rock Material</v>
      </c>
      <c r="C108" s="318"/>
      <c r="D108" s="751" t="n">
        <f aca="false">N60</f>
        <v>0</v>
      </c>
    </row>
    <row r="109" customFormat="false" ht="15" hidden="false" customHeight="false" outlineLevel="0" collapsed="false">
      <c r="A109" s="1404" t="n">
        <f aca="false">Summary!P78</f>
        <v>40005</v>
      </c>
      <c r="B109" s="741" t="str">
        <f aca="false">Summary!Q78</f>
        <v>Reinforcement Material</v>
      </c>
      <c r="C109" s="318"/>
      <c r="D109" s="751" t="n">
        <f aca="false">N56+N57</f>
        <v>20080.7081323866</v>
      </c>
    </row>
    <row r="110" customFormat="false" ht="15" hidden="false" customHeight="false" outlineLevel="0" collapsed="false">
      <c r="A110" s="1404" t="n">
        <f aca="false">Summary!P79</f>
        <v>40006</v>
      </c>
      <c r="B110" s="741" t="str">
        <f aca="false">Summary!Q79</f>
        <v>Reinforcement Accessories</v>
      </c>
      <c r="C110" s="318"/>
      <c r="D110" s="751" t="n">
        <f aca="false">SUM(W83:DA85)+W94</f>
        <v>1349.11329043958</v>
      </c>
    </row>
    <row r="111" customFormat="false" ht="15" hidden="false" customHeight="false" outlineLevel="0" collapsed="false">
      <c r="A111" s="1404" t="n">
        <f aca="false">Summary!P80</f>
        <v>40007</v>
      </c>
      <c r="B111" s="741" t="str">
        <f aca="false">Summary!Q80</f>
        <v>PT Cables</v>
      </c>
      <c r="C111" s="318"/>
      <c r="D111" s="751" t="n">
        <f aca="false">N58</f>
        <v>0</v>
      </c>
    </row>
    <row r="112" customFormat="false" ht="15" hidden="false" customHeight="false" outlineLevel="0" collapsed="false">
      <c r="A112" s="1404" t="n">
        <f aca="false">Summary!P81</f>
        <v>40008</v>
      </c>
      <c r="B112" s="741" t="str">
        <f aca="false">Summary!Q81</f>
        <v>Concrete Material</v>
      </c>
      <c r="C112" s="318"/>
      <c r="D112" s="751" t="n">
        <f aca="false">SUM(N51:O55)</f>
        <v>43904.2595853395</v>
      </c>
    </row>
    <row r="113" customFormat="false" ht="15" hidden="false" customHeight="false" outlineLevel="0" collapsed="false">
      <c r="A113" s="1404" t="n">
        <f aca="false">Summary!P82</f>
        <v>40009</v>
      </c>
      <c r="B113" s="741" t="str">
        <f aca="false">Summary!Q82</f>
        <v>Carton Forms</v>
      </c>
      <c r="C113" s="318"/>
      <c r="D113" s="751" t="n">
        <f aca="false">SUM(N61:O63)</f>
        <v>0</v>
      </c>
    </row>
    <row r="114" customFormat="false" ht="15" hidden="false" customHeight="false" outlineLevel="0" collapsed="false">
      <c r="A114" s="1404" t="n">
        <f aca="false">Summary!P83</f>
        <v>40010</v>
      </c>
      <c r="B114" s="741" t="str">
        <f aca="false">Summary!Q83</f>
        <v>Cure/Sealers</v>
      </c>
      <c r="C114" s="318"/>
      <c r="D114" s="751" t="n">
        <f aca="false">SUM(W89:W91)</f>
        <v>567.5</v>
      </c>
    </row>
    <row r="115" customFormat="false" ht="15" hidden="false" customHeight="false" outlineLevel="0" collapsed="false">
      <c r="A115" s="1404" t="n">
        <f aca="false">Summary!P84</f>
        <v>40011</v>
      </c>
      <c r="B115" s="741" t="str">
        <f aca="false">Summary!Q84</f>
        <v>Patch/Grout</v>
      </c>
      <c r="C115" s="318"/>
      <c r="D115" s="751"/>
    </row>
    <row r="116" customFormat="false" ht="15" hidden="false" customHeight="false" outlineLevel="0" collapsed="false">
      <c r="A116" s="1404" t="n">
        <f aca="false">Summary!P85</f>
        <v>40012</v>
      </c>
      <c r="B116" s="741" t="str">
        <f aca="false">Summary!Q85</f>
        <v>Poly/Vapor Barrier</v>
      </c>
      <c r="C116" s="318"/>
      <c r="D116" s="751"/>
    </row>
    <row r="117" customFormat="false" ht="15" hidden="false" customHeight="false" outlineLevel="0" collapsed="false">
      <c r="A117" s="1404" t="n">
        <f aca="false">Summary!P86</f>
        <v>40013</v>
      </c>
      <c r="B117" s="741" t="s">
        <v>1105</v>
      </c>
      <c r="C117" s="318"/>
      <c r="D117" s="751" t="n">
        <f aca="false">W86</f>
        <v>0</v>
      </c>
    </row>
    <row r="118" customFormat="false" ht="15" hidden="false" customHeight="false" outlineLevel="0" collapsed="false">
      <c r="A118" s="1404" t="n">
        <f aca="false">Summary!P87</f>
        <v>40014</v>
      </c>
      <c r="B118" s="741" t="s">
        <v>1105</v>
      </c>
      <c r="C118" s="318"/>
      <c r="D118" s="751" t="n">
        <f aca="false">W87</f>
        <v>0</v>
      </c>
    </row>
    <row r="119" customFormat="false" ht="15" hidden="false" customHeight="false" outlineLevel="0" collapsed="false">
      <c r="A119" s="1404" t="n">
        <f aca="false">Summary!P88</f>
        <v>40015</v>
      </c>
      <c r="B119" s="741" t="s">
        <v>1108</v>
      </c>
      <c r="C119" s="318"/>
      <c r="D119" s="751" t="n">
        <f aca="false">W88</f>
        <v>0</v>
      </c>
    </row>
    <row r="120" customFormat="false" ht="15" hidden="false" customHeight="false" outlineLevel="0" collapsed="false">
      <c r="A120" s="1404" t="n">
        <f aca="false">Summary!P89</f>
        <v>40020</v>
      </c>
      <c r="B120" s="741" t="str">
        <f aca="false">Summary!Q89</f>
        <v>Supervision</v>
      </c>
      <c r="C120" s="318"/>
      <c r="D120" s="751" t="n">
        <f aca="false">SUM(N78:O79)</f>
        <v>5500</v>
      </c>
    </row>
    <row r="121" customFormat="false" ht="15" hidden="false" customHeight="false" outlineLevel="0" collapsed="false">
      <c r="A121" s="1404" t="n">
        <f aca="false">Summary!P90</f>
        <v>40021</v>
      </c>
      <c r="B121" s="741" t="str">
        <f aca="false">Summary!Q90</f>
        <v>Supervision Expense</v>
      </c>
      <c r="C121" s="318"/>
      <c r="D121" s="751" t="n">
        <f aca="false">SUM(N80)</f>
        <v>500</v>
      </c>
    </row>
    <row r="122" customFormat="false" ht="15" hidden="false" customHeight="false" outlineLevel="0" collapsed="false">
      <c r="A122" s="1404" t="n">
        <f aca="false">Summary!P91</f>
        <v>40022</v>
      </c>
      <c r="B122" s="741" t="str">
        <f aca="false">Summary!Q91</f>
        <v>Project Management</v>
      </c>
      <c r="C122" s="318"/>
      <c r="D122" s="751" t="n">
        <f aca="false">N81</f>
        <v>0</v>
      </c>
    </row>
    <row r="123" customFormat="false" ht="15" hidden="false" customHeight="false" outlineLevel="0" collapsed="false">
      <c r="A123" s="1404" t="n">
        <f aca="false">Summary!P92</f>
        <v>40023</v>
      </c>
      <c r="B123" s="741" t="str">
        <f aca="false">Summary!Q92</f>
        <v>Labor Grade, Poly, Reinf.</v>
      </c>
      <c r="C123" s="318"/>
      <c r="D123" s="751" t="n">
        <f aca="false">K66</f>
        <v>0</v>
      </c>
    </row>
    <row r="124" customFormat="false" ht="15" hidden="false" customHeight="false" outlineLevel="0" collapsed="false">
      <c r="A124" s="1404" t="n">
        <f aca="false">Summary!P93</f>
        <v>40024</v>
      </c>
      <c r="B124" s="741" t="str">
        <f aca="false">Summary!Q93</f>
        <v>Labor Place &amp; Finish</v>
      </c>
      <c r="C124" s="318"/>
      <c r="D124" s="1405" t="n">
        <f aca="false">K68</f>
        <v>0</v>
      </c>
    </row>
    <row r="125" customFormat="false" ht="15" hidden="false" customHeight="false" outlineLevel="0" collapsed="false">
      <c r="A125" s="1404" t="n">
        <f aca="false">Summary!P94</f>
        <v>40025</v>
      </c>
      <c r="B125" s="741" t="str">
        <f aca="false">Summary!Q94</f>
        <v>Labor Drops</v>
      </c>
      <c r="C125" s="318"/>
      <c r="D125" s="751" t="n">
        <f aca="false">K70</f>
        <v>0</v>
      </c>
    </row>
    <row r="126" customFormat="false" ht="15" hidden="false" customHeight="false" outlineLevel="0" collapsed="false">
      <c r="A126" s="1404" t="n">
        <f aca="false">Summary!P95</f>
        <v>40026</v>
      </c>
      <c r="B126" s="741" t="str">
        <f aca="false">Summary!Q95</f>
        <v>Labor Strip Forms</v>
      </c>
      <c r="C126" s="318"/>
      <c r="D126" s="751" t="n">
        <f aca="false">K69</f>
        <v>0</v>
      </c>
    </row>
    <row r="127" customFormat="false" ht="15" hidden="false" customHeight="false" outlineLevel="0" collapsed="false">
      <c r="A127" s="1404" t="n">
        <f aca="false">Summary!P96</f>
        <v>40027</v>
      </c>
      <c r="B127" s="741" t="str">
        <f aca="false">Summary!Q96</f>
        <v>Labor Burden</v>
      </c>
      <c r="C127" s="318"/>
      <c r="D127" s="751"/>
    </row>
    <row r="128" customFormat="false" ht="15" hidden="false" customHeight="false" outlineLevel="0" collapsed="false">
      <c r="A128" s="1404" t="n">
        <f aca="false">Summary!P98</f>
        <v>40030</v>
      </c>
      <c r="B128" s="741" t="str">
        <f aca="false">Summary!Q98</f>
        <v>Pumping</v>
      </c>
      <c r="C128" s="318"/>
      <c r="D128" s="751" t="n">
        <f aca="false">N90</f>
        <v>2850</v>
      </c>
    </row>
    <row r="129" customFormat="false" ht="15" hidden="false" customHeight="false" outlineLevel="0" collapsed="false">
      <c r="A129" s="1404" t="n">
        <f aca="false">Summary!P99</f>
        <v>40031</v>
      </c>
      <c r="B129" s="741" t="str">
        <f aca="false">Summary!Q99</f>
        <v>Earth Work/Excavation</v>
      </c>
      <c r="C129" s="318"/>
      <c r="D129" s="751"/>
    </row>
    <row r="130" customFormat="false" ht="15" hidden="false" customHeight="false" outlineLevel="0" collapsed="false">
      <c r="A130" s="1404" t="n">
        <f aca="false">Summary!P100</f>
        <v>40032</v>
      </c>
      <c r="B130" s="741" t="str">
        <f aca="false">Summary!Q100</f>
        <v>Drilling</v>
      </c>
      <c r="C130" s="318"/>
      <c r="D130" s="751"/>
    </row>
    <row r="131" customFormat="false" ht="15" hidden="false" customHeight="false" outlineLevel="0" collapsed="false">
      <c r="A131" s="1404" t="n">
        <f aca="false">Summary!P101</f>
        <v>40033</v>
      </c>
      <c r="B131" s="741" t="str">
        <f aca="false">Summary!Q101</f>
        <v>Haul off</v>
      </c>
      <c r="C131" s="318"/>
      <c r="D131" s="751" t="n">
        <f aca="false">N94</f>
        <v>0</v>
      </c>
    </row>
    <row r="132" customFormat="false" ht="15" hidden="false" customHeight="false" outlineLevel="0" collapsed="false">
      <c r="A132" s="1404" t="n">
        <f aca="false">Summary!P102</f>
        <v>40034</v>
      </c>
      <c r="B132" s="741" t="str">
        <f aca="false">Summary!Q102</f>
        <v>Saw Cutting/Sealing</v>
      </c>
      <c r="C132" s="318"/>
      <c r="D132" s="751" t="n">
        <f aca="false">N92</f>
        <v>0</v>
      </c>
    </row>
    <row r="133" customFormat="false" ht="15" hidden="false" customHeight="false" outlineLevel="0" collapsed="false">
      <c r="A133" s="1404" t="n">
        <f aca="false">Summary!P103</f>
        <v>40035</v>
      </c>
      <c r="B133" s="741" t="str">
        <f aca="false">Summary!Q103</f>
        <v>Demolition</v>
      </c>
      <c r="C133" s="318"/>
      <c r="D133" s="751"/>
    </row>
    <row r="134" customFormat="false" ht="15" hidden="false" customHeight="false" outlineLevel="0" collapsed="false">
      <c r="A134" s="1404" t="n">
        <f aca="false">Summary!P104</f>
        <v>40037</v>
      </c>
      <c r="B134" s="741" t="str">
        <f aca="false">Summary!Q104</f>
        <v>Waterproofing</v>
      </c>
      <c r="C134" s="318"/>
      <c r="D134" s="751" t="n">
        <f aca="false">N91</f>
        <v>0</v>
      </c>
    </row>
    <row r="135" customFormat="false" ht="15" hidden="false" customHeight="false" outlineLevel="0" collapsed="false">
      <c r="A135" s="1404" t="n">
        <f aca="false">Summary!P105</f>
        <v>40038</v>
      </c>
      <c r="B135" s="741" t="str">
        <f aca="false">Summary!Q105</f>
        <v>Crain/Hoisting</v>
      </c>
      <c r="C135" s="318"/>
      <c r="D135" s="751"/>
    </row>
    <row r="136" customFormat="false" ht="15" hidden="false" customHeight="false" outlineLevel="0" collapsed="false">
      <c r="A136" s="1406" t="n">
        <f aca="false">Summary!P106</f>
        <v>40039</v>
      </c>
      <c r="B136" s="788" t="str">
        <f aca="false">Summary!Q106</f>
        <v>Forming Systems</v>
      </c>
      <c r="C136" s="800"/>
      <c r="D136" s="2054" t="n">
        <f aca="false">N64</f>
        <v>0</v>
      </c>
    </row>
    <row r="137" customFormat="false" ht="15" hidden="false" customHeight="false" outlineLevel="0" collapsed="false">
      <c r="A137" s="2055" t="n">
        <f aca="false">Summary!P107</f>
        <v>40040</v>
      </c>
      <c r="B137" s="2056" t="str">
        <f aca="false">Summary!Q107</f>
        <v>Total Sub Labor</v>
      </c>
      <c r="C137" s="2057"/>
      <c r="D137" s="2058" t="n">
        <f aca="false">SUM(D138:D145)</f>
        <v>83022.9664253893</v>
      </c>
    </row>
    <row r="138" customFormat="false" ht="15" hidden="false" customHeight="false" outlineLevel="0" collapsed="false">
      <c r="A138" s="1404" t="n">
        <f aca="false">Summary!P108</f>
        <v>40041</v>
      </c>
      <c r="B138" s="741" t="str">
        <f aca="false">Summary!Q108</f>
        <v>Labor Forming</v>
      </c>
      <c r="C138" s="318"/>
      <c r="D138" s="742" t="n">
        <f aca="false">N67</f>
        <v>12083.925</v>
      </c>
    </row>
    <row r="139" customFormat="false" ht="15" hidden="false" customHeight="false" outlineLevel="0" collapsed="false">
      <c r="A139" s="1404" t="n">
        <f aca="false">Summary!P109</f>
        <v>40042</v>
      </c>
      <c r="B139" s="741" t="str">
        <f aca="false">Summary!Q109</f>
        <v>Labor Grade, Poly, Reinf.</v>
      </c>
      <c r="C139" s="749"/>
      <c r="D139" s="742" t="n">
        <f aca="false">N66+N74+N73</f>
        <v>40430.6666666667</v>
      </c>
    </row>
    <row r="140" customFormat="false" ht="15" hidden="false" customHeight="false" outlineLevel="0" collapsed="false">
      <c r="A140" s="1404" t="n">
        <f aca="false">Summary!P110</f>
        <v>40043</v>
      </c>
      <c r="B140" s="741" t="str">
        <f aca="false">Summary!Q110</f>
        <v>Labor Place &amp; Finish</v>
      </c>
      <c r="C140" s="749"/>
      <c r="D140" s="742" t="n">
        <f aca="false">N68</f>
        <v>12083.925</v>
      </c>
    </row>
    <row r="141" customFormat="false" ht="15" hidden="false" customHeight="false" outlineLevel="0" collapsed="false">
      <c r="A141" s="1404" t="n">
        <f aca="false">Summary!P111</f>
        <v>40044</v>
      </c>
      <c r="B141" s="741" t="str">
        <f aca="false">Summary!Q111</f>
        <v>Labor Drops</v>
      </c>
      <c r="C141" s="749"/>
      <c r="D141" s="742"/>
    </row>
    <row r="142" customFormat="false" ht="15" hidden="false" customHeight="false" outlineLevel="0" collapsed="false">
      <c r="A142" s="1404" t="n">
        <f aca="false">Summary!P112</f>
        <v>40045</v>
      </c>
      <c r="B142" s="741" t="str">
        <f aca="false">Summary!Q112</f>
        <v>Labor Strip Forms</v>
      </c>
      <c r="C142" s="749"/>
      <c r="D142" s="742" t="n">
        <f aca="false">N69</f>
        <v>3452.55</v>
      </c>
    </row>
    <row r="143" customFormat="false" ht="15" hidden="false" customHeight="false" outlineLevel="0" collapsed="false">
      <c r="A143" s="1404" t="n">
        <f aca="false">Summary!P113</f>
        <v>40046</v>
      </c>
      <c r="B143" s="741" t="str">
        <f aca="false">Summary!Q113</f>
        <v>Labor Burden</v>
      </c>
      <c r="C143" s="318"/>
      <c r="D143" s="751" t="n">
        <f aca="false">N70+N72</f>
        <v>7383.1375</v>
      </c>
    </row>
    <row r="144" customFormat="false" ht="15" hidden="false" customHeight="false" outlineLevel="0" collapsed="false">
      <c r="A144" s="1404" t="n">
        <f aca="false">Summary!P114</f>
        <v>40047</v>
      </c>
      <c r="B144" s="741" t="str">
        <f aca="false">Summary!Q114</f>
        <v>Rebar</v>
      </c>
      <c r="C144" s="749"/>
      <c r="D144" s="742" t="n">
        <f aca="false">N71</f>
        <v>7588.76225872263</v>
      </c>
    </row>
    <row r="145" customFormat="false" ht="15" hidden="false" customHeight="false" outlineLevel="0" collapsed="false">
      <c r="A145" s="1406" t="n">
        <f aca="false">Summary!P115</f>
        <v>40048</v>
      </c>
      <c r="B145" s="788" t="str">
        <f aca="false">Summary!Q115</f>
        <v>PT Installation</v>
      </c>
      <c r="C145" s="800"/>
      <c r="D145" s="2054"/>
    </row>
    <row r="146" customFormat="false" ht="15" hidden="false" customHeight="false" outlineLevel="0" collapsed="false">
      <c r="A146" s="1406" t="n">
        <f aca="false">Summary!P116</f>
        <v>40049</v>
      </c>
      <c r="B146" s="788" t="str">
        <f aca="false">Summary!Q116</f>
        <v>Extra Hours</v>
      </c>
      <c r="C146" s="800"/>
      <c r="D146" s="756" t="n">
        <f aca="false">N75</f>
        <v>0</v>
      </c>
    </row>
    <row r="147" customFormat="false" ht="15" hidden="false" customHeight="false" outlineLevel="0" collapsed="false">
      <c r="A147" s="2055" t="n">
        <f aca="false">Summary!P117</f>
        <v>40060</v>
      </c>
      <c r="B147" s="2056" t="str">
        <f aca="false">Summary!Q117</f>
        <v>Total Equipment Rental</v>
      </c>
      <c r="C147" s="2057"/>
      <c r="D147" s="2058" t="n">
        <f aca="false">SUM(D148:D153)</f>
        <v>8280.75</v>
      </c>
    </row>
    <row r="148" customFormat="false" ht="15" hidden="false" customHeight="false" outlineLevel="0" collapsed="false">
      <c r="A148" s="1404" t="n">
        <f aca="false">Summary!P118</f>
        <v>40061</v>
      </c>
      <c r="B148" s="741" t="str">
        <f aca="false">Summary!Q118</f>
        <v>SkyTrack</v>
      </c>
      <c r="C148" s="318"/>
      <c r="D148" s="742" t="n">
        <f aca="false">N83/(1+V$39+I$85)</f>
        <v>0</v>
      </c>
    </row>
    <row r="149" customFormat="false" ht="15" hidden="false" customHeight="false" outlineLevel="0" collapsed="false">
      <c r="A149" s="1404" t="n">
        <f aca="false">Summary!P119</f>
        <v>40062</v>
      </c>
      <c r="B149" s="741" t="str">
        <f aca="false">Summary!Q119</f>
        <v>Mini Excavator</v>
      </c>
      <c r="C149" s="318"/>
      <c r="D149" s="742" t="n">
        <f aca="false">N84/(1+V$39+I$85)</f>
        <v>2850</v>
      </c>
    </row>
    <row r="150" customFormat="false" ht="15" hidden="false" customHeight="false" outlineLevel="0" collapsed="false">
      <c r="A150" s="1404" t="n">
        <f aca="false">Summary!P120</f>
        <v>40063</v>
      </c>
      <c r="B150" s="741" t="str">
        <f aca="false">Summary!Q120</f>
        <v>Trencher</v>
      </c>
      <c r="C150" s="318"/>
      <c r="D150" s="742" t="n">
        <f aca="false">N85/(1+V$39+I$85)</f>
        <v>1650</v>
      </c>
    </row>
    <row r="151" customFormat="false" ht="15" hidden="false" customHeight="false" outlineLevel="0" collapsed="false">
      <c r="A151" s="1404" t="n">
        <f aca="false">Summary!P121</f>
        <v>40064</v>
      </c>
      <c r="B151" s="741" t="str">
        <f aca="false">Summary!Q121</f>
        <v>Skid Steer</v>
      </c>
      <c r="C151" s="318"/>
      <c r="D151" s="742" t="n">
        <f aca="false">N86/(1+V$39+I$85)</f>
        <v>600</v>
      </c>
    </row>
    <row r="152" customFormat="false" ht="15" hidden="false" customHeight="false" outlineLevel="0" collapsed="false">
      <c r="A152" s="1404" t="n">
        <f aca="false">Summary!P122</f>
        <v>40065</v>
      </c>
      <c r="B152" s="741" t="str">
        <f aca="false">Summary!Q122</f>
        <v>General Equipment Rental</v>
      </c>
      <c r="C152" s="318"/>
      <c r="D152" s="742" t="n">
        <f aca="false">(N87+N88)/(1+V$39+I$85)</f>
        <v>132.701421800948</v>
      </c>
    </row>
    <row r="153" customFormat="false" ht="15" hidden="false" customHeight="false" outlineLevel="0" collapsed="false">
      <c r="A153" s="1404" t="n">
        <f aca="false">Summary!P123</f>
        <v>40066</v>
      </c>
      <c r="B153" s="741" t="str">
        <f aca="false">Summary!Q123</f>
        <v>Fuel</v>
      </c>
      <c r="C153" s="318"/>
      <c r="D153" s="742" t="n">
        <f aca="false">L85-SUM(D148:D152)</f>
        <v>3048.04857819905</v>
      </c>
    </row>
    <row r="154" customFormat="false" ht="15" hidden="false" customHeight="false" outlineLevel="0" collapsed="false">
      <c r="A154" s="1404" t="n">
        <f aca="false">Summary!P124</f>
        <v>40067</v>
      </c>
      <c r="B154" s="741" t="str">
        <f aca="false">Summary!Q124</f>
        <v>Purchased Tools</v>
      </c>
      <c r="C154" s="318"/>
      <c r="D154" s="742"/>
    </row>
    <row r="155" customFormat="false" ht="15" hidden="false" customHeight="false" outlineLevel="0" collapsed="false">
      <c r="A155" s="1404" t="n">
        <f aca="false">Summary!P125</f>
        <v>40068</v>
      </c>
      <c r="B155" s="741" t="str">
        <f aca="false">Summary!Q125</f>
        <v>Stolen/Damaged</v>
      </c>
      <c r="C155" s="318"/>
      <c r="D155" s="742"/>
    </row>
    <row r="156" customFormat="false" ht="15" hidden="false" customHeight="false" outlineLevel="0" collapsed="false">
      <c r="A156" s="1404" t="n">
        <f aca="false">Summary!P126</f>
        <v>40070</v>
      </c>
      <c r="B156" s="741" t="str">
        <f aca="false">Summary!Q126</f>
        <v>Out of Town Expense</v>
      </c>
      <c r="C156" s="318"/>
      <c r="D156" s="742" t="n">
        <f aca="false">N95</f>
        <v>0</v>
      </c>
    </row>
    <row r="157" customFormat="false" ht="15" hidden="false" customHeight="false" outlineLevel="0" collapsed="false">
      <c r="A157" s="1404" t="n">
        <f aca="false">Summary!P127</f>
        <v>40071</v>
      </c>
      <c r="B157" s="741" t="str">
        <f aca="false">Summary!Q127</f>
        <v>Miscellaneous</v>
      </c>
      <c r="C157" s="318"/>
      <c r="D157" s="751" t="n">
        <f aca="false">N93</f>
        <v>0</v>
      </c>
    </row>
    <row r="158" customFormat="false" ht="15" hidden="false" customHeight="false" outlineLevel="0" collapsed="false">
      <c r="A158" s="1404" t="n">
        <f aca="false">Summary!P128</f>
        <v>40072</v>
      </c>
      <c r="B158" s="741" t="str">
        <f aca="false">Summary!Q128</f>
        <v>Repairs</v>
      </c>
      <c r="C158" s="318"/>
      <c r="D158" s="751"/>
    </row>
    <row r="159" customFormat="false" ht="15" hidden="false" customHeight="false" outlineLevel="0" collapsed="false">
      <c r="A159" s="1404" t="n">
        <f aca="false">Summary!P129</f>
        <v>40073</v>
      </c>
      <c r="B159" s="741" t="str">
        <f aca="false">Summary!Q129</f>
        <v>Engineering</v>
      </c>
      <c r="C159" s="318"/>
      <c r="D159" s="751"/>
    </row>
    <row r="160" customFormat="false" ht="15" hidden="false" customHeight="false" outlineLevel="0" collapsed="false">
      <c r="A160" s="1404" t="n">
        <f aca="false">Summary!P130</f>
        <v>40090</v>
      </c>
      <c r="B160" s="741" t="str">
        <f aca="false">Summary!Q130</f>
        <v>Not Used</v>
      </c>
      <c r="C160" s="318"/>
      <c r="D160" s="751"/>
    </row>
    <row r="161" customFormat="false" ht="15" hidden="false" customHeight="false" outlineLevel="0" collapsed="false">
      <c r="A161" s="1404" t="n">
        <f aca="false">Summary!P131</f>
        <v>40091</v>
      </c>
      <c r="B161" s="741" t="str">
        <f aca="false">Summary!Q131</f>
        <v>Margin Contingency</v>
      </c>
      <c r="C161" s="318"/>
      <c r="D161" s="751" t="n">
        <f aca="false">N96</f>
        <v>0</v>
      </c>
    </row>
  </sheetData>
  <mergeCells count="123">
    <mergeCell ref="C6:D6"/>
    <mergeCell ref="C7:D7"/>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0:D35">
    <cfRule type="expression" priority="2" aboveAverage="0" equalAverage="0" bottom="0" percent="0" rank="0" text="" dxfId="7">
      <formula>AND(E10&lt;&gt;"",ISERROR(MATCH(D10,$A$51:$A$55,0)))</formula>
    </cfRule>
  </conditionalFormatting>
  <conditionalFormatting sqref="K50:L50">
    <cfRule type="containsText" priority="3" operator="containsText" aboveAverage="0" equalAverage="0" bottom="0" percent="0" rank="0" text="Missing Concrete" dxfId="8">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5" zoomScaleNormal="65" zoomScalePageLayoutView="70" workbookViewId="0">
      <selection pane="topLeft" activeCell="E28" activeCellId="0" sqref="E28"/>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4.82"/>
    <col collapsed="false" customWidth="true" hidden="false" outlineLevel="0" max="30" min="25"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14" customFormat="true" ht="15" hidden="false" customHeight="false" outlineLevel="0" collapsed="false">
      <c r="A1" s="710"/>
      <c r="B1" s="614"/>
      <c r="C1" s="614"/>
      <c r="D1" s="614"/>
      <c r="E1" s="614"/>
      <c r="F1" s="614"/>
      <c r="G1" s="614"/>
      <c r="H1" s="614"/>
      <c r="I1" s="614"/>
      <c r="J1" s="614"/>
      <c r="K1" s="614"/>
      <c r="L1" s="614"/>
      <c r="M1" s="614"/>
      <c r="N1" s="614"/>
      <c r="O1" s="614"/>
      <c r="P1" s="614"/>
      <c r="Q1" s="614"/>
      <c r="R1" s="614"/>
      <c r="S1" s="1068"/>
      <c r="T1" s="1197" t="s">
        <v>1193</v>
      </c>
      <c r="U1" s="1197"/>
      <c r="V1" s="1875" t="n">
        <v>37456</v>
      </c>
      <c r="W1" s="1198"/>
      <c r="AE1" s="1414" t="n">
        <f aca="false">SUM(AE67:AE127)</f>
        <v>0</v>
      </c>
    </row>
    <row r="2" s="1414" customFormat="true" ht="15" hidden="false" customHeight="false" outlineLevel="0" collapsed="false">
      <c r="A2" s="1415" t="str">
        <f aca="false">Summary!C1</f>
        <v>Trammell Crow – LBJ</v>
      </c>
      <c r="B2" s="1416"/>
      <c r="C2" s="1416"/>
      <c r="D2" s="1417"/>
      <c r="E2" s="654"/>
      <c r="F2" s="654"/>
      <c r="G2" s="406"/>
      <c r="H2" s="1268" t="s">
        <v>56</v>
      </c>
      <c r="I2" s="1068"/>
      <c r="J2" s="1202" t="s">
        <v>57</v>
      </c>
      <c r="K2" s="614"/>
      <c r="L2" s="614"/>
      <c r="M2" s="614"/>
      <c r="N2" s="1202" t="s">
        <v>1</v>
      </c>
      <c r="O2" s="1202"/>
      <c r="P2" s="1202" t="s">
        <v>1194</v>
      </c>
      <c r="Q2" s="865"/>
      <c r="R2" s="654"/>
      <c r="S2" s="654"/>
      <c r="T2" s="836" t="s">
        <v>957</v>
      </c>
      <c r="U2" s="695"/>
      <c r="V2" s="837" t="n">
        <f aca="false">Information!C7</f>
        <v>0</v>
      </c>
      <c r="W2" s="838"/>
    </row>
    <row r="3" s="1414" customFormat="true" ht="15" hidden="false" customHeight="false" outlineLevel="0" collapsed="false">
      <c r="A3" s="1420" t="n">
        <f aca="false">Summary!C2</f>
        <v>0</v>
      </c>
      <c r="B3" s="1421"/>
      <c r="C3" s="1421"/>
      <c r="D3" s="1422"/>
      <c r="E3" s="654"/>
      <c r="F3" s="654"/>
      <c r="G3" s="421"/>
      <c r="H3" s="1004" t="s">
        <v>955</v>
      </c>
      <c r="I3" s="1876" t="n">
        <f aca="false">Summary!K2</f>
        <v>0</v>
      </c>
      <c r="J3" s="1877"/>
      <c r="K3" s="1877"/>
      <c r="L3" s="1877"/>
      <c r="M3" s="1877"/>
      <c r="N3" s="1878" t="n">
        <f aca="false">Summary!O2</f>
        <v>0</v>
      </c>
      <c r="O3" s="1878"/>
      <c r="P3" s="1423" t="n">
        <f aca="false">Summary!P2</f>
        <v>0</v>
      </c>
      <c r="Q3" s="1424"/>
      <c r="R3" s="654"/>
      <c r="S3" s="654"/>
      <c r="T3" s="599"/>
      <c r="U3" s="16"/>
      <c r="V3" s="16"/>
      <c r="W3" s="843"/>
    </row>
    <row r="4" s="1414" customFormat="true" ht="15" hidden="false" customHeight="false" outlineLevel="0" collapsed="false">
      <c r="A4" s="1425" t="str">
        <f aca="false">Summary!C3</f>
        <v>Dallas, TX</v>
      </c>
      <c r="B4" s="1426"/>
      <c r="C4" s="1426"/>
      <c r="D4" s="1427"/>
      <c r="E4" s="654"/>
      <c r="F4" s="654"/>
      <c r="G4" s="421"/>
      <c r="H4" s="1004" t="s">
        <v>71</v>
      </c>
      <c r="I4" s="1879" t="n">
        <f aca="false">Summary!K3</f>
        <v>0</v>
      </c>
      <c r="J4" s="1880"/>
      <c r="K4" s="1880"/>
      <c r="L4" s="1880"/>
      <c r="M4" s="1880"/>
      <c r="N4" s="1881" t="n">
        <f aca="false">Summary!O3</f>
        <v>0</v>
      </c>
      <c r="O4" s="1881"/>
      <c r="P4" s="1428" t="n">
        <f aca="false">Summary!P3</f>
        <v>0</v>
      </c>
      <c r="Q4" s="1429"/>
      <c r="R4" s="654"/>
      <c r="S4" s="654"/>
      <c r="T4" s="599" t="s">
        <v>958</v>
      </c>
      <c r="U4" s="16"/>
      <c r="V4" s="848"/>
      <c r="W4" s="849"/>
    </row>
    <row r="5" s="1414" customFormat="true" ht="15" hidden="false" customHeight="false" outlineLevel="0" collapsed="false">
      <c r="A5" s="1041" t="s">
        <v>0</v>
      </c>
      <c r="B5" s="654"/>
      <c r="C5" s="405" t="s">
        <v>1</v>
      </c>
      <c r="D5" s="16"/>
      <c r="E5" s="654"/>
      <c r="F5" s="654"/>
      <c r="G5" s="421"/>
      <c r="H5" s="1004" t="s">
        <v>79</v>
      </c>
      <c r="I5" s="1882" t="n">
        <f aca="false">Summary!K4</f>
        <v>0</v>
      </c>
      <c r="J5" s="1883"/>
      <c r="K5" s="1883"/>
      <c r="L5" s="1883"/>
      <c r="M5" s="1883"/>
      <c r="N5" s="1432" t="n">
        <f aca="false">Summary!O4</f>
        <v>0</v>
      </c>
      <c r="O5" s="1432"/>
      <c r="P5" s="1884" t="n">
        <f aca="false">Summary!P4</f>
        <v>0</v>
      </c>
      <c r="Q5" s="1885"/>
      <c r="R5" s="654"/>
      <c r="S5" s="654"/>
      <c r="T5" s="599"/>
      <c r="U5" s="16"/>
      <c r="V5" s="16"/>
      <c r="W5" s="843"/>
    </row>
    <row r="6" s="1414" customFormat="true" ht="15" hidden="false" customHeight="false" outlineLevel="0" collapsed="false">
      <c r="A6" s="1211" t="n">
        <v>0</v>
      </c>
      <c r="B6" s="654"/>
      <c r="C6" s="851" t="n">
        <v>0</v>
      </c>
      <c r="D6" s="851"/>
      <c r="E6" s="654"/>
      <c r="F6" s="654"/>
      <c r="G6" s="685"/>
      <c r="H6" s="1212" t="s">
        <v>87</v>
      </c>
      <c r="I6" s="1886" t="n">
        <f aca="false">Summary!K5</f>
        <v>0</v>
      </c>
      <c r="J6" s="1887"/>
      <c r="K6" s="1887"/>
      <c r="L6" s="1887"/>
      <c r="M6" s="1887"/>
      <c r="N6" s="1888" t="n">
        <f aca="false">Summary!O5</f>
        <v>0</v>
      </c>
      <c r="O6" s="1888"/>
      <c r="P6" s="1889" t="n">
        <f aca="false">Summary!P5</f>
        <v>0</v>
      </c>
      <c r="Q6" s="1890"/>
      <c r="R6" s="654"/>
      <c r="S6" s="654"/>
      <c r="T6" s="602" t="s">
        <v>958</v>
      </c>
      <c r="U6" s="855"/>
      <c r="V6" s="855"/>
      <c r="W6" s="856"/>
    </row>
    <row r="7" s="1414" customFormat="true" ht="15" hidden="false" customHeight="false" outlineLevel="0" collapsed="false">
      <c r="A7" s="1214" t="n">
        <v>0</v>
      </c>
      <c r="B7" s="654"/>
      <c r="C7" s="1215" t="n">
        <v>0</v>
      </c>
      <c r="D7" s="1215"/>
      <c r="E7" s="654"/>
      <c r="F7" s="1212" t="s">
        <v>1196</v>
      </c>
      <c r="G7" s="1212"/>
      <c r="H7" s="1212"/>
      <c r="I7" s="860" t="str">
        <f aca="false">Pricing!A3</f>
        <v>SRM</v>
      </c>
      <c r="J7" s="860"/>
      <c r="K7" s="860"/>
      <c r="L7" s="860"/>
      <c r="M7" s="860"/>
      <c r="N7" s="726"/>
      <c r="O7" s="726"/>
      <c r="P7" s="726"/>
      <c r="Q7" s="726"/>
      <c r="R7" s="726"/>
      <c r="S7" s="654"/>
      <c r="T7" s="654"/>
      <c r="U7" s="654"/>
      <c r="V7" s="654"/>
      <c r="W7" s="1218"/>
    </row>
    <row r="8" s="1414" customFormat="true" ht="28.55" hidden="false" customHeight="false" outlineLevel="0" collapsed="false">
      <c r="A8" s="1219"/>
      <c r="B8" s="1891"/>
      <c r="C8" s="1892" t="s">
        <v>1660</v>
      </c>
      <c r="D8" s="1893" t="s">
        <v>1661</v>
      </c>
      <c r="E8" s="1894" t="s">
        <v>1662</v>
      </c>
      <c r="F8" s="1895"/>
      <c r="G8" s="1896"/>
      <c r="H8" s="1897" t="s">
        <v>1663</v>
      </c>
      <c r="I8" s="1895"/>
      <c r="J8" s="1896"/>
      <c r="K8" s="1897" t="s">
        <v>1664</v>
      </c>
      <c r="L8" s="1895"/>
      <c r="M8" s="1895"/>
      <c r="N8" s="1898" t="s">
        <v>1665</v>
      </c>
      <c r="O8" s="1457"/>
      <c r="P8" s="1457"/>
      <c r="Q8" s="1457" t="s">
        <v>785</v>
      </c>
      <c r="R8" s="1899" t="n">
        <v>3</v>
      </c>
      <c r="S8" s="1894" t="s">
        <v>1362</v>
      </c>
      <c r="T8" s="1457"/>
      <c r="U8" s="863"/>
      <c r="V8" s="1452" t="s">
        <v>1363</v>
      </c>
      <c r="W8" s="1673" t="s">
        <v>1219</v>
      </c>
      <c r="AI8" s="1414" t="s">
        <v>1666</v>
      </c>
      <c r="AS8" s="1414" t="s">
        <v>1667</v>
      </c>
      <c r="BJ8" s="1900" t="s">
        <v>1507</v>
      </c>
      <c r="BK8" s="1900"/>
      <c r="BL8" s="1900"/>
      <c r="BM8" s="1900"/>
      <c r="BN8" s="1900"/>
      <c r="BO8" s="1900"/>
      <c r="BP8" s="1900"/>
      <c r="BQ8" s="1900"/>
      <c r="BR8" s="1900"/>
      <c r="BS8" s="1901"/>
      <c r="BT8" s="1901"/>
      <c r="BU8" s="1901"/>
      <c r="BV8" s="1901"/>
      <c r="BW8" s="1902"/>
      <c r="DD8" s="1903" t="s">
        <v>1021</v>
      </c>
      <c r="DE8" s="1903"/>
      <c r="DF8" s="1903"/>
      <c r="DG8" s="1903"/>
      <c r="DH8" s="1904"/>
      <c r="DI8" s="1904"/>
      <c r="DJ8" s="1905"/>
    </row>
    <row r="9" s="1414" customFormat="true" ht="28.55" hidden="false" customHeight="true" outlineLevel="0" collapsed="false">
      <c r="A9" s="1906" t="s">
        <v>1668</v>
      </c>
      <c r="B9" s="1906"/>
      <c r="C9" s="1227" t="s">
        <v>1428</v>
      </c>
      <c r="D9" s="1907" t="s">
        <v>1669</v>
      </c>
      <c r="E9" s="1477" t="s">
        <v>1366</v>
      </c>
      <c r="F9" s="1226" t="s">
        <v>1670</v>
      </c>
      <c r="G9" s="1225" t="s">
        <v>1596</v>
      </c>
      <c r="H9" s="1226" t="s">
        <v>1216</v>
      </c>
      <c r="I9" s="1226" t="s">
        <v>1215</v>
      </c>
      <c r="J9" s="1477" t="s">
        <v>1671</v>
      </c>
      <c r="K9" s="1226" t="s">
        <v>1216</v>
      </c>
      <c r="L9" s="1227" t="s">
        <v>1215</v>
      </c>
      <c r="M9" s="1226" t="s">
        <v>1672</v>
      </c>
      <c r="N9" s="1908" t="s">
        <v>1673</v>
      </c>
      <c r="O9" s="1227" t="s">
        <v>1674</v>
      </c>
      <c r="P9" s="1227" t="s">
        <v>1216</v>
      </c>
      <c r="Q9" s="1227" t="s">
        <v>1215</v>
      </c>
      <c r="R9" s="1680" t="s">
        <v>1672</v>
      </c>
      <c r="S9" s="1230" t="s">
        <v>835</v>
      </c>
      <c r="T9" s="1227" t="s">
        <v>1675</v>
      </c>
      <c r="U9" s="1477" t="s">
        <v>1676</v>
      </c>
      <c r="V9" s="1480"/>
      <c r="W9" s="1682"/>
      <c r="AH9" s="1909" t="s">
        <v>1374</v>
      </c>
      <c r="AI9" s="1910" t="s">
        <v>1375</v>
      </c>
      <c r="AJ9" s="1910" t="s">
        <v>1376</v>
      </c>
      <c r="AK9" s="1910" t="s">
        <v>1377</v>
      </c>
      <c r="AL9" s="1910" t="s">
        <v>1378</v>
      </c>
      <c r="AM9" s="1910" t="s">
        <v>1522</v>
      </c>
      <c r="AN9" s="1910" t="s">
        <v>1523</v>
      </c>
      <c r="AO9" s="1910" t="s">
        <v>1524</v>
      </c>
      <c r="AP9" s="1910" t="s">
        <v>1525</v>
      </c>
      <c r="AQ9" s="1911" t="s">
        <v>1526</v>
      </c>
      <c r="AR9" s="1909" t="s">
        <v>1374</v>
      </c>
      <c r="AS9" s="1910" t="s">
        <v>1375</v>
      </c>
      <c r="AT9" s="1910" t="s">
        <v>1376</v>
      </c>
      <c r="AU9" s="1910" t="s">
        <v>1377</v>
      </c>
      <c r="AV9" s="1910" t="s">
        <v>1378</v>
      </c>
      <c r="AW9" s="1910" t="s">
        <v>1522</v>
      </c>
      <c r="AX9" s="1910" t="s">
        <v>1523</v>
      </c>
      <c r="AY9" s="1910" t="s">
        <v>1524</v>
      </c>
      <c r="AZ9" s="1910" t="s">
        <v>1525</v>
      </c>
      <c r="BA9" s="1911" t="s">
        <v>1526</v>
      </c>
      <c r="BB9" s="1414" t="s">
        <v>1677</v>
      </c>
      <c r="BC9" s="1414" t="s">
        <v>1678</v>
      </c>
      <c r="BD9" s="1414" t="s">
        <v>1385</v>
      </c>
      <c r="BE9" s="1414" t="s">
        <v>1386</v>
      </c>
      <c r="BF9" s="1414" t="s">
        <v>1387</v>
      </c>
      <c r="BG9" s="1414" t="s">
        <v>1679</v>
      </c>
      <c r="BH9" s="427" t="s">
        <v>1680</v>
      </c>
      <c r="BJ9" s="1912" t="s">
        <v>577</v>
      </c>
      <c r="BK9" s="1913" t="s">
        <v>1388</v>
      </c>
      <c r="BL9" s="1914" t="s">
        <v>1681</v>
      </c>
      <c r="BM9" s="1913" t="s">
        <v>1389</v>
      </c>
      <c r="BN9" s="1913" t="s">
        <v>1682</v>
      </c>
      <c r="BO9" s="1913" t="s">
        <v>1391</v>
      </c>
      <c r="BP9" s="1914" t="s">
        <v>1683</v>
      </c>
      <c r="BQ9" s="1913" t="s">
        <v>1393</v>
      </c>
      <c r="BR9" s="1915"/>
      <c r="BS9" s="1913" t="s">
        <v>1684</v>
      </c>
      <c r="BT9" s="1913"/>
      <c r="BU9" s="1913" t="s">
        <v>1685</v>
      </c>
      <c r="BV9" s="1913" t="s">
        <v>1686</v>
      </c>
      <c r="BW9" s="1915" t="s">
        <v>1687</v>
      </c>
      <c r="DB9" s="427" t="s">
        <v>1688</v>
      </c>
      <c r="DC9" s="427" t="s">
        <v>1689</v>
      </c>
      <c r="DD9" s="1916" t="s">
        <v>1250</v>
      </c>
      <c r="DE9" s="1917" t="s">
        <v>1396</v>
      </c>
      <c r="DF9" s="1917" t="s">
        <v>1397</v>
      </c>
      <c r="DG9" s="1917" t="s">
        <v>1690</v>
      </c>
      <c r="DH9" s="1917" t="s">
        <v>1141</v>
      </c>
      <c r="DI9" s="1917" t="s">
        <v>1691</v>
      </c>
      <c r="DJ9" s="1918" t="s">
        <v>1692</v>
      </c>
    </row>
    <row r="10" s="1414" customFormat="true" ht="15" hidden="false" customHeight="false" outlineLevel="0" collapsed="false">
      <c r="A10" s="507"/>
      <c r="B10" s="1312"/>
      <c r="C10" s="1919"/>
      <c r="D10" s="1920"/>
      <c r="E10" s="1921"/>
      <c r="F10" s="1234"/>
      <c r="G10" s="1235"/>
      <c r="H10" s="1236"/>
      <c r="I10" s="1234"/>
      <c r="J10" s="1235"/>
      <c r="K10" s="1236"/>
      <c r="L10" s="1234"/>
      <c r="M10" s="1234"/>
      <c r="N10" s="1922"/>
      <c r="O10" s="1234"/>
      <c r="P10" s="1234"/>
      <c r="Q10" s="1234"/>
      <c r="R10" s="1923"/>
      <c r="S10" s="1924"/>
      <c r="T10" s="78"/>
      <c r="U10" s="900"/>
      <c r="V10" s="1925" t="n">
        <f aca="false">((E10*I10/16*I10/16*10.680159*J10)*IF(H10=0,0,(G10/H10))+(G10/12*L10/16*L10/16*10.680159*M10)*IF(K10=0,0,(E10*12/K10))+(E10*IF(P10=0,0,N10/P10)*Q10/16*Q10/16*10.680159*R10)+(IF(P10=0,0,E10/P10*N10)*Q10/16*Q10/16*10.680159*R10)+((T10*U10*S10*0.03*0.2836*G10)/12+4)*IF(H10=0,0,(G10/H10))*I10/16*I10/16*10.680159)*(1+J$56)</f>
        <v>0</v>
      </c>
      <c r="W10" s="1926" t="n">
        <f aca="false">((E10*F10/12*G10/324)+ROUNDUP(S10*T10*U10*G10/46656,0)+(N10*O10*E10/3888))*(1+J$51)</f>
        <v>0</v>
      </c>
      <c r="AH10" s="1927" t="n">
        <f aca="false">IF($R$8=1,$N10*$O10*$E10/3888*(1+$J$51),0)</f>
        <v>0</v>
      </c>
      <c r="AI10" s="1928" t="n">
        <f aca="false">IF($R$8=2,$N10*$O10*$E10/3888*(1+$J$51),0)</f>
        <v>0</v>
      </c>
      <c r="AJ10" s="1928" t="n">
        <f aca="false">IF($R$8=3,$N10*$O10*$E10/3888*(1+$J$51),0)</f>
        <v>0</v>
      </c>
      <c r="AK10" s="1928" t="n">
        <f aca="false">IF($R$8=4,$N10*$O10*$E10/3888*(1+$J$51),0)</f>
        <v>0</v>
      </c>
      <c r="AL10" s="1928" t="n">
        <f aca="false">IF($R$8=5,$N10*$O10*$E10/3888*(1+$J$51),0)</f>
        <v>0</v>
      </c>
      <c r="AM10" s="1928" t="n">
        <f aca="false">IF($R$8=6,$N10*$O10*$E10/3888*(1+$J$51),0)</f>
        <v>0</v>
      </c>
      <c r="AN10" s="1928" t="n">
        <f aca="false">IF($R$8=7,$N10*$O10*$E10/3888*(1+$J$51),0)</f>
        <v>0</v>
      </c>
      <c r="AO10" s="1928" t="n">
        <f aca="false">IF($R$8=8,$N10*$O10*$E10/3888*(1+$J$51),0)</f>
        <v>0</v>
      </c>
      <c r="AP10" s="1928" t="n">
        <f aca="false">IF($R$8=9,$N10*$O10*$E10/3888*(1+$J$51),0)</f>
        <v>0</v>
      </c>
      <c r="AQ10" s="1928" t="n">
        <f aca="false">IF($R$8=10,$N10*$O10*$E10/3888*(1+$J$51),0)</f>
        <v>0</v>
      </c>
      <c r="AR10" s="1929" t="n">
        <f aca="false">IF($D10=1,$W10-SUM($AH10:$AQ10),0)</f>
        <v>0</v>
      </c>
      <c r="AS10" s="1928" t="n">
        <f aca="false">IF($D10=2,W10-SUM($AH10:$AQ10),0)</f>
        <v>0</v>
      </c>
      <c r="AT10" s="1928" t="n">
        <f aca="false">IF($D10=3,W10-SUM($AH10:$AQ10),0)</f>
        <v>0</v>
      </c>
      <c r="AU10" s="1928" t="n">
        <f aca="false">IF($D10=4,W10-SUM($AH10:$AQ10),0)</f>
        <v>0</v>
      </c>
      <c r="AV10" s="1928" t="n">
        <f aca="false">IF($D10=5,W10-SUM($AH10:$AQ10),0)</f>
        <v>0</v>
      </c>
      <c r="AW10" s="1928" t="n">
        <f aca="false">IF($D10=6,W10-SUM($AH10:$AQ10),0)</f>
        <v>0</v>
      </c>
      <c r="AX10" s="1928" t="n">
        <f aca="false">IF($D10=7,W10-SUM($AH10:$AQ10),0)</f>
        <v>0</v>
      </c>
      <c r="AY10" s="1928" t="n">
        <f aca="false">IF($D10=8,W10-SUM($AH10:$AQ10),0)</f>
        <v>0</v>
      </c>
      <c r="AZ10" s="1928" t="n">
        <f aca="false">IF($D10=9,W10-SUM($AH10:$AQ10),0)</f>
        <v>0</v>
      </c>
      <c r="BA10" s="1930" t="n">
        <f aca="false">IF($D10=10,W10-SUM($AH10:$AQ10),0)</f>
        <v>0</v>
      </c>
      <c r="BB10" s="1928" t="n">
        <f aca="false">SUM(AH10:AM10)</f>
        <v>0</v>
      </c>
      <c r="BC10" s="1928" t="n">
        <f aca="false">SUM(AR10:AW10)</f>
        <v>0</v>
      </c>
      <c r="BD10" s="1928" t="n">
        <f aca="false">V10</f>
        <v>0</v>
      </c>
      <c r="BE10" s="1928" t="n">
        <f aca="false">E10*G10/12*2+(U10*U10*G10/1728*S10)</f>
        <v>0</v>
      </c>
      <c r="BF10" s="1928" t="n">
        <f aca="false">BE10/2</f>
        <v>0</v>
      </c>
      <c r="BG10" s="1928" t="n">
        <f aca="false">N10*E10/12</f>
        <v>0</v>
      </c>
      <c r="BH10" s="1928" t="n">
        <f aca="false">ROUND(IF(C10="Y",BF10*3/27,0),0)</f>
        <v>0</v>
      </c>
      <c r="BJ10" s="1931" t="n">
        <f aca="false">V10*F$56*IF(T$39="N",(1+V$39),1)</f>
        <v>0</v>
      </c>
      <c r="BK10" s="1932" t="n">
        <f aca="false">(AR10*Pricing!F$3+AS10*Pricing!G$3+AT10*Pricing!H$3+AU10*Pricing!I$3+AV10*Pricing!J$3+AW10*Pricing!K$3+AH10*Pricing!F$3+AI10*Pricing!G$3+AJ10*Pricing!H$3+AK10*Pricing!I$3+AL10*Pricing!J$3+AM10*Pricing!K$3)*IF(T$39="N",(1+V$39),1)</f>
        <v>0</v>
      </c>
      <c r="BL10" s="1932" t="n">
        <f aca="false">IF(C10="Y",(N$59+N$60)/DF$36*DF10,0)</f>
        <v>0</v>
      </c>
      <c r="BM10" s="1932" t="n">
        <f aca="false">BF10*(G$67+D$70)</f>
        <v>0</v>
      </c>
      <c r="BN10" s="1932" t="n">
        <f aca="false">BG10*D$66</f>
        <v>0</v>
      </c>
      <c r="BO10" s="1932" t="n">
        <f aca="false">V10/2000*D$71</f>
        <v>0</v>
      </c>
      <c r="BP10" s="1932" t="n">
        <f aca="false">IF(C10="Y",(N$74+N$73+N$72)/DF$36*DF10,0)</f>
        <v>0</v>
      </c>
      <c r="BQ10" s="1932" t="n">
        <f aca="false">IF(SUM(BF$36:BG$36)=0,0,(SUM(N$78:O$81)+SUM(N$83:O$88)+SUM(N$90:O$96)+W$95)/SUM(BF$36:BG$36)*(BF10+BG10))</f>
        <v>0</v>
      </c>
      <c r="BR10" s="1933"/>
      <c r="BS10" s="1934" t="n">
        <f aca="false">IF(SUM(BF$36:BG$36)=0,0,(BQ$36-W$58-N$64-W77-(L$79*0.15))/SUM(BF$36:BG$36)*BG10+BN10)</f>
        <v>0</v>
      </c>
      <c r="BT10" s="1932" t="n">
        <f aca="false">(AH10*Pricing!F$3+AI10*Pricing!G$3+AJ10*Pricing!H$3+AK10*Pricing!I$3+AL10*Pricing!J$3+AM10*Pricing!K$3)*IF(T$39="N",(1+V$39),1)</f>
        <v>0</v>
      </c>
      <c r="BU10" s="1932" t="n">
        <f aca="false">IF(BG10=0,0,(BS10+BT10)/BG10)</f>
        <v>0</v>
      </c>
      <c r="BV10" s="1932" t="n">
        <f aca="false">SUM(BJ10:BQ10)-BS10-BT10</f>
        <v>0</v>
      </c>
      <c r="BW10" s="1933" t="n">
        <f aca="false">IF(BE10=0,0,BV10/BF10)</f>
        <v>0</v>
      </c>
      <c r="DB10" s="1935" t="n">
        <f aca="false">IF(W10=0,0,D$40/SUM(W$10:W$35)*W10)</f>
        <v>0</v>
      </c>
      <c r="DC10" s="1932" t="e">
        <f aca="false">E10*N10/12*(D$40-7980)/H$66</f>
        <v>#DIV/0!</v>
      </c>
      <c r="DD10" s="179" t="n">
        <f aca="false">ROUND(N10*O10/3088*E10,0)</f>
        <v>0</v>
      </c>
      <c r="DE10" s="908" t="n">
        <f aca="false">ROUND(V10,0)</f>
        <v>0</v>
      </c>
      <c r="DF10" s="356" t="n">
        <f aca="false">ROUND(IF(C10="Y",(G10*0.25*E10+G10*G10/144*0.5*E10)/27*1.3,0),0)</f>
        <v>0</v>
      </c>
      <c r="DG10" s="908" t="n">
        <f aca="false">ROUND(E10*G10/12,0)</f>
        <v>0</v>
      </c>
      <c r="DH10" s="908" t="n">
        <f aca="false">IF(C10="y",ROUNDUP(E10*G10/12,0),0)</f>
        <v>0</v>
      </c>
      <c r="DI10" s="908" t="n">
        <f aca="false">IF(C10="Y",IF(E10&gt;0,E10,0),0)</f>
        <v>0</v>
      </c>
      <c r="DJ10" s="1936" t="n">
        <f aca="false">ROUND(E10*N10/12,0)</f>
        <v>0</v>
      </c>
    </row>
    <row r="11" s="1414" customFormat="true" ht="15" hidden="false" customHeight="false" outlineLevel="0" collapsed="false">
      <c r="A11" s="507"/>
      <c r="B11" s="1312"/>
      <c r="C11" s="1919"/>
      <c r="D11" s="1920"/>
      <c r="E11" s="1921"/>
      <c r="F11" s="1234"/>
      <c r="G11" s="1235"/>
      <c r="H11" s="1236"/>
      <c r="I11" s="1234"/>
      <c r="J11" s="1235"/>
      <c r="K11" s="1236"/>
      <c r="L11" s="1234"/>
      <c r="M11" s="1234"/>
      <c r="N11" s="1922"/>
      <c r="O11" s="1234"/>
      <c r="P11" s="1234"/>
      <c r="Q11" s="1237"/>
      <c r="R11" s="1923"/>
      <c r="S11" s="1924"/>
      <c r="T11" s="78"/>
      <c r="U11" s="900"/>
      <c r="V11" s="1925" t="n">
        <f aca="false">((E11*I11/16*I11/16*10.680159*J11)*IF(H11=0,0,(G11/H11))+(G11/12*L11/16*L11/16*10.680159*M11)*IF(K11=0,0,(E11*12/K11))+(E11*IF(P11=0,0,N11/P11)*Q11/16*Q11/16*10.680159*R11)+(IF(P11=0,0,E11/P11*N11)*Q11/16*Q11/16*10.680159*R11)+((T11*U11*S11*0.03*0.2836*G11)/12+4)*IF(H11=0,0,(G11/H11))*I11/16*I11/16*10.680159)*(1+J$56)</f>
        <v>0</v>
      </c>
      <c r="W11" s="1926" t="n">
        <f aca="false">((E11*F11/12*G11/324)+ROUNDUP(S11*T11*U11*G11/46656,0)+(N11*O11*E11/3888))*(1+J$51)</f>
        <v>0</v>
      </c>
      <c r="AH11" s="1929" t="n">
        <f aca="false">IF($R$8=1,$N11*$O11*$E11/3888*(1+$J$51),0)</f>
        <v>0</v>
      </c>
      <c r="AI11" s="1928" t="n">
        <f aca="false">IF($R$8=2,$N11*$O11*$E11/3888*(1+$J$51),0)</f>
        <v>0</v>
      </c>
      <c r="AJ11" s="1928" t="n">
        <f aca="false">IF($R$8=3,$N11*$O11*$E11/3888*(1+$J$51),0)</f>
        <v>0</v>
      </c>
      <c r="AK11" s="1928" t="n">
        <f aca="false">IF($R$8=4,$N11*$O11*$E11/3888*(1+$J$51),0)</f>
        <v>0</v>
      </c>
      <c r="AL11" s="1928" t="n">
        <f aca="false">IF($R$8=5,$N11*$O11*$E11/3888*(1+$J$51),0)</f>
        <v>0</v>
      </c>
      <c r="AM11" s="1928" t="n">
        <f aca="false">IF($R$8=6,$N11*$O11*$E11/3888*(1+$J$51),0)</f>
        <v>0</v>
      </c>
      <c r="AN11" s="1928" t="n">
        <f aca="false">IF($R$8=7,$N11*$O11*$E11/3888*(1+$J$51),0)</f>
        <v>0</v>
      </c>
      <c r="AO11" s="1928" t="n">
        <f aca="false">IF($R$8=8,$N11*$O11*$E11/3888*(1+$J$51),0)</f>
        <v>0</v>
      </c>
      <c r="AP11" s="1928" t="n">
        <f aca="false">IF($R$8=9,$N11*$O11*$E11/3888*(1+$J$51),0)</f>
        <v>0</v>
      </c>
      <c r="AQ11" s="1928" t="n">
        <f aca="false">IF($R$8=10,$N11*$O11*$E11/3888*(1+$J$51),0)</f>
        <v>0</v>
      </c>
      <c r="AR11" s="1929" t="n">
        <f aca="false">IF($D11=1,$W11-SUM($AH11:$AQ11),0)</f>
        <v>0</v>
      </c>
      <c r="AS11" s="1928" t="n">
        <f aca="false">IF($D11=2,W11-SUM($AH11:$AQ11),0)</f>
        <v>0</v>
      </c>
      <c r="AT11" s="1928" t="n">
        <f aca="false">IF($D11=3,W11-SUM($AH11:$AQ11),0)</f>
        <v>0</v>
      </c>
      <c r="AU11" s="1928" t="n">
        <f aca="false">IF($D11=4,W11-SUM($AH11:$AQ11),0)</f>
        <v>0</v>
      </c>
      <c r="AV11" s="1928" t="n">
        <f aca="false">IF($D11=5,W11-SUM($AH11:$AQ11),0)</f>
        <v>0</v>
      </c>
      <c r="AW11" s="1928" t="n">
        <f aca="false">IF($D11=6,W11-SUM($AH11:$AQ11),0)</f>
        <v>0</v>
      </c>
      <c r="AX11" s="1928" t="n">
        <f aca="false">IF($D11=7,W11-SUM($AH11:$AQ11),0)</f>
        <v>0</v>
      </c>
      <c r="AY11" s="1928" t="n">
        <f aca="false">IF($D11=8,W11-SUM($AH11:$AQ11),0)</f>
        <v>0</v>
      </c>
      <c r="AZ11" s="1928" t="n">
        <f aca="false">IF($D11=9,W11-SUM($AH11:$AQ11),0)</f>
        <v>0</v>
      </c>
      <c r="BA11" s="1930" t="n">
        <f aca="false">IF($D11=10,W11-SUM($AH11:$AQ11),0)</f>
        <v>0</v>
      </c>
      <c r="BB11" s="1928" t="n">
        <f aca="false">SUM(AH11:AM11)</f>
        <v>0</v>
      </c>
      <c r="BC11" s="1928" t="n">
        <f aca="false">SUM(AR11:AW11)</f>
        <v>0</v>
      </c>
      <c r="BD11" s="1928" t="n">
        <f aca="false">V11</f>
        <v>0</v>
      </c>
      <c r="BE11" s="1928" t="n">
        <f aca="false">E11*G11/12*2+(U11*U11*G11/1728*S11)</f>
        <v>0</v>
      </c>
      <c r="BF11" s="1928" t="n">
        <f aca="false">BE11/2</f>
        <v>0</v>
      </c>
      <c r="BG11" s="1928" t="n">
        <f aca="false">N11*E11/12</f>
        <v>0</v>
      </c>
      <c r="BH11" s="1928" t="n">
        <f aca="false">ROUND(IF(C11="Y",BF11*3/27,0),0)</f>
        <v>0</v>
      </c>
      <c r="BJ11" s="1931" t="n">
        <f aca="false">V11*F$56*IF(T$39="N",(1+V$39),1)</f>
        <v>0</v>
      </c>
      <c r="BK11" s="1932" t="n">
        <f aca="false">(AR11*Pricing!F$3+AS11*Pricing!G$3+AT11*Pricing!H$3+AU11*Pricing!I$3+AV11*Pricing!J$3+AW11*Pricing!K$3+AH11*Pricing!F$3+AI11*Pricing!G$3+AJ11*Pricing!H$3+AK11*Pricing!I$3+AL11*Pricing!J$3+AM11*Pricing!K$3)*IF(T$39="N",(1+V$39),1)</f>
        <v>0</v>
      </c>
      <c r="BL11" s="1932" t="n">
        <f aca="false">IF(C11="Y",(N$59+N$60)/DF$36*DF11,0)</f>
        <v>0</v>
      </c>
      <c r="BM11" s="1932" t="n">
        <f aca="false">BF11*(G$67+D$70)</f>
        <v>0</v>
      </c>
      <c r="BN11" s="1932" t="n">
        <f aca="false">BG11*D$66</f>
        <v>0</v>
      </c>
      <c r="BO11" s="1932" t="n">
        <f aca="false">V11/2000*D$71</f>
        <v>0</v>
      </c>
      <c r="BP11" s="1932" t="n">
        <f aca="false">IF(C11="Y",(N$74+N$73+N$72)/DF$36*DF11,0)</f>
        <v>0</v>
      </c>
      <c r="BQ11" s="1932" t="n">
        <f aca="false">IF(SUM(BF$36:BG$36)=0,0,(SUM(N$78:O$81)+SUM(N$83:O$88)+SUM(N$90:O$96)+W$95)/SUM(BF$36:BG$36)*(BF11+BG11))</f>
        <v>0</v>
      </c>
      <c r="BR11" s="1933"/>
      <c r="BS11" s="1934" t="n">
        <f aca="false">IF(SUM(BF$36:BG$36)=0,0,(BQ$36-W$58-N$64-W59-(L$79*0.15))/SUM(BF$36:BG$36)*BG11+BN11)</f>
        <v>0</v>
      </c>
      <c r="BT11" s="1932" t="n">
        <f aca="false">(AH11*Pricing!F$3+AI11*Pricing!G$3+AJ11*Pricing!H$3+AK11*Pricing!I$3+AL11*Pricing!J$3+AM11*Pricing!K$3)*IF(T$39="N",(1+V$39),1)</f>
        <v>0</v>
      </c>
      <c r="BU11" s="1932" t="n">
        <f aca="false">IF(BG11=0,0,(BS11+BT11)/BG11)</f>
        <v>0</v>
      </c>
      <c r="BV11" s="1932" t="n">
        <f aca="false">SUM(BJ11:BQ11)-BS11-BT11</f>
        <v>0</v>
      </c>
      <c r="BW11" s="1933" t="n">
        <f aca="false">IF(BE11=0,0,BV11/BF11)</f>
        <v>0</v>
      </c>
      <c r="DB11" s="1935" t="n">
        <f aca="false">IF(W11=0,0,D$40/SUM(W$10:W$35)*W11)</f>
        <v>0</v>
      </c>
      <c r="DC11" s="1932" t="e">
        <f aca="false">E11*N11/12*(D$40-7980)/H$66</f>
        <v>#DIV/0!</v>
      </c>
      <c r="DD11" s="179" t="n">
        <f aca="false">ROUND(N11*O11/3088*E11,0)</f>
        <v>0</v>
      </c>
      <c r="DE11" s="908" t="n">
        <f aca="false">ROUND(V11,0)</f>
        <v>0</v>
      </c>
      <c r="DF11" s="356" t="n">
        <f aca="false">ROUND(IF(C11="Y",(G11*0.25*E11+G11*G11/144*0.5*E11)/27*1.3,0),0)</f>
        <v>0</v>
      </c>
      <c r="DG11" s="908" t="n">
        <f aca="false">ROUND(E11*G11/12,0)</f>
        <v>0</v>
      </c>
      <c r="DH11" s="908" t="n">
        <f aca="false">IF(C11="y",ROUNDUP(E11*G11/12,0),0)</f>
        <v>0</v>
      </c>
      <c r="DI11" s="908" t="n">
        <f aca="false">IF(C11="Y",IF(E11&gt;0,E11,0),0)</f>
        <v>0</v>
      </c>
      <c r="DJ11" s="1936" t="n">
        <f aca="false">ROUND(E11*N11/12,0)</f>
        <v>0</v>
      </c>
    </row>
    <row r="12" s="1414" customFormat="true" ht="15" hidden="false" customHeight="false" outlineLevel="0" collapsed="false">
      <c r="A12" s="507"/>
      <c r="B12" s="1312"/>
      <c r="C12" s="1919"/>
      <c r="D12" s="1920"/>
      <c r="E12" s="1921"/>
      <c r="F12" s="1234"/>
      <c r="G12" s="1235"/>
      <c r="H12" s="1236"/>
      <c r="I12" s="1234"/>
      <c r="J12" s="1235"/>
      <c r="K12" s="1236"/>
      <c r="L12" s="1234"/>
      <c r="M12" s="1234"/>
      <c r="N12" s="1922"/>
      <c r="O12" s="1234"/>
      <c r="P12" s="1234"/>
      <c r="Q12" s="1237"/>
      <c r="R12" s="1923"/>
      <c r="S12" s="1924"/>
      <c r="T12" s="78"/>
      <c r="U12" s="900"/>
      <c r="V12" s="1925" t="n">
        <f aca="false">((E12*I12/16*I12/16*10.680159*J12)*IF(H12=0,0,(G12/H12))+(G12/12*L12/16*L12/16*10.680159*M12)*IF(K12=0,0,(E12*12/K12))+(E12*IF(P12=0,0,N12/P12)*Q12/16*Q12/16*10.680159*R12)+(IF(P12=0,0,E12/P12*N12)*Q12/16*Q12/16*10.680159*R12)+((T12*U12*S12*0.03*0.2836*G12)/12+4)*IF(H12=0,0,(G12/H12))*I12/16*I12/16*10.680159)*(1+J$56)</f>
        <v>0</v>
      </c>
      <c r="W12" s="1926" t="n">
        <f aca="false">((E12*F12/12*G12/324)+ROUNDUP(S12*T12*U12*G12/46656,0)+(N12*O12*E12/3888))*(1+J$51)</f>
        <v>0</v>
      </c>
      <c r="AH12" s="1929" t="n">
        <f aca="false">IF($R$8=1,$N12*$O12*$E12/3888*(1+$J$51),0)</f>
        <v>0</v>
      </c>
      <c r="AI12" s="1928" t="n">
        <f aca="false">IF($R$8=2,$N12*$O12*$E12/3888*(1+$J$51),0)</f>
        <v>0</v>
      </c>
      <c r="AJ12" s="1928" t="n">
        <f aca="false">IF($R$8=3,$N12*$O12*$E12/3888*(1+$J$51),0)</f>
        <v>0</v>
      </c>
      <c r="AK12" s="1928" t="n">
        <f aca="false">IF($R$8=4,$N12*$O12*$E12/3888*(1+$J$51),0)</f>
        <v>0</v>
      </c>
      <c r="AL12" s="1928" t="n">
        <f aca="false">IF($R$8=5,$N12*$O12*$E12/3888*(1+$J$51),0)</f>
        <v>0</v>
      </c>
      <c r="AM12" s="1928" t="n">
        <f aca="false">IF($R$8=6,$N12*$O12*$E12/3888*(1+$J$51),0)</f>
        <v>0</v>
      </c>
      <c r="AN12" s="1928" t="n">
        <f aca="false">IF($R$8=7,$N12*$O12*$E12/3888*(1+$J$51),0)</f>
        <v>0</v>
      </c>
      <c r="AO12" s="1928" t="n">
        <f aca="false">IF($R$8=8,$N12*$O12*$E12/3888*(1+$J$51),0)</f>
        <v>0</v>
      </c>
      <c r="AP12" s="1928" t="n">
        <f aca="false">IF($R$8=9,$N12*$O12*$E12/3888*(1+$J$51),0)</f>
        <v>0</v>
      </c>
      <c r="AQ12" s="1928" t="n">
        <f aca="false">IF($R$8=10,$N12*$O12*$E12/3888*(1+$J$51),0)</f>
        <v>0</v>
      </c>
      <c r="AR12" s="1929" t="n">
        <f aca="false">IF($D12=1,$W12-SUM($AH12:$AQ12),0)</f>
        <v>0</v>
      </c>
      <c r="AS12" s="1928" t="n">
        <f aca="false">IF($D12=2,W12-SUM($AH12:$AQ12),0)</f>
        <v>0</v>
      </c>
      <c r="AT12" s="1928" t="n">
        <f aca="false">IF($D12=3,W12-SUM($AH12:$AQ12),0)</f>
        <v>0</v>
      </c>
      <c r="AU12" s="1928" t="n">
        <f aca="false">IF($D12=4,W12-SUM($AH12:$AQ12),0)</f>
        <v>0</v>
      </c>
      <c r="AV12" s="1928" t="n">
        <f aca="false">IF($D12=5,W12-SUM($AH12:$AQ12),0)</f>
        <v>0</v>
      </c>
      <c r="AW12" s="1928" t="n">
        <f aca="false">IF($D12=6,W12-SUM($AH12:$AQ12),0)</f>
        <v>0</v>
      </c>
      <c r="AX12" s="1928" t="n">
        <f aca="false">IF($D12=7,W12-SUM($AH12:$AQ12),0)</f>
        <v>0</v>
      </c>
      <c r="AY12" s="1928" t="n">
        <f aca="false">IF($D12=8,W12-SUM($AH12:$AQ12),0)</f>
        <v>0</v>
      </c>
      <c r="AZ12" s="1928" t="n">
        <f aca="false">IF($D12=9,W12-SUM($AH12:$AQ12),0)</f>
        <v>0</v>
      </c>
      <c r="BA12" s="1930" t="n">
        <f aca="false">IF($D12=10,W12-SUM($AH12:$AQ12),0)</f>
        <v>0</v>
      </c>
      <c r="BB12" s="1928" t="n">
        <f aca="false">SUM(AH12:AM12)</f>
        <v>0</v>
      </c>
      <c r="BC12" s="1928" t="n">
        <f aca="false">SUM(AR12:AW12)</f>
        <v>0</v>
      </c>
      <c r="BD12" s="1928" t="n">
        <f aca="false">V12</f>
        <v>0</v>
      </c>
      <c r="BE12" s="1928" t="n">
        <f aca="false">E12*G12/12*2+(U12*U12*G12/1728*S12)</f>
        <v>0</v>
      </c>
      <c r="BF12" s="1928" t="n">
        <f aca="false">BE12/2</f>
        <v>0</v>
      </c>
      <c r="BG12" s="1928" t="n">
        <f aca="false">N12*E12/12</f>
        <v>0</v>
      </c>
      <c r="BH12" s="1928" t="n">
        <f aca="false">ROUND(IF(C12="Y",BF12*3/27,0),0)</f>
        <v>0</v>
      </c>
      <c r="BJ12" s="1931" t="n">
        <f aca="false">V12*F$56*IF(T$39="N",(1+V$39),1)</f>
        <v>0</v>
      </c>
      <c r="BK12" s="1932" t="n">
        <f aca="false">(AR12*Pricing!F$3+AS12*Pricing!G$3+AT12*Pricing!H$3+AU12*Pricing!I$3+AV12*Pricing!J$3+AW12*Pricing!K$3+AH12*Pricing!F$3+AI12*Pricing!G$3+AJ12*Pricing!H$3+AK12*Pricing!I$3+AL12*Pricing!J$3+AM12*Pricing!K$3)*IF(T$39="N",(1+V$39),1)</f>
        <v>0</v>
      </c>
      <c r="BL12" s="1932" t="n">
        <f aca="false">IF(C12="Y",(N$59+N$60)/DF$36*DF12,0)</f>
        <v>0</v>
      </c>
      <c r="BM12" s="1932" t="n">
        <f aca="false">BF12*(G$67+D$70)</f>
        <v>0</v>
      </c>
      <c r="BN12" s="1932" t="n">
        <f aca="false">BG12*D$66</f>
        <v>0</v>
      </c>
      <c r="BO12" s="1932" t="n">
        <f aca="false">V12/2000*D$71</f>
        <v>0</v>
      </c>
      <c r="BP12" s="1932" t="n">
        <f aca="false">IF(C12="Y",(N$74+N$73+N$72)/DF$36*DF12,0)</f>
        <v>0</v>
      </c>
      <c r="BQ12" s="1932" t="n">
        <f aca="false">IF(SUM(BF$36:BG$36)=0,0,(SUM(N$78:O$81)+SUM(N$83:O$88)+SUM(N$90:O$96)+W$95)/SUM(BF$36:BG$36)*(BF12+BG12))</f>
        <v>0</v>
      </c>
      <c r="BR12" s="1933"/>
      <c r="BS12" s="1934" t="n">
        <f aca="false">IF(SUM(BF$36:BG$36)=0,0,(BQ$36-W$58-N$64-W56-(L$79*0.15))/SUM(BF$36:BG$36)*BG12+BN12)</f>
        <v>0</v>
      </c>
      <c r="BT12" s="1932" t="n">
        <f aca="false">(AH12*Pricing!F$3+AI12*Pricing!G$3+AJ12*Pricing!H$3+AK12*Pricing!I$3+AL12*Pricing!J$3+AM12*Pricing!K$3)*IF(T$39="N",(1+V$39),1)</f>
        <v>0</v>
      </c>
      <c r="BU12" s="1932" t="n">
        <f aca="false">IF(BG12=0,0,(BS12+BT12)/BG12)</f>
        <v>0</v>
      </c>
      <c r="BV12" s="1932" t="n">
        <f aca="false">SUM(BJ12:BQ12)-BS12-BT12</f>
        <v>0</v>
      </c>
      <c r="BW12" s="1933" t="n">
        <f aca="false">IF(BE12=0,0,BV12/BF12)</f>
        <v>0</v>
      </c>
      <c r="DB12" s="1935" t="n">
        <f aca="false">IF(W12=0,0,D$40/SUM(W$10:W$35)*W12)</f>
        <v>0</v>
      </c>
      <c r="DC12" s="1932" t="e">
        <f aca="false">E12*N12/12*(D$40-7980)/H$66</f>
        <v>#DIV/0!</v>
      </c>
      <c r="DD12" s="179" t="n">
        <f aca="false">ROUND(N12*O12/3088*E12,0)</f>
        <v>0</v>
      </c>
      <c r="DE12" s="908" t="n">
        <f aca="false">ROUND(V12,0)</f>
        <v>0</v>
      </c>
      <c r="DF12" s="356" t="n">
        <f aca="false">ROUND(IF(C12="Y",(G12*0.25*E12+G12*G12/144*0.5*E12)/27*1.3,0),0)</f>
        <v>0</v>
      </c>
      <c r="DG12" s="908" t="n">
        <f aca="false">ROUND(E12*G12/12,0)</f>
        <v>0</v>
      </c>
      <c r="DH12" s="908" t="n">
        <f aca="false">IF(C12="y",ROUNDUP(E12*G12/12,0),0)</f>
        <v>0</v>
      </c>
      <c r="DI12" s="908" t="n">
        <f aca="false">IF(C12="Y",IF(E12&gt;0,E12,0),0)</f>
        <v>0</v>
      </c>
      <c r="DJ12" s="1936" t="n">
        <f aca="false">ROUND(E12*N12/12,0)</f>
        <v>0</v>
      </c>
    </row>
    <row r="13" s="1414" customFormat="true" ht="15" hidden="false" customHeight="false" outlineLevel="0" collapsed="false">
      <c r="A13" s="507"/>
      <c r="B13" s="1312"/>
      <c r="C13" s="1919"/>
      <c r="D13" s="1920"/>
      <c r="E13" s="1921"/>
      <c r="F13" s="1234"/>
      <c r="G13" s="1235"/>
      <c r="H13" s="1236"/>
      <c r="I13" s="1234"/>
      <c r="J13" s="1235"/>
      <c r="K13" s="1236"/>
      <c r="L13" s="1234"/>
      <c r="M13" s="1234"/>
      <c r="N13" s="1922"/>
      <c r="O13" s="1234"/>
      <c r="P13" s="1234"/>
      <c r="Q13" s="1237"/>
      <c r="R13" s="1923"/>
      <c r="S13" s="1924"/>
      <c r="T13" s="78"/>
      <c r="U13" s="900"/>
      <c r="V13" s="1925" t="n">
        <f aca="false">((E13*I13/16*I13/16*10.680159*J13)*IF(H13=0,0,(G13/H13))+(G13/12*L13/16*L13/16*10.680159*M13)*IF(K13=0,0,(E13*12/K13))+(E13*IF(P13=0,0,N13/P13)*Q13/16*Q13/16*10.680159*R13)+(IF(P13=0,0,E13/P13*N13)*Q13/16*Q13/16*10.680159*R13)+((T13*U13*S13*0.03*0.2836*G13)/12+4)*IF(H13=0,0,(G13/H13))*I13/16*I13/16*10.680159)*(1+J$56)</f>
        <v>0</v>
      </c>
      <c r="W13" s="1926" t="n">
        <f aca="false">((E13*F13/12*G13/324)+ROUNDUP(S13*T13*U13*G13/46656,0)+(N13*O13*E13/3888))*(1+J$51)</f>
        <v>0</v>
      </c>
      <c r="AH13" s="1929" t="n">
        <f aca="false">IF($R$8=1,$N13*$O13*$E13/3888*(1+$J$51),0)</f>
        <v>0</v>
      </c>
      <c r="AI13" s="1928" t="n">
        <f aca="false">IF($R$8=2,$N13*$O13*$E13/3888*(1+$J$51),0)</f>
        <v>0</v>
      </c>
      <c r="AJ13" s="1928" t="n">
        <f aca="false">IF($R$8=3,$N13*$O13*$E13/3888*(1+$J$51),0)</f>
        <v>0</v>
      </c>
      <c r="AK13" s="1928" t="n">
        <f aca="false">IF($R$8=4,$N13*$O13*$E13/3888*(1+$J$51),0)</f>
        <v>0</v>
      </c>
      <c r="AL13" s="1928" t="n">
        <f aca="false">IF($R$8=5,$N13*$O13*$E13/3888*(1+$J$51),0)</f>
        <v>0</v>
      </c>
      <c r="AM13" s="1928" t="n">
        <f aca="false">IF($R$8=6,$N13*$O13*$E13/3888*(1+$J$51),0)</f>
        <v>0</v>
      </c>
      <c r="AN13" s="1928" t="n">
        <f aca="false">IF($R$8=7,$N13*$O13*$E13/3888*(1+$J$51),0)</f>
        <v>0</v>
      </c>
      <c r="AO13" s="1928" t="n">
        <f aca="false">IF($R$8=8,$N13*$O13*$E13/3888*(1+$J$51),0)</f>
        <v>0</v>
      </c>
      <c r="AP13" s="1928" t="n">
        <f aca="false">IF($R$8=9,$N13*$O13*$E13/3888*(1+$J$51),0)</f>
        <v>0</v>
      </c>
      <c r="AQ13" s="1928" t="n">
        <f aca="false">IF($R$8=10,$N13*$O13*$E13/3888*(1+$J$51),0)</f>
        <v>0</v>
      </c>
      <c r="AR13" s="1929" t="n">
        <f aca="false">IF($D13=1,$W13-SUM($AH13:$AQ13),0)</f>
        <v>0</v>
      </c>
      <c r="AS13" s="1928" t="n">
        <f aca="false">IF($D13=2,W13-SUM($AH13:$AQ13),0)</f>
        <v>0</v>
      </c>
      <c r="AT13" s="1928" t="n">
        <f aca="false">IF($D13=3,W13-SUM($AH13:$AQ13),0)</f>
        <v>0</v>
      </c>
      <c r="AU13" s="1928" t="n">
        <f aca="false">IF($D13=4,W13-SUM($AH13:$AQ13),0)</f>
        <v>0</v>
      </c>
      <c r="AV13" s="1928" t="n">
        <f aca="false">IF($D13=5,W13-SUM($AH13:$AQ13),0)</f>
        <v>0</v>
      </c>
      <c r="AW13" s="1928" t="n">
        <f aca="false">IF($D13=6,W13-SUM($AH13:$AQ13),0)</f>
        <v>0</v>
      </c>
      <c r="AX13" s="1928" t="n">
        <f aca="false">IF($D13=7,W13-SUM($AH13:$AQ13),0)</f>
        <v>0</v>
      </c>
      <c r="AY13" s="1928" t="n">
        <f aca="false">IF($D13=8,W13-SUM($AH13:$AQ13),0)</f>
        <v>0</v>
      </c>
      <c r="AZ13" s="1928" t="n">
        <f aca="false">IF($D13=9,W13-SUM($AH13:$AQ13),0)</f>
        <v>0</v>
      </c>
      <c r="BA13" s="1930" t="n">
        <f aca="false">IF($D13=10,W13-SUM($AH13:$AQ13),0)</f>
        <v>0</v>
      </c>
      <c r="BB13" s="1928" t="n">
        <f aca="false">SUM(AH13:AM13)</f>
        <v>0</v>
      </c>
      <c r="BC13" s="1928" t="n">
        <f aca="false">SUM(AR13:AW13)</f>
        <v>0</v>
      </c>
      <c r="BD13" s="1928" t="n">
        <f aca="false">V13</f>
        <v>0</v>
      </c>
      <c r="BE13" s="1928" t="n">
        <f aca="false">E13*G13/12*2+(U13*U13*G13/1728*S13)</f>
        <v>0</v>
      </c>
      <c r="BF13" s="1928" t="n">
        <f aca="false">BE13/2</f>
        <v>0</v>
      </c>
      <c r="BG13" s="1928" t="n">
        <f aca="false">N13*E13/12</f>
        <v>0</v>
      </c>
      <c r="BH13" s="1928" t="n">
        <f aca="false">ROUND(IF(C13="Y",BF13*3/27,0),0)</f>
        <v>0</v>
      </c>
      <c r="BJ13" s="1931" t="n">
        <f aca="false">V13*F$56*IF(T$39="N",(1+V$39),1)</f>
        <v>0</v>
      </c>
      <c r="BK13" s="1932" t="n">
        <f aca="false">(AR13*Pricing!F$3+AS13*Pricing!G$3+AT13*Pricing!H$3+AU13*Pricing!I$3+AV13*Pricing!J$3+AW13*Pricing!K$3+AH13*Pricing!F$3+AI13*Pricing!G$3+AJ13*Pricing!H$3+AK13*Pricing!I$3+AL13*Pricing!J$3+AM13*Pricing!K$3)*IF(T$39="N",(1+V$39),1)</f>
        <v>0</v>
      </c>
      <c r="BL13" s="1932" t="n">
        <f aca="false">IF(C13="Y",(N$59+N$60)/DF$36*DF13,0)</f>
        <v>0</v>
      </c>
      <c r="BM13" s="1932" t="n">
        <f aca="false">BF13*(G$67+D$70)</f>
        <v>0</v>
      </c>
      <c r="BN13" s="1932" t="n">
        <f aca="false">BG13*D$66</f>
        <v>0</v>
      </c>
      <c r="BO13" s="1932" t="n">
        <f aca="false">V13/2000*D$71</f>
        <v>0</v>
      </c>
      <c r="BP13" s="1932" t="n">
        <f aca="false">IF(C13="Y",(N$74+N$73+N$72)/DF$36*DF13,0)</f>
        <v>0</v>
      </c>
      <c r="BQ13" s="1932" t="n">
        <f aca="false">IF(SUM(BF$36:BG$36)=0,0,(SUM(N$78:O$81)+SUM(N$83:O$88)+SUM(N$90:O$96)+W$95)/SUM(BF$36:BG$36)*(BF13+BG13))</f>
        <v>0</v>
      </c>
      <c r="BR13" s="1933"/>
      <c r="BS13" s="1934" t="n">
        <f aca="false">IF(SUM(BF$36:BG$36)=0,0,(BQ$36-W$58-N$64-W58-(L$79*0.15))/SUM(BF$36:BG$36)*BG13+BN13)</f>
        <v>0</v>
      </c>
      <c r="BT13" s="1932" t="n">
        <f aca="false">(AH13*Pricing!F$3+AI13*Pricing!G$3+AJ13*Pricing!H$3+AK13*Pricing!I$3+AL13*Pricing!J$3+AM13*Pricing!K$3)*IF(T$39="N",(1+V$39),1)</f>
        <v>0</v>
      </c>
      <c r="BU13" s="1932" t="n">
        <f aca="false">IF(BG13=0,0,(BS13+BT13)/BG13)</f>
        <v>0</v>
      </c>
      <c r="BV13" s="1932" t="n">
        <f aca="false">SUM(BJ13:BQ13)-BS13-BT13</f>
        <v>0</v>
      </c>
      <c r="BW13" s="1933" t="n">
        <f aca="false">IF(BE13=0,0,BV13/BF13)</f>
        <v>0</v>
      </c>
      <c r="DB13" s="1935" t="n">
        <f aca="false">IF(W13=0,0,D$40/SUM(W$10:W$35)*W13)</f>
        <v>0</v>
      </c>
      <c r="DC13" s="1932" t="e">
        <f aca="false">E13*N13/12*(D$40-7980)/H$66</f>
        <v>#DIV/0!</v>
      </c>
      <c r="DD13" s="179" t="n">
        <f aca="false">ROUND(N13*O13/3088*E13,0)</f>
        <v>0</v>
      </c>
      <c r="DE13" s="908" t="n">
        <f aca="false">ROUND(V13,0)</f>
        <v>0</v>
      </c>
      <c r="DF13" s="356" t="n">
        <f aca="false">ROUND(IF(C13="Y",(G13*0.25*E13+G13*G13/144*0.5*E13)/27*1.3,0),0)</f>
        <v>0</v>
      </c>
      <c r="DG13" s="908" t="n">
        <f aca="false">ROUND(E13*G13/12,0)</f>
        <v>0</v>
      </c>
      <c r="DH13" s="908" t="n">
        <f aca="false">IF(C13="y",ROUNDUP(E13*G13/12,0),0)</f>
        <v>0</v>
      </c>
      <c r="DI13" s="908" t="n">
        <f aca="false">IF(C13="Y",IF(E13&gt;0,E13,0),0)</f>
        <v>0</v>
      </c>
      <c r="DJ13" s="1936" t="n">
        <f aca="false">ROUND(E13*N13/12,0)</f>
        <v>0</v>
      </c>
    </row>
    <row r="14" s="1414" customFormat="true" ht="15" hidden="false" customHeight="false" outlineLevel="0" collapsed="false">
      <c r="A14" s="507"/>
      <c r="B14" s="1312"/>
      <c r="C14" s="1919"/>
      <c r="D14" s="1920"/>
      <c r="E14" s="1921"/>
      <c r="F14" s="1234"/>
      <c r="G14" s="1235"/>
      <c r="H14" s="1236"/>
      <c r="I14" s="1234"/>
      <c r="J14" s="1235"/>
      <c r="K14" s="1236"/>
      <c r="L14" s="1234"/>
      <c r="M14" s="1234"/>
      <c r="N14" s="1922"/>
      <c r="O14" s="1234"/>
      <c r="P14" s="1234"/>
      <c r="Q14" s="1237"/>
      <c r="R14" s="1923"/>
      <c r="S14" s="1924"/>
      <c r="T14" s="78"/>
      <c r="U14" s="900"/>
      <c r="V14" s="1925" t="n">
        <f aca="false">((E14*I14/16*I14/16*10.680159*J14)*IF(H14=0,0,(G14/H14))+(G14/12*L14/16*L14/16*10.680159*M14)*IF(K14=0,0,(E14*12/K14))+(E14*IF(P14=0,0,N14/P14)*Q14/16*Q14/16*10.680159*R14)+(IF(P14=0,0,E14/P14*N14)*Q14/16*Q14/16*10.680159*R14)+((T14*U14*S14*0.03*0.2836*G14)/12+4)*IF(H14=0,0,(G14/H14))*I14/16*I14/16*10.680159)*(1+J$56)</f>
        <v>0</v>
      </c>
      <c r="W14" s="1926" t="n">
        <f aca="false">((E14*F14/12*G14/324)+ROUNDUP(S14*T14*U14*G14/46656,0)+(N14*O14*E14/3888))*(1+J$51)</f>
        <v>0</v>
      </c>
      <c r="AH14" s="1929" t="n">
        <f aca="false">IF($R$8=1,$N14*$O14*$E14/3888*(1+$J$51),0)</f>
        <v>0</v>
      </c>
      <c r="AI14" s="1928" t="n">
        <f aca="false">IF($R$8=2,$N14*$O14*$E14/3888*(1+$J$51),0)</f>
        <v>0</v>
      </c>
      <c r="AJ14" s="1928" t="n">
        <f aca="false">IF($R$8=3,$N14*$O14*$E14/3888*(1+$J$51),0)</f>
        <v>0</v>
      </c>
      <c r="AK14" s="1928" t="n">
        <f aca="false">IF($R$8=4,$N14*$O14*$E14/3888*(1+$J$51),0)</f>
        <v>0</v>
      </c>
      <c r="AL14" s="1928" t="n">
        <f aca="false">IF($R$8=5,$N14*$O14*$E14/3888*(1+$J$51),0)</f>
        <v>0</v>
      </c>
      <c r="AM14" s="1928" t="n">
        <f aca="false">IF($R$8=6,$N14*$O14*$E14/3888*(1+$J$51),0)</f>
        <v>0</v>
      </c>
      <c r="AN14" s="1928" t="n">
        <f aca="false">IF($R$8=7,$N14*$O14*$E14/3888*(1+$J$51),0)</f>
        <v>0</v>
      </c>
      <c r="AO14" s="1928" t="n">
        <f aca="false">IF($R$8=8,$N14*$O14*$E14/3888*(1+$J$51),0)</f>
        <v>0</v>
      </c>
      <c r="AP14" s="1928" t="n">
        <f aca="false">IF($R$8=9,$N14*$O14*$E14/3888*(1+$J$51),0)</f>
        <v>0</v>
      </c>
      <c r="AQ14" s="1928" t="n">
        <f aca="false">IF($R$8=10,$N14*$O14*$E14/3888*(1+$J$51),0)</f>
        <v>0</v>
      </c>
      <c r="AR14" s="1929" t="n">
        <f aca="false">IF($D14=1,$W14-SUM($AH14:$AQ14),0)</f>
        <v>0</v>
      </c>
      <c r="AS14" s="1928" t="n">
        <f aca="false">IF($D14=2,W14-SUM($AH14:$AQ14),0)</f>
        <v>0</v>
      </c>
      <c r="AT14" s="1928" t="n">
        <f aca="false">IF($D14=3,W14-SUM($AH14:$AQ14),0)</f>
        <v>0</v>
      </c>
      <c r="AU14" s="1928" t="n">
        <f aca="false">IF($D14=4,W14-SUM($AH14:$AQ14),0)</f>
        <v>0</v>
      </c>
      <c r="AV14" s="1928" t="n">
        <f aca="false">IF($D14=5,W14-SUM($AH14:$AQ14),0)</f>
        <v>0</v>
      </c>
      <c r="AW14" s="1928" t="n">
        <f aca="false">IF($D14=6,W14-SUM($AH14:$AQ14),0)</f>
        <v>0</v>
      </c>
      <c r="AX14" s="1928" t="n">
        <f aca="false">IF($D14=7,W14-SUM($AH14:$AQ14),0)</f>
        <v>0</v>
      </c>
      <c r="AY14" s="1928" t="n">
        <f aca="false">IF($D14=8,W14-SUM($AH14:$AQ14),0)</f>
        <v>0</v>
      </c>
      <c r="AZ14" s="1928" t="n">
        <f aca="false">IF($D14=9,W14-SUM($AH14:$AQ14),0)</f>
        <v>0</v>
      </c>
      <c r="BA14" s="1930" t="n">
        <f aca="false">IF($D14=10,W14-SUM($AH14:$AQ14),0)</f>
        <v>0</v>
      </c>
      <c r="BB14" s="1928" t="n">
        <f aca="false">SUM(AH14:AM14)</f>
        <v>0</v>
      </c>
      <c r="BC14" s="1928" t="n">
        <f aca="false">SUM(AR14:AW14)</f>
        <v>0</v>
      </c>
      <c r="BD14" s="1928" t="n">
        <f aca="false">V14</f>
        <v>0</v>
      </c>
      <c r="BE14" s="1928" t="n">
        <f aca="false">E14*G14/12*2+(U14*U14*G14/1728*S14)</f>
        <v>0</v>
      </c>
      <c r="BF14" s="1928" t="n">
        <f aca="false">BE14/2</f>
        <v>0</v>
      </c>
      <c r="BG14" s="1928" t="n">
        <f aca="false">N14*E14/12</f>
        <v>0</v>
      </c>
      <c r="BH14" s="1928" t="n">
        <f aca="false">ROUND(IF(C14="Y",BF14*3/27,0),0)</f>
        <v>0</v>
      </c>
      <c r="BJ14" s="1931" t="n">
        <f aca="false">V14*F$56*IF(T$39="N",(1+V$39),1)</f>
        <v>0</v>
      </c>
      <c r="BK14" s="1932" t="n">
        <f aca="false">(AR14*Pricing!F$3+AS14*Pricing!G$3+AT14*Pricing!H$3+AU14*Pricing!I$3+AV14*Pricing!J$3+AW14*Pricing!K$3+AH14*Pricing!F$3+AI14*Pricing!G$3+AJ14*Pricing!H$3+AK14*Pricing!I$3+AL14*Pricing!J$3+AM14*Pricing!K$3)*IF(T$39="N",(1+V$39),1)</f>
        <v>0</v>
      </c>
      <c r="BL14" s="1932" t="n">
        <f aca="false">IF(C14="Y",(N$59+N$60)/DF$36*DF14,0)</f>
        <v>0</v>
      </c>
      <c r="BM14" s="1932" t="n">
        <f aca="false">BF14*(G$67+D$70)</f>
        <v>0</v>
      </c>
      <c r="BN14" s="1932" t="n">
        <f aca="false">BG14*D$66</f>
        <v>0</v>
      </c>
      <c r="BO14" s="1932" t="n">
        <f aca="false">V14/2000*D$71</f>
        <v>0</v>
      </c>
      <c r="BP14" s="1932" t="n">
        <f aca="false">IF(C14="Y",(N$74+N$73+N$72)/DF$36*DF14,0)</f>
        <v>0</v>
      </c>
      <c r="BQ14" s="1932" t="n">
        <f aca="false">IF(SUM(BF$36:BG$36)=0,0,(SUM(N$78:O$81)+SUM(N$83:O$88)+SUM(N$90:O$96)+W$95)/SUM(BF$36:BG$36)*(BF14+BG14))</f>
        <v>0</v>
      </c>
      <c r="BR14" s="1933"/>
      <c r="BS14" s="1934" t="n">
        <f aca="false">IF(SUM(BF$36:BG$36)=0,0,(BQ$36-W$58-N$64-W78-(L$79*0.15))/SUM(BF$36:BG$36)*BG14+BN14)</f>
        <v>0</v>
      </c>
      <c r="BT14" s="1932" t="n">
        <f aca="false">(AH14*Pricing!F$3+AI14*Pricing!G$3+AJ14*Pricing!H$3+AK14*Pricing!I$3+AL14*Pricing!J$3+AM14*Pricing!K$3)*IF(T$39="N",(1+V$39),1)</f>
        <v>0</v>
      </c>
      <c r="BU14" s="1932" t="n">
        <f aca="false">IF(BG14=0,0,(BS14+BT14)/BG14)</f>
        <v>0</v>
      </c>
      <c r="BV14" s="1932" t="n">
        <f aca="false">SUM(BJ14:BQ14)-BS14-BT14</f>
        <v>0</v>
      </c>
      <c r="BW14" s="1933" t="n">
        <f aca="false">IF(BE14=0,0,BV14/BF14)</f>
        <v>0</v>
      </c>
      <c r="DB14" s="1935" t="n">
        <f aca="false">IF(W14=0,0,D$40/SUM(W$10:W$35)*W14)</f>
        <v>0</v>
      </c>
      <c r="DC14" s="1932" t="e">
        <f aca="false">E14*N14/12*(D$40-7980)/H$66</f>
        <v>#DIV/0!</v>
      </c>
      <c r="DD14" s="179" t="n">
        <f aca="false">ROUND(N14*O14/3088*E14,0)</f>
        <v>0</v>
      </c>
      <c r="DE14" s="908" t="n">
        <f aca="false">ROUND(V14,0)</f>
        <v>0</v>
      </c>
      <c r="DF14" s="356" t="n">
        <f aca="false">ROUND(IF(C14="Y",(G14*0.25*E14+G14*G14/144*0.5*E14)/27*1.3,0),0)</f>
        <v>0</v>
      </c>
      <c r="DG14" s="908" t="n">
        <f aca="false">ROUND(E14*G14/12,0)</f>
        <v>0</v>
      </c>
      <c r="DH14" s="908" t="n">
        <f aca="false">IF(C14="y",ROUNDUP(E14*G14/12,0),0)</f>
        <v>0</v>
      </c>
      <c r="DI14" s="908" t="n">
        <f aca="false">IF(C14="Y",IF(E14&gt;0,E14,0),0)</f>
        <v>0</v>
      </c>
      <c r="DJ14" s="1936" t="n">
        <f aca="false">ROUND(E14*N14/12,0)</f>
        <v>0</v>
      </c>
    </row>
    <row r="15" s="1414" customFormat="true" ht="15" hidden="false" customHeight="false" outlineLevel="0" collapsed="false">
      <c r="A15" s="507"/>
      <c r="B15" s="1312"/>
      <c r="C15" s="1919"/>
      <c r="D15" s="1920"/>
      <c r="E15" s="1921"/>
      <c r="F15" s="1234"/>
      <c r="G15" s="1235"/>
      <c r="H15" s="1236"/>
      <c r="I15" s="1234"/>
      <c r="J15" s="1235"/>
      <c r="K15" s="1236"/>
      <c r="L15" s="1234"/>
      <c r="M15" s="1234"/>
      <c r="N15" s="1922"/>
      <c r="O15" s="1234"/>
      <c r="P15" s="1234"/>
      <c r="Q15" s="1237"/>
      <c r="R15" s="1923"/>
      <c r="S15" s="1924"/>
      <c r="T15" s="78"/>
      <c r="U15" s="900"/>
      <c r="V15" s="1925" t="n">
        <f aca="false">((E15*I15/16*I15/16*10.680159*J15)*IF(H15=0,0,(G15/H15))+(G15/12*L15/16*L15/16*10.680159*M15)*IF(K15=0,0,(E15*12/K15))+(E15*IF(P15=0,0,N15/P15)*Q15/16*Q15/16*10.680159*R15)+(IF(P15=0,0,E15/P15*N15)*Q15/16*Q15/16*10.680159*R15)+((T15*U15*S15*0.03*0.2836*G15)/12+4)*IF(H15=0,0,(G15/H15))*I15/16*I15/16*10.680159)*(1+J$56)</f>
        <v>0</v>
      </c>
      <c r="W15" s="1926" t="n">
        <f aca="false">((E15*F15/12*G15/324)+ROUNDUP(S15*T15*U15*G15/46656,0)+(N15*O15*E15/3888))*(1+J$51)</f>
        <v>0</v>
      </c>
      <c r="AH15" s="1929" t="n">
        <f aca="false">IF($R$8=1,$N15*$O15*$E15/3888*(1+$J$51),0)</f>
        <v>0</v>
      </c>
      <c r="AI15" s="1928" t="n">
        <f aca="false">IF($R$8=2,$N15*$O15*$E15/3888*(1+$J$51),0)</f>
        <v>0</v>
      </c>
      <c r="AJ15" s="1928" t="n">
        <f aca="false">IF($R$8=3,$N15*$O15*$E15/3888*(1+$J$51),0)</f>
        <v>0</v>
      </c>
      <c r="AK15" s="1928" t="n">
        <f aca="false">IF($R$8=4,$N15*$O15*$E15/3888*(1+$J$51),0)</f>
        <v>0</v>
      </c>
      <c r="AL15" s="1928" t="n">
        <f aca="false">IF($R$8=5,$N15*$O15*$E15/3888*(1+$J$51),0)</f>
        <v>0</v>
      </c>
      <c r="AM15" s="1928" t="n">
        <f aca="false">IF($R$8=6,$N15*$O15*$E15/3888*(1+$J$51),0)</f>
        <v>0</v>
      </c>
      <c r="AN15" s="1928" t="n">
        <f aca="false">IF($R$8=7,$N15*$O15*$E15/3888*(1+$J$51),0)</f>
        <v>0</v>
      </c>
      <c r="AO15" s="1928" t="n">
        <f aca="false">IF($R$8=8,$N15*$O15*$E15/3888*(1+$J$51),0)</f>
        <v>0</v>
      </c>
      <c r="AP15" s="1928" t="n">
        <f aca="false">IF($R$8=9,$N15*$O15*$E15/3888*(1+$J$51),0)</f>
        <v>0</v>
      </c>
      <c r="AQ15" s="1928" t="n">
        <f aca="false">IF($R$8=10,$N15*$O15*$E15/3888*(1+$J$51),0)</f>
        <v>0</v>
      </c>
      <c r="AR15" s="1929" t="n">
        <f aca="false">IF($D15=1,$W15-SUM($AH15:$AQ15),0)</f>
        <v>0</v>
      </c>
      <c r="AS15" s="1928" t="n">
        <f aca="false">IF($D15=2,W15-SUM($AH15:$AQ15),0)</f>
        <v>0</v>
      </c>
      <c r="AT15" s="1928" t="n">
        <f aca="false">IF($D15=3,W15-SUM($AH15:$AQ15),0)</f>
        <v>0</v>
      </c>
      <c r="AU15" s="1928" t="n">
        <f aca="false">IF($D15=4,W15-SUM($AH15:$AQ15),0)</f>
        <v>0</v>
      </c>
      <c r="AV15" s="1928" t="n">
        <f aca="false">IF($D15=5,W15-SUM($AH15:$AQ15),0)</f>
        <v>0</v>
      </c>
      <c r="AW15" s="1928" t="n">
        <f aca="false">IF($D15=6,W15-SUM($AH15:$AQ15),0)</f>
        <v>0</v>
      </c>
      <c r="AX15" s="1928" t="n">
        <f aca="false">IF($D15=7,W15-SUM($AH15:$AQ15),0)</f>
        <v>0</v>
      </c>
      <c r="AY15" s="1928" t="n">
        <f aca="false">IF($D15=8,W15-SUM($AH15:$AQ15),0)</f>
        <v>0</v>
      </c>
      <c r="AZ15" s="1928" t="n">
        <f aca="false">IF($D15=9,W15-SUM($AH15:$AQ15),0)</f>
        <v>0</v>
      </c>
      <c r="BA15" s="1930" t="n">
        <f aca="false">IF($D15=10,W15-SUM($AH15:$AQ15),0)</f>
        <v>0</v>
      </c>
      <c r="BB15" s="1928" t="n">
        <f aca="false">SUM(AH15:AM15)</f>
        <v>0</v>
      </c>
      <c r="BC15" s="1928" t="n">
        <f aca="false">SUM(AR15:AW15)</f>
        <v>0</v>
      </c>
      <c r="BD15" s="1928" t="n">
        <f aca="false">V15</f>
        <v>0</v>
      </c>
      <c r="BE15" s="1928" t="n">
        <f aca="false">E15*G15/12*2+(U15*U15*G15/1728*S15)</f>
        <v>0</v>
      </c>
      <c r="BF15" s="1928" t="n">
        <f aca="false">BE15/2</f>
        <v>0</v>
      </c>
      <c r="BG15" s="1928" t="n">
        <f aca="false">N15*E15/12</f>
        <v>0</v>
      </c>
      <c r="BH15" s="1928" t="n">
        <f aca="false">ROUND(IF(C15="Y",BF15*3/27,0),0)</f>
        <v>0</v>
      </c>
      <c r="BJ15" s="1931" t="n">
        <f aca="false">V15*F$56*IF(T$39="N",(1+V$39),1)</f>
        <v>0</v>
      </c>
      <c r="BK15" s="1932" t="n">
        <f aca="false">(AR15*Pricing!F$3+AS15*Pricing!G$3+AT15*Pricing!H$3+AU15*Pricing!I$3+AV15*Pricing!J$3+AW15*Pricing!K$3+AH15*Pricing!F$3+AI15*Pricing!G$3+AJ15*Pricing!H$3+AK15*Pricing!I$3+AL15*Pricing!J$3+AM15*Pricing!K$3)*IF(T$39="N",(1+V$39),1)</f>
        <v>0</v>
      </c>
      <c r="BL15" s="1932" t="n">
        <f aca="false">IF(C15="Y",(N$59+N$60)/DF$36*DF15,0)</f>
        <v>0</v>
      </c>
      <c r="BM15" s="1932" t="n">
        <f aca="false">BF15*(G$67+D$70)</f>
        <v>0</v>
      </c>
      <c r="BN15" s="1932" t="n">
        <f aca="false">BG15*D$66</f>
        <v>0</v>
      </c>
      <c r="BO15" s="1932" t="n">
        <f aca="false">V15/2000*D$71</f>
        <v>0</v>
      </c>
      <c r="BP15" s="1932" t="n">
        <f aca="false">IF(C15="Y",(N$74+N$73+N$72)/DF$36*DF15,0)</f>
        <v>0</v>
      </c>
      <c r="BQ15" s="1932" t="n">
        <f aca="false">IF(SUM(BF$36:BG$36)=0,0,(SUM(N$78:O$81)+SUM(N$83:O$88)+SUM(N$90:O$96)+W$95)/SUM(BF$36:BG$36)*(BF15+BG15))</f>
        <v>0</v>
      </c>
      <c r="BR15" s="1933"/>
      <c r="BS15" s="1934" t="n">
        <f aca="false">IF(SUM(BF$36:BG$36)=0,0,(BQ$36-W$58-N$64-W79-(L$79*0.15))/SUM(BF$36:BG$36)*BG15+BN15)</f>
        <v>0</v>
      </c>
      <c r="BT15" s="1932" t="n">
        <f aca="false">(AH15*Pricing!F$3+AI15*Pricing!G$3+AJ15*Pricing!H$3+AK15*Pricing!I$3+AL15*Pricing!J$3+AM15*Pricing!K$3)*IF(T$39="N",(1+V$39),1)</f>
        <v>0</v>
      </c>
      <c r="BU15" s="1932" t="n">
        <f aca="false">IF(BG15=0,0,(BS15+BT15)/BG15)</f>
        <v>0</v>
      </c>
      <c r="BV15" s="1932" t="n">
        <f aca="false">SUM(BJ15:BQ15)-BS15-BT15</f>
        <v>0</v>
      </c>
      <c r="BW15" s="1933" t="n">
        <f aca="false">IF(BE15=0,0,BV15/BF15)</f>
        <v>0</v>
      </c>
      <c r="DB15" s="1935" t="n">
        <f aca="false">IF(W15=0,0,D$40/SUM(W$10:W$35)*W15)</f>
        <v>0</v>
      </c>
      <c r="DC15" s="1932" t="e">
        <f aca="false">E15*N15/12*(D$40-7980)/H$66</f>
        <v>#DIV/0!</v>
      </c>
      <c r="DD15" s="179" t="n">
        <f aca="false">ROUND(N15*O15/3088*E15,0)</f>
        <v>0</v>
      </c>
      <c r="DE15" s="908" t="n">
        <f aca="false">ROUND(V15,0)</f>
        <v>0</v>
      </c>
      <c r="DF15" s="356" t="n">
        <f aca="false">ROUND(IF(C15="Y",(G15*0.25*E15+G15*G15/144*0.5*E15)/27*1.3,0),0)</f>
        <v>0</v>
      </c>
      <c r="DG15" s="908" t="n">
        <f aca="false">ROUND(E15*G15/12,0)</f>
        <v>0</v>
      </c>
      <c r="DH15" s="908" t="n">
        <f aca="false">IF(C15="y",ROUNDUP(E15*G15/12,0),0)</f>
        <v>0</v>
      </c>
      <c r="DI15" s="908" t="n">
        <f aca="false">IF(C15="Y",IF(E15&gt;0,E15,0),0)</f>
        <v>0</v>
      </c>
      <c r="DJ15" s="1936" t="n">
        <f aca="false">ROUND(E15*N15/12,0)</f>
        <v>0</v>
      </c>
    </row>
    <row r="16" s="1414" customFormat="true" ht="15" hidden="false" customHeight="false" outlineLevel="0" collapsed="false">
      <c r="A16" s="507"/>
      <c r="B16" s="1312"/>
      <c r="C16" s="1919"/>
      <c r="D16" s="1920"/>
      <c r="E16" s="1921"/>
      <c r="F16" s="1234"/>
      <c r="G16" s="1235"/>
      <c r="H16" s="1236"/>
      <c r="I16" s="1234"/>
      <c r="J16" s="1235"/>
      <c r="K16" s="1236"/>
      <c r="L16" s="1234"/>
      <c r="M16" s="1234"/>
      <c r="N16" s="1922"/>
      <c r="O16" s="1234"/>
      <c r="P16" s="1234"/>
      <c r="Q16" s="1237"/>
      <c r="R16" s="1923"/>
      <c r="S16" s="1924"/>
      <c r="T16" s="78"/>
      <c r="U16" s="900"/>
      <c r="V16" s="1925" t="n">
        <f aca="false">((E16*I16/16*I16/16*10.680159*J16)*IF(H16=0,0,(G16/H16))+(G16/12*L16/16*L16/16*10.680159*M16)*IF(K16=0,0,(E16*12/K16))+(E16*IF(P16=0,0,N16/P16)*Q16/16*Q16/16*10.680159*R16)+(IF(P16=0,0,E16/P16*N16)*Q16/16*Q16/16*10.680159*R16)+((T16*U16*S16*0.03*0.2836*G16)/12+4)*IF(H16=0,0,(G16/H16))*I16/16*I16/16*10.680159)*(1+J$56)</f>
        <v>0</v>
      </c>
      <c r="W16" s="1926" t="n">
        <f aca="false">((E16*F16/12*G16/324)+ROUNDUP(S16*T16*U16*G16/46656,0)+(N16*O16*E16/3888))*(1+J$51)</f>
        <v>0</v>
      </c>
      <c r="AH16" s="1929" t="n">
        <f aca="false">IF($R$8=1,$N16*$O16*$E16/3888*(1+$J$51),0)</f>
        <v>0</v>
      </c>
      <c r="AI16" s="1928" t="n">
        <f aca="false">IF($R$8=2,$N16*$O16*$E16/3888*(1+$J$51),0)</f>
        <v>0</v>
      </c>
      <c r="AJ16" s="1928" t="n">
        <f aca="false">IF($R$8=3,$N16*$O16*$E16/3888*(1+$J$51),0)</f>
        <v>0</v>
      </c>
      <c r="AK16" s="1928" t="n">
        <f aca="false">IF($R$8=4,$N16*$O16*$E16/3888*(1+$J$51),0)</f>
        <v>0</v>
      </c>
      <c r="AL16" s="1928" t="n">
        <f aca="false">IF($R$8=5,$N16*$O16*$E16/3888*(1+$J$51),0)</f>
        <v>0</v>
      </c>
      <c r="AM16" s="1928" t="n">
        <f aca="false">IF($R$8=6,$N16*$O16*$E16/3888*(1+$J$51),0)</f>
        <v>0</v>
      </c>
      <c r="AN16" s="1928" t="n">
        <f aca="false">IF($R$8=7,$N16*$O16*$E16/3888*(1+$J$51),0)</f>
        <v>0</v>
      </c>
      <c r="AO16" s="1928" t="n">
        <f aca="false">IF($R$8=8,$N16*$O16*$E16/3888*(1+$J$51),0)</f>
        <v>0</v>
      </c>
      <c r="AP16" s="1928" t="n">
        <f aca="false">IF($R$8=9,$N16*$O16*$E16/3888*(1+$J$51),0)</f>
        <v>0</v>
      </c>
      <c r="AQ16" s="1928" t="n">
        <f aca="false">IF($R$8=10,$N16*$O16*$E16/3888*(1+$J$51),0)</f>
        <v>0</v>
      </c>
      <c r="AR16" s="1929" t="n">
        <f aca="false">IF($D16=1,$W16-SUM($AH16:$AQ16),0)</f>
        <v>0</v>
      </c>
      <c r="AS16" s="1928" t="n">
        <f aca="false">IF($D16=2,W16-SUM($AH16:$AQ16),0)</f>
        <v>0</v>
      </c>
      <c r="AT16" s="1928" t="n">
        <f aca="false">IF($D16=3,W16-SUM($AH16:$AQ16),0)</f>
        <v>0</v>
      </c>
      <c r="AU16" s="1928" t="n">
        <f aca="false">IF($D16=4,W16-SUM($AH16:$AQ16),0)</f>
        <v>0</v>
      </c>
      <c r="AV16" s="1928" t="n">
        <f aca="false">IF($D16=5,W16-SUM($AH16:$AQ16),0)</f>
        <v>0</v>
      </c>
      <c r="AW16" s="1928" t="n">
        <f aca="false">IF($D16=6,W16-SUM($AH16:$AQ16),0)</f>
        <v>0</v>
      </c>
      <c r="AX16" s="1928" t="n">
        <f aca="false">IF($D16=7,W16-SUM($AH16:$AQ16),0)</f>
        <v>0</v>
      </c>
      <c r="AY16" s="1928" t="n">
        <f aca="false">IF($D16=8,W16-SUM($AH16:$AQ16),0)</f>
        <v>0</v>
      </c>
      <c r="AZ16" s="1928" t="n">
        <f aca="false">IF($D16=9,W16-SUM($AH16:$AQ16),0)</f>
        <v>0</v>
      </c>
      <c r="BA16" s="1930" t="n">
        <f aca="false">IF($D16=10,W16-SUM($AH16:$AQ16),0)</f>
        <v>0</v>
      </c>
      <c r="BB16" s="1928" t="n">
        <f aca="false">SUM(AH16:AM16)</f>
        <v>0</v>
      </c>
      <c r="BC16" s="1928" t="n">
        <f aca="false">SUM(AR16:AW16)</f>
        <v>0</v>
      </c>
      <c r="BD16" s="1928" t="n">
        <f aca="false">V16</f>
        <v>0</v>
      </c>
      <c r="BE16" s="1928" t="n">
        <f aca="false">E16*G16/12*2+(U16*U16*G16/1728*S16)</f>
        <v>0</v>
      </c>
      <c r="BF16" s="1928" t="n">
        <f aca="false">BE16/2</f>
        <v>0</v>
      </c>
      <c r="BG16" s="1928" t="n">
        <f aca="false">N16*E16/12</f>
        <v>0</v>
      </c>
      <c r="BH16" s="1928" t="n">
        <f aca="false">ROUND(IF(C16="Y",BF16*3/27,0),0)</f>
        <v>0</v>
      </c>
      <c r="BJ16" s="1931" t="n">
        <f aca="false">V16*F$56*IF(T$39="N",(1+V$39),1)</f>
        <v>0</v>
      </c>
      <c r="BK16" s="1932" t="n">
        <f aca="false">(AR16*Pricing!F$3+AS16*Pricing!G$3+AT16*Pricing!H$3+AU16*Pricing!I$3+AV16*Pricing!J$3+AW16*Pricing!K$3+AH16*Pricing!F$3+AI16*Pricing!G$3+AJ16*Pricing!H$3+AK16*Pricing!I$3+AL16*Pricing!J$3+AM16*Pricing!K$3)*IF(T$39="N",(1+V$39),1)</f>
        <v>0</v>
      </c>
      <c r="BL16" s="1932" t="n">
        <f aca="false">IF(C16="Y",(N$59+N$60)/DF$36*DF16,0)</f>
        <v>0</v>
      </c>
      <c r="BM16" s="1932" t="n">
        <f aca="false">BF16*(G$67+D$70)</f>
        <v>0</v>
      </c>
      <c r="BN16" s="1932" t="n">
        <f aca="false">BG16*D$66</f>
        <v>0</v>
      </c>
      <c r="BO16" s="1932" t="n">
        <f aca="false">V16/2000*D$71</f>
        <v>0</v>
      </c>
      <c r="BP16" s="1932" t="n">
        <f aca="false">IF(C16="Y",(N$74+N$73+N$72)/DF$36*DF16,0)</f>
        <v>0</v>
      </c>
      <c r="BQ16" s="1932" t="n">
        <f aca="false">IF(SUM(BF$36:BG$36)=0,0,(SUM(N$78:O$81)+SUM(N$83:O$88)+SUM(N$90:O$96)+W$95)/SUM(BF$36:BG$36)*(BF16+BG16))</f>
        <v>0</v>
      </c>
      <c r="BR16" s="1933"/>
      <c r="BS16" s="1934" t="n">
        <f aca="false">IF(SUM(BF$36:BG$36)=0,0,(BQ$36-W$58-N$64-W71-(L$79*0.15))/SUM(BF$36:BG$36)*BG16+BN16)</f>
        <v>0</v>
      </c>
      <c r="BT16" s="1932" t="n">
        <f aca="false">(AH16*Pricing!F$3+AI16*Pricing!G$3+AJ16*Pricing!H$3+AK16*Pricing!I$3+AL16*Pricing!J$3+AM16*Pricing!K$3)*IF(T$39="N",(1+V$39),1)</f>
        <v>0</v>
      </c>
      <c r="BU16" s="1932" t="n">
        <f aca="false">IF(BG16=0,0,(BS16+BT16)/BG16)</f>
        <v>0</v>
      </c>
      <c r="BV16" s="1932" t="n">
        <f aca="false">SUM(BJ16:BQ16)-BS16-BT16</f>
        <v>0</v>
      </c>
      <c r="BW16" s="1933" t="n">
        <f aca="false">IF(BE16=0,0,BV16/BF16)</f>
        <v>0</v>
      </c>
      <c r="DB16" s="1935" t="n">
        <f aca="false">IF(W16=0,0,D$40/SUM(W$10:W$35)*W16)</f>
        <v>0</v>
      </c>
      <c r="DC16" s="1932" t="e">
        <f aca="false">E16*N16/12*(D$40-7980)/H$66</f>
        <v>#DIV/0!</v>
      </c>
      <c r="DD16" s="179" t="n">
        <f aca="false">ROUND(N16*O16/3088*E16,0)</f>
        <v>0</v>
      </c>
      <c r="DE16" s="908" t="n">
        <f aca="false">ROUND(V16,0)</f>
        <v>0</v>
      </c>
      <c r="DF16" s="356" t="n">
        <f aca="false">ROUND(IF(C16="Y",(G16*0.25*E16+G16*G16/144*0.5*E16)/27*1.3,0),0)</f>
        <v>0</v>
      </c>
      <c r="DG16" s="908" t="n">
        <f aca="false">ROUND(E16*G16/12,0)</f>
        <v>0</v>
      </c>
      <c r="DH16" s="908" t="n">
        <f aca="false">IF(C16="y",ROUNDUP(E16*G16/12,0),0)</f>
        <v>0</v>
      </c>
      <c r="DI16" s="908" t="n">
        <f aca="false">IF(C16="Y",IF(E16&gt;0,E16,0),0)</f>
        <v>0</v>
      </c>
      <c r="DJ16" s="1936" t="n">
        <f aca="false">ROUND(E16*N16/12,0)</f>
        <v>0</v>
      </c>
    </row>
    <row r="17" s="1414" customFormat="true" ht="15" hidden="false" customHeight="false" outlineLevel="0" collapsed="false">
      <c r="A17" s="507"/>
      <c r="B17" s="1312"/>
      <c r="C17" s="1919"/>
      <c r="D17" s="1920"/>
      <c r="E17" s="1921"/>
      <c r="F17" s="1234"/>
      <c r="G17" s="1235"/>
      <c r="H17" s="1236"/>
      <c r="I17" s="1234"/>
      <c r="J17" s="1235"/>
      <c r="K17" s="1236"/>
      <c r="L17" s="1234"/>
      <c r="M17" s="1234"/>
      <c r="N17" s="1922"/>
      <c r="O17" s="1234"/>
      <c r="P17" s="1234"/>
      <c r="Q17" s="1237"/>
      <c r="R17" s="1923"/>
      <c r="S17" s="1924"/>
      <c r="T17" s="78"/>
      <c r="U17" s="900"/>
      <c r="V17" s="1925" t="n">
        <f aca="false">((E17*I17/16*I17/16*10.680159*J17)*IF(H17=0,0,(G17/H17))+(G17/12*L17/16*L17/16*10.680159*M17)*IF(K17=0,0,(E17*12/K17))+(E17*IF(P17=0,0,N17/P17)*Q17/16*Q17/16*10.680159*R17)+(IF(P17=0,0,E17/P17*N17)*Q17/16*Q17/16*10.680159*R17)+((T17*U17*S17*0.03*0.2836*G17)/12+4)*IF(H17=0,0,(G17/H17))*I17/16*I17/16*10.680159)*(1+J$56)</f>
        <v>0</v>
      </c>
      <c r="W17" s="1926" t="n">
        <f aca="false">((E17*F17/12*G17/324)+ROUNDUP(S17*T17*U17*G17/46656,0)+(N17*O17*E17/3888))*(1+J$51)</f>
        <v>0</v>
      </c>
      <c r="AH17" s="1929" t="n">
        <f aca="false">IF($R$8=1,$N17*$O17*$E17/3888*(1+$J$51),0)</f>
        <v>0</v>
      </c>
      <c r="AI17" s="1928" t="n">
        <f aca="false">IF($R$8=2,$N17*$O17*$E17/3888*(1+$J$51),0)</f>
        <v>0</v>
      </c>
      <c r="AJ17" s="1928" t="n">
        <f aca="false">IF($R$8=3,$N17*$O17*$E17/3888*(1+$J$51),0)</f>
        <v>0</v>
      </c>
      <c r="AK17" s="1928" t="n">
        <f aca="false">IF($R$8=4,$N17*$O17*$E17/3888*(1+$J$51),0)</f>
        <v>0</v>
      </c>
      <c r="AL17" s="1928" t="n">
        <f aca="false">IF($R$8=5,$N17*$O17*$E17/3888*(1+$J$51),0)</f>
        <v>0</v>
      </c>
      <c r="AM17" s="1928" t="n">
        <f aca="false">IF($R$8=6,$N17*$O17*$E17/3888*(1+$J$51),0)</f>
        <v>0</v>
      </c>
      <c r="AN17" s="1928" t="n">
        <f aca="false">IF($R$8=7,$N17*$O17*$E17/3888*(1+$J$51),0)</f>
        <v>0</v>
      </c>
      <c r="AO17" s="1928" t="n">
        <f aca="false">IF($R$8=8,$N17*$O17*$E17/3888*(1+$J$51),0)</f>
        <v>0</v>
      </c>
      <c r="AP17" s="1928" t="n">
        <f aca="false">IF($R$8=9,$N17*$O17*$E17/3888*(1+$J$51),0)</f>
        <v>0</v>
      </c>
      <c r="AQ17" s="1928" t="n">
        <f aca="false">IF($R$8=10,$N17*$O17*$E17/3888*(1+$J$51),0)</f>
        <v>0</v>
      </c>
      <c r="AR17" s="1929" t="n">
        <f aca="false">IF($D17=1,$W17-SUM($AH17:$AQ17),0)</f>
        <v>0</v>
      </c>
      <c r="AS17" s="1928" t="n">
        <f aca="false">IF($D17=2,W17-SUM($AH17:$AQ17),0)</f>
        <v>0</v>
      </c>
      <c r="AT17" s="1928" t="n">
        <f aca="false">IF($D17=3,W17-SUM($AH17:$AQ17),0)</f>
        <v>0</v>
      </c>
      <c r="AU17" s="1928" t="n">
        <f aca="false">IF($D17=4,W17-SUM($AH17:$AQ17),0)</f>
        <v>0</v>
      </c>
      <c r="AV17" s="1928" t="n">
        <f aca="false">IF($D17=5,W17-SUM($AH17:$AQ17),0)</f>
        <v>0</v>
      </c>
      <c r="AW17" s="1928" t="n">
        <f aca="false">IF($D17=6,W17-SUM($AH17:$AQ17),0)</f>
        <v>0</v>
      </c>
      <c r="AX17" s="1928" t="n">
        <f aca="false">IF($D17=7,W17-SUM($AH17:$AQ17),0)</f>
        <v>0</v>
      </c>
      <c r="AY17" s="1928" t="n">
        <f aca="false">IF($D17=8,W17-SUM($AH17:$AQ17),0)</f>
        <v>0</v>
      </c>
      <c r="AZ17" s="1928" t="n">
        <f aca="false">IF($D17=9,W17-SUM($AH17:$AQ17),0)</f>
        <v>0</v>
      </c>
      <c r="BA17" s="1930" t="n">
        <f aca="false">IF($D17=10,W17-SUM($AH17:$AQ17),0)</f>
        <v>0</v>
      </c>
      <c r="BB17" s="1928" t="n">
        <f aca="false">SUM(AH17:AM17)</f>
        <v>0</v>
      </c>
      <c r="BC17" s="1928" t="n">
        <f aca="false">SUM(AR17:AW17)</f>
        <v>0</v>
      </c>
      <c r="BD17" s="1928" t="n">
        <f aca="false">V17</f>
        <v>0</v>
      </c>
      <c r="BE17" s="1928" t="n">
        <f aca="false">E17*G17/12*2+(U17*U17*G17/1728*S17)</f>
        <v>0</v>
      </c>
      <c r="BF17" s="1928" t="n">
        <f aca="false">BE17/2</f>
        <v>0</v>
      </c>
      <c r="BG17" s="1928" t="n">
        <f aca="false">N17*E17/12</f>
        <v>0</v>
      </c>
      <c r="BH17" s="1928" t="n">
        <f aca="false">ROUND(IF(C17="Y",BF17*3/27,0),0)</f>
        <v>0</v>
      </c>
      <c r="BJ17" s="1931" t="n">
        <f aca="false">V17*F$56*IF(T$39="N",(1+V$39),1)</f>
        <v>0</v>
      </c>
      <c r="BK17" s="1932" t="n">
        <f aca="false">(AR17*Pricing!F$3+AS17*Pricing!G$3+AT17*Pricing!H$3+AU17*Pricing!I$3+AV17*Pricing!J$3+AW17*Pricing!K$3+AH17*Pricing!F$3+AI17*Pricing!G$3+AJ17*Pricing!H$3+AK17*Pricing!I$3+AL17*Pricing!J$3+AM17*Pricing!K$3)*IF(T$39="N",(1+V$39),1)</f>
        <v>0</v>
      </c>
      <c r="BL17" s="1932" t="n">
        <f aca="false">IF(C17="Y",(N$59+N$60)/DF$36*DF17,0)</f>
        <v>0</v>
      </c>
      <c r="BM17" s="1932" t="n">
        <f aca="false">BF17*(G$67+D$70)</f>
        <v>0</v>
      </c>
      <c r="BN17" s="1932" t="n">
        <f aca="false">BG17*D$66</f>
        <v>0</v>
      </c>
      <c r="BO17" s="1932" t="n">
        <f aca="false">V17/2000*D$71</f>
        <v>0</v>
      </c>
      <c r="BP17" s="1932" t="n">
        <f aca="false">IF(C17="Y",(N$74+N$73+N$72)/DF$36*DF17,0)</f>
        <v>0</v>
      </c>
      <c r="BQ17" s="1932" t="n">
        <f aca="false">IF(SUM(BF$36:BG$36)=0,0,(SUM(N$78:O$81)+SUM(N$83:O$88)+SUM(N$90:O$96)+W$95)/SUM(BF$36:BG$36)*(BF17+BG17))</f>
        <v>0</v>
      </c>
      <c r="BR17" s="1933"/>
      <c r="BS17" s="1934" t="n">
        <f aca="false">IF(SUM(BF$36:BG$36)=0,0,(BQ$36-W$58-N$64-W64-(L$79*0.15))/SUM(BF$36:BG$36)*BG17+BN17)</f>
        <v>0</v>
      </c>
      <c r="BT17" s="1932" t="n">
        <f aca="false">(AH17*Pricing!F$3+AI17*Pricing!G$3+AJ17*Pricing!H$3+AK17*Pricing!I$3+AL17*Pricing!J$3+AM17*Pricing!K$3)*IF(T$39="N",(1+V$39),1)</f>
        <v>0</v>
      </c>
      <c r="BU17" s="1932" t="n">
        <f aca="false">IF(BG17=0,0,(BS17+BT17)/BG17)</f>
        <v>0</v>
      </c>
      <c r="BV17" s="1932" t="n">
        <f aca="false">SUM(BJ17:BQ17)-BS17-BT17</f>
        <v>0</v>
      </c>
      <c r="BW17" s="1933" t="n">
        <f aca="false">IF(BE17=0,0,BV17/BF17)</f>
        <v>0</v>
      </c>
      <c r="DB17" s="1935" t="n">
        <f aca="false">IF(W17=0,0,D$40/SUM(W$10:W$35)*W17)</f>
        <v>0</v>
      </c>
      <c r="DC17" s="1932" t="e">
        <f aca="false">E17*N17/12*(D$40-7980)/H$66</f>
        <v>#DIV/0!</v>
      </c>
      <c r="DD17" s="179" t="n">
        <f aca="false">ROUND(N17*O17/3088*E17,0)</f>
        <v>0</v>
      </c>
      <c r="DE17" s="908" t="n">
        <f aca="false">ROUND(V17,0)</f>
        <v>0</v>
      </c>
      <c r="DF17" s="356" t="n">
        <f aca="false">ROUND(IF(C17="Y",(G17*0.25*E17+G17*G17/144*0.5*E17)/27*1.3,0),0)</f>
        <v>0</v>
      </c>
      <c r="DG17" s="908" t="n">
        <f aca="false">ROUND(E17*G17/12,0)</f>
        <v>0</v>
      </c>
      <c r="DH17" s="908" t="n">
        <f aca="false">IF(C17="y",ROUNDUP(E17*G17/12,0),0)</f>
        <v>0</v>
      </c>
      <c r="DI17" s="908" t="n">
        <f aca="false">IF(C17="Y",IF(E17&gt;0,E17,0),0)</f>
        <v>0</v>
      </c>
      <c r="DJ17" s="1936" t="n">
        <f aca="false">ROUND(E17*N17/12,0)</f>
        <v>0</v>
      </c>
    </row>
    <row r="18" s="1414" customFormat="true" ht="15" hidden="false" customHeight="false" outlineLevel="0" collapsed="false">
      <c r="A18" s="507"/>
      <c r="B18" s="1312"/>
      <c r="C18" s="1919"/>
      <c r="D18" s="1920"/>
      <c r="E18" s="1921"/>
      <c r="F18" s="1234"/>
      <c r="G18" s="1235"/>
      <c r="H18" s="1236"/>
      <c r="I18" s="1234"/>
      <c r="J18" s="1235"/>
      <c r="K18" s="1236"/>
      <c r="L18" s="1234"/>
      <c r="M18" s="1234"/>
      <c r="N18" s="1922"/>
      <c r="O18" s="1234"/>
      <c r="P18" s="1234"/>
      <c r="Q18" s="1237"/>
      <c r="R18" s="1923"/>
      <c r="S18" s="1924"/>
      <c r="T18" s="78"/>
      <c r="U18" s="900"/>
      <c r="V18" s="1925" t="n">
        <f aca="false">((E18*I18/16*I18/16*10.680159*J18)*IF(H18=0,0,(G18/H18))+(G18/12*L18/16*L18/16*10.680159*M18)*IF(K18=0,0,(E18*12/K18))+(E18*IF(P18=0,0,N18/P18)*Q18/16*Q18/16*10.680159*R18)+(IF(P18=0,0,E18/P18*N18)*Q18/16*Q18/16*10.680159*R18)+((T18*U18*S18*0.03*0.2836*G18)/12+4)*IF(H18=0,0,(G18/H18))*I18/16*I18/16*10.680159)*(1+J$56)</f>
        <v>0</v>
      </c>
      <c r="W18" s="1926" t="n">
        <f aca="false">((E18*F18/12*G18/324)+ROUNDUP(S18*T18*U18*G18/46656,0)+(N18*O18*E18/3888))*(1+J$51)</f>
        <v>0</v>
      </c>
      <c r="AH18" s="1929" t="n">
        <f aca="false">IF($R$8=1,$N18*$O18*$E18/3888*(1+$J$51),0)</f>
        <v>0</v>
      </c>
      <c r="AI18" s="1928" t="n">
        <f aca="false">IF($R$8=2,$N18*$O18*$E18/3888*(1+$J$51),0)</f>
        <v>0</v>
      </c>
      <c r="AJ18" s="1928" t="n">
        <f aca="false">IF($R$8=3,$N18*$O18*$E18/3888*(1+$J$51),0)</f>
        <v>0</v>
      </c>
      <c r="AK18" s="1928" t="n">
        <f aca="false">IF($R$8=4,$N18*$O18*$E18/3888*(1+$J$51),0)</f>
        <v>0</v>
      </c>
      <c r="AL18" s="1928" t="n">
        <f aca="false">IF($R$8=5,$N18*$O18*$E18/3888*(1+$J$51),0)</f>
        <v>0</v>
      </c>
      <c r="AM18" s="1928" t="n">
        <f aca="false">IF($R$8=6,$N18*$O18*$E18/3888*(1+$J$51),0)</f>
        <v>0</v>
      </c>
      <c r="AN18" s="1928" t="n">
        <f aca="false">IF($R$8=7,$N18*$O18*$E18/3888*(1+$J$51),0)</f>
        <v>0</v>
      </c>
      <c r="AO18" s="1928" t="n">
        <f aca="false">IF($R$8=8,$N18*$O18*$E18/3888*(1+$J$51),0)</f>
        <v>0</v>
      </c>
      <c r="AP18" s="1928" t="n">
        <f aca="false">IF($R$8=9,$N18*$O18*$E18/3888*(1+$J$51),0)</f>
        <v>0</v>
      </c>
      <c r="AQ18" s="1928" t="n">
        <f aca="false">IF($R$8=10,$N18*$O18*$E18/3888*(1+$J$51),0)</f>
        <v>0</v>
      </c>
      <c r="AR18" s="1929" t="n">
        <f aca="false">IF($D18=1,$W18-SUM($AH18:$AQ18),0)</f>
        <v>0</v>
      </c>
      <c r="AS18" s="1928" t="n">
        <f aca="false">IF($D18=2,W18-SUM($AH18:$AQ18),0)</f>
        <v>0</v>
      </c>
      <c r="AT18" s="1928" t="n">
        <f aca="false">IF($D18=3,W18-SUM($AH18:$AQ18),0)</f>
        <v>0</v>
      </c>
      <c r="AU18" s="1928" t="n">
        <f aca="false">IF($D18=4,W18-SUM($AH18:$AQ18),0)</f>
        <v>0</v>
      </c>
      <c r="AV18" s="1928" t="n">
        <f aca="false">IF($D18=5,W18-SUM($AH18:$AQ18),0)</f>
        <v>0</v>
      </c>
      <c r="AW18" s="1928" t="n">
        <f aca="false">IF($D18=6,W18-SUM($AH18:$AQ18),0)</f>
        <v>0</v>
      </c>
      <c r="AX18" s="1928" t="n">
        <f aca="false">IF($D18=7,W18-SUM($AH18:$AQ18),0)</f>
        <v>0</v>
      </c>
      <c r="AY18" s="1928" t="n">
        <f aca="false">IF($D18=8,W18-SUM($AH18:$AQ18),0)</f>
        <v>0</v>
      </c>
      <c r="AZ18" s="1928" t="n">
        <f aca="false">IF($D18=9,W18-SUM($AH18:$AQ18),0)</f>
        <v>0</v>
      </c>
      <c r="BA18" s="1930" t="n">
        <f aca="false">IF($D18=10,W18-SUM($AH18:$AQ18),0)</f>
        <v>0</v>
      </c>
      <c r="BB18" s="1928" t="n">
        <f aca="false">SUM(AH18:AM18)</f>
        <v>0</v>
      </c>
      <c r="BC18" s="1928" t="n">
        <f aca="false">SUM(AR18:AW18)</f>
        <v>0</v>
      </c>
      <c r="BD18" s="1928" t="n">
        <f aca="false">V18</f>
        <v>0</v>
      </c>
      <c r="BE18" s="1928" t="n">
        <f aca="false">E18*G18/12*2+(U18*U18*G18/1728*S18)</f>
        <v>0</v>
      </c>
      <c r="BF18" s="1928" t="n">
        <f aca="false">BE18/2</f>
        <v>0</v>
      </c>
      <c r="BG18" s="1928" t="n">
        <f aca="false">N18*E18/12</f>
        <v>0</v>
      </c>
      <c r="BH18" s="1928" t="n">
        <f aca="false">ROUND(IF(C18="Y",BF18*3/27,0),0)</f>
        <v>0</v>
      </c>
      <c r="BJ18" s="1931" t="n">
        <f aca="false">V18*F$56*IF(T$39="N",(1+V$39),1)</f>
        <v>0</v>
      </c>
      <c r="BK18" s="1932" t="n">
        <f aca="false">(AR18*Pricing!F$3+AS18*Pricing!G$3+AT18*Pricing!H$3+AU18*Pricing!I$3+AV18*Pricing!J$3+AW18*Pricing!K$3+AH18*Pricing!F$3+AI18*Pricing!G$3+AJ18*Pricing!H$3+AK18*Pricing!I$3+AL18*Pricing!J$3+AM18*Pricing!K$3)*IF(T$39="N",(1+V$39),1)</f>
        <v>0</v>
      </c>
      <c r="BL18" s="1932" t="n">
        <f aca="false">IF(C18="Y",(N$59+N$60)/DF$36*DF18,0)</f>
        <v>0</v>
      </c>
      <c r="BM18" s="1932" t="n">
        <f aca="false">BF18*(G$67+D$70)</f>
        <v>0</v>
      </c>
      <c r="BN18" s="1932" t="n">
        <f aca="false">BG18*D$66</f>
        <v>0</v>
      </c>
      <c r="BO18" s="1932" t="n">
        <f aca="false">V18/2000*D$71</f>
        <v>0</v>
      </c>
      <c r="BP18" s="1932" t="n">
        <f aca="false">IF(C18="Y",(N$74+N$73+N$72)/DF$36*DF18,0)</f>
        <v>0</v>
      </c>
      <c r="BQ18" s="1932" t="n">
        <f aca="false">IF(SUM(BF$36:BG$36)=0,0,(SUM(N$78:O$81)+SUM(N$83:O$88)+SUM(N$90:O$96)+W$95)/SUM(BF$36:BG$36)*(BF18+BG18))</f>
        <v>0</v>
      </c>
      <c r="BR18" s="1933"/>
      <c r="BS18" s="1934" t="n">
        <f aca="false">IF(SUM(BF$36:BG$36)=0,0,(BQ$36-W$58-N$64-W60-(L$79*0.15))/SUM(BF$36:BG$36)*BG18+BN18)</f>
        <v>0</v>
      </c>
      <c r="BT18" s="1932" t="n">
        <f aca="false">(AH18*Pricing!F$3+AI18*Pricing!G$3+AJ18*Pricing!H$3+AK18*Pricing!I$3+AL18*Pricing!J$3+AM18*Pricing!K$3)*IF(T$39="N",(1+V$39),1)</f>
        <v>0</v>
      </c>
      <c r="BU18" s="1932" t="n">
        <f aca="false">IF(BG18=0,0,(BS18+BT18)/BG18)</f>
        <v>0</v>
      </c>
      <c r="BV18" s="1932" t="n">
        <f aca="false">SUM(BJ18:BQ18)-BS18-BT18</f>
        <v>0</v>
      </c>
      <c r="BW18" s="1933" t="n">
        <f aca="false">IF(BE18=0,0,BV18/BF18)</f>
        <v>0</v>
      </c>
      <c r="DB18" s="1935" t="n">
        <f aca="false">IF(W18=0,0,D$40/SUM(W$10:W$35)*W18)</f>
        <v>0</v>
      </c>
      <c r="DC18" s="1932" t="e">
        <f aca="false">E18*N18/12*(D$40-7980)/H$66</f>
        <v>#DIV/0!</v>
      </c>
      <c r="DD18" s="179" t="n">
        <f aca="false">ROUND(N18*O18/3088*E18,0)</f>
        <v>0</v>
      </c>
      <c r="DE18" s="908" t="n">
        <f aca="false">ROUND(V18,0)</f>
        <v>0</v>
      </c>
      <c r="DF18" s="356" t="n">
        <f aca="false">ROUND(IF(C18="Y",(G18*0.25*E18+G18*G18/144*0.5*E18)/27*1.3,0),0)</f>
        <v>0</v>
      </c>
      <c r="DG18" s="908" t="n">
        <f aca="false">ROUND(E18*G18/12,0)</f>
        <v>0</v>
      </c>
      <c r="DH18" s="908" t="n">
        <f aca="false">IF(C18="y",ROUNDUP(E18*G18/12,0),0)</f>
        <v>0</v>
      </c>
      <c r="DI18" s="908" t="n">
        <f aca="false">IF(C18="Y",IF(E18&gt;0,E18,0),0)</f>
        <v>0</v>
      </c>
      <c r="DJ18" s="1936" t="n">
        <f aca="false">ROUND(E18*N18/12,0)</f>
        <v>0</v>
      </c>
    </row>
    <row r="19" s="1414" customFormat="true" ht="15" hidden="false" customHeight="false" outlineLevel="0" collapsed="false">
      <c r="A19" s="507"/>
      <c r="B19" s="1312"/>
      <c r="C19" s="1919"/>
      <c r="D19" s="1920"/>
      <c r="E19" s="1921"/>
      <c r="F19" s="1234"/>
      <c r="G19" s="1235"/>
      <c r="H19" s="1236"/>
      <c r="I19" s="1234"/>
      <c r="J19" s="1235"/>
      <c r="K19" s="1236"/>
      <c r="L19" s="1234"/>
      <c r="M19" s="1234"/>
      <c r="N19" s="1922"/>
      <c r="O19" s="1234"/>
      <c r="P19" s="1234"/>
      <c r="Q19" s="1237"/>
      <c r="R19" s="1923"/>
      <c r="S19" s="1924"/>
      <c r="T19" s="78"/>
      <c r="U19" s="900"/>
      <c r="V19" s="1925" t="n">
        <f aca="false">((E19*I19/16*I19/16*10.680159*J19)*IF(H19=0,0,(G19/H19))+(G19/12*L19/16*L19/16*10.680159*M19)*IF(K19=0,0,(E19*12/K19))+(E19*IF(P19=0,0,N19/P19)*Q19/16*Q19/16*10.680159*R19)+(IF(P19=0,0,E19/P19*N19)*Q19/16*Q19/16*10.680159*R19)+((T19*U19*S19*0.03*0.2836*G19)/12+4)*IF(H19=0,0,(G19/H19))*I19/16*I19/16*10.680159)*(1+J$56)</f>
        <v>0</v>
      </c>
      <c r="W19" s="1926" t="n">
        <f aca="false">((E19*F19/12*G19/324)+ROUNDUP(S19*T19*U19*G19/46656,0)+(N19*O19*E19/3888))*(1+J$51)</f>
        <v>0</v>
      </c>
      <c r="AH19" s="1929" t="n">
        <f aca="false">IF($R$8=1,$N19*$O19*$E19/3888*(1+$J$51),0)</f>
        <v>0</v>
      </c>
      <c r="AI19" s="1928" t="n">
        <f aca="false">IF($R$8=2,$N19*$O19*$E19/3888*(1+$J$51),0)</f>
        <v>0</v>
      </c>
      <c r="AJ19" s="1928" t="n">
        <f aca="false">IF($R$8=3,$N19*$O19*$E19/3888*(1+$J$51),0)</f>
        <v>0</v>
      </c>
      <c r="AK19" s="1928" t="n">
        <f aca="false">IF($R$8=4,$N19*$O19*$E19/3888*(1+$J$51),0)</f>
        <v>0</v>
      </c>
      <c r="AL19" s="1928" t="n">
        <f aca="false">IF($R$8=5,$N19*$O19*$E19/3888*(1+$J$51),0)</f>
        <v>0</v>
      </c>
      <c r="AM19" s="1928" t="n">
        <f aca="false">IF($R$8=6,$N19*$O19*$E19/3888*(1+$J$51),0)</f>
        <v>0</v>
      </c>
      <c r="AN19" s="1928" t="n">
        <f aca="false">IF($R$8=7,$N19*$O19*$E19/3888*(1+$J$51),0)</f>
        <v>0</v>
      </c>
      <c r="AO19" s="1928" t="n">
        <f aca="false">IF($R$8=8,$N19*$O19*$E19/3888*(1+$J$51),0)</f>
        <v>0</v>
      </c>
      <c r="AP19" s="1928" t="n">
        <f aca="false">IF($R$8=9,$N19*$O19*$E19/3888*(1+$J$51),0)</f>
        <v>0</v>
      </c>
      <c r="AQ19" s="1928" t="n">
        <f aca="false">IF($R$8=10,$N19*$O19*$E19/3888*(1+$J$51),0)</f>
        <v>0</v>
      </c>
      <c r="AR19" s="1929" t="n">
        <f aca="false">IF($D19=1,$W19-SUM($AH19:$AQ19),0)</f>
        <v>0</v>
      </c>
      <c r="AS19" s="1928" t="n">
        <f aca="false">IF($D19=2,W19-SUM($AH19:$AQ19),0)</f>
        <v>0</v>
      </c>
      <c r="AT19" s="1928" t="n">
        <f aca="false">IF($D19=3,W19-SUM($AH19:$AQ19),0)</f>
        <v>0</v>
      </c>
      <c r="AU19" s="1928" t="n">
        <f aca="false">IF($D19=4,W19-SUM($AH19:$AQ19),0)</f>
        <v>0</v>
      </c>
      <c r="AV19" s="1928" t="n">
        <f aca="false">IF($D19=5,W19-SUM($AH19:$AQ19),0)</f>
        <v>0</v>
      </c>
      <c r="AW19" s="1928" t="n">
        <f aca="false">IF($D19=6,W19-SUM($AH19:$AQ19),0)</f>
        <v>0</v>
      </c>
      <c r="AX19" s="1928" t="n">
        <f aca="false">IF($D19=7,W19-SUM($AH19:$AQ19),0)</f>
        <v>0</v>
      </c>
      <c r="AY19" s="1928" t="n">
        <f aca="false">IF($D19=8,W19-SUM($AH19:$AQ19),0)</f>
        <v>0</v>
      </c>
      <c r="AZ19" s="1928" t="n">
        <f aca="false">IF($D19=9,W19-SUM($AH19:$AQ19),0)</f>
        <v>0</v>
      </c>
      <c r="BA19" s="1930" t="n">
        <f aca="false">IF($D19=10,W19-SUM($AH19:$AQ19),0)</f>
        <v>0</v>
      </c>
      <c r="BB19" s="1928" t="n">
        <f aca="false">SUM(AH19:AM19)</f>
        <v>0</v>
      </c>
      <c r="BC19" s="1928" t="n">
        <f aca="false">SUM(AR19:AW19)</f>
        <v>0</v>
      </c>
      <c r="BD19" s="1928" t="n">
        <f aca="false">V19</f>
        <v>0</v>
      </c>
      <c r="BE19" s="1928" t="n">
        <f aca="false">E19*G19/12*2+(U19*U19*G19/1728*S19)</f>
        <v>0</v>
      </c>
      <c r="BF19" s="1928" t="n">
        <f aca="false">BE19/2</f>
        <v>0</v>
      </c>
      <c r="BG19" s="1928" t="n">
        <f aca="false">N19*E19/12</f>
        <v>0</v>
      </c>
      <c r="BH19" s="1928" t="n">
        <f aca="false">ROUND(IF(C19="Y",BF19*3/27,0),0)</f>
        <v>0</v>
      </c>
      <c r="BJ19" s="1931" t="n">
        <f aca="false">V19*F$56*IF(T$39="N",(1+V$39),1)</f>
        <v>0</v>
      </c>
      <c r="BK19" s="1932" t="n">
        <f aca="false">(AR19*Pricing!F$3+AS19*Pricing!G$3+AT19*Pricing!H$3+AU19*Pricing!I$3+AV19*Pricing!J$3+AW19*Pricing!K$3+AH19*Pricing!F$3+AI19*Pricing!G$3+AJ19*Pricing!H$3+AK19*Pricing!I$3+AL19*Pricing!J$3+AM19*Pricing!K$3)*IF(T$39="N",(1+V$39),1)</f>
        <v>0</v>
      </c>
      <c r="BL19" s="1932" t="n">
        <f aca="false">IF(C19="Y",(N$59+N$60)/DF$36*DF19,0)</f>
        <v>0</v>
      </c>
      <c r="BM19" s="1932" t="n">
        <f aca="false">BF19*(G$67+D$70)</f>
        <v>0</v>
      </c>
      <c r="BN19" s="1932" t="n">
        <f aca="false">BG19*D$66</f>
        <v>0</v>
      </c>
      <c r="BO19" s="1932" t="n">
        <f aca="false">V19/2000*D$71</f>
        <v>0</v>
      </c>
      <c r="BP19" s="1932" t="n">
        <f aca="false">IF(C19="Y",(N$74+N$73+N$72)/DF$36*DF19,0)</f>
        <v>0</v>
      </c>
      <c r="BQ19" s="1932" t="n">
        <f aca="false">IF(SUM(BF$36:BG$36)=0,0,(SUM(N$78:O$81)+SUM(N$83:O$88)+SUM(N$90:O$96)+W$95)/SUM(BF$36:BG$36)*(BF19+BG19))</f>
        <v>0</v>
      </c>
      <c r="BR19" s="1933"/>
      <c r="BS19" s="1934" t="n">
        <f aca="false">IF(SUM(BF$36:BG$36)=0,0,(BQ$36-W$58-N$64-W61-(L$79*0.15))/SUM(BF$36:BG$36)*BG19+BN19)</f>
        <v>0</v>
      </c>
      <c r="BT19" s="1932" t="n">
        <f aca="false">(AH19*Pricing!F$3+AI19*Pricing!G$3+AJ19*Pricing!H$3+AK19*Pricing!I$3+AL19*Pricing!J$3+AM19*Pricing!K$3)*IF(T$39="N",(1+V$39),1)</f>
        <v>0</v>
      </c>
      <c r="BU19" s="1932" t="n">
        <f aca="false">IF(BG19=0,0,(BS19+BT19)/BG19)</f>
        <v>0</v>
      </c>
      <c r="BV19" s="1932" t="n">
        <f aca="false">SUM(BJ19:BQ19)-BS19-BT19</f>
        <v>0</v>
      </c>
      <c r="BW19" s="1933" t="n">
        <f aca="false">IF(BE19=0,0,BV19/BF19)</f>
        <v>0</v>
      </c>
      <c r="DB19" s="1935" t="n">
        <f aca="false">IF(W19=0,0,D$40/SUM(W$10:W$35)*W19)</f>
        <v>0</v>
      </c>
      <c r="DC19" s="1932" t="e">
        <f aca="false">E19*N19/12*(D$40-7980)/H$66</f>
        <v>#DIV/0!</v>
      </c>
      <c r="DD19" s="179" t="n">
        <f aca="false">ROUND(N19*O19/3088*E19,0)</f>
        <v>0</v>
      </c>
      <c r="DE19" s="908" t="n">
        <f aca="false">ROUND(V19,0)</f>
        <v>0</v>
      </c>
      <c r="DF19" s="356" t="n">
        <f aca="false">ROUND(IF(C19="Y",(G19*0.25*E19+G19*G19/144*0.5*E19)/27*1.3,0),0)</f>
        <v>0</v>
      </c>
      <c r="DG19" s="908" t="n">
        <f aca="false">ROUND(E19*G19/12,0)</f>
        <v>0</v>
      </c>
      <c r="DH19" s="908" t="n">
        <f aca="false">IF(C19="y",ROUNDUP(E19*G19/12,0),0)</f>
        <v>0</v>
      </c>
      <c r="DI19" s="908" t="n">
        <f aca="false">IF(C19="Y",IF(E19&gt;0,E19,0),0)</f>
        <v>0</v>
      </c>
      <c r="DJ19" s="1936" t="n">
        <f aca="false">ROUND(E19*N19/12,0)</f>
        <v>0</v>
      </c>
    </row>
    <row r="20" s="1414" customFormat="true" ht="15" hidden="false" customHeight="false" outlineLevel="0" collapsed="false">
      <c r="A20" s="507"/>
      <c r="B20" s="1312"/>
      <c r="C20" s="1919"/>
      <c r="D20" s="1920"/>
      <c r="E20" s="1921"/>
      <c r="F20" s="1234"/>
      <c r="G20" s="1235"/>
      <c r="H20" s="1236"/>
      <c r="I20" s="1234"/>
      <c r="J20" s="1235"/>
      <c r="K20" s="1236"/>
      <c r="L20" s="1234"/>
      <c r="M20" s="1234"/>
      <c r="N20" s="1922"/>
      <c r="O20" s="1234"/>
      <c r="P20" s="1234"/>
      <c r="Q20" s="1237"/>
      <c r="R20" s="1923"/>
      <c r="S20" s="1924"/>
      <c r="T20" s="78"/>
      <c r="U20" s="900"/>
      <c r="V20" s="1925" t="n">
        <f aca="false">((E20*I20/16*I20/16*10.680159*J20)*IF(H20=0,0,(G20/H20))+(G20/12*L20/16*L20/16*10.680159*M20)*IF(K20=0,0,(E20*12/K20))+(E20*IF(P20=0,0,N20/P20)*Q20/16*Q20/16*10.680159*R20)+(IF(P20=0,0,E20/P20*N20)*Q20/16*Q20/16*10.680159*R20)+((T20*U20*S20*0.03*0.2836*G20)/12+4)*IF(H20=0,0,(G20/H20))*I20/16*I20/16*10.680159)*(1+J$56)</f>
        <v>0</v>
      </c>
      <c r="W20" s="1926" t="n">
        <f aca="false">((E20*F20/12*G20/324)+ROUNDUP(S20*T20*U20*G20/46656,0)+(N20*O20*E20/3888))*(1+J$51)</f>
        <v>0</v>
      </c>
      <c r="AH20" s="1929" t="n">
        <f aca="false">IF($R$8=1,$N20*$O20*$E20/3888*(1+$J$51),0)</f>
        <v>0</v>
      </c>
      <c r="AI20" s="1928" t="n">
        <f aca="false">IF($R$8=2,$N20*$O20*$E20/3888*(1+$J$51),0)</f>
        <v>0</v>
      </c>
      <c r="AJ20" s="1928" t="n">
        <f aca="false">IF($R$8=3,$N20*$O20*$E20/3888*(1+$J$51),0)</f>
        <v>0</v>
      </c>
      <c r="AK20" s="1928" t="n">
        <f aca="false">IF($R$8=4,$N20*$O20*$E20/3888*(1+$J$51),0)</f>
        <v>0</v>
      </c>
      <c r="AL20" s="1928" t="n">
        <f aca="false">IF($R$8=5,$N20*$O20*$E20/3888*(1+$J$51),0)</f>
        <v>0</v>
      </c>
      <c r="AM20" s="1928" t="n">
        <f aca="false">IF($R$8=6,$N20*$O20*$E20/3888*(1+$J$51),0)</f>
        <v>0</v>
      </c>
      <c r="AN20" s="1928" t="n">
        <f aca="false">IF($R$8=7,$N20*$O20*$E20/3888*(1+$J$51),0)</f>
        <v>0</v>
      </c>
      <c r="AO20" s="1928" t="n">
        <f aca="false">IF($R$8=8,$N20*$O20*$E20/3888*(1+$J$51),0)</f>
        <v>0</v>
      </c>
      <c r="AP20" s="1928" t="n">
        <f aca="false">IF($R$8=9,$N20*$O20*$E20/3888*(1+$J$51),0)</f>
        <v>0</v>
      </c>
      <c r="AQ20" s="1928" t="n">
        <f aca="false">IF($R$8=10,$N20*$O20*$E20/3888*(1+$J$51),0)</f>
        <v>0</v>
      </c>
      <c r="AR20" s="1929" t="n">
        <f aca="false">IF($D20=1,$W20-SUM($AH20:$AQ20),0)</f>
        <v>0</v>
      </c>
      <c r="AS20" s="1928" t="n">
        <f aca="false">IF($D20=2,W20-SUM($AH20:$AQ20),0)</f>
        <v>0</v>
      </c>
      <c r="AT20" s="1928" t="n">
        <f aca="false">IF($D20=3,W20-SUM($AH20:$AQ20),0)</f>
        <v>0</v>
      </c>
      <c r="AU20" s="1928" t="n">
        <f aca="false">IF($D20=4,W20-SUM($AH20:$AQ20),0)</f>
        <v>0</v>
      </c>
      <c r="AV20" s="1928" t="n">
        <f aca="false">IF($D20=5,W20-SUM($AH20:$AQ20),0)</f>
        <v>0</v>
      </c>
      <c r="AW20" s="1928" t="n">
        <f aca="false">IF($D20=6,W20-SUM($AH20:$AQ20),0)</f>
        <v>0</v>
      </c>
      <c r="AX20" s="1928" t="n">
        <f aca="false">IF($D20=7,W20-SUM($AH20:$AQ20),0)</f>
        <v>0</v>
      </c>
      <c r="AY20" s="1928" t="n">
        <f aca="false">IF($D20=8,W20-SUM($AH20:$AQ20),0)</f>
        <v>0</v>
      </c>
      <c r="AZ20" s="1928" t="n">
        <f aca="false">IF($D20=9,W20-SUM($AH20:$AQ20),0)</f>
        <v>0</v>
      </c>
      <c r="BA20" s="1930" t="n">
        <f aca="false">IF($D20=10,W20-SUM($AH20:$AQ20),0)</f>
        <v>0</v>
      </c>
      <c r="BB20" s="1928" t="n">
        <f aca="false">SUM(AH20:AM20)</f>
        <v>0</v>
      </c>
      <c r="BC20" s="1928" t="n">
        <f aca="false">SUM(AR20:AW20)</f>
        <v>0</v>
      </c>
      <c r="BD20" s="1928" t="n">
        <f aca="false">V20</f>
        <v>0</v>
      </c>
      <c r="BE20" s="1928" t="n">
        <f aca="false">E20*G20/12*2+(U20*U20*G20/1728*S20)</f>
        <v>0</v>
      </c>
      <c r="BF20" s="1928" t="n">
        <f aca="false">BE20/2</f>
        <v>0</v>
      </c>
      <c r="BG20" s="1928" t="n">
        <f aca="false">N20*E20/12</f>
        <v>0</v>
      </c>
      <c r="BH20" s="1928" t="n">
        <f aca="false">ROUND(IF(C20="Y",BF20*3/27,0),0)</f>
        <v>0</v>
      </c>
      <c r="BJ20" s="1931" t="n">
        <f aca="false">V20*F$56*IF(T$39="N",(1+V$39),1)</f>
        <v>0</v>
      </c>
      <c r="BK20" s="1932" t="n">
        <f aca="false">(AR20*Pricing!F$3+AS20*Pricing!G$3+AT20*Pricing!H$3+AU20*Pricing!I$3+AV20*Pricing!J$3+AW20*Pricing!K$3+AH20*Pricing!F$3+AI20*Pricing!G$3+AJ20*Pricing!H$3+AK20*Pricing!I$3+AL20*Pricing!J$3+AM20*Pricing!K$3)*IF(T$39="N",(1+V$39),1)</f>
        <v>0</v>
      </c>
      <c r="BL20" s="1932" t="n">
        <f aca="false">IF(C20="Y",(N$59+N$60)/DF$36*DF20,0)</f>
        <v>0</v>
      </c>
      <c r="BM20" s="1932" t="n">
        <f aca="false">BF20*(G$67+D$70)</f>
        <v>0</v>
      </c>
      <c r="BN20" s="1932" t="n">
        <f aca="false">BG20*D$66</f>
        <v>0</v>
      </c>
      <c r="BO20" s="1932" t="n">
        <f aca="false">V20/2000*D$71</f>
        <v>0</v>
      </c>
      <c r="BP20" s="1932" t="n">
        <f aca="false">IF(C20="Y",(N$74+N$73+N$72)/DF$36*DF20,0)</f>
        <v>0</v>
      </c>
      <c r="BQ20" s="1932" t="n">
        <f aca="false">IF(SUM(BF$36:BG$36)=0,0,(SUM(N$78:O$81)+SUM(N$83:O$88)+SUM(N$90:O$96)+W$95)/SUM(BF$36:BG$36)*(BF20+BG20))</f>
        <v>0</v>
      </c>
      <c r="BR20" s="1933"/>
      <c r="BS20" s="1934" t="n">
        <f aca="false">IF(SUM(BF$36:BG$36)=0,0,(BQ$36-W$58-N$64-W62-(L$79*0.15))/SUM(BF$36:BG$36)*BG20+BN20)</f>
        <v>0</v>
      </c>
      <c r="BT20" s="1932" t="n">
        <f aca="false">(AH20*Pricing!F$3+AI20*Pricing!G$3+AJ20*Pricing!H$3+AK20*Pricing!I$3+AL20*Pricing!J$3+AM20*Pricing!K$3)*IF(T$39="N",(1+V$39),1)</f>
        <v>0</v>
      </c>
      <c r="BU20" s="1932" t="n">
        <f aca="false">IF(BG20=0,0,(BS20+BT20)/BG20)</f>
        <v>0</v>
      </c>
      <c r="BV20" s="1932" t="n">
        <f aca="false">SUM(BJ20:BQ20)-BS20-BT20</f>
        <v>0</v>
      </c>
      <c r="BW20" s="1933" t="n">
        <f aca="false">IF(BE20=0,0,BV20/BF20)</f>
        <v>0</v>
      </c>
      <c r="DB20" s="1935" t="n">
        <f aca="false">IF(W20=0,0,D$40/SUM(W$10:W$35)*W20)</f>
        <v>0</v>
      </c>
      <c r="DC20" s="1932" t="e">
        <f aca="false">E20*N20/12*(D$40-7980)/H$66</f>
        <v>#DIV/0!</v>
      </c>
      <c r="DD20" s="179" t="n">
        <f aca="false">ROUND(N20*O20/3088*E20,0)</f>
        <v>0</v>
      </c>
      <c r="DE20" s="908" t="n">
        <f aca="false">ROUND(V20,0)</f>
        <v>0</v>
      </c>
      <c r="DF20" s="356" t="n">
        <f aca="false">ROUND(IF(C20="Y",(G20*0.25*E20+G20*G20/144*0.5*E20)/27*1.3,0),0)</f>
        <v>0</v>
      </c>
      <c r="DG20" s="908" t="n">
        <f aca="false">ROUND(E20*G20/12,0)</f>
        <v>0</v>
      </c>
      <c r="DH20" s="908" t="n">
        <f aca="false">IF(C20="y",ROUNDUP(E20*G20/12,0),0)</f>
        <v>0</v>
      </c>
      <c r="DI20" s="908" t="n">
        <f aca="false">IF(C20="Y",IF(E20&gt;0,E20,0),0)</f>
        <v>0</v>
      </c>
      <c r="DJ20" s="1936" t="n">
        <f aca="false">ROUND(E20*N20/12,0)</f>
        <v>0</v>
      </c>
    </row>
    <row r="21" s="1414" customFormat="true" ht="15" hidden="false" customHeight="false" outlineLevel="0" collapsed="false">
      <c r="A21" s="507"/>
      <c r="B21" s="1312"/>
      <c r="C21" s="1919"/>
      <c r="D21" s="1920"/>
      <c r="E21" s="1921"/>
      <c r="F21" s="1234"/>
      <c r="G21" s="1235"/>
      <c r="H21" s="1236"/>
      <c r="I21" s="1234"/>
      <c r="J21" s="1235"/>
      <c r="K21" s="1236"/>
      <c r="L21" s="1234"/>
      <c r="M21" s="1234"/>
      <c r="N21" s="1922"/>
      <c r="O21" s="1234"/>
      <c r="P21" s="1234"/>
      <c r="Q21" s="1237"/>
      <c r="R21" s="1923"/>
      <c r="S21" s="1924"/>
      <c r="T21" s="78"/>
      <c r="U21" s="900"/>
      <c r="V21" s="1925" t="n">
        <f aca="false">((E21*I21/16*I21/16*10.680159*J21)*IF(H21=0,0,(G21/H21))+(G21/12*L21/16*L21/16*10.680159*M21)*IF(K21=0,0,(E21*12/K21))+(E21*IF(P21=0,0,N21/P21)*Q21/16*Q21/16*10.680159*R21)+(IF(P21=0,0,E21/P21*N21)*Q21/16*Q21/16*10.680159*R21)+((T21*U21*S21*0.03*0.2836*G21)/12+4)*IF(H21=0,0,(G21/H21))*I21/16*I21/16*10.680159)*(1+J$56)</f>
        <v>0</v>
      </c>
      <c r="W21" s="1926" t="n">
        <f aca="false">((E21*F21/12*G21/324)+ROUNDUP(S21*T21*U21*G21/46656,0)+(N21*O21*E21/3888))*(1+J$51)</f>
        <v>0</v>
      </c>
      <c r="AH21" s="1929" t="n">
        <f aca="false">IF($R$8=1,$N21*$O21*$E21/3888*(1+$J$51),0)</f>
        <v>0</v>
      </c>
      <c r="AI21" s="1928" t="n">
        <f aca="false">IF($R$8=2,$N21*$O21*$E21/3888*(1+$J$51),0)</f>
        <v>0</v>
      </c>
      <c r="AJ21" s="1928" t="n">
        <f aca="false">IF($R$8=3,$N21*$O21*$E21/3888*(1+$J$51),0)</f>
        <v>0</v>
      </c>
      <c r="AK21" s="1928" t="n">
        <f aca="false">IF($R$8=4,$N21*$O21*$E21/3888*(1+$J$51),0)</f>
        <v>0</v>
      </c>
      <c r="AL21" s="1928" t="n">
        <f aca="false">IF($R$8=5,$N21*$O21*$E21/3888*(1+$J$51),0)</f>
        <v>0</v>
      </c>
      <c r="AM21" s="1928" t="n">
        <f aca="false">IF($R$8=6,$N21*$O21*$E21/3888*(1+$J$51),0)</f>
        <v>0</v>
      </c>
      <c r="AN21" s="1928" t="n">
        <f aca="false">IF($R$8=7,$N21*$O21*$E21/3888*(1+$J$51),0)</f>
        <v>0</v>
      </c>
      <c r="AO21" s="1928" t="n">
        <f aca="false">IF($R$8=8,$N21*$O21*$E21/3888*(1+$J$51),0)</f>
        <v>0</v>
      </c>
      <c r="AP21" s="1928" t="n">
        <f aca="false">IF($R$8=9,$N21*$O21*$E21/3888*(1+$J$51),0)</f>
        <v>0</v>
      </c>
      <c r="AQ21" s="1928" t="n">
        <f aca="false">IF($R$8=10,$N21*$O21*$E21/3888*(1+$J$51),0)</f>
        <v>0</v>
      </c>
      <c r="AR21" s="1929" t="n">
        <f aca="false">IF($D21=1,$W21-SUM($AH21:$AQ21),0)</f>
        <v>0</v>
      </c>
      <c r="AS21" s="1928" t="n">
        <f aca="false">IF($D21=2,W21-SUM($AH21:$AQ21),0)</f>
        <v>0</v>
      </c>
      <c r="AT21" s="1928" t="n">
        <f aca="false">IF($D21=3,W21-SUM($AH21:$AQ21),0)</f>
        <v>0</v>
      </c>
      <c r="AU21" s="1928" t="n">
        <f aca="false">IF($D21=4,W21-SUM($AH21:$AQ21),0)</f>
        <v>0</v>
      </c>
      <c r="AV21" s="1928" t="n">
        <f aca="false">IF($D21=5,W21-SUM($AH21:$AQ21),0)</f>
        <v>0</v>
      </c>
      <c r="AW21" s="1928" t="n">
        <f aca="false">IF($D21=6,W21-SUM($AH21:$AQ21),0)</f>
        <v>0</v>
      </c>
      <c r="AX21" s="1928" t="n">
        <f aca="false">IF($D21=7,W21-SUM($AH21:$AQ21),0)</f>
        <v>0</v>
      </c>
      <c r="AY21" s="1928" t="n">
        <f aca="false">IF($D21=8,W21-SUM($AH21:$AQ21),0)</f>
        <v>0</v>
      </c>
      <c r="AZ21" s="1928" t="n">
        <f aca="false">IF($D21=9,W21-SUM($AH21:$AQ21),0)</f>
        <v>0</v>
      </c>
      <c r="BA21" s="1930" t="n">
        <f aca="false">IF($D21=10,W21-SUM($AH21:$AQ21),0)</f>
        <v>0</v>
      </c>
      <c r="BB21" s="1928" t="n">
        <f aca="false">SUM(AH21:AM21)</f>
        <v>0</v>
      </c>
      <c r="BC21" s="1928" t="n">
        <f aca="false">SUM(AR21:AW21)</f>
        <v>0</v>
      </c>
      <c r="BD21" s="1928" t="n">
        <f aca="false">V21</f>
        <v>0</v>
      </c>
      <c r="BE21" s="1928" t="n">
        <f aca="false">E21*G21/12*2+(U21*U21*G21/1728*S21)</f>
        <v>0</v>
      </c>
      <c r="BF21" s="1928" t="n">
        <f aca="false">BE21/2</f>
        <v>0</v>
      </c>
      <c r="BG21" s="1928" t="n">
        <f aca="false">N21*E21/12</f>
        <v>0</v>
      </c>
      <c r="BH21" s="1928" t="n">
        <f aca="false">ROUND(IF(C21="Y",BF21*3/27,0),0)</f>
        <v>0</v>
      </c>
      <c r="BJ21" s="1931" t="n">
        <f aca="false">V21*F$56*IF(T$39="N",(1+V$39),1)</f>
        <v>0</v>
      </c>
      <c r="BK21" s="1932" t="n">
        <f aca="false">(AR21*Pricing!F$3+AS21*Pricing!G$3+AT21*Pricing!H$3+AU21*Pricing!I$3+AV21*Pricing!J$3+AW21*Pricing!K$3+AH21*Pricing!F$3+AI21*Pricing!G$3+AJ21*Pricing!H$3+AK21*Pricing!I$3+AL21*Pricing!J$3+AM21*Pricing!K$3)*IF(T$39="N",(1+V$39),1)</f>
        <v>0</v>
      </c>
      <c r="BL21" s="1932" t="n">
        <f aca="false">IF(C21="Y",(N$59+N$60)/DF$36*DF21,0)</f>
        <v>0</v>
      </c>
      <c r="BM21" s="1932" t="n">
        <f aca="false">BF21*(G$67+D$70)</f>
        <v>0</v>
      </c>
      <c r="BN21" s="1932" t="n">
        <f aca="false">BG21*D$66</f>
        <v>0</v>
      </c>
      <c r="BO21" s="1932" t="n">
        <f aca="false">V21/2000*D$71</f>
        <v>0</v>
      </c>
      <c r="BP21" s="1932" t="n">
        <f aca="false">IF(C21="Y",(N$74+N$73+N$72)/DF$36*DF21,0)</f>
        <v>0</v>
      </c>
      <c r="BQ21" s="1932" t="n">
        <f aca="false">IF(SUM(BF$36:BG$36)=0,0,(SUM(N$78:O$81)+SUM(N$83:O$88)+SUM(N$90:O$96)+W$95)/SUM(BF$36:BG$36)*(BF21+BG21))</f>
        <v>0</v>
      </c>
      <c r="BR21" s="1933"/>
      <c r="BS21" s="1934" t="n">
        <f aca="false">IF(SUM(BF$36:BG$36)=0,0,(BQ$36-W$58-N$64-W52-(L$79*0.15))/SUM(BF$36:BG$36)*BG21+BN21)</f>
        <v>0</v>
      </c>
      <c r="BT21" s="1932" t="n">
        <f aca="false">(AH21*Pricing!F$3+AI21*Pricing!G$3+AJ21*Pricing!H$3+AK21*Pricing!I$3+AL21*Pricing!J$3+AM21*Pricing!K$3)*IF(T$39="N",(1+V$39),1)</f>
        <v>0</v>
      </c>
      <c r="BU21" s="1932" t="n">
        <f aca="false">IF(BG21=0,0,(BS21+BT21)/BG21)</f>
        <v>0</v>
      </c>
      <c r="BV21" s="1932" t="n">
        <f aca="false">SUM(BJ21:BQ21)-BS21-BT21</f>
        <v>0</v>
      </c>
      <c r="BW21" s="1933" t="n">
        <f aca="false">IF(BE21=0,0,BV21/BF21)</f>
        <v>0</v>
      </c>
      <c r="DB21" s="1935" t="n">
        <f aca="false">IF(W21=0,0,D$40/SUM(W$10:W$35)*W21)</f>
        <v>0</v>
      </c>
      <c r="DC21" s="1932" t="e">
        <f aca="false">E21*N21/12*(D$40-7980)/H$66</f>
        <v>#DIV/0!</v>
      </c>
      <c r="DD21" s="179" t="n">
        <f aca="false">ROUND(N21*O21/3088*E21,0)</f>
        <v>0</v>
      </c>
      <c r="DE21" s="908" t="n">
        <f aca="false">ROUND(V21,0)</f>
        <v>0</v>
      </c>
      <c r="DF21" s="356" t="n">
        <f aca="false">ROUND(IF(C21="Y",(G21*0.25*E21+G21*G21/144*0.5*E21)/27*1.3,0),0)</f>
        <v>0</v>
      </c>
      <c r="DG21" s="908" t="n">
        <f aca="false">ROUND(E21*G21/12,0)</f>
        <v>0</v>
      </c>
      <c r="DH21" s="908" t="n">
        <f aca="false">IF(C21="y",ROUNDUP(E21*G21/12,0),0)</f>
        <v>0</v>
      </c>
      <c r="DI21" s="908" t="n">
        <f aca="false">IF(C21="Y",IF(E21&gt;0,E21,0),0)</f>
        <v>0</v>
      </c>
      <c r="DJ21" s="1936" t="n">
        <f aca="false">ROUND(E21*N21/12,0)</f>
        <v>0</v>
      </c>
    </row>
    <row r="22" s="1414" customFormat="true" ht="15" hidden="false" customHeight="false" outlineLevel="0" collapsed="false">
      <c r="A22" s="507"/>
      <c r="B22" s="1312"/>
      <c r="C22" s="1919"/>
      <c r="D22" s="1920"/>
      <c r="E22" s="1921"/>
      <c r="F22" s="1234"/>
      <c r="G22" s="1235"/>
      <c r="H22" s="1236"/>
      <c r="I22" s="1234"/>
      <c r="J22" s="1235"/>
      <c r="K22" s="1236"/>
      <c r="L22" s="1234"/>
      <c r="M22" s="1234"/>
      <c r="N22" s="1922"/>
      <c r="O22" s="1234"/>
      <c r="P22" s="1234"/>
      <c r="Q22" s="1237"/>
      <c r="R22" s="1923"/>
      <c r="S22" s="1924"/>
      <c r="T22" s="78"/>
      <c r="U22" s="900"/>
      <c r="V22" s="1925" t="n">
        <f aca="false">((E22*I22/16*I22/16*10.680159*J22)*IF(H22=0,0,(G22/H22))+(G22/12*L22/16*L22/16*10.680159*M22)*IF(K22=0,0,(E22*12/K22))+(E22*IF(P22=0,0,N22/P22)*Q22/16*Q22/16*10.680159*R22)+(IF(P22=0,0,E22/P22*N22)*Q22/16*Q22/16*10.680159*R22)+((T22*U22*S22*0.03*0.2836*G22)/12+4)*IF(H22=0,0,(G22/H22))*I22/16*I22/16*10.680159)*(1+J$56)</f>
        <v>0</v>
      </c>
      <c r="W22" s="1926" t="n">
        <f aca="false">((E22*F22/12*G22/324)+ROUNDUP(S22*T22*U22*G22/46656,0)+(N22*O22*E22/3888))*(1+J$51)</f>
        <v>0</v>
      </c>
      <c r="AH22" s="1929" t="n">
        <f aca="false">IF($R$8=1,$N22*$O22*$E22/3888*(1+$J$51),0)</f>
        <v>0</v>
      </c>
      <c r="AI22" s="1928" t="n">
        <f aca="false">IF($R$8=2,$N22*$O22*$E22/3888*(1+$J$51),0)</f>
        <v>0</v>
      </c>
      <c r="AJ22" s="1928" t="n">
        <f aca="false">IF($R$8=3,$N22*$O22*$E22/3888*(1+$J$51),0)</f>
        <v>0</v>
      </c>
      <c r="AK22" s="1928" t="n">
        <f aca="false">IF($R$8=4,$N22*$O22*$E22/3888*(1+$J$51),0)</f>
        <v>0</v>
      </c>
      <c r="AL22" s="1928" t="n">
        <f aca="false">IF($R$8=5,$N22*$O22*$E22/3888*(1+$J$51),0)</f>
        <v>0</v>
      </c>
      <c r="AM22" s="1928" t="n">
        <f aca="false">IF($R$8=6,$N22*$O22*$E22/3888*(1+$J$51),0)</f>
        <v>0</v>
      </c>
      <c r="AN22" s="1928" t="n">
        <f aca="false">IF($R$8=7,$N22*$O22*$E22/3888*(1+$J$51),0)</f>
        <v>0</v>
      </c>
      <c r="AO22" s="1928" t="n">
        <f aca="false">IF($R$8=8,$N22*$O22*$E22/3888*(1+$J$51),0)</f>
        <v>0</v>
      </c>
      <c r="AP22" s="1928" t="n">
        <f aca="false">IF($R$8=9,$N22*$O22*$E22/3888*(1+$J$51),0)</f>
        <v>0</v>
      </c>
      <c r="AQ22" s="1928" t="n">
        <f aca="false">IF($R$8=10,$N22*$O22*$E22/3888*(1+$J$51),0)</f>
        <v>0</v>
      </c>
      <c r="AR22" s="1929" t="n">
        <f aca="false">IF($D22=1,$W22-SUM($AH22:$AQ22),0)</f>
        <v>0</v>
      </c>
      <c r="AS22" s="1928" t="n">
        <f aca="false">IF($D22=2,W22-SUM($AH22:$AQ22),0)</f>
        <v>0</v>
      </c>
      <c r="AT22" s="1928" t="n">
        <f aca="false">IF($D22=3,W22-SUM($AH22:$AQ22),0)</f>
        <v>0</v>
      </c>
      <c r="AU22" s="1928" t="n">
        <f aca="false">IF($D22=4,W22-SUM($AH22:$AQ22),0)</f>
        <v>0</v>
      </c>
      <c r="AV22" s="1928" t="n">
        <f aca="false">IF($D22=5,W22-SUM($AH22:$AQ22),0)</f>
        <v>0</v>
      </c>
      <c r="AW22" s="1928" t="n">
        <f aca="false">IF($D22=6,W22-SUM($AH22:$AQ22),0)</f>
        <v>0</v>
      </c>
      <c r="AX22" s="1928" t="n">
        <f aca="false">IF($D22=7,W22-SUM($AH22:$AQ22),0)</f>
        <v>0</v>
      </c>
      <c r="AY22" s="1928" t="n">
        <f aca="false">IF($D22=8,W22-SUM($AH22:$AQ22),0)</f>
        <v>0</v>
      </c>
      <c r="AZ22" s="1928" t="n">
        <f aca="false">IF($D22=9,W22-SUM($AH22:$AQ22),0)</f>
        <v>0</v>
      </c>
      <c r="BA22" s="1930" t="n">
        <f aca="false">IF($D22=10,W22-SUM($AH22:$AQ22),0)</f>
        <v>0</v>
      </c>
      <c r="BB22" s="1928" t="n">
        <f aca="false">SUM(AH22:AM22)</f>
        <v>0</v>
      </c>
      <c r="BC22" s="1928" t="n">
        <f aca="false">SUM(AR22:AW22)</f>
        <v>0</v>
      </c>
      <c r="BD22" s="1928" t="n">
        <f aca="false">V22</f>
        <v>0</v>
      </c>
      <c r="BE22" s="1928" t="n">
        <f aca="false">E22*G22/12*2+(U22*U22*G22/1728*S22)</f>
        <v>0</v>
      </c>
      <c r="BF22" s="1928" t="n">
        <f aca="false">BE22/2</f>
        <v>0</v>
      </c>
      <c r="BG22" s="1928" t="n">
        <f aca="false">N22*E22/12</f>
        <v>0</v>
      </c>
      <c r="BH22" s="1928" t="n">
        <f aca="false">ROUND(IF(C22="Y",BF22*3/27,0),0)</f>
        <v>0</v>
      </c>
      <c r="BJ22" s="1931" t="n">
        <f aca="false">V22*F$56*IF(T$39="N",(1+V$39),1)</f>
        <v>0</v>
      </c>
      <c r="BK22" s="1932" t="n">
        <f aca="false">(AR22*Pricing!F$3+AS22*Pricing!G$3+AT22*Pricing!H$3+AU22*Pricing!I$3+AV22*Pricing!J$3+AW22*Pricing!K$3+AH22*Pricing!F$3+AI22*Pricing!G$3+AJ22*Pricing!H$3+AK22*Pricing!I$3+AL22*Pricing!J$3+AM22*Pricing!K$3)*IF(T$39="N",(1+V$39),1)</f>
        <v>0</v>
      </c>
      <c r="BL22" s="1932" t="n">
        <f aca="false">IF(C22="Y",(N$59+N$60)/DF$36*DF22,0)</f>
        <v>0</v>
      </c>
      <c r="BM22" s="1932" t="n">
        <f aca="false">BF22*(G$67+D$70)</f>
        <v>0</v>
      </c>
      <c r="BN22" s="1932" t="n">
        <f aca="false">BG22*D$66</f>
        <v>0</v>
      </c>
      <c r="BO22" s="1932" t="n">
        <f aca="false">V22/2000*D$71</f>
        <v>0</v>
      </c>
      <c r="BP22" s="1932" t="n">
        <f aca="false">IF(C22="Y",(N$74+N$73+N$72)/DF$36*DF22,0)</f>
        <v>0</v>
      </c>
      <c r="BQ22" s="1932" t="n">
        <f aca="false">IF(SUM(BF$36:BG$36)=0,0,(SUM(N$78:O$81)+SUM(N$83:O$88)+SUM(N$90:O$96)+W$95)/SUM(BF$36:BG$36)*(BF22+BG22))</f>
        <v>0</v>
      </c>
      <c r="BR22" s="1933"/>
      <c r="BS22" s="1934" t="n">
        <f aca="false">IF(SUM(BF$36:BG$36)=0,0,(BQ$36-W$58-N$64-W55-(L$79*0.15))/SUM(BF$36:BG$36)*BG22+BN22)</f>
        <v>0</v>
      </c>
      <c r="BT22" s="1932" t="n">
        <f aca="false">(AH22*Pricing!F$3+AI22*Pricing!G$3+AJ22*Pricing!H$3+AK22*Pricing!I$3+AL22*Pricing!J$3+AM22*Pricing!K$3)*IF(T$39="N",(1+V$39),1)</f>
        <v>0</v>
      </c>
      <c r="BU22" s="1932" t="n">
        <f aca="false">IF(BG22=0,0,(BS22+BT22)/BG22)</f>
        <v>0</v>
      </c>
      <c r="BV22" s="1932" t="n">
        <f aca="false">SUM(BJ22:BQ22)-BS22-BT22</f>
        <v>0</v>
      </c>
      <c r="BW22" s="1933" t="n">
        <f aca="false">IF(BE22=0,0,BV22/BF22)</f>
        <v>0</v>
      </c>
      <c r="DB22" s="1935" t="n">
        <f aca="false">IF(W22=0,0,D$40/SUM(W$10:W$35)*W22)</f>
        <v>0</v>
      </c>
      <c r="DC22" s="1932" t="e">
        <f aca="false">E22*N22/12*(D$40-7980)/H$66</f>
        <v>#DIV/0!</v>
      </c>
      <c r="DD22" s="179" t="n">
        <f aca="false">ROUND(N22*O22/3088*E22,0)</f>
        <v>0</v>
      </c>
      <c r="DE22" s="908" t="n">
        <f aca="false">ROUND(V22,0)</f>
        <v>0</v>
      </c>
      <c r="DF22" s="356" t="n">
        <f aca="false">ROUND(IF(C22="Y",(G22*0.25*E22+G22*G22/144*0.5*E22)/27*1.3,0),0)</f>
        <v>0</v>
      </c>
      <c r="DG22" s="908" t="n">
        <f aca="false">ROUND(E22*G22/12,0)</f>
        <v>0</v>
      </c>
      <c r="DH22" s="908" t="n">
        <f aca="false">IF(C22="y",ROUNDUP(E22*G22/12,0),0)</f>
        <v>0</v>
      </c>
      <c r="DI22" s="908" t="n">
        <f aca="false">IF(C22="Y",IF(E22&gt;0,E22,0),0)</f>
        <v>0</v>
      </c>
      <c r="DJ22" s="1936" t="n">
        <f aca="false">ROUND(E22*N22/12,0)</f>
        <v>0</v>
      </c>
    </row>
    <row r="23" s="1414" customFormat="true" ht="15" hidden="false" customHeight="false" outlineLevel="0" collapsed="false">
      <c r="A23" s="507"/>
      <c r="B23" s="1312"/>
      <c r="C23" s="1919"/>
      <c r="D23" s="1920"/>
      <c r="E23" s="1921"/>
      <c r="F23" s="1234"/>
      <c r="G23" s="1235"/>
      <c r="H23" s="1236"/>
      <c r="I23" s="1234"/>
      <c r="J23" s="1235"/>
      <c r="K23" s="1236"/>
      <c r="L23" s="1234"/>
      <c r="M23" s="1234"/>
      <c r="N23" s="1922"/>
      <c r="O23" s="1234"/>
      <c r="P23" s="1234"/>
      <c r="Q23" s="1237"/>
      <c r="R23" s="1923"/>
      <c r="S23" s="1924"/>
      <c r="T23" s="78"/>
      <c r="U23" s="900"/>
      <c r="V23" s="1925" t="n">
        <f aca="false">((E23*I23/16*I23/16*10.680159*J23)*IF(H23=0,0,(G23/H23))+(G23/12*L23/16*L23/16*10.680159*M23)*IF(K23=0,0,(E23*12/K23))+(E23*IF(P23=0,0,N23/P23)*Q23/16*Q23/16*10.680159*R23)+(IF(P23=0,0,E23/P23*N23)*Q23/16*Q23/16*10.680159*R23)+((T23*U23*S23*0.03*0.2836*G23)/12+4)*IF(H23=0,0,(G23/H23))*I23/16*I23/16*10.680159)*(1+J$56)</f>
        <v>0</v>
      </c>
      <c r="W23" s="1926" t="n">
        <f aca="false">((E23*F23/12*G23/324)+ROUNDUP(S23*T23*U23*G23/46656,0)+(N23*O23*E23/3888))*(1+J$51)</f>
        <v>0</v>
      </c>
      <c r="AH23" s="1929" t="n">
        <f aca="false">IF($R$8=1,$N23*$O23*$E23/3888*(1+$J$51),0)</f>
        <v>0</v>
      </c>
      <c r="AI23" s="1928" t="n">
        <f aca="false">IF($R$8=2,$N23*$O23*$E23/3888*(1+$J$51),0)</f>
        <v>0</v>
      </c>
      <c r="AJ23" s="1928" t="n">
        <f aca="false">IF($R$8=3,$N23*$O23*$E23/3888*(1+$J$51),0)</f>
        <v>0</v>
      </c>
      <c r="AK23" s="1928" t="n">
        <f aca="false">IF($R$8=4,$N23*$O23*$E23/3888*(1+$J$51),0)</f>
        <v>0</v>
      </c>
      <c r="AL23" s="1928" t="n">
        <f aca="false">IF($R$8=5,$N23*$O23*$E23/3888*(1+$J$51),0)</f>
        <v>0</v>
      </c>
      <c r="AM23" s="1928" t="n">
        <f aca="false">IF($R$8=6,$N23*$O23*$E23/3888*(1+$J$51),0)</f>
        <v>0</v>
      </c>
      <c r="AN23" s="1928" t="n">
        <f aca="false">IF($R$8=7,$N23*$O23*$E23/3888*(1+$J$51),0)</f>
        <v>0</v>
      </c>
      <c r="AO23" s="1928" t="n">
        <f aca="false">IF($R$8=8,$N23*$O23*$E23/3888*(1+$J$51),0)</f>
        <v>0</v>
      </c>
      <c r="AP23" s="1928" t="n">
        <f aca="false">IF($R$8=9,$N23*$O23*$E23/3888*(1+$J$51),0)</f>
        <v>0</v>
      </c>
      <c r="AQ23" s="1928" t="n">
        <f aca="false">IF($R$8=10,$N23*$O23*$E23/3888*(1+$J$51),0)</f>
        <v>0</v>
      </c>
      <c r="AR23" s="1929" t="n">
        <f aca="false">IF($D23=1,$W23-SUM($AH23:$AQ23),0)</f>
        <v>0</v>
      </c>
      <c r="AS23" s="1928" t="n">
        <f aca="false">IF($D23=2,W23-SUM($AH23:$AQ23),0)</f>
        <v>0</v>
      </c>
      <c r="AT23" s="1928" t="n">
        <f aca="false">IF($D23=3,W23-SUM($AH23:$AQ23),0)</f>
        <v>0</v>
      </c>
      <c r="AU23" s="1928" t="n">
        <f aca="false">IF($D23=4,W23-SUM($AH23:$AQ23),0)</f>
        <v>0</v>
      </c>
      <c r="AV23" s="1928" t="n">
        <f aca="false">IF($D23=5,W23-SUM($AH23:$AQ23),0)</f>
        <v>0</v>
      </c>
      <c r="AW23" s="1928" t="n">
        <f aca="false">IF($D23=6,W23-SUM($AH23:$AQ23),0)</f>
        <v>0</v>
      </c>
      <c r="AX23" s="1928" t="n">
        <f aca="false">IF($D23=7,W23-SUM($AH23:$AQ23),0)</f>
        <v>0</v>
      </c>
      <c r="AY23" s="1928" t="n">
        <f aca="false">IF($D23=8,W23-SUM($AH23:$AQ23),0)</f>
        <v>0</v>
      </c>
      <c r="AZ23" s="1928" t="n">
        <f aca="false">IF($D23=9,W23-SUM($AH23:$AQ23),0)</f>
        <v>0</v>
      </c>
      <c r="BA23" s="1930" t="n">
        <f aca="false">IF($D23=10,W23-SUM($AH23:$AQ23),0)</f>
        <v>0</v>
      </c>
      <c r="BB23" s="1928" t="n">
        <f aca="false">SUM(AH23:AM23)</f>
        <v>0</v>
      </c>
      <c r="BC23" s="1928" t="n">
        <f aca="false">SUM(AR23:AW23)</f>
        <v>0</v>
      </c>
      <c r="BD23" s="1928" t="n">
        <f aca="false">V23</f>
        <v>0</v>
      </c>
      <c r="BE23" s="1928" t="n">
        <f aca="false">E23*G23/12*2+(U23*U23*G23/1728*S23)</f>
        <v>0</v>
      </c>
      <c r="BF23" s="1928" t="n">
        <f aca="false">BE23/2</f>
        <v>0</v>
      </c>
      <c r="BG23" s="1928" t="n">
        <f aca="false">N23*E23/12</f>
        <v>0</v>
      </c>
      <c r="BH23" s="1928" t="n">
        <f aca="false">ROUND(IF(C23="Y",BF23*3/27,0),0)</f>
        <v>0</v>
      </c>
      <c r="BJ23" s="1931" t="n">
        <f aca="false">V23*F$56*IF(T$39="N",(1+V$39),1)</f>
        <v>0</v>
      </c>
      <c r="BK23" s="1932" t="n">
        <f aca="false">(AR23*Pricing!F$3+AS23*Pricing!G$3+AT23*Pricing!H$3+AU23*Pricing!I$3+AV23*Pricing!J$3+AW23*Pricing!K$3+AH23*Pricing!F$3+AI23*Pricing!G$3+AJ23*Pricing!H$3+AK23*Pricing!I$3+AL23*Pricing!J$3+AM23*Pricing!K$3)*IF(T$39="N",(1+V$39),1)</f>
        <v>0</v>
      </c>
      <c r="BL23" s="1932" t="n">
        <f aca="false">IF(C23="Y",(N$59+N$60)/DF$36*DF23,0)</f>
        <v>0</v>
      </c>
      <c r="BM23" s="1932" t="n">
        <f aca="false">BF23*(G$67+D$70)</f>
        <v>0</v>
      </c>
      <c r="BN23" s="1932" t="n">
        <f aca="false">BG23*D$66</f>
        <v>0</v>
      </c>
      <c r="BO23" s="1932" t="n">
        <f aca="false">V23/2000*D$71</f>
        <v>0</v>
      </c>
      <c r="BP23" s="1932" t="n">
        <f aca="false">IF(C23="Y",(N$74+N$73+N$72)/DF$36*DF23,0)</f>
        <v>0</v>
      </c>
      <c r="BQ23" s="1932" t="n">
        <f aca="false">IF(SUM(BF$36:BG$36)=0,0,(SUM(N$78:O$81)+SUM(N$83:O$88)+SUM(N$90:O$96)+W$95)/SUM(BF$36:BG$36)*(BF23+BG23))</f>
        <v>0</v>
      </c>
      <c r="BR23" s="1933"/>
      <c r="BS23" s="1934" t="n">
        <f aca="false">IF(SUM(BF$36:BG$36)=0,0,(BQ$36-W$58-N$64-W74-(L$79*0.15))/SUM(BF$36:BG$36)*BG23+BN23)</f>
        <v>0</v>
      </c>
      <c r="BT23" s="1932" t="n">
        <f aca="false">(AH23*Pricing!F$3+AI23*Pricing!G$3+AJ23*Pricing!H$3+AK23*Pricing!I$3+AL23*Pricing!J$3+AM23*Pricing!K$3)*IF(T$39="N",(1+V$39),1)</f>
        <v>0</v>
      </c>
      <c r="BU23" s="1932" t="n">
        <f aca="false">IF(BG23=0,0,(BS23+BT23)/BG23)</f>
        <v>0</v>
      </c>
      <c r="BV23" s="1932" t="n">
        <f aca="false">SUM(BJ23:BQ23)-BS23-BT23</f>
        <v>0</v>
      </c>
      <c r="BW23" s="1933" t="n">
        <f aca="false">IF(BE23=0,0,BV23/BF23)</f>
        <v>0</v>
      </c>
      <c r="DB23" s="1935" t="n">
        <f aca="false">IF(W23=0,0,D$40/SUM(W$10:W$35)*W23)</f>
        <v>0</v>
      </c>
      <c r="DC23" s="1932" t="e">
        <f aca="false">E23*N23/12*(D$40-7980)/H$66</f>
        <v>#DIV/0!</v>
      </c>
      <c r="DD23" s="179" t="n">
        <f aca="false">ROUND(N23*O23/3088*E23,0)</f>
        <v>0</v>
      </c>
      <c r="DE23" s="908" t="n">
        <f aca="false">ROUND(V23,0)</f>
        <v>0</v>
      </c>
      <c r="DF23" s="356" t="n">
        <f aca="false">ROUND(IF(C23="Y",(G23*0.25*E23+G23*G23/144*0.5*E23)/27*1.3,0),0)</f>
        <v>0</v>
      </c>
      <c r="DG23" s="908" t="n">
        <f aca="false">ROUND(E23*G23/12,0)</f>
        <v>0</v>
      </c>
      <c r="DH23" s="908" t="n">
        <f aca="false">IF(C23="y",ROUNDUP(E23*G23/12,0),0)</f>
        <v>0</v>
      </c>
      <c r="DI23" s="908" t="n">
        <f aca="false">IF(C23="Y",IF(E23&gt;0,E23,0),0)</f>
        <v>0</v>
      </c>
      <c r="DJ23" s="1936" t="n">
        <f aca="false">ROUND(E23*N23/12,0)</f>
        <v>0</v>
      </c>
    </row>
    <row r="24" s="1414" customFormat="true" ht="15" hidden="false" customHeight="false" outlineLevel="0" collapsed="false">
      <c r="A24" s="507"/>
      <c r="B24" s="1312"/>
      <c r="C24" s="1919"/>
      <c r="D24" s="1920"/>
      <c r="E24" s="1921"/>
      <c r="F24" s="1234"/>
      <c r="G24" s="1235"/>
      <c r="H24" s="1236"/>
      <c r="I24" s="1234"/>
      <c r="J24" s="1235"/>
      <c r="K24" s="1236"/>
      <c r="L24" s="1234"/>
      <c r="M24" s="1234"/>
      <c r="N24" s="1922"/>
      <c r="O24" s="1234"/>
      <c r="P24" s="1234"/>
      <c r="Q24" s="1237"/>
      <c r="R24" s="1923"/>
      <c r="S24" s="1924"/>
      <c r="T24" s="78"/>
      <c r="U24" s="900"/>
      <c r="V24" s="1925" t="n">
        <f aca="false">((E24*I24/16*I24/16*10.680159*J24)*IF(H24=0,0,(G24/H24))+(G24/12*L24/16*L24/16*10.680159*M24)*IF(K24=0,0,(E24*12/K24))+(E24*IF(P24=0,0,N24/P24)*Q24/16*Q24/16*10.680159*R24)+(IF(P24=0,0,E24/P24*N24)*Q24/16*Q24/16*10.680159*R24)+((T24*U24*S24*0.03*0.2836*G24)/12+4)*IF(H24=0,0,(G24/H24))*I24/16*I24/16*10.680159)*(1+J$56)</f>
        <v>0</v>
      </c>
      <c r="W24" s="1926" t="n">
        <f aca="false">((E24*F24/12*G24/324)+ROUNDUP(S24*T24*U24*G24/46656,0)+(N24*O24*E24/3888))*(1+J$51)</f>
        <v>0</v>
      </c>
      <c r="AH24" s="1929" t="n">
        <f aca="false">IF($R$8=1,$N24*$O24*$E24/3888*(1+$J$51),0)</f>
        <v>0</v>
      </c>
      <c r="AI24" s="1928" t="n">
        <f aca="false">IF($R$8=2,$N24*$O24*$E24/3888*(1+$J$51),0)</f>
        <v>0</v>
      </c>
      <c r="AJ24" s="1928" t="n">
        <f aca="false">IF($R$8=3,$N24*$O24*$E24/3888*(1+$J$51),0)</f>
        <v>0</v>
      </c>
      <c r="AK24" s="1928" t="n">
        <f aca="false">IF($R$8=4,$N24*$O24*$E24/3888*(1+$J$51),0)</f>
        <v>0</v>
      </c>
      <c r="AL24" s="1928" t="n">
        <f aca="false">IF($R$8=5,$N24*$O24*$E24/3888*(1+$J$51),0)</f>
        <v>0</v>
      </c>
      <c r="AM24" s="1928" t="n">
        <f aca="false">IF($R$8=6,$N24*$O24*$E24/3888*(1+$J$51),0)</f>
        <v>0</v>
      </c>
      <c r="AN24" s="1928" t="n">
        <f aca="false">IF($R$8=7,$N24*$O24*$E24/3888*(1+$J$51),0)</f>
        <v>0</v>
      </c>
      <c r="AO24" s="1928" t="n">
        <f aca="false">IF($R$8=8,$N24*$O24*$E24/3888*(1+$J$51),0)</f>
        <v>0</v>
      </c>
      <c r="AP24" s="1928" t="n">
        <f aca="false">IF($R$8=9,$N24*$O24*$E24/3888*(1+$J$51),0)</f>
        <v>0</v>
      </c>
      <c r="AQ24" s="1928" t="n">
        <f aca="false">IF($R$8=10,$N24*$O24*$E24/3888*(1+$J$51),0)</f>
        <v>0</v>
      </c>
      <c r="AR24" s="1929" t="n">
        <f aca="false">IF($D24=1,$W24-SUM($AH24:$AQ24),0)</f>
        <v>0</v>
      </c>
      <c r="AS24" s="1928" t="n">
        <f aca="false">IF($D24=2,W24-SUM($AH24:$AQ24),0)</f>
        <v>0</v>
      </c>
      <c r="AT24" s="1928" t="n">
        <f aca="false">IF($D24=3,W24-SUM($AH24:$AQ24),0)</f>
        <v>0</v>
      </c>
      <c r="AU24" s="1928" t="n">
        <f aca="false">IF($D24=4,W24-SUM($AH24:$AQ24),0)</f>
        <v>0</v>
      </c>
      <c r="AV24" s="1928" t="n">
        <f aca="false">IF($D24=5,W24-SUM($AH24:$AQ24),0)</f>
        <v>0</v>
      </c>
      <c r="AW24" s="1928" t="n">
        <f aca="false">IF($D24=6,W24-SUM($AH24:$AQ24),0)</f>
        <v>0</v>
      </c>
      <c r="AX24" s="1928" t="n">
        <f aca="false">IF($D24=7,W24-SUM($AH24:$AQ24),0)</f>
        <v>0</v>
      </c>
      <c r="AY24" s="1928" t="n">
        <f aca="false">IF($D24=8,W24-SUM($AH24:$AQ24),0)</f>
        <v>0</v>
      </c>
      <c r="AZ24" s="1928" t="n">
        <f aca="false">IF($D24=9,W24-SUM($AH24:$AQ24),0)</f>
        <v>0</v>
      </c>
      <c r="BA24" s="1930" t="n">
        <f aca="false">IF($D24=10,W24-SUM($AH24:$AQ24),0)</f>
        <v>0</v>
      </c>
      <c r="BB24" s="1928" t="n">
        <f aca="false">SUM(AH24:AM24)</f>
        <v>0</v>
      </c>
      <c r="BC24" s="1928" t="n">
        <f aca="false">SUM(AR24:AW24)</f>
        <v>0</v>
      </c>
      <c r="BD24" s="1928" t="n">
        <f aca="false">V24</f>
        <v>0</v>
      </c>
      <c r="BE24" s="1928" t="n">
        <f aca="false">E24*G24/12*2+(U24*U24*G24/1728*S24)</f>
        <v>0</v>
      </c>
      <c r="BF24" s="1928" t="n">
        <f aca="false">BE24/2</f>
        <v>0</v>
      </c>
      <c r="BG24" s="1928" t="n">
        <f aca="false">N24*E24/12</f>
        <v>0</v>
      </c>
      <c r="BH24" s="1928" t="n">
        <f aca="false">ROUND(IF(C24="Y",BF24*3/27,0),0)</f>
        <v>0</v>
      </c>
      <c r="BJ24" s="1931" t="n">
        <f aca="false">V24*F$56*IF(T$39="N",(1+V$39),1)</f>
        <v>0</v>
      </c>
      <c r="BK24" s="1932" t="n">
        <f aca="false">(AR24*Pricing!F$3+AS24*Pricing!G$3+AT24*Pricing!H$3+AU24*Pricing!I$3+AV24*Pricing!J$3+AW24*Pricing!K$3+AH24*Pricing!F$3+AI24*Pricing!G$3+AJ24*Pricing!H$3+AK24*Pricing!I$3+AL24*Pricing!J$3+AM24*Pricing!K$3)*IF(T$39="N",(1+V$39),1)</f>
        <v>0</v>
      </c>
      <c r="BL24" s="1932" t="n">
        <f aca="false">IF(C24="Y",(N$59+N$60)/DF$36*DF24,0)</f>
        <v>0</v>
      </c>
      <c r="BM24" s="1932" t="n">
        <f aca="false">BF24*(G$67+D$70)</f>
        <v>0</v>
      </c>
      <c r="BN24" s="1932" t="n">
        <f aca="false">BG24*D$66</f>
        <v>0</v>
      </c>
      <c r="BO24" s="1932" t="n">
        <f aca="false">V24/2000*D$71</f>
        <v>0</v>
      </c>
      <c r="BP24" s="1932" t="n">
        <f aca="false">IF(C24="Y",(N$74+N$73+N$72)/DF$36*DF24,0)</f>
        <v>0</v>
      </c>
      <c r="BQ24" s="1932" t="n">
        <f aca="false">IF(SUM(BF$36:BG$36)=0,0,(SUM(N$78:O$81)+SUM(N$83:O$88)+SUM(N$90:O$96)+W$95)/SUM(BF$36:BG$36)*(BF24+BG24))</f>
        <v>0</v>
      </c>
      <c r="BR24" s="1933"/>
      <c r="BS24" s="1934" t="n">
        <f aca="false">IF(SUM(BF$36:BG$36)=0,0,(BQ$36-W$58-N$64-W76-(L$79*0.15))/SUM(BF$36:BG$36)*BG24+BN24)</f>
        <v>0</v>
      </c>
      <c r="BT24" s="1932" t="n">
        <f aca="false">(AH24*Pricing!F$3+AI24*Pricing!G$3+AJ24*Pricing!H$3+AK24*Pricing!I$3+AL24*Pricing!J$3+AM24*Pricing!K$3)*IF(T$39="N",(1+V$39),1)</f>
        <v>0</v>
      </c>
      <c r="BU24" s="1932" t="n">
        <f aca="false">IF(BG24=0,0,(BS24+BT24)/BG24)</f>
        <v>0</v>
      </c>
      <c r="BV24" s="1932" t="n">
        <f aca="false">SUM(BJ24:BQ24)-BS24-BT24</f>
        <v>0</v>
      </c>
      <c r="BW24" s="1933" t="n">
        <f aca="false">IF(BE24=0,0,BV24/BF24)</f>
        <v>0</v>
      </c>
      <c r="DB24" s="1935" t="n">
        <f aca="false">IF(W24=0,0,D$40/SUM(W$10:W$35)*W24)</f>
        <v>0</v>
      </c>
      <c r="DC24" s="1932" t="e">
        <f aca="false">E24*N24/12*(D$40-7980)/H$66</f>
        <v>#DIV/0!</v>
      </c>
      <c r="DD24" s="179" t="n">
        <f aca="false">ROUND(N24*O24/3088*E24,0)</f>
        <v>0</v>
      </c>
      <c r="DE24" s="908" t="n">
        <f aca="false">ROUND(V24,0)</f>
        <v>0</v>
      </c>
      <c r="DF24" s="356" t="n">
        <f aca="false">ROUND(IF(C24="Y",(G24*0.25*E24+G24*G24/144*0.5*E24)/27*1.3,0),0)</f>
        <v>0</v>
      </c>
      <c r="DG24" s="908" t="n">
        <f aca="false">ROUND(E24*G24/12,0)</f>
        <v>0</v>
      </c>
      <c r="DH24" s="908" t="n">
        <f aca="false">IF(C24="y",ROUNDUP(E24*G24/12,0),0)</f>
        <v>0</v>
      </c>
      <c r="DI24" s="908" t="n">
        <f aca="false">IF(C24="Y",IF(E24&gt;0,E24,0),0)</f>
        <v>0</v>
      </c>
      <c r="DJ24" s="1936" t="n">
        <f aca="false">ROUND(E24*N24/12,0)</f>
        <v>0</v>
      </c>
    </row>
    <row r="25" s="1414" customFormat="true" ht="15" hidden="false" customHeight="false" outlineLevel="0" collapsed="false">
      <c r="A25" s="507"/>
      <c r="B25" s="1312"/>
      <c r="C25" s="1919"/>
      <c r="D25" s="1920"/>
      <c r="E25" s="1921"/>
      <c r="F25" s="1234"/>
      <c r="G25" s="1235"/>
      <c r="H25" s="1236"/>
      <c r="I25" s="1234"/>
      <c r="J25" s="1235"/>
      <c r="K25" s="1236"/>
      <c r="L25" s="1234"/>
      <c r="M25" s="1234"/>
      <c r="N25" s="1922"/>
      <c r="O25" s="1234"/>
      <c r="P25" s="1234"/>
      <c r="Q25" s="1237"/>
      <c r="R25" s="1923"/>
      <c r="S25" s="1924"/>
      <c r="T25" s="78"/>
      <c r="U25" s="900"/>
      <c r="V25" s="1925" t="n">
        <f aca="false">((E25*I25/16*I25/16*10.680159*J25)*IF(H25=0,0,(G25/H25))+(G25/12*L25/16*L25/16*10.680159*M25)*IF(K25=0,0,(E25*12/K25))+(E25*IF(P25=0,0,N25/P25)*Q25/16*Q25/16*10.680159*R25)+(IF(P25=0,0,E25/P25*N25)*Q25/16*Q25/16*10.680159*R25)+((T25*U25*S25*0.03*0.2836*G25)/12+4)*IF(H25=0,0,(G25/H25))*I25/16*I25/16*10.680159)*(1+J$56)</f>
        <v>0</v>
      </c>
      <c r="W25" s="1926" t="n">
        <f aca="false">((E25*F25/12*G25/324)+ROUNDUP(S25*T25*U25*G25/46656,0)+(N25*O25*E25/3888))*(1+J$51)</f>
        <v>0</v>
      </c>
      <c r="AH25" s="1929" t="n">
        <f aca="false">IF($R$8=1,$N25*$O25*$E25/3888*(1+$J$51),0)</f>
        <v>0</v>
      </c>
      <c r="AI25" s="1928" t="n">
        <f aca="false">IF($R$8=2,$N25*$O25*$E25/3888*(1+$J$51),0)</f>
        <v>0</v>
      </c>
      <c r="AJ25" s="1928" t="n">
        <f aca="false">IF($R$8=3,$N25*$O25*$E25/3888*(1+$J$51),0)</f>
        <v>0</v>
      </c>
      <c r="AK25" s="1928" t="n">
        <f aca="false">IF($R$8=4,$N25*$O25*$E25/3888*(1+$J$51),0)</f>
        <v>0</v>
      </c>
      <c r="AL25" s="1928" t="n">
        <f aca="false">IF($R$8=5,$N25*$O25*$E25/3888*(1+$J$51),0)</f>
        <v>0</v>
      </c>
      <c r="AM25" s="1928" t="n">
        <f aca="false">IF($R$8=6,$N25*$O25*$E25/3888*(1+$J$51),0)</f>
        <v>0</v>
      </c>
      <c r="AN25" s="1928" t="n">
        <f aca="false">IF($R$8=7,$N25*$O25*$E25/3888*(1+$J$51),0)</f>
        <v>0</v>
      </c>
      <c r="AO25" s="1928" t="n">
        <f aca="false">IF($R$8=8,$N25*$O25*$E25/3888*(1+$J$51),0)</f>
        <v>0</v>
      </c>
      <c r="AP25" s="1928" t="n">
        <f aca="false">IF($R$8=9,$N25*$O25*$E25/3888*(1+$J$51),0)</f>
        <v>0</v>
      </c>
      <c r="AQ25" s="1928" t="n">
        <f aca="false">IF($R$8=10,$N25*$O25*$E25/3888*(1+$J$51),0)</f>
        <v>0</v>
      </c>
      <c r="AR25" s="1929" t="n">
        <f aca="false">IF($D25=1,$W25-SUM($AH25:$AQ25),0)</f>
        <v>0</v>
      </c>
      <c r="AS25" s="1928" t="n">
        <f aca="false">IF($D25=2,W25-SUM($AH25:$AQ25),0)</f>
        <v>0</v>
      </c>
      <c r="AT25" s="1928" t="n">
        <f aca="false">IF($D25=3,W25-SUM($AH25:$AQ25),0)</f>
        <v>0</v>
      </c>
      <c r="AU25" s="1928" t="n">
        <f aca="false">IF($D25=4,W25-SUM($AH25:$AQ25),0)</f>
        <v>0</v>
      </c>
      <c r="AV25" s="1928" t="n">
        <f aca="false">IF($D25=5,W25-SUM($AH25:$AQ25),0)</f>
        <v>0</v>
      </c>
      <c r="AW25" s="1928" t="n">
        <f aca="false">IF($D25=6,W25-SUM($AH25:$AQ25),0)</f>
        <v>0</v>
      </c>
      <c r="AX25" s="1928" t="n">
        <f aca="false">IF($D25=7,W25-SUM($AH25:$AQ25),0)</f>
        <v>0</v>
      </c>
      <c r="AY25" s="1928" t="n">
        <f aca="false">IF($D25=8,W25-SUM($AH25:$AQ25),0)</f>
        <v>0</v>
      </c>
      <c r="AZ25" s="1928" t="n">
        <f aca="false">IF($D25=9,W25-SUM($AH25:$AQ25),0)</f>
        <v>0</v>
      </c>
      <c r="BA25" s="1930" t="n">
        <f aca="false">IF($D25=10,W25-SUM($AH25:$AQ25),0)</f>
        <v>0</v>
      </c>
      <c r="BB25" s="1928" t="n">
        <f aca="false">SUM(AH25:AM25)</f>
        <v>0</v>
      </c>
      <c r="BC25" s="1928" t="n">
        <f aca="false">SUM(AR25:AW25)</f>
        <v>0</v>
      </c>
      <c r="BD25" s="1928" t="n">
        <f aca="false">V25</f>
        <v>0</v>
      </c>
      <c r="BE25" s="1928" t="n">
        <f aca="false">E25*G25/12*2+(U25*U25*G25/1728*S25)</f>
        <v>0</v>
      </c>
      <c r="BF25" s="1928" t="n">
        <f aca="false">BE25/2</f>
        <v>0</v>
      </c>
      <c r="BG25" s="1928" t="n">
        <f aca="false">N25*E25/12</f>
        <v>0</v>
      </c>
      <c r="BH25" s="1928" t="n">
        <f aca="false">ROUND(IF(C25="Y",BF25*3/27,0),0)</f>
        <v>0</v>
      </c>
      <c r="BJ25" s="1931" t="n">
        <f aca="false">V25*F$56*IF(T$39="N",(1+V$39),1)</f>
        <v>0</v>
      </c>
      <c r="BK25" s="1932" t="n">
        <f aca="false">(AR25*Pricing!F$3+AS25*Pricing!G$3+AT25*Pricing!H$3+AU25*Pricing!I$3+AV25*Pricing!J$3+AW25*Pricing!K$3+AH25*Pricing!F$3+AI25*Pricing!G$3+AJ25*Pricing!H$3+AK25*Pricing!I$3+AL25*Pricing!J$3+AM25*Pricing!K$3)*IF(T$39="N",(1+V$39),1)</f>
        <v>0</v>
      </c>
      <c r="BL25" s="1932" t="n">
        <f aca="false">IF(C25="Y",(N$59+N$60)/DF$36*DF25,0)</f>
        <v>0</v>
      </c>
      <c r="BM25" s="1932" t="n">
        <f aca="false">BF25*(G$67+D$70)</f>
        <v>0</v>
      </c>
      <c r="BN25" s="1932" t="n">
        <f aca="false">BG25*D$66</f>
        <v>0</v>
      </c>
      <c r="BO25" s="1932" t="n">
        <f aca="false">V25/2000*D$71</f>
        <v>0</v>
      </c>
      <c r="BP25" s="1932" t="n">
        <f aca="false">IF(C25="Y",(N$74+N$73+N$72)/DF$36*DF25,0)</f>
        <v>0</v>
      </c>
      <c r="BQ25" s="1932" t="n">
        <f aca="false">IF(SUM(BF$36:BG$36)=0,0,(SUM(N$78:O$81)+SUM(N$83:O$88)+SUM(N$90:O$96)+W$95)/SUM(BF$36:BG$36)*(BF25+BG25))</f>
        <v>0</v>
      </c>
      <c r="BR25" s="1933"/>
      <c r="BS25" s="1934" t="n">
        <f aca="false">IF(SUM(BF$36:BG$36)=0,0,(BQ$36-W$58-N$64-W63-(L$79*0.15))/SUM(BF$36:BG$36)*BG25+BN25)</f>
        <v>0</v>
      </c>
      <c r="BT25" s="1932" t="n">
        <f aca="false">(AH25*Pricing!F$3+AI25*Pricing!G$3+AJ25*Pricing!H$3+AK25*Pricing!I$3+AL25*Pricing!J$3+AM25*Pricing!K$3)*IF(T$39="N",(1+V$39),1)</f>
        <v>0</v>
      </c>
      <c r="BU25" s="1932" t="n">
        <f aca="false">IF(BG25=0,0,(BS25+BT25)/BG25)</f>
        <v>0</v>
      </c>
      <c r="BV25" s="1932" t="n">
        <f aca="false">SUM(BJ25:BQ25)-BS25-BT25</f>
        <v>0</v>
      </c>
      <c r="BW25" s="1933" t="n">
        <f aca="false">IF(BE25=0,0,BV25/BF25)</f>
        <v>0</v>
      </c>
      <c r="DB25" s="1935" t="n">
        <f aca="false">IF(W25=0,0,D$40/SUM(W$10:W$35)*W25)</f>
        <v>0</v>
      </c>
      <c r="DC25" s="1932" t="e">
        <f aca="false">E25*N25/12*(D$40-7980)/H$66</f>
        <v>#DIV/0!</v>
      </c>
      <c r="DD25" s="179" t="n">
        <f aca="false">ROUND(N25*O25/3088*E25,0)</f>
        <v>0</v>
      </c>
      <c r="DE25" s="908" t="n">
        <f aca="false">ROUND(V25,0)</f>
        <v>0</v>
      </c>
      <c r="DF25" s="356" t="n">
        <f aca="false">ROUND(IF(C25="Y",(G25*0.25*E25+G25*G25/144*0.5*E25)/27*1.3,0),0)</f>
        <v>0</v>
      </c>
      <c r="DG25" s="908" t="n">
        <f aca="false">ROUND(E25*G25/12,0)</f>
        <v>0</v>
      </c>
      <c r="DH25" s="908" t="n">
        <f aca="false">IF(C25="y",ROUNDUP(E25*G25/12,0),0)</f>
        <v>0</v>
      </c>
      <c r="DI25" s="908" t="n">
        <f aca="false">IF(C25="Y",IF(E25&gt;0,E25,0),0)</f>
        <v>0</v>
      </c>
      <c r="DJ25" s="1936" t="n">
        <f aca="false">ROUND(E25*N25/12,0)</f>
        <v>0</v>
      </c>
    </row>
    <row r="26" s="1414" customFormat="true" ht="15" hidden="false" customHeight="false" outlineLevel="0" collapsed="false">
      <c r="A26" s="507"/>
      <c r="B26" s="1312"/>
      <c r="C26" s="1919"/>
      <c r="D26" s="1920"/>
      <c r="E26" s="1921"/>
      <c r="F26" s="1234"/>
      <c r="G26" s="1235"/>
      <c r="H26" s="1236"/>
      <c r="I26" s="1234"/>
      <c r="J26" s="1235"/>
      <c r="K26" s="1236"/>
      <c r="L26" s="1234"/>
      <c r="M26" s="1234"/>
      <c r="N26" s="1922"/>
      <c r="O26" s="1234"/>
      <c r="P26" s="1234"/>
      <c r="Q26" s="1237"/>
      <c r="R26" s="1923"/>
      <c r="S26" s="1924"/>
      <c r="T26" s="78"/>
      <c r="U26" s="900"/>
      <c r="V26" s="1925" t="n">
        <f aca="false">((E26*I26/16*I26/16*10.680159*J26)*IF(H26=0,0,(G26/H26))+(G26/12*L26/16*L26/16*10.680159*M26)*IF(K26=0,0,(E26*12/K26))+(E26*IF(P26=0,0,N26/P26)*Q26/16*Q26/16*10.680159*R26)+(IF(P26=0,0,E26/P26*N26)*Q26/16*Q26/16*10.680159*R26)+((T26*U26*S26*0.03*0.2836*G26)/12+4)*IF(H26=0,0,(G26/H26))*I26/16*I26/16*10.680159)*(1+J$56)</f>
        <v>0</v>
      </c>
      <c r="W26" s="1926" t="n">
        <f aca="false">((E26*F26/12*G26/324)+ROUNDUP(S26*T26*U26*G26/46656,0)+(N26*O26*E26/3888))*(1+J$51)</f>
        <v>0</v>
      </c>
      <c r="AH26" s="1929" t="n">
        <f aca="false">IF($R$8=1,$N26*$O26*$E26/3888*(1+$J$51),0)</f>
        <v>0</v>
      </c>
      <c r="AI26" s="1928" t="n">
        <f aca="false">IF($R$8=2,$N26*$O26*$E26/3888*(1+$J$51),0)</f>
        <v>0</v>
      </c>
      <c r="AJ26" s="1928" t="n">
        <f aca="false">IF($R$8=3,$N26*$O26*$E26/3888*(1+$J$51),0)</f>
        <v>0</v>
      </c>
      <c r="AK26" s="1928" t="n">
        <f aca="false">IF($R$8=4,$N26*$O26*$E26/3888*(1+$J$51),0)</f>
        <v>0</v>
      </c>
      <c r="AL26" s="1928" t="n">
        <f aca="false">IF($R$8=5,$N26*$O26*$E26/3888*(1+$J$51),0)</f>
        <v>0</v>
      </c>
      <c r="AM26" s="1928" t="n">
        <f aca="false">IF($R$8=6,$N26*$O26*$E26/3888*(1+$J$51),0)</f>
        <v>0</v>
      </c>
      <c r="AN26" s="1928" t="n">
        <f aca="false">IF($R$8=7,$N26*$O26*$E26/3888*(1+$J$51),0)</f>
        <v>0</v>
      </c>
      <c r="AO26" s="1928" t="n">
        <f aca="false">IF($R$8=8,$N26*$O26*$E26/3888*(1+$J$51),0)</f>
        <v>0</v>
      </c>
      <c r="AP26" s="1928" t="n">
        <f aca="false">IF($R$8=9,$N26*$O26*$E26/3888*(1+$J$51),0)</f>
        <v>0</v>
      </c>
      <c r="AQ26" s="1928" t="n">
        <f aca="false">IF($R$8=10,$N26*$O26*$E26/3888*(1+$J$51),0)</f>
        <v>0</v>
      </c>
      <c r="AR26" s="1929" t="n">
        <f aca="false">IF($D26=1,$W26-SUM($AH26:$AQ26),0)</f>
        <v>0</v>
      </c>
      <c r="AS26" s="1928" t="n">
        <f aca="false">IF($D26=2,W26-SUM($AH26:$AQ26),0)</f>
        <v>0</v>
      </c>
      <c r="AT26" s="1928" t="n">
        <f aca="false">IF($D26=3,W26-SUM($AH26:$AQ26),0)</f>
        <v>0</v>
      </c>
      <c r="AU26" s="1928" t="n">
        <f aca="false">IF($D26=4,W26-SUM($AH26:$AQ26),0)</f>
        <v>0</v>
      </c>
      <c r="AV26" s="1928" t="n">
        <f aca="false">IF($D26=5,W26-SUM($AH26:$AQ26),0)</f>
        <v>0</v>
      </c>
      <c r="AW26" s="1928" t="n">
        <f aca="false">IF($D26=6,W26-SUM($AH26:$AQ26),0)</f>
        <v>0</v>
      </c>
      <c r="AX26" s="1928" t="n">
        <f aca="false">IF($D26=7,W26-SUM($AH26:$AQ26),0)</f>
        <v>0</v>
      </c>
      <c r="AY26" s="1928" t="n">
        <f aca="false">IF($D26=8,W26-SUM($AH26:$AQ26),0)</f>
        <v>0</v>
      </c>
      <c r="AZ26" s="1928" t="n">
        <f aca="false">IF($D26=9,W26-SUM($AH26:$AQ26),0)</f>
        <v>0</v>
      </c>
      <c r="BA26" s="1930" t="n">
        <f aca="false">IF($D26=10,W26-SUM($AH26:$AQ26),0)</f>
        <v>0</v>
      </c>
      <c r="BB26" s="1928" t="n">
        <f aca="false">SUM(AH26:AM26)</f>
        <v>0</v>
      </c>
      <c r="BC26" s="1928" t="n">
        <f aca="false">SUM(AR26:AW26)</f>
        <v>0</v>
      </c>
      <c r="BD26" s="1928" t="n">
        <f aca="false">V26</f>
        <v>0</v>
      </c>
      <c r="BE26" s="1928" t="n">
        <f aca="false">E26*G26/12*2+(U26*U26*G26/1728*S26)</f>
        <v>0</v>
      </c>
      <c r="BF26" s="1928" t="n">
        <f aca="false">BE26/2</f>
        <v>0</v>
      </c>
      <c r="BG26" s="1928" t="n">
        <f aca="false">N26*E26/12</f>
        <v>0</v>
      </c>
      <c r="BH26" s="1928" t="n">
        <f aca="false">ROUND(IF(C26="Y",BF26*3/27,0),0)</f>
        <v>0</v>
      </c>
      <c r="BJ26" s="1931" t="n">
        <f aca="false">V26*F$56*IF(T$39="N",(1+V$39),1)</f>
        <v>0</v>
      </c>
      <c r="BK26" s="1932" t="n">
        <f aca="false">(AR26*Pricing!F$3+AS26*Pricing!G$3+AT26*Pricing!H$3+AU26*Pricing!I$3+AV26*Pricing!J$3+AW26*Pricing!K$3+AH26*Pricing!F$3+AI26*Pricing!G$3+AJ26*Pricing!H$3+AK26*Pricing!I$3+AL26*Pricing!J$3+AM26*Pricing!K$3)*IF(T$39="N",(1+V$39),1)</f>
        <v>0</v>
      </c>
      <c r="BL26" s="1932" t="n">
        <f aca="false">IF(C26="Y",(N$59+N$60)/DF$36*DF26,0)</f>
        <v>0</v>
      </c>
      <c r="BM26" s="1932" t="n">
        <f aca="false">BF26*(G$67+D$70)</f>
        <v>0</v>
      </c>
      <c r="BN26" s="1932" t="n">
        <f aca="false">BG26*D$66</f>
        <v>0</v>
      </c>
      <c r="BO26" s="1932" t="n">
        <f aca="false">V26/2000*D$71</f>
        <v>0</v>
      </c>
      <c r="BP26" s="1932" t="n">
        <f aca="false">IF(C26="Y",(N$74+N$73+N$72)/DF$36*DF26,0)</f>
        <v>0</v>
      </c>
      <c r="BQ26" s="1932" t="n">
        <f aca="false">IF(SUM(BF$36:BG$36)=0,0,(SUM(N$78:O$81)+SUM(N$83:O$88)+SUM(N$90:O$96)+W$95)/SUM(BF$36:BG$36)*(BF26+BG26))</f>
        <v>0</v>
      </c>
      <c r="BR26" s="1933"/>
      <c r="BS26" s="1934" t="n">
        <f aca="false">IF(SUM(BF$36:BG$36)=0,0,(BQ$36-W$58-N$64-W57-(L$79*0.15))/SUM(BF$36:BG$36)*BG26+BN26)</f>
        <v>0</v>
      </c>
      <c r="BT26" s="1932" t="n">
        <f aca="false">(AH26*Pricing!F$3+AI26*Pricing!G$3+AJ26*Pricing!H$3+AK26*Pricing!I$3+AL26*Pricing!J$3+AM26*Pricing!K$3)*IF(T$39="N",(1+V$39),1)</f>
        <v>0</v>
      </c>
      <c r="BU26" s="1932" t="n">
        <f aca="false">IF(BG26=0,0,(BS26+BT26)/BG26)</f>
        <v>0</v>
      </c>
      <c r="BV26" s="1932" t="n">
        <f aca="false">SUM(BJ26:BQ26)-BS26-BT26</f>
        <v>0</v>
      </c>
      <c r="BW26" s="1933" t="n">
        <f aca="false">IF(BE26=0,0,BV26/BF26)</f>
        <v>0</v>
      </c>
      <c r="DB26" s="1935" t="n">
        <f aca="false">IF(W26=0,0,D$40/SUM(W$10:W$35)*W26)</f>
        <v>0</v>
      </c>
      <c r="DC26" s="1932" t="e">
        <f aca="false">E26*N26/12*(D$40-7980)/H$66</f>
        <v>#DIV/0!</v>
      </c>
      <c r="DD26" s="179" t="n">
        <f aca="false">ROUND(N26*O26/3088*E26,0)</f>
        <v>0</v>
      </c>
      <c r="DE26" s="908" t="n">
        <f aca="false">ROUND(V26,0)</f>
        <v>0</v>
      </c>
      <c r="DF26" s="356" t="n">
        <f aca="false">ROUND(IF(C26="Y",(G26*0.25*E26+G26*G26/144*0.5*E26)/27*1.3,0),0)</f>
        <v>0</v>
      </c>
      <c r="DG26" s="908" t="n">
        <f aca="false">ROUND(E26*G26/12,0)</f>
        <v>0</v>
      </c>
      <c r="DH26" s="908" t="n">
        <f aca="false">IF(C26="y",ROUNDUP(E26*G26/12,0),0)</f>
        <v>0</v>
      </c>
      <c r="DI26" s="908" t="n">
        <f aca="false">IF(C26="Y",IF(E26&gt;0,E26,0),0)</f>
        <v>0</v>
      </c>
      <c r="DJ26" s="1936" t="n">
        <f aca="false">ROUND(E26*N26/12,0)</f>
        <v>0</v>
      </c>
    </row>
    <row r="27" s="1414" customFormat="true" ht="15" hidden="false" customHeight="false" outlineLevel="0" collapsed="false">
      <c r="A27" s="507"/>
      <c r="B27" s="1312"/>
      <c r="C27" s="1919"/>
      <c r="D27" s="1920"/>
      <c r="E27" s="1921"/>
      <c r="F27" s="1234"/>
      <c r="G27" s="1235"/>
      <c r="H27" s="1236"/>
      <c r="I27" s="1234"/>
      <c r="J27" s="1235"/>
      <c r="K27" s="1236"/>
      <c r="L27" s="1234"/>
      <c r="M27" s="1234"/>
      <c r="N27" s="1922"/>
      <c r="O27" s="1234"/>
      <c r="P27" s="1234"/>
      <c r="Q27" s="1237"/>
      <c r="R27" s="1923"/>
      <c r="S27" s="1924"/>
      <c r="T27" s="78"/>
      <c r="U27" s="900"/>
      <c r="V27" s="1925" t="n">
        <f aca="false">((E27*I27/16*I27/16*10.680159*J27)*IF(H27=0,0,(G27/H27))+(G27/12*L27/16*L27/16*10.680159*M27)*IF(K27=0,0,(E27*12/K27))+(E27*IF(P27=0,0,N27/P27)*Q27/16*Q27/16*10.680159*R27)+(IF(P27=0,0,E27/P27*N27)*Q27/16*Q27/16*10.680159*R27)+((T27*U27*S27*0.03*0.2836*G27)/12+4)*IF(H27=0,0,(G27/H27))*I27/16*I27/16*10.680159)*(1+J$56)</f>
        <v>0</v>
      </c>
      <c r="W27" s="1926" t="n">
        <f aca="false">((E27*F27/12*G27/324)+ROUNDUP(S27*T27*U27*G27/46656,0)+(N27*O27*E27/3888))*(1+J$51)</f>
        <v>0</v>
      </c>
      <c r="AH27" s="1929" t="n">
        <f aca="false">IF($R$8=1,$N27*$O27*$E27/3888*(1+$J$51),0)</f>
        <v>0</v>
      </c>
      <c r="AI27" s="1928" t="n">
        <f aca="false">IF($R$8=2,$N27*$O27*$E27/3888*(1+$J$51),0)</f>
        <v>0</v>
      </c>
      <c r="AJ27" s="1928" t="n">
        <f aca="false">IF($R$8=3,$N27*$O27*$E27/3888*(1+$J$51),0)</f>
        <v>0</v>
      </c>
      <c r="AK27" s="1928" t="n">
        <f aca="false">IF($R$8=4,$N27*$O27*$E27/3888*(1+$J$51),0)</f>
        <v>0</v>
      </c>
      <c r="AL27" s="1928" t="n">
        <f aca="false">IF($R$8=5,$N27*$O27*$E27/3888*(1+$J$51),0)</f>
        <v>0</v>
      </c>
      <c r="AM27" s="1928" t="n">
        <f aca="false">IF($R$8=6,$N27*$O27*$E27/3888*(1+$J$51),0)</f>
        <v>0</v>
      </c>
      <c r="AN27" s="1928" t="n">
        <f aca="false">IF($R$8=7,$N27*$O27*$E27/3888*(1+$J$51),0)</f>
        <v>0</v>
      </c>
      <c r="AO27" s="1928" t="n">
        <f aca="false">IF($R$8=8,$N27*$O27*$E27/3888*(1+$J$51),0)</f>
        <v>0</v>
      </c>
      <c r="AP27" s="1928" t="n">
        <f aca="false">IF($R$8=9,$N27*$O27*$E27/3888*(1+$J$51),0)</f>
        <v>0</v>
      </c>
      <c r="AQ27" s="1928" t="n">
        <f aca="false">IF($R$8=10,$N27*$O27*$E27/3888*(1+$J$51),0)</f>
        <v>0</v>
      </c>
      <c r="AR27" s="1929" t="n">
        <f aca="false">IF($D27=1,$W27-SUM($AH27:$AQ27),0)</f>
        <v>0</v>
      </c>
      <c r="AS27" s="1928" t="n">
        <f aca="false">IF($D27=2,W27-SUM($AH27:$AQ27),0)</f>
        <v>0</v>
      </c>
      <c r="AT27" s="1928" t="n">
        <f aca="false">IF($D27=3,W27-SUM($AH27:$AQ27),0)</f>
        <v>0</v>
      </c>
      <c r="AU27" s="1928" t="n">
        <f aca="false">IF($D27=4,W27-SUM($AH27:$AQ27),0)</f>
        <v>0</v>
      </c>
      <c r="AV27" s="1928" t="n">
        <f aca="false">IF($D27=5,W27-SUM($AH27:$AQ27),0)</f>
        <v>0</v>
      </c>
      <c r="AW27" s="1928" t="n">
        <f aca="false">IF($D27=6,W27-SUM($AH27:$AQ27),0)</f>
        <v>0</v>
      </c>
      <c r="AX27" s="1928" t="n">
        <f aca="false">IF($D27=7,W27-SUM($AH27:$AQ27),0)</f>
        <v>0</v>
      </c>
      <c r="AY27" s="1928" t="n">
        <f aca="false">IF($D27=8,W27-SUM($AH27:$AQ27),0)</f>
        <v>0</v>
      </c>
      <c r="AZ27" s="1928" t="n">
        <f aca="false">IF($D27=9,W27-SUM($AH27:$AQ27),0)</f>
        <v>0</v>
      </c>
      <c r="BA27" s="1930" t="n">
        <f aca="false">IF($D27=10,W27-SUM($AH27:$AQ27),0)</f>
        <v>0</v>
      </c>
      <c r="BB27" s="1928" t="n">
        <f aca="false">SUM(AH27:AM27)</f>
        <v>0</v>
      </c>
      <c r="BC27" s="1928" t="n">
        <f aca="false">SUM(AR27:AW27)</f>
        <v>0</v>
      </c>
      <c r="BD27" s="1928" t="n">
        <f aca="false">V27</f>
        <v>0</v>
      </c>
      <c r="BE27" s="1928" t="n">
        <f aca="false">E27*G27/12*2+(U27*U27*G27/1728*S27)</f>
        <v>0</v>
      </c>
      <c r="BF27" s="1928" t="n">
        <f aca="false">BE27/2</f>
        <v>0</v>
      </c>
      <c r="BG27" s="1928" t="n">
        <f aca="false">N27*E27/12</f>
        <v>0</v>
      </c>
      <c r="BH27" s="1928" t="n">
        <f aca="false">ROUND(IF(C27="Y",BF27*3/27,0),0)</f>
        <v>0</v>
      </c>
      <c r="BJ27" s="1931" t="n">
        <f aca="false">V27*F$56*IF(T$39="N",(1+V$39),1)</f>
        <v>0</v>
      </c>
      <c r="BK27" s="1932" t="n">
        <f aca="false">(AR27*Pricing!F$3+AS27*Pricing!G$3+AT27*Pricing!H$3+AU27*Pricing!I$3+AV27*Pricing!J$3+AW27*Pricing!K$3+AH27*Pricing!F$3+AI27*Pricing!G$3+AJ27*Pricing!H$3+AK27*Pricing!I$3+AL27*Pricing!J$3+AM27*Pricing!K$3)*IF(T$39="N",(1+V$39),1)</f>
        <v>0</v>
      </c>
      <c r="BL27" s="1932" t="n">
        <f aca="false">IF(C27="Y",(N$59+N$60)/DF$36*DF27,0)</f>
        <v>0</v>
      </c>
      <c r="BM27" s="1932" t="n">
        <f aca="false">BF27*(G$67+D$70)</f>
        <v>0</v>
      </c>
      <c r="BN27" s="1932" t="n">
        <f aca="false">BG27*D$66</f>
        <v>0</v>
      </c>
      <c r="BO27" s="1932" t="n">
        <f aca="false">V27/2000*D$71</f>
        <v>0</v>
      </c>
      <c r="BP27" s="1932" t="n">
        <f aca="false">IF(C27="Y",(N$74+N$73+N$72)/DF$36*DF27,0)</f>
        <v>0</v>
      </c>
      <c r="BQ27" s="1932" t="n">
        <f aca="false">IF(SUM(BF$36:BG$36)=0,0,(SUM(N$78:O$81)+SUM(N$83:O$88)+SUM(N$90:O$96)+W$95)/SUM(BF$36:BG$36)*(BF27+BG27))</f>
        <v>0</v>
      </c>
      <c r="BR27" s="1933"/>
      <c r="BS27" s="1934" t="n">
        <f aca="false">IF(SUM(BF$36:BG$36)=0,0,(BQ$36-W$58-N$64-W65-(L$79*0.15))/SUM(BF$36:BG$36)*BG27+BN27)</f>
        <v>0</v>
      </c>
      <c r="BT27" s="1932" t="n">
        <f aca="false">(AH27*Pricing!F$3+AI27*Pricing!G$3+AJ27*Pricing!H$3+AK27*Pricing!I$3+AL27*Pricing!J$3+AM27*Pricing!K$3)*IF(T$39="N",(1+V$39),1)</f>
        <v>0</v>
      </c>
      <c r="BU27" s="1932" t="n">
        <f aca="false">IF(BG27=0,0,(BS27+BT27)/BG27)</f>
        <v>0</v>
      </c>
      <c r="BV27" s="1932" t="n">
        <f aca="false">SUM(BJ27:BQ27)-BS27-BT27</f>
        <v>0</v>
      </c>
      <c r="BW27" s="1933" t="n">
        <f aca="false">IF(BE27=0,0,BV27/BF27)</f>
        <v>0</v>
      </c>
      <c r="DB27" s="1935" t="n">
        <f aca="false">IF(W27=0,0,D$40/SUM(W$10:W$35)*W27)</f>
        <v>0</v>
      </c>
      <c r="DC27" s="1932" t="e">
        <f aca="false">E27*N27/12*(D$40-7980)/H$66</f>
        <v>#DIV/0!</v>
      </c>
      <c r="DD27" s="179" t="n">
        <f aca="false">ROUND(N27*O27/3088*E27,0)</f>
        <v>0</v>
      </c>
      <c r="DE27" s="908" t="n">
        <f aca="false">ROUND(V27,0)</f>
        <v>0</v>
      </c>
      <c r="DF27" s="356" t="n">
        <f aca="false">ROUND(IF(C27="Y",(G27*0.25*E27+G27*G27/144*0.5*E27)/27*1.3,0),0)</f>
        <v>0</v>
      </c>
      <c r="DG27" s="908" t="n">
        <f aca="false">ROUND(E27*G27/12,0)</f>
        <v>0</v>
      </c>
      <c r="DH27" s="908" t="n">
        <f aca="false">IF(C27="y",ROUNDUP(E27*G27/12,0),0)</f>
        <v>0</v>
      </c>
      <c r="DI27" s="908" t="n">
        <f aca="false">IF(C27="Y",IF(E27&gt;0,E27,0),0)</f>
        <v>0</v>
      </c>
      <c r="DJ27" s="1936" t="n">
        <f aca="false">ROUND(E27*N27/12,0)</f>
        <v>0</v>
      </c>
    </row>
    <row r="28" s="1414" customFormat="true" ht="15" hidden="false" customHeight="false" outlineLevel="0" collapsed="false">
      <c r="A28" s="507"/>
      <c r="B28" s="1312"/>
      <c r="C28" s="1919"/>
      <c r="D28" s="1920"/>
      <c r="E28" s="1921"/>
      <c r="F28" s="1234"/>
      <c r="G28" s="1235"/>
      <c r="H28" s="1236"/>
      <c r="I28" s="1234"/>
      <c r="J28" s="1235"/>
      <c r="K28" s="1236"/>
      <c r="L28" s="1234"/>
      <c r="M28" s="1234"/>
      <c r="N28" s="1922"/>
      <c r="O28" s="1234"/>
      <c r="P28" s="1234"/>
      <c r="Q28" s="1234"/>
      <c r="R28" s="1923"/>
      <c r="S28" s="1924"/>
      <c r="T28" s="78"/>
      <c r="U28" s="900"/>
      <c r="V28" s="1925" t="n">
        <f aca="false">((E28*I28/16*I28/16*10.680159*J28)*IF(H28=0,0,(G28/H28))+(G28/12*L28/16*L28/16*10.680159*M28)*IF(K28=0,0,(E28*12/K28))+(E28*IF(P28=0,0,N28/P28)*Q28/16*Q28/16*10.680159*R28)+(IF(P28=0,0,E28/P28*N28)*Q28/16*Q28/16*10.680159*R28)+((T28*U28*S28*0.03*0.2836*G28)/12+4)*IF(H28=0,0,(G28/H28))*I28/16*I28/16*10.680159)*(1+J$56)</f>
        <v>0</v>
      </c>
      <c r="W28" s="1926" t="n">
        <f aca="false">((E28*F28/12*G28/324)+ROUNDUP(S28*T28*U28*G28/46656,0)+(N28*O28*E28/3888))*(1+J$51)</f>
        <v>0</v>
      </c>
      <c r="AH28" s="1929" t="n">
        <f aca="false">IF($R$8=1,$N28*$O28*$E28/3888*(1+$J$51),0)</f>
        <v>0</v>
      </c>
      <c r="AI28" s="1928" t="n">
        <f aca="false">IF($R$8=2,$N28*$O28*$E28/3888*(1+$J$51),0)</f>
        <v>0</v>
      </c>
      <c r="AJ28" s="1928" t="n">
        <f aca="false">IF($R$8=3,$N28*$O28*$E28/3888*(1+$J$51),0)</f>
        <v>0</v>
      </c>
      <c r="AK28" s="1928" t="n">
        <f aca="false">IF($R$8=4,$N28*$O28*$E28/3888*(1+$J$51),0)</f>
        <v>0</v>
      </c>
      <c r="AL28" s="1928" t="n">
        <f aca="false">IF($R$8=5,$N28*$O28*$E28/3888*(1+$J$51),0)</f>
        <v>0</v>
      </c>
      <c r="AM28" s="1928" t="n">
        <f aca="false">IF($R$8=6,$N28*$O28*$E28/3888*(1+$J$51),0)</f>
        <v>0</v>
      </c>
      <c r="AN28" s="1928" t="n">
        <f aca="false">IF($R$8=7,$N28*$O28*$E28/3888*(1+$J$51),0)</f>
        <v>0</v>
      </c>
      <c r="AO28" s="1928" t="n">
        <f aca="false">IF($R$8=8,$N28*$O28*$E28/3888*(1+$J$51),0)</f>
        <v>0</v>
      </c>
      <c r="AP28" s="1928" t="n">
        <f aca="false">IF($R$8=9,$N28*$O28*$E28/3888*(1+$J$51),0)</f>
        <v>0</v>
      </c>
      <c r="AQ28" s="1928" t="n">
        <f aca="false">IF($R$8=10,$N28*$O28*$E28/3888*(1+$J$51),0)</f>
        <v>0</v>
      </c>
      <c r="AR28" s="1929" t="n">
        <f aca="false">IF($D28=1,$W28-SUM($AH28:$AQ28),0)</f>
        <v>0</v>
      </c>
      <c r="AS28" s="1928" t="n">
        <f aca="false">IF($D28=2,W28-SUM($AH28:$AQ28),0)</f>
        <v>0</v>
      </c>
      <c r="AT28" s="1928" t="n">
        <f aca="false">IF($D28=3,W28-SUM($AH28:$AQ28),0)</f>
        <v>0</v>
      </c>
      <c r="AU28" s="1928" t="n">
        <f aca="false">IF($D28=4,W28-SUM($AH28:$AQ28),0)</f>
        <v>0</v>
      </c>
      <c r="AV28" s="1928" t="n">
        <f aca="false">IF($D28=5,W28-SUM($AH28:$AQ28),0)</f>
        <v>0</v>
      </c>
      <c r="AW28" s="1928" t="n">
        <f aca="false">IF($D28=6,W28-SUM($AH28:$AQ28),0)</f>
        <v>0</v>
      </c>
      <c r="AX28" s="1928" t="n">
        <f aca="false">IF($D28=7,W28-SUM($AH28:$AQ28),0)</f>
        <v>0</v>
      </c>
      <c r="AY28" s="1928" t="n">
        <f aca="false">IF($D28=8,W28-SUM($AH28:$AQ28),0)</f>
        <v>0</v>
      </c>
      <c r="AZ28" s="1928" t="n">
        <f aca="false">IF($D28=9,W28-SUM($AH28:$AQ28),0)</f>
        <v>0</v>
      </c>
      <c r="BA28" s="1930" t="n">
        <f aca="false">IF($D28=10,W28-SUM($AH28:$AQ28),0)</f>
        <v>0</v>
      </c>
      <c r="BB28" s="1928" t="n">
        <f aca="false">SUM(AH28:AM28)</f>
        <v>0</v>
      </c>
      <c r="BC28" s="1928" t="n">
        <f aca="false">SUM(AR28:AW28)</f>
        <v>0</v>
      </c>
      <c r="BD28" s="1928" t="n">
        <f aca="false">V28</f>
        <v>0</v>
      </c>
      <c r="BE28" s="1928" t="n">
        <f aca="false">E28*G28/12*2+(U28*U28*G28/1728*S28)</f>
        <v>0</v>
      </c>
      <c r="BF28" s="1928" t="n">
        <f aca="false">BE28/2</f>
        <v>0</v>
      </c>
      <c r="BG28" s="1928" t="n">
        <f aca="false">N28*E28/12</f>
        <v>0</v>
      </c>
      <c r="BH28" s="1928" t="n">
        <f aca="false">ROUND(IF(C28="Y",BF28*3/27,0),0)</f>
        <v>0</v>
      </c>
      <c r="BJ28" s="1931" t="n">
        <f aca="false">V28*F$56*IF(T$39="N",(1+V$39),1)</f>
        <v>0</v>
      </c>
      <c r="BK28" s="1932" t="n">
        <f aca="false">(AR28*Pricing!F$3+AS28*Pricing!G$3+AT28*Pricing!H$3+AU28*Pricing!I$3+AV28*Pricing!J$3+AW28*Pricing!K$3+AH28*Pricing!F$3+AI28*Pricing!G$3+AJ28*Pricing!H$3+AK28*Pricing!I$3+AL28*Pricing!J$3+AM28*Pricing!K$3)*IF(T$39="N",(1+V$39),1)</f>
        <v>0</v>
      </c>
      <c r="BL28" s="1932" t="n">
        <f aca="false">IF(C28="Y",(N$59+N$60)/DF$36*DF28,0)</f>
        <v>0</v>
      </c>
      <c r="BM28" s="1932" t="n">
        <f aca="false">BF28*(G$67+D$70)</f>
        <v>0</v>
      </c>
      <c r="BN28" s="1932" t="n">
        <f aca="false">BG28*D$66</f>
        <v>0</v>
      </c>
      <c r="BO28" s="1932" t="n">
        <f aca="false">V28/2000*D$71</f>
        <v>0</v>
      </c>
      <c r="BP28" s="1932" t="n">
        <f aca="false">IF(C28="Y",(N$74+N$73+N$72)/DF$36*DF28,0)</f>
        <v>0</v>
      </c>
      <c r="BQ28" s="1932" t="n">
        <f aca="false">IF(SUM(BF$36:BG$36)=0,0,(SUM(N$78:O$81)+SUM(N$83:O$88)+SUM(N$90:O$96)+W$95)/SUM(BF$36:BG$36)*(BF28+BG28))</f>
        <v>0</v>
      </c>
      <c r="BR28" s="1933"/>
      <c r="BS28" s="1934" t="n">
        <f aca="false">IF(SUM(BF$36:BG$36)=0,0,(BQ$36-W$58-N$64-W66-(L$79*0.15))/SUM(BF$36:BG$36)*BG28+BN28)</f>
        <v>0</v>
      </c>
      <c r="BT28" s="1932" t="n">
        <f aca="false">(AH28*Pricing!F$3+AI28*Pricing!G$3+AJ28*Pricing!H$3+AK28*Pricing!I$3+AL28*Pricing!J$3+AM28*Pricing!K$3)*IF(T$39="N",(1+V$39),1)</f>
        <v>0</v>
      </c>
      <c r="BU28" s="1932" t="n">
        <f aca="false">IF(BG28=0,0,(BS28+BT28)/BG28)</f>
        <v>0</v>
      </c>
      <c r="BV28" s="1932" t="n">
        <f aca="false">SUM(BJ28:BQ28)-BS28-BT28</f>
        <v>0</v>
      </c>
      <c r="BW28" s="1933" t="n">
        <f aca="false">IF(BE28=0,0,BV28/BF28)</f>
        <v>0</v>
      </c>
      <c r="DB28" s="1935" t="n">
        <f aca="false">IF(W28=0,0,D$40/SUM(W$10:W$35)*W28)</f>
        <v>0</v>
      </c>
      <c r="DC28" s="1932" t="e">
        <f aca="false">E28*N28/12*(D$40-7980)/H$66</f>
        <v>#DIV/0!</v>
      </c>
      <c r="DD28" s="179" t="n">
        <f aca="false">ROUND(N28*O28/3088*E28,0)</f>
        <v>0</v>
      </c>
      <c r="DE28" s="908" t="n">
        <f aca="false">ROUND(V28,0)</f>
        <v>0</v>
      </c>
      <c r="DF28" s="356" t="n">
        <f aca="false">ROUND(IF(C28="Y",(G28*0.25*E28+G28*G28/144*0.5*E28)/27*1.3,0),0)</f>
        <v>0</v>
      </c>
      <c r="DG28" s="908" t="n">
        <f aca="false">ROUND(E28*G28/12,0)</f>
        <v>0</v>
      </c>
      <c r="DH28" s="908" t="n">
        <f aca="false">IF(C28="y",ROUNDUP(E28*G28/12,0),0)</f>
        <v>0</v>
      </c>
      <c r="DI28" s="908" t="n">
        <f aca="false">IF(C28="Y",IF(E28&gt;0,E28,0),0)</f>
        <v>0</v>
      </c>
      <c r="DJ28" s="1936" t="n">
        <f aca="false">ROUND(E28*N28/12,0)</f>
        <v>0</v>
      </c>
    </row>
    <row r="29" s="1414" customFormat="true" ht="15" hidden="false" customHeight="false" outlineLevel="0" collapsed="false">
      <c r="A29" s="507"/>
      <c r="B29" s="1312"/>
      <c r="C29" s="1919"/>
      <c r="D29" s="1920"/>
      <c r="E29" s="1921"/>
      <c r="F29" s="1234"/>
      <c r="G29" s="1235"/>
      <c r="H29" s="1236"/>
      <c r="I29" s="1234"/>
      <c r="J29" s="1235"/>
      <c r="K29" s="1236"/>
      <c r="L29" s="1234"/>
      <c r="M29" s="1234"/>
      <c r="N29" s="1922"/>
      <c r="O29" s="1234"/>
      <c r="P29" s="1234"/>
      <c r="Q29" s="1234"/>
      <c r="R29" s="1923"/>
      <c r="S29" s="1924"/>
      <c r="T29" s="78"/>
      <c r="U29" s="900"/>
      <c r="V29" s="1925" t="n">
        <f aca="false">((E29*I29/16*I29/16*10.680159*J29)*IF(H29=0,0,(G29/H29))+(G29/12*L29/16*L29/16*10.680159*M29)*IF(K29=0,0,(E29*12/K29))+(E29*IF(P29=0,0,N29/P29)*Q29/16*Q29/16*10.680159*R29)+(IF(P29=0,0,E29/P29*N29)*Q29/16*Q29/16*10.680159*R29)+((T29*U29*S29*0.03*0.2836*G29)/12+4)*IF(H29=0,0,(G29/H29))*I29/16*I29/16*10.680159)*(1+J$56)</f>
        <v>0</v>
      </c>
      <c r="W29" s="1926" t="n">
        <f aca="false">((E29*F29/12*G29/324)+ROUNDUP(S29*T29*U29*G29/46656,0)+(N29*O29*E29/3888))*(1+J$51)</f>
        <v>0</v>
      </c>
      <c r="AH29" s="1929" t="n">
        <f aca="false">IF($R$8=1,$N29*$O29*$E29/3888*(1+$J$51),0)</f>
        <v>0</v>
      </c>
      <c r="AI29" s="1928" t="n">
        <f aca="false">IF($R$8=2,$N29*$O29*$E29/3888*(1+$J$51),0)</f>
        <v>0</v>
      </c>
      <c r="AJ29" s="1928" t="n">
        <f aca="false">IF($R$8=3,$N29*$O29*$E29/3888*(1+$J$51),0)</f>
        <v>0</v>
      </c>
      <c r="AK29" s="1928" t="n">
        <f aca="false">IF($R$8=4,$N29*$O29*$E29/3888*(1+$J$51),0)</f>
        <v>0</v>
      </c>
      <c r="AL29" s="1928" t="n">
        <f aca="false">IF($R$8=5,$N29*$O29*$E29/3888*(1+$J$51),0)</f>
        <v>0</v>
      </c>
      <c r="AM29" s="1928" t="n">
        <f aca="false">IF($R$8=6,$N29*$O29*$E29/3888*(1+$J$51),0)</f>
        <v>0</v>
      </c>
      <c r="AN29" s="1928" t="n">
        <f aca="false">IF($R$8=7,$N29*$O29*$E29/3888*(1+$J$51),0)</f>
        <v>0</v>
      </c>
      <c r="AO29" s="1928" t="n">
        <f aca="false">IF($R$8=8,$N29*$O29*$E29/3888*(1+$J$51),0)</f>
        <v>0</v>
      </c>
      <c r="AP29" s="1928" t="n">
        <f aca="false">IF($R$8=9,$N29*$O29*$E29/3888*(1+$J$51),0)</f>
        <v>0</v>
      </c>
      <c r="AQ29" s="1928" t="n">
        <f aca="false">IF($R$8=10,$N29*$O29*$E29/3888*(1+$J$51),0)</f>
        <v>0</v>
      </c>
      <c r="AR29" s="1929" t="n">
        <f aca="false">IF($D29=1,$W29-SUM($AH29:$AQ29),0)</f>
        <v>0</v>
      </c>
      <c r="AS29" s="1928" t="n">
        <f aca="false">IF($D29=2,W29-SUM($AH29:$AQ29),0)</f>
        <v>0</v>
      </c>
      <c r="AT29" s="1928" t="n">
        <f aca="false">IF($D29=3,W29-SUM($AH29:$AQ29),0)</f>
        <v>0</v>
      </c>
      <c r="AU29" s="1928" t="n">
        <f aca="false">IF($D29=4,W29-SUM($AH29:$AQ29),0)</f>
        <v>0</v>
      </c>
      <c r="AV29" s="1928" t="n">
        <f aca="false">IF($D29=5,W29-SUM($AH29:$AQ29),0)</f>
        <v>0</v>
      </c>
      <c r="AW29" s="1928" t="n">
        <f aca="false">IF($D29=6,W29-SUM($AH29:$AQ29),0)</f>
        <v>0</v>
      </c>
      <c r="AX29" s="1928" t="n">
        <f aca="false">IF($D29=7,W29-SUM($AH29:$AQ29),0)</f>
        <v>0</v>
      </c>
      <c r="AY29" s="1928" t="n">
        <f aca="false">IF($D29=8,W29-SUM($AH29:$AQ29),0)</f>
        <v>0</v>
      </c>
      <c r="AZ29" s="1928" t="n">
        <f aca="false">IF($D29=9,W29-SUM($AH29:$AQ29),0)</f>
        <v>0</v>
      </c>
      <c r="BA29" s="1930" t="n">
        <f aca="false">IF($D29=10,W29-SUM($AH29:$AQ29),0)</f>
        <v>0</v>
      </c>
      <c r="BB29" s="1928" t="n">
        <f aca="false">SUM(AH29:AM29)</f>
        <v>0</v>
      </c>
      <c r="BC29" s="1928" t="n">
        <f aca="false">SUM(AR29:AW29)</f>
        <v>0</v>
      </c>
      <c r="BD29" s="1928" t="n">
        <f aca="false">V29</f>
        <v>0</v>
      </c>
      <c r="BE29" s="1928" t="n">
        <f aca="false">E29*G29/12*2+(U29*U29*G29/1728*S29)</f>
        <v>0</v>
      </c>
      <c r="BF29" s="1928" t="n">
        <f aca="false">BE29/2</f>
        <v>0</v>
      </c>
      <c r="BG29" s="1928" t="n">
        <f aca="false">N29*E29/12</f>
        <v>0</v>
      </c>
      <c r="BH29" s="1928" t="n">
        <f aca="false">ROUND(IF(C29="Y",BF29*3/27,0),0)</f>
        <v>0</v>
      </c>
      <c r="BJ29" s="1931" t="n">
        <f aca="false">V29*F$56*IF(T$39="N",(1+V$39),1)</f>
        <v>0</v>
      </c>
      <c r="BK29" s="1932" t="n">
        <f aca="false">(AR29*Pricing!F$3+AS29*Pricing!G$3+AT29*Pricing!H$3+AU29*Pricing!I$3+AV29*Pricing!J$3+AW29*Pricing!K$3+AH29*Pricing!F$3+AI29*Pricing!G$3+AJ29*Pricing!H$3+AK29*Pricing!I$3+AL29*Pricing!J$3+AM29*Pricing!K$3)*IF(T$39="N",(1+V$39),1)</f>
        <v>0</v>
      </c>
      <c r="BL29" s="1932" t="n">
        <f aca="false">IF(C29="Y",(N$59+N$60)/DF$36*DF29,0)</f>
        <v>0</v>
      </c>
      <c r="BM29" s="1932" t="n">
        <f aca="false">BF29*(G$67+D$70)</f>
        <v>0</v>
      </c>
      <c r="BN29" s="1932" t="n">
        <f aca="false">BG29*D$66</f>
        <v>0</v>
      </c>
      <c r="BO29" s="1932" t="n">
        <f aca="false">V29/2000*D$71</f>
        <v>0</v>
      </c>
      <c r="BP29" s="1932" t="n">
        <f aca="false">IF(C29="Y",(N$74+N$73+N$72)/DF$36*DF29,0)</f>
        <v>0</v>
      </c>
      <c r="BQ29" s="1932" t="n">
        <f aca="false">IF(SUM(BF$36:BG$36)=0,0,(SUM(N$78:O$81)+SUM(N$83:O$88)+SUM(N$90:O$96)+W$95)/SUM(BF$36:BG$36)*(BF29+BG29))</f>
        <v>0</v>
      </c>
      <c r="BR29" s="1933"/>
      <c r="BS29" s="1934" t="n">
        <f aca="false">IF(SUM(BF$36:BG$36)=0,0,(BQ$36-W$58-N$64-W67-(L$79*0.15))/SUM(BF$36:BG$36)*BG29+BN29)</f>
        <v>0</v>
      </c>
      <c r="BT29" s="1932" t="n">
        <f aca="false">(AH29*Pricing!F$3+AI29*Pricing!G$3+AJ29*Pricing!H$3+AK29*Pricing!I$3+AL29*Pricing!J$3+AM29*Pricing!K$3)*IF(T$39="N",(1+V$39),1)</f>
        <v>0</v>
      </c>
      <c r="BU29" s="1932" t="n">
        <f aca="false">IF(BG29=0,0,(BS29+BT29)/BG29)</f>
        <v>0</v>
      </c>
      <c r="BV29" s="1932" t="n">
        <f aca="false">SUM(BJ29:BQ29)-BS29-BT29</f>
        <v>0</v>
      </c>
      <c r="BW29" s="1933" t="n">
        <f aca="false">IF(BE29=0,0,BV29/BF29)</f>
        <v>0</v>
      </c>
      <c r="DB29" s="1935" t="n">
        <f aca="false">IF(W29=0,0,D$40/SUM(W$10:W$35)*W29)</f>
        <v>0</v>
      </c>
      <c r="DC29" s="1932" t="e">
        <f aca="false">E29*N29/12*(D$40-7980)/H$66</f>
        <v>#DIV/0!</v>
      </c>
      <c r="DD29" s="179" t="n">
        <f aca="false">ROUND(N29*O29/3088*E29,0)</f>
        <v>0</v>
      </c>
      <c r="DE29" s="908" t="n">
        <f aca="false">ROUND(V29,0)</f>
        <v>0</v>
      </c>
      <c r="DF29" s="356" t="n">
        <f aca="false">ROUND(IF(C29="Y",(G29*0.25*E29+G29*G29/144*0.5*E29)/27*1.3,0),0)</f>
        <v>0</v>
      </c>
      <c r="DG29" s="908" t="n">
        <f aca="false">ROUND(E29*G29/12,0)</f>
        <v>0</v>
      </c>
      <c r="DH29" s="908" t="n">
        <f aca="false">IF(C29="y",ROUNDUP(E29*G29/12,0),0)</f>
        <v>0</v>
      </c>
      <c r="DI29" s="908" t="n">
        <f aca="false">IF(C29="Y",IF(E29&gt;0,E29,0),0)</f>
        <v>0</v>
      </c>
      <c r="DJ29" s="1936" t="n">
        <f aca="false">ROUND(E29*N29/12,0)</f>
        <v>0</v>
      </c>
    </row>
    <row r="30" s="1414" customFormat="true" ht="15" hidden="false" customHeight="false" outlineLevel="0" collapsed="false">
      <c r="A30" s="507"/>
      <c r="B30" s="1312"/>
      <c r="C30" s="1919"/>
      <c r="D30" s="1920"/>
      <c r="E30" s="1921"/>
      <c r="F30" s="1234"/>
      <c r="G30" s="1235"/>
      <c r="H30" s="1236"/>
      <c r="I30" s="1234"/>
      <c r="J30" s="1235"/>
      <c r="K30" s="1236"/>
      <c r="L30" s="1234"/>
      <c r="M30" s="1234"/>
      <c r="N30" s="1922"/>
      <c r="O30" s="1234"/>
      <c r="P30" s="1234"/>
      <c r="Q30" s="1234"/>
      <c r="R30" s="1923"/>
      <c r="S30" s="1924"/>
      <c r="T30" s="78"/>
      <c r="U30" s="900"/>
      <c r="V30" s="1925" t="n">
        <f aca="false">((E30*I30/16*I30/16*10.680159*J30)*IF(H30=0,0,(G30/H30))+(G30/12*L30/16*L30/16*10.680159*M30)*IF(K30=0,0,(E30*12/K30))+(E30*IF(P30=0,0,N30/P30)*Q30/16*Q30/16*10.680159*R30)+(IF(P30=0,0,E30/P30*N30)*Q30/16*Q30/16*10.680159*R30)+((T30*U30*S30*0.03*0.2836*G30)/12+4)*IF(H30=0,0,(G30/H30))*I30/16*I30/16*10.680159)*(1+J$56)</f>
        <v>0</v>
      </c>
      <c r="W30" s="1926" t="n">
        <f aca="false">((E30*F30/12*G30/324)+ROUNDUP(S30*T30*U30*G30/46656,0)+(N30*O30*E30/3888))*(1+J$51)</f>
        <v>0</v>
      </c>
      <c r="AH30" s="1929" t="n">
        <f aca="false">IF($R$8=1,$N30*$O30*$E30/3888*(1+$J$51),0)</f>
        <v>0</v>
      </c>
      <c r="AI30" s="1928" t="n">
        <f aca="false">IF($R$8=2,$N30*$O30*$E30/3888*(1+$J$51),0)</f>
        <v>0</v>
      </c>
      <c r="AJ30" s="1928" t="n">
        <f aca="false">IF($R$8=3,$N30*$O30*$E30/3888*(1+$J$51),0)</f>
        <v>0</v>
      </c>
      <c r="AK30" s="1928" t="n">
        <f aca="false">IF($R$8=4,$N30*$O30*$E30/3888*(1+$J$51),0)</f>
        <v>0</v>
      </c>
      <c r="AL30" s="1928" t="n">
        <f aca="false">IF($R$8=5,$N30*$O30*$E30/3888*(1+$J$51),0)</f>
        <v>0</v>
      </c>
      <c r="AM30" s="1928" t="n">
        <f aca="false">IF($R$8=6,$N30*$O30*$E30/3888*(1+$J$51),0)</f>
        <v>0</v>
      </c>
      <c r="AN30" s="1928" t="n">
        <f aca="false">IF($R$8=7,$N30*$O30*$E30/3888*(1+$J$51),0)</f>
        <v>0</v>
      </c>
      <c r="AO30" s="1928" t="n">
        <f aca="false">IF($R$8=8,$N30*$O30*$E30/3888*(1+$J$51),0)</f>
        <v>0</v>
      </c>
      <c r="AP30" s="1928" t="n">
        <f aca="false">IF($R$8=9,$N30*$O30*$E30/3888*(1+$J$51),0)</f>
        <v>0</v>
      </c>
      <c r="AQ30" s="1928" t="n">
        <f aca="false">IF($R$8=10,$N30*$O30*$E30/3888*(1+$J$51),0)</f>
        <v>0</v>
      </c>
      <c r="AR30" s="1929" t="n">
        <f aca="false">IF($D30=1,$W30-SUM($AH30:$AQ30),0)</f>
        <v>0</v>
      </c>
      <c r="AS30" s="1928" t="n">
        <f aca="false">IF($D30=2,W30-SUM($AH30:$AQ30),0)</f>
        <v>0</v>
      </c>
      <c r="AT30" s="1928" t="n">
        <f aca="false">IF($D30=3,W30-SUM($AH30:$AQ30),0)</f>
        <v>0</v>
      </c>
      <c r="AU30" s="1928" t="n">
        <f aca="false">IF($D30=4,W30-SUM($AH30:$AQ30),0)</f>
        <v>0</v>
      </c>
      <c r="AV30" s="1928" t="n">
        <f aca="false">IF($D30=5,W30-SUM($AH30:$AQ30),0)</f>
        <v>0</v>
      </c>
      <c r="AW30" s="1928" t="n">
        <f aca="false">IF($D30=6,W30-SUM($AH30:$AQ30),0)</f>
        <v>0</v>
      </c>
      <c r="AX30" s="1928" t="n">
        <f aca="false">IF($D30=7,W30-SUM($AH30:$AQ30),0)</f>
        <v>0</v>
      </c>
      <c r="AY30" s="1928" t="n">
        <f aca="false">IF($D30=8,W30-SUM($AH30:$AQ30),0)</f>
        <v>0</v>
      </c>
      <c r="AZ30" s="1928" t="n">
        <f aca="false">IF($D30=9,W30-SUM($AH30:$AQ30),0)</f>
        <v>0</v>
      </c>
      <c r="BA30" s="1930" t="n">
        <f aca="false">IF($D30=10,W30-SUM($AH30:$AQ30),0)</f>
        <v>0</v>
      </c>
      <c r="BB30" s="1928" t="n">
        <f aca="false">SUM(AH30:AM30)</f>
        <v>0</v>
      </c>
      <c r="BC30" s="1928" t="n">
        <f aca="false">SUM(AR30:AW30)</f>
        <v>0</v>
      </c>
      <c r="BD30" s="1928" t="n">
        <f aca="false">V30</f>
        <v>0</v>
      </c>
      <c r="BE30" s="1928" t="n">
        <f aca="false">E30*G30/12*2+(U30*U30*G30/1728*S30)</f>
        <v>0</v>
      </c>
      <c r="BF30" s="1928" t="n">
        <f aca="false">BE30/2</f>
        <v>0</v>
      </c>
      <c r="BG30" s="1928" t="n">
        <f aca="false">N30*E30/12</f>
        <v>0</v>
      </c>
      <c r="BH30" s="1928" t="n">
        <f aca="false">ROUND(IF(C30="Y",BF30*3/27,0),0)</f>
        <v>0</v>
      </c>
      <c r="BJ30" s="1931" t="n">
        <f aca="false">V30*F$56*IF(T$39="N",(1+V$39),1)</f>
        <v>0</v>
      </c>
      <c r="BK30" s="1932" t="n">
        <f aca="false">(AR30*Pricing!F$3+AS30*Pricing!G$3+AT30*Pricing!H$3+AU30*Pricing!I$3+AV30*Pricing!J$3+AW30*Pricing!K$3+AH30*Pricing!F$3+AI30*Pricing!G$3+AJ30*Pricing!H$3+AK30*Pricing!I$3+AL30*Pricing!J$3+AM30*Pricing!K$3)*IF(T$39="N",(1+V$39),1)</f>
        <v>0</v>
      </c>
      <c r="BL30" s="1932" t="n">
        <f aca="false">IF(C30="Y",(N$59+N$60)/DF$36*DF30,0)</f>
        <v>0</v>
      </c>
      <c r="BM30" s="1932" t="n">
        <f aca="false">BF30*(G$67+D$70)</f>
        <v>0</v>
      </c>
      <c r="BN30" s="1932" t="n">
        <f aca="false">BG30*D$66</f>
        <v>0</v>
      </c>
      <c r="BO30" s="1932" t="n">
        <f aca="false">V30/2000*D$71</f>
        <v>0</v>
      </c>
      <c r="BP30" s="1932" t="n">
        <f aca="false">IF(C30="Y",(N$74+N$73+N$72)/DF$36*DF30,0)</f>
        <v>0</v>
      </c>
      <c r="BQ30" s="1932" t="n">
        <f aca="false">IF(SUM(BF$36:BG$36)=0,0,(SUM(N$78:O$81)+SUM(N$83:O$88)+SUM(N$90:O$96)+W$95)/SUM(BF$36:BG$36)*(BF30+BG30))</f>
        <v>0</v>
      </c>
      <c r="BR30" s="1933"/>
      <c r="BS30" s="1934" t="n">
        <f aca="false">IF(SUM(BF$36:BG$36)=0,0,(BQ$36-W$58-N$64-W68-(L$79*0.15))/SUM(BF$36:BG$36)*BG30+BN30)</f>
        <v>0</v>
      </c>
      <c r="BT30" s="1932" t="n">
        <f aca="false">(AH30*Pricing!F$3+AI30*Pricing!G$3+AJ30*Pricing!H$3+AK30*Pricing!I$3+AL30*Pricing!J$3+AM30*Pricing!K$3)*IF(T$39="N",(1+V$39),1)</f>
        <v>0</v>
      </c>
      <c r="BU30" s="1932" t="n">
        <f aca="false">IF(BG30=0,0,(BS30+BT30)/BG30)</f>
        <v>0</v>
      </c>
      <c r="BV30" s="1932" t="n">
        <f aca="false">SUM(BJ30:BQ30)-BS30-BT30</f>
        <v>0</v>
      </c>
      <c r="BW30" s="1933" t="n">
        <f aca="false">IF(BE30=0,0,BV30/BF30)</f>
        <v>0</v>
      </c>
      <c r="DB30" s="1935" t="n">
        <f aca="false">IF(W30=0,0,D$40/SUM(W$10:W$35)*W30)</f>
        <v>0</v>
      </c>
      <c r="DC30" s="1932" t="e">
        <f aca="false">E30*N30/12*(D$40-7980)/H$66</f>
        <v>#DIV/0!</v>
      </c>
      <c r="DD30" s="179" t="n">
        <f aca="false">ROUND(N30*O30/3088*E30,0)</f>
        <v>0</v>
      </c>
      <c r="DE30" s="908" t="n">
        <f aca="false">ROUND(V30,0)</f>
        <v>0</v>
      </c>
      <c r="DF30" s="356" t="n">
        <f aca="false">ROUND(IF(C30="Y",(G30*0.25*E30+G30*G30/144*0.5*E30)/27*1.3,0),0)</f>
        <v>0</v>
      </c>
      <c r="DG30" s="908" t="n">
        <f aca="false">ROUND(E30*G30/12,0)</f>
        <v>0</v>
      </c>
      <c r="DH30" s="908" t="n">
        <f aca="false">IF(C30="y",ROUNDUP(E30*G30/12,0),0)</f>
        <v>0</v>
      </c>
      <c r="DI30" s="908" t="n">
        <f aca="false">IF(C30="Y",IF(E30&gt;0,E30,0),0)</f>
        <v>0</v>
      </c>
      <c r="DJ30" s="1936" t="n">
        <f aca="false">ROUND(E30*N30/12,0)</f>
        <v>0</v>
      </c>
    </row>
    <row r="31" s="1414" customFormat="true" ht="15" hidden="false" customHeight="false" outlineLevel="0" collapsed="false">
      <c r="A31" s="507"/>
      <c r="B31" s="1312"/>
      <c r="C31" s="1919"/>
      <c r="D31" s="1920"/>
      <c r="E31" s="1921"/>
      <c r="F31" s="1234"/>
      <c r="G31" s="1235"/>
      <c r="H31" s="1236"/>
      <c r="I31" s="1234"/>
      <c r="J31" s="1235"/>
      <c r="K31" s="1236"/>
      <c r="L31" s="1234"/>
      <c r="M31" s="1234"/>
      <c r="N31" s="1922"/>
      <c r="O31" s="1234"/>
      <c r="P31" s="1234"/>
      <c r="Q31" s="1234"/>
      <c r="R31" s="1923"/>
      <c r="S31" s="1924"/>
      <c r="T31" s="78"/>
      <c r="U31" s="900"/>
      <c r="V31" s="1925" t="n">
        <f aca="false">((E31*I31/16*I31/16*10.680159*J31)*IF(H31=0,0,(G31/H31))+(G31/12*L31/16*L31/16*10.680159*M31)*IF(K31=0,0,(E31*12/K31))+(E31*IF(P31=0,0,N31/P31)*Q31/16*Q31/16*10.680159*R31)+(IF(P31=0,0,E31/P31*N31)*Q31/16*Q31/16*10.680159*R31)+((T31*U31*S31*0.03*0.2836*G31)/12+4)*IF(H31=0,0,(G31/H31))*I31/16*I31/16*10.680159)*(1+J$56)</f>
        <v>0</v>
      </c>
      <c r="W31" s="1926" t="n">
        <f aca="false">((E31*F31/12*G31/324)+ROUNDUP(S31*T31*U31*G31/46656,0)+(N31*O31*E31/3888))*(1+J$51)</f>
        <v>0</v>
      </c>
      <c r="AH31" s="1929" t="n">
        <f aca="false">IF($R$8=1,$N31*$O31*$E31/3888*(1+$J$51),0)</f>
        <v>0</v>
      </c>
      <c r="AI31" s="1928" t="n">
        <f aca="false">IF($R$8=2,$N31*$O31*$E31/3888*(1+$J$51),0)</f>
        <v>0</v>
      </c>
      <c r="AJ31" s="1928" t="n">
        <f aca="false">IF($R$8=3,$N31*$O31*$E31/3888*(1+$J$51),0)</f>
        <v>0</v>
      </c>
      <c r="AK31" s="1928" t="n">
        <f aca="false">IF($R$8=4,$N31*$O31*$E31/3888*(1+$J$51),0)</f>
        <v>0</v>
      </c>
      <c r="AL31" s="1928" t="n">
        <f aca="false">IF($R$8=5,$N31*$O31*$E31/3888*(1+$J$51),0)</f>
        <v>0</v>
      </c>
      <c r="AM31" s="1928" t="n">
        <f aca="false">IF($R$8=6,$N31*$O31*$E31/3888*(1+$J$51),0)</f>
        <v>0</v>
      </c>
      <c r="AN31" s="1928" t="n">
        <f aca="false">IF($R$8=7,$N31*$O31*$E31/3888*(1+$J$51),0)</f>
        <v>0</v>
      </c>
      <c r="AO31" s="1928" t="n">
        <f aca="false">IF($R$8=8,$N31*$O31*$E31/3888*(1+$J$51),0)</f>
        <v>0</v>
      </c>
      <c r="AP31" s="1928" t="n">
        <f aca="false">IF($R$8=9,$N31*$O31*$E31/3888*(1+$J$51),0)</f>
        <v>0</v>
      </c>
      <c r="AQ31" s="1928" t="n">
        <f aca="false">IF($R$8=10,$N31*$O31*$E31/3888*(1+$J$51),0)</f>
        <v>0</v>
      </c>
      <c r="AR31" s="1929" t="n">
        <f aca="false">IF($D31=1,$W31-SUM($AH31:$AQ31),0)</f>
        <v>0</v>
      </c>
      <c r="AS31" s="1928" t="n">
        <f aca="false">IF($D31=2,W31-SUM($AH31:$AQ31),0)</f>
        <v>0</v>
      </c>
      <c r="AT31" s="1928" t="n">
        <f aca="false">IF($D31=3,W31-SUM($AH31:$AQ31),0)</f>
        <v>0</v>
      </c>
      <c r="AU31" s="1928" t="n">
        <f aca="false">IF($D31=4,W31-SUM($AH31:$AQ31),0)</f>
        <v>0</v>
      </c>
      <c r="AV31" s="1928" t="n">
        <f aca="false">IF($D31=5,W31-SUM($AH31:$AQ31),0)</f>
        <v>0</v>
      </c>
      <c r="AW31" s="1928" t="n">
        <f aca="false">IF($D31=6,W31-SUM($AH31:$AQ31),0)</f>
        <v>0</v>
      </c>
      <c r="AX31" s="1928" t="n">
        <f aca="false">IF($D31=7,W31-SUM($AH31:$AQ31),0)</f>
        <v>0</v>
      </c>
      <c r="AY31" s="1928" t="n">
        <f aca="false">IF($D31=8,W31-SUM($AH31:$AQ31),0)</f>
        <v>0</v>
      </c>
      <c r="AZ31" s="1928" t="n">
        <f aca="false">IF($D31=9,W31-SUM($AH31:$AQ31),0)</f>
        <v>0</v>
      </c>
      <c r="BA31" s="1930" t="n">
        <f aca="false">IF($D31=10,W31-SUM($AH31:$AQ31),0)</f>
        <v>0</v>
      </c>
      <c r="BB31" s="1928" t="n">
        <f aca="false">SUM(AH31:AM31)</f>
        <v>0</v>
      </c>
      <c r="BC31" s="1928" t="n">
        <f aca="false">SUM(AR31:AW31)</f>
        <v>0</v>
      </c>
      <c r="BD31" s="1928" t="n">
        <f aca="false">V31</f>
        <v>0</v>
      </c>
      <c r="BE31" s="1928" t="n">
        <f aca="false">E31*G31/12*2+(U31*U31*G31/1728*S31)</f>
        <v>0</v>
      </c>
      <c r="BF31" s="1928" t="n">
        <f aca="false">BE31/2</f>
        <v>0</v>
      </c>
      <c r="BG31" s="1928" t="n">
        <f aca="false">N31*E31/12</f>
        <v>0</v>
      </c>
      <c r="BH31" s="1928" t="n">
        <f aca="false">ROUND(IF(C31="Y",BF31*3/27,0),0)</f>
        <v>0</v>
      </c>
      <c r="BJ31" s="1931" t="n">
        <f aca="false">V31*F$56*IF(T$39="N",(1+V$39),1)</f>
        <v>0</v>
      </c>
      <c r="BK31" s="1932" t="n">
        <f aca="false">(AR31*Pricing!F$3+AS31*Pricing!G$3+AT31*Pricing!H$3+AU31*Pricing!I$3+AV31*Pricing!J$3+AW31*Pricing!K$3+AH31*Pricing!F$3+AI31*Pricing!G$3+AJ31*Pricing!H$3+AK31*Pricing!I$3+AL31*Pricing!J$3+AM31*Pricing!K$3)*IF(T$39="N",(1+V$39),1)</f>
        <v>0</v>
      </c>
      <c r="BL31" s="1932" t="n">
        <f aca="false">IF(C31="Y",(N$59+N$60)/DF$36*DF31,0)</f>
        <v>0</v>
      </c>
      <c r="BM31" s="1932" t="n">
        <f aca="false">BF31*(G$67+D$70)</f>
        <v>0</v>
      </c>
      <c r="BN31" s="1932" t="n">
        <f aca="false">BG31*D$66</f>
        <v>0</v>
      </c>
      <c r="BO31" s="1932" t="n">
        <f aca="false">V31/2000*D$71</f>
        <v>0</v>
      </c>
      <c r="BP31" s="1932" t="n">
        <f aca="false">IF(C31="Y",(N$74+N$73+N$72)/DF$36*DF31,0)</f>
        <v>0</v>
      </c>
      <c r="BQ31" s="1932" t="n">
        <f aca="false">IF(SUM(BF$36:BG$36)=0,0,(SUM(N$78:O$81)+SUM(N$83:O$88)+SUM(N$90:O$96)+W$95)/SUM(BF$36:BG$36)*(BF31+BG31))</f>
        <v>0</v>
      </c>
      <c r="BR31" s="1933"/>
      <c r="BS31" s="1934" t="n">
        <f aca="false">IF(SUM(BF$36:BG$36)=0,0,(BQ$36-W$58-N$64-W69-(L$79*0.15))/SUM(BF$36:BG$36)*BG31+BN31)</f>
        <v>0</v>
      </c>
      <c r="BT31" s="1932" t="n">
        <f aca="false">(AH31*Pricing!F$3+AI31*Pricing!G$3+AJ31*Pricing!H$3+AK31*Pricing!I$3+AL31*Pricing!J$3+AM31*Pricing!K$3)*IF(T$39="N",(1+V$39),1)</f>
        <v>0</v>
      </c>
      <c r="BU31" s="1932" t="n">
        <f aca="false">IF(BG31=0,0,(BS31+BT31)/BG31)</f>
        <v>0</v>
      </c>
      <c r="BV31" s="1932" t="n">
        <f aca="false">SUM(BJ31:BQ31)-BS31-BT31</f>
        <v>0</v>
      </c>
      <c r="BW31" s="1933" t="n">
        <f aca="false">IF(BE31=0,0,BV31/BF31)</f>
        <v>0</v>
      </c>
      <c r="DB31" s="1935" t="n">
        <f aca="false">IF(W31=0,0,D$40/SUM(W$10:W$35)*W31)</f>
        <v>0</v>
      </c>
      <c r="DC31" s="1932" t="e">
        <f aca="false">E31*N31/12*(D$40-7980)/H$66</f>
        <v>#DIV/0!</v>
      </c>
      <c r="DD31" s="179" t="n">
        <f aca="false">ROUND(N31*O31/3088*E31,0)</f>
        <v>0</v>
      </c>
      <c r="DE31" s="908" t="n">
        <f aca="false">ROUND(V31,0)</f>
        <v>0</v>
      </c>
      <c r="DF31" s="356" t="n">
        <f aca="false">ROUND(IF(C31="Y",(G31*0.25*E31+G31*G31/144*0.5*E31)/27*1.3,0),0)</f>
        <v>0</v>
      </c>
      <c r="DG31" s="908" t="n">
        <f aca="false">ROUND(E31*G31/12,0)</f>
        <v>0</v>
      </c>
      <c r="DH31" s="908" t="n">
        <f aca="false">IF(C31="y",ROUNDUP(E31*G31/12,0),0)</f>
        <v>0</v>
      </c>
      <c r="DI31" s="908" t="n">
        <f aca="false">IF(C31="Y",IF(E31&gt;0,E31,0),0)</f>
        <v>0</v>
      </c>
      <c r="DJ31" s="1936" t="n">
        <f aca="false">ROUND(E31*N31/12,0)</f>
        <v>0</v>
      </c>
    </row>
    <row r="32" s="1414" customFormat="true" ht="15" hidden="false" customHeight="false" outlineLevel="0" collapsed="false">
      <c r="A32" s="507"/>
      <c r="B32" s="1312"/>
      <c r="C32" s="1919"/>
      <c r="D32" s="1920"/>
      <c r="E32" s="1921"/>
      <c r="F32" s="1234"/>
      <c r="G32" s="1235"/>
      <c r="H32" s="1236"/>
      <c r="I32" s="1234"/>
      <c r="J32" s="1235"/>
      <c r="K32" s="1236"/>
      <c r="L32" s="1234"/>
      <c r="M32" s="1234"/>
      <c r="N32" s="1922"/>
      <c r="O32" s="1234"/>
      <c r="P32" s="1234"/>
      <c r="Q32" s="1234"/>
      <c r="R32" s="1923"/>
      <c r="S32" s="1924"/>
      <c r="T32" s="78"/>
      <c r="U32" s="900"/>
      <c r="V32" s="1925" t="n">
        <f aca="false">((E32*I32/16*I32/16*10.680159*J32)*IF(H32=0,0,(G32/H32))+(G32/12*L32/16*L32/16*10.680159*M32)*IF(K32=0,0,(E32*12/K32))+(E32*IF(P32=0,0,N32/P32)*Q32/16*Q32/16*10.680159*R32)+(IF(P32=0,0,E32/P32*N32)*Q32/16*Q32/16*10.680159*R32)+((T32*U32*S32*0.03*0.2836*G32)/12+4)*IF(H32=0,0,(G32/H32))*I32/16*I32/16*10.680159)*(1+J$56)</f>
        <v>0</v>
      </c>
      <c r="W32" s="1926" t="n">
        <f aca="false">((E32*F32/12*G32/324)+ROUNDUP(S32*T32*U32*G32/46656,0)+(N32*O32*E32/3888))*(1+J$51)</f>
        <v>0</v>
      </c>
      <c r="AH32" s="1929" t="n">
        <f aca="false">IF($R$8=1,$N32*$O32*$E32/3888*(1+$J$51),0)</f>
        <v>0</v>
      </c>
      <c r="AI32" s="1928" t="n">
        <f aca="false">IF($R$8=2,$N32*$O32*$E32/3888*(1+$J$51),0)</f>
        <v>0</v>
      </c>
      <c r="AJ32" s="1928" t="n">
        <f aca="false">IF($R$8=3,$N32*$O32*$E32/3888*(1+$J$51),0)</f>
        <v>0</v>
      </c>
      <c r="AK32" s="1928" t="n">
        <f aca="false">IF($R$8=4,$N32*$O32*$E32/3888*(1+$J$51),0)</f>
        <v>0</v>
      </c>
      <c r="AL32" s="1928" t="n">
        <f aca="false">IF($R$8=5,$N32*$O32*$E32/3888*(1+$J$51),0)</f>
        <v>0</v>
      </c>
      <c r="AM32" s="1928" t="n">
        <f aca="false">IF($R$8=6,$N32*$O32*$E32/3888*(1+$J$51),0)</f>
        <v>0</v>
      </c>
      <c r="AN32" s="1928" t="n">
        <f aca="false">IF($R$8=7,$N32*$O32*$E32/3888*(1+$J$51),0)</f>
        <v>0</v>
      </c>
      <c r="AO32" s="1928" t="n">
        <f aca="false">IF($R$8=8,$N32*$O32*$E32/3888*(1+$J$51),0)</f>
        <v>0</v>
      </c>
      <c r="AP32" s="1928" t="n">
        <f aca="false">IF($R$8=9,$N32*$O32*$E32/3888*(1+$J$51),0)</f>
        <v>0</v>
      </c>
      <c r="AQ32" s="1928" t="n">
        <f aca="false">IF($R$8=10,$N32*$O32*$E32/3888*(1+$J$51),0)</f>
        <v>0</v>
      </c>
      <c r="AR32" s="1929" t="n">
        <f aca="false">IF($D32=1,$W32-SUM($AH32:$AQ32),0)</f>
        <v>0</v>
      </c>
      <c r="AS32" s="1928" t="n">
        <f aca="false">IF($D32=2,W32-SUM($AH32:$AQ32),0)</f>
        <v>0</v>
      </c>
      <c r="AT32" s="1928" t="n">
        <f aca="false">IF($D32=3,W32-SUM($AH32:$AQ32),0)</f>
        <v>0</v>
      </c>
      <c r="AU32" s="1928" t="n">
        <f aca="false">IF($D32=4,W32-SUM($AH32:$AQ32),0)</f>
        <v>0</v>
      </c>
      <c r="AV32" s="1928" t="n">
        <f aca="false">IF($D32=5,W32-SUM($AH32:$AQ32),0)</f>
        <v>0</v>
      </c>
      <c r="AW32" s="1928" t="n">
        <f aca="false">IF($D32=6,W32-SUM($AH32:$AQ32),0)</f>
        <v>0</v>
      </c>
      <c r="AX32" s="1928" t="n">
        <f aca="false">IF($D32=7,W32-SUM($AH32:$AQ32),0)</f>
        <v>0</v>
      </c>
      <c r="AY32" s="1928" t="n">
        <f aca="false">IF($D32=8,W32-SUM($AH32:$AQ32),0)</f>
        <v>0</v>
      </c>
      <c r="AZ32" s="1928" t="n">
        <f aca="false">IF($D32=9,W32-SUM($AH32:$AQ32),0)</f>
        <v>0</v>
      </c>
      <c r="BA32" s="1930" t="n">
        <f aca="false">IF($D32=10,W32-SUM($AH32:$AQ32),0)</f>
        <v>0</v>
      </c>
      <c r="BB32" s="1928" t="n">
        <f aca="false">SUM(AH32:AM32)</f>
        <v>0</v>
      </c>
      <c r="BC32" s="1928" t="n">
        <f aca="false">SUM(AR32:AW32)</f>
        <v>0</v>
      </c>
      <c r="BD32" s="1928" t="n">
        <f aca="false">V32</f>
        <v>0</v>
      </c>
      <c r="BE32" s="1928" t="n">
        <f aca="false">E32*G32/12*2+(U32*U32*G32/1728*S32)</f>
        <v>0</v>
      </c>
      <c r="BF32" s="1928" t="n">
        <f aca="false">BE32/2</f>
        <v>0</v>
      </c>
      <c r="BG32" s="1928" t="n">
        <f aca="false">N32*E32/12</f>
        <v>0</v>
      </c>
      <c r="BH32" s="1928" t="n">
        <f aca="false">ROUND(IF(C32="Y",BF32*3/27,0),0)</f>
        <v>0</v>
      </c>
      <c r="BJ32" s="1931" t="n">
        <f aca="false">V32*F$56*IF(T$39="N",(1+V$39),1)</f>
        <v>0</v>
      </c>
      <c r="BK32" s="1932" t="n">
        <f aca="false">(AR32*Pricing!F$3+AS32*Pricing!G$3+AT32*Pricing!H$3+AU32*Pricing!I$3+AV32*Pricing!J$3+AW32*Pricing!K$3+AH32*Pricing!F$3+AI32*Pricing!G$3+AJ32*Pricing!H$3+AK32*Pricing!I$3+AL32*Pricing!J$3+AM32*Pricing!K$3)*IF(T$39="N",(1+V$39),1)</f>
        <v>0</v>
      </c>
      <c r="BL32" s="1932" t="n">
        <f aca="false">IF(C32="Y",(N$59+N$60)/DF$36*DF32,0)</f>
        <v>0</v>
      </c>
      <c r="BM32" s="1932" t="n">
        <f aca="false">BF32*(G$67+D$70)</f>
        <v>0</v>
      </c>
      <c r="BN32" s="1932" t="n">
        <f aca="false">BG32*D$66</f>
        <v>0</v>
      </c>
      <c r="BO32" s="1932" t="n">
        <f aca="false">V32/2000*D$71</f>
        <v>0</v>
      </c>
      <c r="BP32" s="1932" t="n">
        <f aca="false">IF(C32="Y",(N$74+N$73+N$72)/DF$36*DF32,0)</f>
        <v>0</v>
      </c>
      <c r="BQ32" s="1932" t="n">
        <f aca="false">IF(SUM(BF$36:BG$36)=0,0,(SUM(N$78:O$81)+SUM(N$83:O$88)+SUM(N$90:O$96)+W$95)/SUM(BF$36:BG$36)*(BF32+BG32))</f>
        <v>0</v>
      </c>
      <c r="BR32" s="1933"/>
      <c r="BS32" s="1934" t="n">
        <f aca="false">IF(SUM(BF$36:BG$36)=0,0,(BQ$36-W$58-N$64-W70-(L$79*0.15))/SUM(BF$36:BG$36)*BG32+BN32)</f>
        <v>0</v>
      </c>
      <c r="BT32" s="1932" t="n">
        <f aca="false">(AH32*Pricing!F$3+AI32*Pricing!G$3+AJ32*Pricing!H$3+AK32*Pricing!I$3+AL32*Pricing!J$3+AM32*Pricing!K$3)*IF(T$39="N",(1+V$39),1)</f>
        <v>0</v>
      </c>
      <c r="BU32" s="1932" t="n">
        <f aca="false">IF(BG32=0,0,(BS32+BT32)/BG32)</f>
        <v>0</v>
      </c>
      <c r="BV32" s="1932" t="n">
        <f aca="false">SUM(BJ32:BQ32)-BS32-BT32</f>
        <v>0</v>
      </c>
      <c r="BW32" s="1933" t="n">
        <f aca="false">IF(BE32=0,0,BV32/BF32)</f>
        <v>0</v>
      </c>
      <c r="DB32" s="1935" t="n">
        <f aca="false">IF(W32=0,0,D$40/SUM(W$10:W$35)*W32)</f>
        <v>0</v>
      </c>
      <c r="DC32" s="1932" t="e">
        <f aca="false">E32*N32/12*(D$40-7980)/H$66</f>
        <v>#DIV/0!</v>
      </c>
      <c r="DD32" s="179" t="n">
        <f aca="false">ROUND(N32*O32/3088*E32,0)</f>
        <v>0</v>
      </c>
      <c r="DE32" s="908" t="n">
        <f aca="false">ROUND(V32,0)</f>
        <v>0</v>
      </c>
      <c r="DF32" s="356" t="n">
        <f aca="false">ROUND(IF(C32="Y",(G32*0.25*E32+G32*G32/144*0.5*E32)/27*1.3,0),0)</f>
        <v>0</v>
      </c>
      <c r="DG32" s="908" t="n">
        <f aca="false">ROUND(E32*G32/12,0)</f>
        <v>0</v>
      </c>
      <c r="DH32" s="908" t="n">
        <f aca="false">IF(C32="y",ROUNDUP(E32*G32/12,0),0)</f>
        <v>0</v>
      </c>
      <c r="DI32" s="908" t="n">
        <f aca="false">IF(C32="Y",IF(E32&gt;0,E32,0),0)</f>
        <v>0</v>
      </c>
      <c r="DJ32" s="1936" t="n">
        <f aca="false">ROUND(E32*N32/12,0)</f>
        <v>0</v>
      </c>
    </row>
    <row r="33" s="1414" customFormat="true" ht="15" hidden="false" customHeight="false" outlineLevel="0" collapsed="false">
      <c r="A33" s="507"/>
      <c r="B33" s="1312"/>
      <c r="C33" s="1919"/>
      <c r="D33" s="1920"/>
      <c r="E33" s="1921"/>
      <c r="F33" s="1234"/>
      <c r="G33" s="1235"/>
      <c r="H33" s="1236"/>
      <c r="I33" s="1234"/>
      <c r="J33" s="1235"/>
      <c r="K33" s="1236"/>
      <c r="L33" s="1234"/>
      <c r="M33" s="1234"/>
      <c r="N33" s="1922"/>
      <c r="O33" s="1234"/>
      <c r="P33" s="1234"/>
      <c r="Q33" s="1234"/>
      <c r="R33" s="1923"/>
      <c r="S33" s="1924"/>
      <c r="T33" s="78"/>
      <c r="U33" s="900"/>
      <c r="V33" s="1925" t="n">
        <f aca="false">((E33*I33/16*I33/16*10.680159*J33)*IF(H33=0,0,(G33/H33))+(G33/12*L33/16*L33/16*10.680159*M33)*IF(K33=0,0,(E33*12/K33))+(E33*IF(P33=0,0,N33/P33)*Q33/16*Q33/16*10.680159*R33)+(IF(P33=0,0,E33/P33*N33)*Q33/16*Q33/16*10.680159*R33)+((T33*U33*S33*0.03*0.2836*G33)/12+4)*IF(H33=0,0,(G33/H33))*I33/16*I33/16*10.680159)*(1+J$56)</f>
        <v>0</v>
      </c>
      <c r="W33" s="1926" t="n">
        <f aca="false">((E33*F33/12*G33/324)+ROUNDUP(S33*T33*U33*G33/46656,0)+(N33*O33*E33/3888))*(1+J$51)</f>
        <v>0</v>
      </c>
      <c r="AH33" s="1929" t="n">
        <f aca="false">IF($R$8=1,$N33*$O33*$E33/3888*(1+$J$51),0)</f>
        <v>0</v>
      </c>
      <c r="AI33" s="1928" t="n">
        <f aca="false">IF($R$8=2,$N33*$O33*$E33/3888*(1+$J$51),0)</f>
        <v>0</v>
      </c>
      <c r="AJ33" s="1928" t="n">
        <f aca="false">IF($R$8=3,$N33*$O33*$E33/3888*(1+$J$51),0)</f>
        <v>0</v>
      </c>
      <c r="AK33" s="1928" t="n">
        <f aca="false">IF($R$8=4,$N33*$O33*$E33/3888*(1+$J$51),0)</f>
        <v>0</v>
      </c>
      <c r="AL33" s="1928" t="n">
        <f aca="false">IF($R$8=5,$N33*$O33*$E33/3888*(1+$J$51),0)</f>
        <v>0</v>
      </c>
      <c r="AM33" s="1928" t="n">
        <f aca="false">IF($R$8=6,$N33*$O33*$E33/3888*(1+$J$51),0)</f>
        <v>0</v>
      </c>
      <c r="AN33" s="1928" t="n">
        <f aca="false">IF($R$8=7,$N33*$O33*$E33/3888*(1+$J$51),0)</f>
        <v>0</v>
      </c>
      <c r="AO33" s="1928" t="n">
        <f aca="false">IF($R$8=8,$N33*$O33*$E33/3888*(1+$J$51),0)</f>
        <v>0</v>
      </c>
      <c r="AP33" s="1928" t="n">
        <f aca="false">IF($R$8=9,$N33*$O33*$E33/3888*(1+$J$51),0)</f>
        <v>0</v>
      </c>
      <c r="AQ33" s="1928" t="n">
        <f aca="false">IF($R$8=10,$N33*$O33*$E33/3888*(1+$J$51),0)</f>
        <v>0</v>
      </c>
      <c r="AR33" s="1929" t="n">
        <f aca="false">IF($D33=1,$W33-SUM($AH33:$AQ33),0)</f>
        <v>0</v>
      </c>
      <c r="AS33" s="1928" t="n">
        <f aca="false">IF($D33=2,W33-SUM($AH33:$AQ33),0)</f>
        <v>0</v>
      </c>
      <c r="AT33" s="1928" t="n">
        <f aca="false">IF($D33=3,W33-SUM($AH33:$AQ33),0)</f>
        <v>0</v>
      </c>
      <c r="AU33" s="1928" t="n">
        <f aca="false">IF($D33=4,W33-SUM($AH33:$AQ33),0)</f>
        <v>0</v>
      </c>
      <c r="AV33" s="1928" t="n">
        <f aca="false">IF($D33=5,W33-SUM($AH33:$AQ33),0)</f>
        <v>0</v>
      </c>
      <c r="AW33" s="1928" t="n">
        <f aca="false">IF($D33=6,W33-SUM($AH33:$AQ33),0)</f>
        <v>0</v>
      </c>
      <c r="AX33" s="1928" t="n">
        <f aca="false">IF($D33=7,W33-SUM($AH33:$AQ33),0)</f>
        <v>0</v>
      </c>
      <c r="AY33" s="1928" t="n">
        <f aca="false">IF($D33=8,W33-SUM($AH33:$AQ33),0)</f>
        <v>0</v>
      </c>
      <c r="AZ33" s="1928" t="n">
        <f aca="false">IF($D33=9,W33-SUM($AH33:$AQ33),0)</f>
        <v>0</v>
      </c>
      <c r="BA33" s="1930" t="n">
        <f aca="false">IF($D33=10,W33-SUM($AH33:$AQ33),0)</f>
        <v>0</v>
      </c>
      <c r="BB33" s="1928" t="n">
        <f aca="false">SUM(AH33:AM33)</f>
        <v>0</v>
      </c>
      <c r="BC33" s="1928" t="n">
        <f aca="false">SUM(AR33:AW33)</f>
        <v>0</v>
      </c>
      <c r="BD33" s="1928" t="n">
        <f aca="false">V33</f>
        <v>0</v>
      </c>
      <c r="BE33" s="1928" t="n">
        <f aca="false">E33*G33/12*2+(U33*U33*G33/1728*S33)</f>
        <v>0</v>
      </c>
      <c r="BF33" s="1928" t="n">
        <f aca="false">BE33/2</f>
        <v>0</v>
      </c>
      <c r="BG33" s="1928" t="n">
        <f aca="false">N33*E33/12</f>
        <v>0</v>
      </c>
      <c r="BH33" s="1928" t="n">
        <f aca="false">ROUND(IF(C33="Y",BF33*3/27,0),0)</f>
        <v>0</v>
      </c>
      <c r="BJ33" s="1931" t="n">
        <f aca="false">V33*F$56*IF(T$39="N",(1+V$39),1)</f>
        <v>0</v>
      </c>
      <c r="BK33" s="1932" t="n">
        <f aca="false">(AR33*Pricing!F$3+AS33*Pricing!G$3+AT33*Pricing!H$3+AU33*Pricing!I$3+AV33*Pricing!J$3+AW33*Pricing!K$3+AH33*Pricing!F$3+AI33*Pricing!G$3+AJ33*Pricing!H$3+AK33*Pricing!I$3+AL33*Pricing!J$3+AM33*Pricing!K$3)*IF(T$39="N",(1+V$39),1)</f>
        <v>0</v>
      </c>
      <c r="BL33" s="1932" t="n">
        <f aca="false">IF(C33="Y",(N$59+N$60)/DF$36*DF33,0)</f>
        <v>0</v>
      </c>
      <c r="BM33" s="1932" t="n">
        <f aca="false">BF33*(G$67+D$70)</f>
        <v>0</v>
      </c>
      <c r="BN33" s="1932" t="n">
        <f aca="false">BG33*D$66</f>
        <v>0</v>
      </c>
      <c r="BO33" s="1932" t="n">
        <f aca="false">V33/2000*D$71</f>
        <v>0</v>
      </c>
      <c r="BP33" s="1932" t="n">
        <f aca="false">IF(C33="Y",(N$74+N$73+N$72)/DF$36*DF33,0)</f>
        <v>0</v>
      </c>
      <c r="BQ33" s="1932" t="n">
        <f aca="false">IF(SUM(BF$36:BG$36)=0,0,(SUM(N$78:O$81)+SUM(N$83:O$88)+SUM(N$90:O$96)+W$95)/SUM(BF$36:BG$36)*(BF33+BG33))</f>
        <v>0</v>
      </c>
      <c r="BR33" s="1933"/>
      <c r="BS33" s="1934" t="n">
        <f aca="false">IF(SUM(BF$36:BG$36)=0,0,(BQ$36-W$58-N$64-W81-(L$79*0.15))/SUM(BF$36:BG$36)*BG33+BN33)</f>
        <v>0</v>
      </c>
      <c r="BT33" s="1932" t="n">
        <f aca="false">(AH33*Pricing!F$3+AI33*Pricing!G$3+AJ33*Pricing!H$3+AK33*Pricing!I$3+AL33*Pricing!J$3+AM33*Pricing!K$3)*IF(T$39="N",(1+V$39),1)</f>
        <v>0</v>
      </c>
      <c r="BU33" s="1932" t="n">
        <f aca="false">IF(BG33=0,0,(BS33+BT33)/BG33)</f>
        <v>0</v>
      </c>
      <c r="BV33" s="1932" t="n">
        <f aca="false">SUM(BJ33:BQ33)-BS33-BT33</f>
        <v>0</v>
      </c>
      <c r="BW33" s="1933" t="n">
        <f aca="false">IF(BE33=0,0,BV33/BF33)</f>
        <v>0</v>
      </c>
      <c r="DB33" s="1935" t="n">
        <f aca="false">IF(W33=0,0,D$40/SUM(W$10:W$35)*W33)</f>
        <v>0</v>
      </c>
      <c r="DC33" s="1932" t="e">
        <f aca="false">E33*N33/12*(D$40-7980)/H$66</f>
        <v>#DIV/0!</v>
      </c>
      <c r="DD33" s="179" t="n">
        <f aca="false">ROUND(N33*O33/3088*E33,0)</f>
        <v>0</v>
      </c>
      <c r="DE33" s="908" t="n">
        <f aca="false">ROUND(V33,0)</f>
        <v>0</v>
      </c>
      <c r="DF33" s="356" t="n">
        <f aca="false">ROUND(IF(C33="Y",(G33*0.25*E33+G33*G33/144*0.5*E33)/27*1.3,0),0)</f>
        <v>0</v>
      </c>
      <c r="DG33" s="908" t="n">
        <f aca="false">ROUND(E33*G33/12,0)</f>
        <v>0</v>
      </c>
      <c r="DH33" s="908" t="n">
        <f aca="false">IF(C33="y",ROUNDUP(E33*G33/12,0),0)</f>
        <v>0</v>
      </c>
      <c r="DI33" s="908" t="n">
        <f aca="false">IF(C33="Y",IF(E33&gt;0,E33,0),0)</f>
        <v>0</v>
      </c>
      <c r="DJ33" s="1936" t="n">
        <f aca="false">ROUND(E33*N33/12,0)</f>
        <v>0</v>
      </c>
    </row>
    <row r="34" s="1414" customFormat="true" ht="15" hidden="false" customHeight="false" outlineLevel="0" collapsed="false">
      <c r="A34" s="507"/>
      <c r="B34" s="1312"/>
      <c r="C34" s="1919"/>
      <c r="D34" s="1920"/>
      <c r="E34" s="1921"/>
      <c r="F34" s="1234"/>
      <c r="G34" s="1235"/>
      <c r="H34" s="1236"/>
      <c r="I34" s="1234"/>
      <c r="J34" s="1235"/>
      <c r="K34" s="1236"/>
      <c r="L34" s="1234"/>
      <c r="M34" s="1234"/>
      <c r="N34" s="1922"/>
      <c r="O34" s="1234"/>
      <c r="P34" s="1234"/>
      <c r="Q34" s="1234"/>
      <c r="R34" s="1923"/>
      <c r="S34" s="1924"/>
      <c r="T34" s="78"/>
      <c r="U34" s="900"/>
      <c r="V34" s="1925" t="n">
        <f aca="false">((E34*I34/16*I34/16*10.680159*J34)*IF(H34=0,0,(G34/H34))+(G34/12*L34/16*L34/16*10.680159*M34)*IF(K34=0,0,(E34*12/K34))+(E34*IF(P34=0,0,N34/P34)*Q34/16*Q34/16*10.680159*R34)+(IF(P34=0,0,E34/P34*N34)*Q34/16*Q34/16*10.680159*R34)+((T34*U34*S34*0.03*0.2836*G34)/12+4)*IF(H34=0,0,(G34/H34))*I34/16*I34/16*10.680159)*(1+J$56)</f>
        <v>0</v>
      </c>
      <c r="W34" s="1926" t="n">
        <f aca="false">((E34*F34/12*G34/324)+ROUNDUP(S34*T34*U34*G34/46656,0)+(N34*O34*E34/3888))*(1+J$51)</f>
        <v>0</v>
      </c>
      <c r="AH34" s="1929" t="n">
        <f aca="false">IF($R$8=1,$N34*$O34*$E34/3888*(1+$J$51),0)</f>
        <v>0</v>
      </c>
      <c r="AI34" s="1928" t="n">
        <f aca="false">IF($R$8=2,$N34*$O34*$E34/3888*(1+$J$51),0)</f>
        <v>0</v>
      </c>
      <c r="AJ34" s="1928" t="n">
        <f aca="false">IF($R$8=3,$N34*$O34*$E34/3888*(1+$J$51),0)</f>
        <v>0</v>
      </c>
      <c r="AK34" s="1928" t="n">
        <f aca="false">IF($R$8=4,$N34*$O34*$E34/3888*(1+$J$51),0)</f>
        <v>0</v>
      </c>
      <c r="AL34" s="1928" t="n">
        <f aca="false">IF($R$8=5,$N34*$O34*$E34/3888*(1+$J$51),0)</f>
        <v>0</v>
      </c>
      <c r="AM34" s="1928" t="n">
        <f aca="false">IF($R$8=6,$N34*$O34*$E34/3888*(1+$J$51),0)</f>
        <v>0</v>
      </c>
      <c r="AN34" s="1928" t="n">
        <f aca="false">IF($R$8=7,$N34*$O34*$E34/3888*(1+$J$51),0)</f>
        <v>0</v>
      </c>
      <c r="AO34" s="1928" t="n">
        <f aca="false">IF($R$8=8,$N34*$O34*$E34/3888*(1+$J$51),0)</f>
        <v>0</v>
      </c>
      <c r="AP34" s="1928" t="n">
        <f aca="false">IF($R$8=9,$N34*$O34*$E34/3888*(1+$J$51),0)</f>
        <v>0</v>
      </c>
      <c r="AQ34" s="1928" t="n">
        <f aca="false">IF($R$8=10,$N34*$O34*$E34/3888*(1+$J$51),0)</f>
        <v>0</v>
      </c>
      <c r="AR34" s="1929" t="n">
        <f aca="false">IF($D34=1,$W34-SUM($AH34:$AQ34),0)</f>
        <v>0</v>
      </c>
      <c r="AS34" s="1928" t="n">
        <f aca="false">IF($D34=2,W34-SUM($AH34:$AQ34),0)</f>
        <v>0</v>
      </c>
      <c r="AT34" s="1928" t="n">
        <f aca="false">IF($D34=3,W34-SUM($AH34:$AQ34),0)</f>
        <v>0</v>
      </c>
      <c r="AU34" s="1928" t="n">
        <f aca="false">IF($D34=4,W34-SUM($AH34:$AQ34),0)</f>
        <v>0</v>
      </c>
      <c r="AV34" s="1928" t="n">
        <f aca="false">IF($D34=5,W34-SUM($AH34:$AQ34),0)</f>
        <v>0</v>
      </c>
      <c r="AW34" s="1928" t="n">
        <f aca="false">IF($D34=6,W34-SUM($AH34:$AQ34),0)</f>
        <v>0</v>
      </c>
      <c r="AX34" s="1928" t="n">
        <f aca="false">IF($D34=7,W34-SUM($AH34:$AQ34),0)</f>
        <v>0</v>
      </c>
      <c r="AY34" s="1928" t="n">
        <f aca="false">IF($D34=8,W34-SUM($AH34:$AQ34),0)</f>
        <v>0</v>
      </c>
      <c r="AZ34" s="1928" t="n">
        <f aca="false">IF($D34=9,W34-SUM($AH34:$AQ34),0)</f>
        <v>0</v>
      </c>
      <c r="BA34" s="1930" t="n">
        <f aca="false">IF($D34=10,W34-SUM($AH34:$AQ34),0)</f>
        <v>0</v>
      </c>
      <c r="BB34" s="1928" t="n">
        <f aca="false">SUM(AH34:AM34)</f>
        <v>0</v>
      </c>
      <c r="BC34" s="1928" t="n">
        <f aca="false">SUM(AR34:AW34)</f>
        <v>0</v>
      </c>
      <c r="BD34" s="1928" t="n">
        <f aca="false">V34</f>
        <v>0</v>
      </c>
      <c r="BE34" s="1928" t="n">
        <f aca="false">E34*G34/12*2+(U34*U34*G34/1728*S34)</f>
        <v>0</v>
      </c>
      <c r="BF34" s="1928" t="n">
        <f aca="false">BE34/2</f>
        <v>0</v>
      </c>
      <c r="BG34" s="1928" t="n">
        <f aca="false">N34*E34/12</f>
        <v>0</v>
      </c>
      <c r="BH34" s="1928" t="n">
        <f aca="false">ROUND(IF(C34="Y",BF34*3/27,0),0)</f>
        <v>0</v>
      </c>
      <c r="BJ34" s="1931" t="n">
        <f aca="false">V34*F$56*IF(T$39="N",(1+V$39),1)</f>
        <v>0</v>
      </c>
      <c r="BK34" s="1932" t="n">
        <f aca="false">(AR34*Pricing!F$3+AS34*Pricing!G$3+AT34*Pricing!H$3+AU34*Pricing!I$3+AV34*Pricing!J$3+AW34*Pricing!K$3+AH34*Pricing!F$3+AI34*Pricing!G$3+AJ34*Pricing!H$3+AK34*Pricing!I$3+AL34*Pricing!J$3+AM34*Pricing!K$3)*IF(T$39="N",(1+V$39),1)</f>
        <v>0</v>
      </c>
      <c r="BL34" s="1932" t="n">
        <f aca="false">IF(C34="Y",(N$59+N$60)/DF$36*DF34,0)</f>
        <v>0</v>
      </c>
      <c r="BM34" s="1932" t="n">
        <f aca="false">BF34*(G$67+D$70)</f>
        <v>0</v>
      </c>
      <c r="BN34" s="1932" t="n">
        <f aca="false">BG34*D$66</f>
        <v>0</v>
      </c>
      <c r="BO34" s="1932" t="n">
        <f aca="false">V34/2000*D$71</f>
        <v>0</v>
      </c>
      <c r="BP34" s="1932" t="n">
        <f aca="false">IF(C34="Y",(N$74+N$73+N$72)/DF$36*DF34,0)</f>
        <v>0</v>
      </c>
      <c r="BQ34" s="1932" t="n">
        <f aca="false">IF(SUM(BF$36:BG$36)=0,0,(SUM(N$78:O$81)+SUM(N$83:O$88)+SUM(N$90:O$96)+W$95)/SUM(BF$36:BG$36)*(BF34+BG34))</f>
        <v>0</v>
      </c>
      <c r="BR34" s="1933"/>
      <c r="BS34" s="1934" t="n">
        <f aca="false">IF(SUM(BF$36:BG$36)=0,0,(BQ$36-W$58-N$64-W82-(L$79*0.15))/SUM(BF$36:BG$36)*BG34+BN34)</f>
        <v>0</v>
      </c>
      <c r="BT34" s="1932" t="n">
        <f aca="false">(AH34*Pricing!F$3+AI34*Pricing!G$3+AJ34*Pricing!H$3+AK34*Pricing!I$3+AL34*Pricing!J$3+AM34*Pricing!K$3)*IF(T$39="N",(1+V$39),1)</f>
        <v>0</v>
      </c>
      <c r="BU34" s="1932" t="n">
        <f aca="false">IF(BG34=0,0,(BS34+BT34)/BG34)</f>
        <v>0</v>
      </c>
      <c r="BV34" s="1932" t="n">
        <f aca="false">SUM(BJ34:BQ34)-BS34-BT34</f>
        <v>0</v>
      </c>
      <c r="BW34" s="1933" t="n">
        <f aca="false">IF(BE34=0,0,BV34/BF34)</f>
        <v>0</v>
      </c>
      <c r="DB34" s="1935" t="n">
        <f aca="false">IF(W34=0,0,D$40/SUM(W$10:W$35)*W34)</f>
        <v>0</v>
      </c>
      <c r="DC34" s="1932" t="e">
        <f aca="false">E34*N34/12*(D$40-7980)/H$66</f>
        <v>#DIV/0!</v>
      </c>
      <c r="DD34" s="179" t="n">
        <f aca="false">ROUND(N34*O34/3088*E34,0)</f>
        <v>0</v>
      </c>
      <c r="DE34" s="908" t="n">
        <f aca="false">ROUND(V34,0)</f>
        <v>0</v>
      </c>
      <c r="DF34" s="356" t="n">
        <f aca="false">ROUND(IF(C34="Y",(G34*0.25*E34+G34*G34/144*0.5*E34)/27*1.3,0),0)</f>
        <v>0</v>
      </c>
      <c r="DG34" s="908" t="n">
        <f aca="false">ROUND(E34*G34/12,0)</f>
        <v>0</v>
      </c>
      <c r="DH34" s="908" t="n">
        <f aca="false">IF(C34="y",ROUNDUP(E34*G34/12,0),0)</f>
        <v>0</v>
      </c>
      <c r="DI34" s="908" t="n">
        <f aca="false">IF(C34="Y",IF(E34&gt;0,E34,0),0)</f>
        <v>0</v>
      </c>
      <c r="DJ34" s="1936" t="n">
        <f aca="false">ROUND(E34*N34/12,0)</f>
        <v>0</v>
      </c>
    </row>
    <row r="35" s="1414" customFormat="true" ht="15" hidden="false" customHeight="false" outlineLevel="0" collapsed="false">
      <c r="A35" s="507"/>
      <c r="B35" s="1312"/>
      <c r="C35" s="1938"/>
      <c r="D35" s="1920"/>
      <c r="E35" s="1921"/>
      <c r="F35" s="1234"/>
      <c r="G35" s="1235"/>
      <c r="H35" s="1236"/>
      <c r="I35" s="1234"/>
      <c r="J35" s="1235"/>
      <c r="K35" s="1236"/>
      <c r="L35" s="1234"/>
      <c r="M35" s="1234"/>
      <c r="N35" s="1922"/>
      <c r="O35" s="1234"/>
      <c r="P35" s="1234"/>
      <c r="Q35" s="1234"/>
      <c r="R35" s="1923"/>
      <c r="S35" s="1924"/>
      <c r="T35" s="78"/>
      <c r="U35" s="900"/>
      <c r="V35" s="1925" t="n">
        <f aca="false">((E35*I35/16*I35/16*10.680159*J35)*IF(H35=0,0,(G35/H35))+(G35/12*L35/16*L35/16*10.680159*M35)*IF(K35=0,0,(E35*12/K35))+(E35*IF(P35=0,0,N35/P35)*Q35/16*Q35/16*10.680159*R35)+(IF(P35=0,0,E35/P35*N35)*Q35/16*Q35/16*10.680159*R35)+((T35*U35*S35*0.03*0.2836*G35)/12+4)*IF(H35=0,0,(G35/H35))*I35/16*I35/16*10.680159)*(1+J$56)</f>
        <v>0</v>
      </c>
      <c r="W35" s="1926" t="n">
        <f aca="false">((E35*F35/12*G35/324)+ROUNDUP(S35*T35*U35*G35/46656,0)+(N35*O35*E35/3888))*(1+J$51)</f>
        <v>0</v>
      </c>
      <c r="AH35" s="1939" t="n">
        <f aca="false">IF($R$8=1,$N35*$O35*$E35/3888*(1+$J$51),0)</f>
        <v>0</v>
      </c>
      <c r="AI35" s="1940" t="n">
        <f aca="false">IF($R$8=2,$N35*$O35*$E35/3888*(1+$J$51),0)</f>
        <v>0</v>
      </c>
      <c r="AJ35" s="1940" t="n">
        <f aca="false">IF($R$8=3,$N35*$O35*$E35/3888*(1+$J$51),0)</f>
        <v>0</v>
      </c>
      <c r="AK35" s="1940" t="n">
        <f aca="false">IF($R$8=4,$N35*$O35*$E35/3888*(1+$J$51),0)</f>
        <v>0</v>
      </c>
      <c r="AL35" s="1940" t="n">
        <f aca="false">IF($R$8=5,$N35*$O35*$E35/3888*(1+$J$51),0)</f>
        <v>0</v>
      </c>
      <c r="AM35" s="1940" t="n">
        <f aca="false">IF($R$8=6,$N35*$O35*$E35/3888*(1+$J$51),0)</f>
        <v>0</v>
      </c>
      <c r="AN35" s="1940" t="n">
        <f aca="false">IF($R$8=7,$N35*$O35*$E35/3888*(1+$J$51),0)</f>
        <v>0</v>
      </c>
      <c r="AO35" s="1940" t="n">
        <f aca="false">IF($R$8=8,$N35*$O35*$E35/3888*(1+$J$51),0)</f>
        <v>0</v>
      </c>
      <c r="AP35" s="1940" t="n">
        <f aca="false">IF($R$8=9,$N35*$O35*$E35/3888*(1+$J$51),0)</f>
        <v>0</v>
      </c>
      <c r="AQ35" s="1940" t="n">
        <f aca="false">IF($R$8=10,$N35*$O35*$E35/3888*(1+$J$51),0)</f>
        <v>0</v>
      </c>
      <c r="AR35" s="1939" t="n">
        <f aca="false">IF($D35=1,$W35-SUM($AH35:$AQ35),0)</f>
        <v>0</v>
      </c>
      <c r="AS35" s="1940" t="n">
        <f aca="false">IF($D35=2,W35-SUM($AH35:$AQ35),0)</f>
        <v>0</v>
      </c>
      <c r="AT35" s="1940" t="n">
        <f aca="false">IF($D35=3,W35-SUM($AH35:$AQ35),0)</f>
        <v>0</v>
      </c>
      <c r="AU35" s="1940" t="n">
        <f aca="false">IF($D35=4,W35-SUM($AH35:$AQ35),0)</f>
        <v>0</v>
      </c>
      <c r="AV35" s="1940" t="n">
        <f aca="false">IF($D35=5,W35-SUM($AH35:$AQ35),0)</f>
        <v>0</v>
      </c>
      <c r="AW35" s="1940" t="n">
        <f aca="false">IF($D35=6,W35-SUM($AH35:$AQ35),0)</f>
        <v>0</v>
      </c>
      <c r="AX35" s="1940" t="n">
        <f aca="false">IF($D35=7,W35-SUM($AH35:$AQ35),0)</f>
        <v>0</v>
      </c>
      <c r="AY35" s="1940" t="n">
        <f aca="false">IF($D35=8,W35-SUM($AH35:$AQ35),0)</f>
        <v>0</v>
      </c>
      <c r="AZ35" s="1940" t="n">
        <f aca="false">IF($D35=9,W35-SUM($AH35:$AQ35),0)</f>
        <v>0</v>
      </c>
      <c r="BA35" s="1941" t="n">
        <f aca="false">IF($D35=10,W35-SUM($AH35:$AQ35),0)</f>
        <v>0</v>
      </c>
      <c r="BB35" s="1928" t="n">
        <f aca="false">SUM(AH35:AM35)</f>
        <v>0</v>
      </c>
      <c r="BC35" s="1928" t="n">
        <f aca="false">SUM(AR35:AW35)</f>
        <v>0</v>
      </c>
      <c r="BD35" s="1928" t="n">
        <f aca="false">V35</f>
        <v>0</v>
      </c>
      <c r="BE35" s="1928" t="n">
        <f aca="false">E35*G35/12*2+(U35*U35*G35/1728*S35)</f>
        <v>0</v>
      </c>
      <c r="BF35" s="1928" t="n">
        <f aca="false">BE35/2</f>
        <v>0</v>
      </c>
      <c r="BG35" s="1928" t="n">
        <f aca="false">N35*E35/12</f>
        <v>0</v>
      </c>
      <c r="BH35" s="1928" t="n">
        <f aca="false">ROUND(IF(C35="Y",BF35*3/27,0),0)</f>
        <v>0</v>
      </c>
      <c r="BJ35" s="1942" t="n">
        <f aca="false">V35*F$56*IF(T$39="N",(1+V$39),1)</f>
        <v>0</v>
      </c>
      <c r="BK35" s="1943" t="n">
        <f aca="false">(AR35*Pricing!F$3+AS35*Pricing!G$3+AT35*Pricing!H$3+AU35*Pricing!I$3+AV35*Pricing!J$3+AW35*Pricing!K$3+AH35*Pricing!F$3+AI35*Pricing!G$3+AJ35*Pricing!H$3+AK35*Pricing!I$3+AL35*Pricing!J$3+AM35*Pricing!K$3)*IF(T$39="N",(1+V$39),1)</f>
        <v>0</v>
      </c>
      <c r="BL35" s="1943" t="n">
        <f aca="false">IF(C35="Y",(N$59+N$60)/DF$36*DF35,0)</f>
        <v>0</v>
      </c>
      <c r="BM35" s="1943" t="n">
        <f aca="false">BF35*(G$67+D$70)</f>
        <v>0</v>
      </c>
      <c r="BN35" s="1943" t="n">
        <f aca="false">BG35*D$66</f>
        <v>0</v>
      </c>
      <c r="BO35" s="1943" t="n">
        <f aca="false">V35/2000*D$71</f>
        <v>0</v>
      </c>
      <c r="BP35" s="1943" t="n">
        <f aca="false">IF(C35="Y",(N$74+N$73+N$72)/DF$36*DF35,0)</f>
        <v>0</v>
      </c>
      <c r="BQ35" s="1943" t="n">
        <f aca="false">IF(SUM(BF$36:BG$36)=0,0,(SUM(N$78:O$81)+SUM(N$83:O$88)+SUM(N$90:O$96)+W$95)/SUM(BF$36:BG$36)*(BF35+BG35))</f>
        <v>0</v>
      </c>
      <c r="BR35" s="1944"/>
      <c r="BS35" s="1945" t="n">
        <f aca="false">IF(SUM(BF$36:BG$36)=0,0,(BQ$36-W$58-N$64-W83-(L$79*0.15))/SUM(BF$36:BG$36)*BG35+BN35)</f>
        <v>0</v>
      </c>
      <c r="BT35" s="1943" t="n">
        <f aca="false">(AH35*Pricing!F$3+AI35*Pricing!G$3+AJ35*Pricing!H$3+AK35*Pricing!I$3+AL35*Pricing!J$3+AM35*Pricing!K$3)*IF(T$39="N",(1+V$39),1)</f>
        <v>0</v>
      </c>
      <c r="BU35" s="1943" t="n">
        <f aca="false">IF(BG35=0,0,(BS35+BT35)/BG35)</f>
        <v>0</v>
      </c>
      <c r="BV35" s="1943" t="n">
        <f aca="false">SUM(BJ35:BQ35)-BS35-BT35</f>
        <v>0</v>
      </c>
      <c r="BW35" s="1944" t="n">
        <f aca="false">IF(BE35=0,0,BV35/BF35)</f>
        <v>0</v>
      </c>
      <c r="DB35" s="1935" t="n">
        <f aca="false">IF(W35=0,0,D$40/SUM(W$10:W$35)*W35)</f>
        <v>0</v>
      </c>
      <c r="DC35" s="1932" t="e">
        <f aca="false">E35*N35/12*(D$40-7980)/H$66</f>
        <v>#DIV/0!</v>
      </c>
      <c r="DD35" s="179" t="n">
        <f aca="false">ROUND(N35*O35/3088*E35,0)</f>
        <v>0</v>
      </c>
      <c r="DE35" s="908" t="n">
        <f aca="false">ROUND(V35,0)</f>
        <v>0</v>
      </c>
      <c r="DF35" s="356" t="n">
        <f aca="false">ROUND(IF(C35="Y",(G35*0.25*E35+G35*G35/144*0.5*E35)/27*1.3,0),0)</f>
        <v>0</v>
      </c>
      <c r="DG35" s="908" t="n">
        <f aca="false">ROUND(E35*G35/12,0)</f>
        <v>0</v>
      </c>
      <c r="DH35" s="908" t="n">
        <f aca="false">IF(C35="y",ROUNDUP(E35*G35/12,0),0)</f>
        <v>0</v>
      </c>
      <c r="DI35" s="908" t="n">
        <f aca="false">IF(C35="Y",IF(E35&gt;0,E35,0),0)</f>
        <v>0</v>
      </c>
      <c r="DJ35" s="1936" t="n">
        <f aca="false">ROUND(E35*N35/12,0)</f>
        <v>0</v>
      </c>
    </row>
    <row r="36" s="1414" customFormat="true" ht="15" hidden="false" customHeight="false" outlineLevel="0" collapsed="false">
      <c r="A36" s="406"/>
      <c r="B36" s="614"/>
      <c r="C36" s="614"/>
      <c r="D36" s="1946"/>
      <c r="E36" s="1246" t="n">
        <f aca="false">SUM(E10:E35)</f>
        <v>0</v>
      </c>
      <c r="F36" s="1946" t="s">
        <v>1398</v>
      </c>
      <c r="G36" s="1202"/>
      <c r="H36" s="1202"/>
      <c r="I36" s="614"/>
      <c r="J36" s="614"/>
      <c r="K36" s="614"/>
      <c r="L36" s="614"/>
      <c r="M36" s="614"/>
      <c r="N36" s="614"/>
      <c r="O36" s="1461" t="s">
        <v>1399</v>
      </c>
      <c r="P36" s="1462"/>
      <c r="Q36" s="1462"/>
      <c r="R36" s="1462"/>
      <c r="S36" s="614"/>
      <c r="T36" s="614"/>
      <c r="U36" s="1249" t="n">
        <f aca="false">SUM(V10:V35)</f>
        <v>0</v>
      </c>
      <c r="V36" s="1947"/>
      <c r="W36" s="1250" t="n">
        <f aca="false">ROUND(SUM(W10:W35),0)</f>
        <v>0</v>
      </c>
      <c r="AH36" s="1928" t="n">
        <f aca="false">SUM(AH10:AH35)</f>
        <v>0</v>
      </c>
      <c r="AI36" s="1928" t="n">
        <f aca="false">SUM(AI10:AI35)</f>
        <v>0</v>
      </c>
      <c r="AJ36" s="1928" t="n">
        <f aca="false">SUM(AJ10:AJ35)</f>
        <v>0</v>
      </c>
      <c r="AK36" s="1928" t="n">
        <f aca="false">SUM(AK10:AK35)</f>
        <v>0</v>
      </c>
      <c r="AL36" s="1928" t="n">
        <f aca="false">SUM(AL10:AL35)</f>
        <v>0</v>
      </c>
      <c r="AM36" s="1928" t="n">
        <f aca="false">SUM(AM10:AM35)</f>
        <v>0</v>
      </c>
      <c r="AN36" s="1928" t="n">
        <f aca="false">SUM(AN10:AN35)</f>
        <v>0</v>
      </c>
      <c r="AO36" s="1928" t="n">
        <f aca="false">SUM(AO10:AO35)</f>
        <v>0</v>
      </c>
      <c r="AP36" s="1928" t="n">
        <f aca="false">SUM(AP10:AP35)</f>
        <v>0</v>
      </c>
      <c r="AQ36" s="1928" t="n">
        <f aca="false">SUM(AQ10:AQ35)</f>
        <v>0</v>
      </c>
      <c r="AR36" s="1928" t="n">
        <f aca="false">SUM(AR10:AR35)</f>
        <v>0</v>
      </c>
      <c r="AS36" s="1928" t="n">
        <f aca="false">SUM(AS10:AS35)</f>
        <v>0</v>
      </c>
      <c r="AT36" s="1928" t="n">
        <f aca="false">SUM(AT10:AT35)</f>
        <v>0</v>
      </c>
      <c r="AU36" s="1928" t="n">
        <f aca="false">SUM(AU10:AU35)</f>
        <v>0</v>
      </c>
      <c r="AV36" s="1928" t="n">
        <f aca="false">SUM(AV10:AV35)</f>
        <v>0</v>
      </c>
      <c r="AW36" s="1928" t="n">
        <f aca="false">SUM(AW10:AW35)</f>
        <v>0</v>
      </c>
      <c r="AX36" s="1928" t="n">
        <f aca="false">SUM(AX10:AX35)</f>
        <v>0</v>
      </c>
      <c r="AY36" s="1928" t="n">
        <f aca="false">SUM(AY10:AY35)</f>
        <v>0</v>
      </c>
      <c r="AZ36" s="1928" t="n">
        <f aca="false">SUM(AZ10:AZ35)</f>
        <v>0</v>
      </c>
      <c r="BA36" s="1928" t="n">
        <f aca="false">SUM(BA10:BA35)</f>
        <v>0</v>
      </c>
      <c r="BB36" s="1928" t="n">
        <f aca="false">SUM(BB10:BB35)</f>
        <v>0</v>
      </c>
      <c r="BC36" s="1928" t="n">
        <f aca="false">SUM(BC10:BC35)</f>
        <v>0</v>
      </c>
      <c r="BD36" s="1928" t="n">
        <f aca="false">SUM(BD10:BD35)</f>
        <v>0</v>
      </c>
      <c r="BE36" s="1928" t="n">
        <f aca="false">SUM(BE10:BE35)</f>
        <v>0</v>
      </c>
      <c r="BF36" s="1928" t="n">
        <f aca="false">SUM(BF10:BF35)</f>
        <v>0</v>
      </c>
      <c r="BG36" s="1928" t="n">
        <f aca="false">SUM(BG10:BG35)</f>
        <v>0</v>
      </c>
      <c r="BH36" s="1928" t="n">
        <f aca="false">SUM(BH10:BH35)</f>
        <v>0</v>
      </c>
      <c r="BI36" s="1414" t="n">
        <f aca="false">SUM(BI10:BI35)</f>
        <v>0</v>
      </c>
      <c r="BJ36" s="1932" t="n">
        <f aca="false">SUM(BJ10:BJ35)</f>
        <v>0</v>
      </c>
      <c r="BK36" s="1932" t="n">
        <f aca="false">SUM(BK10:BK35)</f>
        <v>0</v>
      </c>
      <c r="BL36" s="1932" t="n">
        <f aca="false">SUM(BL10:BL35)</f>
        <v>0</v>
      </c>
      <c r="BM36" s="1932" t="n">
        <f aca="false">SUM(BM10:BM35)</f>
        <v>0</v>
      </c>
      <c r="BN36" s="1932" t="n">
        <f aca="false">SUM(BN10:BN35)</f>
        <v>0</v>
      </c>
      <c r="BO36" s="1932" t="n">
        <f aca="false">SUM(BO10:BO35)</f>
        <v>0</v>
      </c>
      <c r="BP36" s="1932" t="n">
        <f aca="false">SUM(BP10:BP35)</f>
        <v>0</v>
      </c>
      <c r="BQ36" s="1932" t="n">
        <f aca="false">SUM(BQ10:BQ35)</f>
        <v>0</v>
      </c>
      <c r="BR36" s="1932" t="n">
        <f aca="false">SUM(BJ36:BQ36)</f>
        <v>0</v>
      </c>
      <c r="BS36" s="1932" t="n">
        <f aca="false">SUM(BS10:BS35)</f>
        <v>0</v>
      </c>
      <c r="BT36" s="1932" t="n">
        <f aca="false">SUM(BT10:BT35)</f>
        <v>0</v>
      </c>
      <c r="BU36" s="1932"/>
      <c r="BV36" s="1932" t="n">
        <f aca="false">SUM(BV10:BV35)</f>
        <v>0</v>
      </c>
      <c r="BW36" s="1932" t="n">
        <f aca="false">SUM(BS36:BV36)</f>
        <v>0</v>
      </c>
      <c r="DB36" s="1948" t="n">
        <f aca="false">SUM(DB10:DB35)</f>
        <v>0</v>
      </c>
      <c r="DC36" s="1948" t="e">
        <f aca="false">SUM(DC10:DC35)</f>
        <v>#DIV/0!</v>
      </c>
      <c r="DD36" s="1254" t="n">
        <f aca="false">SUM(DD10:DD35)</f>
        <v>0</v>
      </c>
      <c r="DE36" s="1254" t="n">
        <f aca="false">SUM(DE10:DE35)</f>
        <v>0</v>
      </c>
      <c r="DF36" s="1254" t="n">
        <f aca="false">SUM(DF10:DF35)</f>
        <v>0</v>
      </c>
      <c r="DG36" s="1254" t="n">
        <f aca="false">SUM(DG10:DG35)</f>
        <v>0</v>
      </c>
      <c r="DH36" s="1949" t="n">
        <f aca="false">SUM(DH10:DH35)</f>
        <v>0</v>
      </c>
      <c r="DI36" s="908" t="n">
        <f aca="false">IF(C36="Y",IF(D36&gt;0,D36,0),0)</f>
        <v>0</v>
      </c>
      <c r="DJ36" s="1254" t="n">
        <f aca="false">SUM(DJ10:DJ35)</f>
        <v>0</v>
      </c>
    </row>
    <row r="37" s="1414" customFormat="true" ht="15" hidden="false" customHeight="false" outlineLevel="0" collapsed="false">
      <c r="A37" s="685"/>
      <c r="B37" s="726"/>
      <c r="C37" s="726"/>
      <c r="D37" s="726"/>
      <c r="E37" s="726"/>
      <c r="F37" s="726"/>
      <c r="G37" s="726"/>
      <c r="H37" s="726"/>
      <c r="I37" s="726"/>
      <c r="J37" s="726"/>
      <c r="K37" s="726"/>
      <c r="L37" s="726"/>
      <c r="M37" s="726"/>
      <c r="N37" s="726"/>
      <c r="O37" s="1950" t="s">
        <v>1400</v>
      </c>
      <c r="P37" s="1951"/>
      <c r="Q37" s="1951"/>
      <c r="R37" s="1951"/>
      <c r="S37" s="726"/>
      <c r="T37" s="726"/>
      <c r="U37" s="1952" t="n">
        <f aca="false">ROUNDUP(U36/2000,0)</f>
        <v>0</v>
      </c>
      <c r="V37" s="1258"/>
      <c r="W37" s="1258"/>
      <c r="BJ37" s="1948" t="n">
        <f aca="false">N56+N57+N58</f>
        <v>0</v>
      </c>
      <c r="BK37" s="1948" t="n">
        <f aca="false">SUM(N51:O55)</f>
        <v>0</v>
      </c>
      <c r="BL37" s="1948" t="n">
        <f aca="false">N59+N60</f>
        <v>0</v>
      </c>
      <c r="BM37" s="1948" t="n">
        <f aca="false">N67+N68+N69+N70</f>
        <v>0</v>
      </c>
      <c r="BN37" s="1948" t="n">
        <f aca="false">N66</f>
        <v>0</v>
      </c>
      <c r="BO37" s="1948" t="n">
        <f aca="false">N71</f>
        <v>0</v>
      </c>
      <c r="BP37" s="1948" t="n">
        <f aca="false">N74+N73+N72</f>
        <v>0</v>
      </c>
      <c r="BQ37" s="1948" t="n">
        <f aca="false">N83+N84+N85+N86+N87+N88+N90+N91+N92+N93+N94+N95+N96+W95+L79+N81</f>
        <v>0</v>
      </c>
      <c r="BR37" s="1948" t="n">
        <f aca="false">S40</f>
        <v>0</v>
      </c>
      <c r="DB37" s="1948" t="n">
        <f aca="false">D40-DB36</f>
        <v>0</v>
      </c>
      <c r="DC37" s="1948" t="e">
        <f aca="false">DC36-D40</f>
        <v>#DIV/0!</v>
      </c>
      <c r="DD37" s="1414" t="n">
        <f aca="false">SUM(DD10:DD36)</f>
        <v>0</v>
      </c>
      <c r="DE37" s="1414" t="n">
        <f aca="false">SUM(DE10:DE36)</f>
        <v>0</v>
      </c>
      <c r="DF37" s="1414" t="n">
        <f aca="false">SUM(DF10:DF36)</f>
        <v>0</v>
      </c>
      <c r="DG37" s="1414" t="n">
        <f aca="false">SUM(DG10:DG36)</f>
        <v>0</v>
      </c>
      <c r="DH37" s="1414" t="n">
        <f aca="false">SUM(DH10:DH36)</f>
        <v>0</v>
      </c>
      <c r="DI37" s="1247" t="n">
        <f aca="false">SUM(DI10:DI36)</f>
        <v>0</v>
      </c>
      <c r="DJ37" s="1414" t="n">
        <f aca="false">SUM(DJ10:DJ36)</f>
        <v>0</v>
      </c>
    </row>
    <row r="38" s="1414" customFormat="true" ht="15" hidden="false" customHeight="false" outlineLevel="0" collapsed="false">
      <c r="A38" s="949"/>
      <c r="B38" s="950"/>
      <c r="C38" s="951" t="s">
        <v>1261</v>
      </c>
      <c r="D38" s="952"/>
      <c r="E38" s="952"/>
      <c r="F38" s="950"/>
      <c r="G38" s="950"/>
      <c r="H38" s="950"/>
      <c r="I38" s="950"/>
      <c r="J38" s="950"/>
      <c r="K38" s="954"/>
      <c r="L38" s="950"/>
      <c r="M38" s="950"/>
      <c r="N38" s="950"/>
      <c r="O38" s="1165"/>
      <c r="P38" s="950"/>
      <c r="Q38" s="950"/>
      <c r="R38" s="950"/>
      <c r="S38" s="950"/>
      <c r="T38" s="950"/>
      <c r="U38" s="950"/>
      <c r="V38" s="950"/>
      <c r="W38" s="957"/>
      <c r="BJ38" s="1948" t="n">
        <f aca="false">BJ36-BJ37</f>
        <v>0</v>
      </c>
      <c r="BK38" s="1948" t="n">
        <f aca="false">BK36-BK37</f>
        <v>0</v>
      </c>
      <c r="BL38" s="1948" t="n">
        <f aca="false">BL36-BL37</f>
        <v>0</v>
      </c>
      <c r="BM38" s="1948" t="n">
        <f aca="false">BM36-BM37</f>
        <v>0</v>
      </c>
      <c r="BN38" s="1948" t="n">
        <f aca="false">BN36-BN37</f>
        <v>0</v>
      </c>
      <c r="BO38" s="1948" t="n">
        <f aca="false">BO36-BO37</f>
        <v>0</v>
      </c>
      <c r="BP38" s="1948" t="n">
        <f aca="false">BP36-BP37</f>
        <v>0</v>
      </c>
      <c r="BQ38" s="1948" t="n">
        <f aca="false">BQ36-BQ37</f>
        <v>0</v>
      </c>
      <c r="BR38" s="1948" t="n">
        <f aca="false">BR36-BR37</f>
        <v>0</v>
      </c>
    </row>
    <row r="39" s="1414" customFormat="true" ht="28.55" hidden="false" customHeight="false" outlineLevel="0" collapsed="false">
      <c r="A39" s="958" t="s">
        <v>1262</v>
      </c>
      <c r="B39" s="958"/>
      <c r="C39" s="958"/>
      <c r="D39" s="1642" t="s">
        <v>982</v>
      </c>
      <c r="E39" s="1644"/>
      <c r="F39" s="1953" t="s">
        <v>1263</v>
      </c>
      <c r="G39" s="1643"/>
      <c r="H39" s="1644"/>
      <c r="I39" s="1167" t="s">
        <v>1264</v>
      </c>
      <c r="J39" s="1168"/>
      <c r="K39" s="1169"/>
      <c r="L39" s="1170" t="s">
        <v>1265</v>
      </c>
      <c r="M39" s="1171"/>
      <c r="N39" s="1171"/>
      <c r="O39" s="1172"/>
      <c r="P39" s="961"/>
      <c r="Q39" s="836" t="s">
        <v>1266</v>
      </c>
      <c r="R39" s="1068"/>
      <c r="S39" s="1068" t="s">
        <v>1267</v>
      </c>
      <c r="T39" s="1954" t="str">
        <f aca="false">Summary!P62</f>
        <v>N</v>
      </c>
      <c r="U39" s="1419" t="s">
        <v>1268</v>
      </c>
      <c r="V39" s="1955" t="n">
        <f aca="false">Summary!R62</f>
        <v>0.0825</v>
      </c>
      <c r="W39" s="964"/>
      <c r="DD39" s="1414" t="s">
        <v>1401</v>
      </c>
      <c r="DF39" s="1414" t="s">
        <v>1402</v>
      </c>
    </row>
    <row r="40" s="1414" customFormat="true" ht="15" hidden="false" customHeight="false" outlineLevel="0" collapsed="false">
      <c r="A40" s="965" t="s">
        <v>1269</v>
      </c>
      <c r="B40" s="966" t="n">
        <f aca="false">IF(BF36=0,0,D40/BF36)</f>
        <v>0</v>
      </c>
      <c r="C40" s="966"/>
      <c r="D40" s="967" t="n">
        <f aca="false">(S40-N96)*(1+L40)</f>
        <v>0</v>
      </c>
      <c r="E40" s="967"/>
      <c r="F40" s="1956" t="n">
        <f aca="false">IF(D40=0,0,G40/D40)</f>
        <v>0</v>
      </c>
      <c r="G40" s="1038" t="n">
        <f aca="false">(D40-S40)</f>
        <v>0</v>
      </c>
      <c r="H40" s="1038"/>
      <c r="I40" s="1957" t="n">
        <f aca="false">IF(BF36=0,0,S40/BF36)</f>
        <v>0</v>
      </c>
      <c r="J40" s="1957"/>
      <c r="K40" s="1958"/>
      <c r="L40" s="1959" t="n">
        <f aca="false">Summary!P59</f>
        <v>0.18</v>
      </c>
      <c r="M40" s="1960"/>
      <c r="N40" s="1960"/>
      <c r="O40" s="1961"/>
      <c r="P40" s="1265"/>
      <c r="Q40" s="970" t="s">
        <v>980</v>
      </c>
      <c r="R40" s="16"/>
      <c r="S40" s="971" t="n">
        <f aca="false">SUM(N51:O63)+SUM(N66:O75)+SUM(N78:O80)+SUM(N83:O88)+SUM(N90:O96)+W95+N64+SUM(K66:L75)+N81</f>
        <v>0</v>
      </c>
      <c r="T40" s="971"/>
      <c r="U40" s="1659"/>
      <c r="V40" s="843"/>
      <c r="W40" s="964"/>
      <c r="DB40" s="175"/>
      <c r="DC40" s="1268" t="s">
        <v>1403</v>
      </c>
      <c r="DD40" s="1269" t="n">
        <v>458</v>
      </c>
      <c r="DE40" s="1270"/>
    </row>
    <row r="41" s="1414" customFormat="true" ht="15" hidden="false" customHeight="false" outlineLevel="0" collapsed="false">
      <c r="A41" s="965"/>
      <c r="B41" s="1649"/>
      <c r="C41" s="1962" t="str">
        <f aca="false">IF(ROUND(D41,0)=0,"BINGO!!",IF(ROUND(D41,0)&lt;0,"To Low","T0 High"))</f>
        <v>BINGO!!</v>
      </c>
      <c r="D41" s="1963" t="n">
        <f aca="false">D40-D38</f>
        <v>0</v>
      </c>
      <c r="E41" s="1963"/>
      <c r="F41" s="1964"/>
      <c r="G41" s="1965"/>
      <c r="H41" s="1965"/>
      <c r="I41" s="1966"/>
      <c r="J41" s="1966"/>
      <c r="K41" s="1966"/>
      <c r="L41" s="1967"/>
      <c r="M41" s="1967"/>
      <c r="N41" s="1967"/>
      <c r="O41" s="1968"/>
      <c r="P41" s="1265"/>
      <c r="Q41" s="1969"/>
      <c r="R41" s="1058"/>
      <c r="S41" s="1970"/>
      <c r="T41" s="1970"/>
      <c r="U41" s="1970"/>
      <c r="V41" s="1971"/>
      <c r="W41" s="964"/>
      <c r="DC41" s="1004" t="s">
        <v>1406</v>
      </c>
      <c r="DD41" s="1278" t="n">
        <v>-5</v>
      </c>
      <c r="DE41" s="1279"/>
      <c r="DF41" s="1280" t="n">
        <f aca="false">DD40+DD41</f>
        <v>453</v>
      </c>
    </row>
    <row r="42" s="1414" customFormat="true" ht="15" hidden="false" customHeight="false" outlineLevel="0" collapsed="false">
      <c r="A42" s="1972" t="s">
        <v>1693</v>
      </c>
      <c r="B42" s="1973" t="n">
        <f aca="false">IF(F42=0,B40,IF(BF36=0,0,BV36/BF36)*(1+L40))</f>
        <v>0</v>
      </c>
      <c r="C42" s="1973"/>
      <c r="D42" s="1974" t="s">
        <v>1694</v>
      </c>
      <c r="E42" s="1974"/>
      <c r="F42" s="1975" t="n">
        <f aca="false">IF(BG36=0,0,(BT36+BS36)/BG36)*(1+L40)</f>
        <v>0</v>
      </c>
      <c r="G42" s="1975"/>
      <c r="H42" s="1976" t="s">
        <v>1270</v>
      </c>
      <c r="I42" s="1977"/>
      <c r="J42" s="1978"/>
      <c r="K42" s="1979"/>
      <c r="L42" s="972"/>
      <c r="M42" s="1980" t="n">
        <f aca="false">IF(J42&gt;0,(J42-D40)/(1+L40),0)</f>
        <v>0</v>
      </c>
      <c r="N42" s="1981"/>
      <c r="O42" s="984"/>
      <c r="P42" s="973"/>
      <c r="Q42" s="973"/>
      <c r="R42" s="973"/>
      <c r="S42" s="983" t="n">
        <f aca="false">AE1</f>
        <v>0</v>
      </c>
      <c r="T42" s="983"/>
      <c r="U42" s="1982"/>
      <c r="V42" s="973"/>
      <c r="W42" s="984"/>
      <c r="DC42" s="1004" t="s">
        <v>1409</v>
      </c>
      <c r="DD42" s="1278" t="n">
        <v>460</v>
      </c>
      <c r="DE42" s="1279"/>
      <c r="DF42" s="1284" t="n">
        <f aca="false">DD42-DD40</f>
        <v>2</v>
      </c>
    </row>
    <row r="43" s="1414" customFormat="true" ht="15" hidden="false" customHeight="false" outlineLevel="0" collapsed="false">
      <c r="A43" s="654"/>
      <c r="B43" s="654"/>
      <c r="C43" s="654"/>
      <c r="D43" s="654"/>
      <c r="E43" s="654"/>
      <c r="F43" s="654"/>
      <c r="G43" s="654"/>
      <c r="H43" s="654"/>
      <c r="I43" s="654" t="s">
        <v>1061</v>
      </c>
      <c r="J43" s="654" t="s">
        <v>1083</v>
      </c>
      <c r="K43" s="654"/>
      <c r="L43" s="654"/>
      <c r="M43" s="654"/>
      <c r="N43" s="654"/>
      <c r="O43" s="654"/>
      <c r="P43" s="654"/>
      <c r="Q43" s="654"/>
      <c r="R43" s="654" t="s">
        <v>1695</v>
      </c>
      <c r="S43" s="654"/>
      <c r="T43" s="664" t="n">
        <f aca="false">IF(SUM(W77:W82)=0,0,SUM(W77:W82)/H67)</f>
        <v>0</v>
      </c>
      <c r="U43" s="654" t="s">
        <v>1696</v>
      </c>
      <c r="V43" s="654"/>
      <c r="W43" s="654"/>
      <c r="DB43" s="246"/>
      <c r="DC43" s="246"/>
      <c r="DD43" s="1288"/>
      <c r="DE43" s="749"/>
      <c r="DF43" s="1288"/>
    </row>
    <row r="44" s="1414" customFormat="true" ht="15" hidden="false" customHeight="false" outlineLevel="0" collapsed="false">
      <c r="A44" s="16" t="s">
        <v>1697</v>
      </c>
      <c r="B44" s="1983"/>
      <c r="C44" s="1983"/>
      <c r="D44" s="1984"/>
      <c r="E44" s="1985"/>
      <c r="F44" s="1986"/>
      <c r="G44" s="1987"/>
      <c r="H44" s="1984"/>
      <c r="I44" s="1706"/>
      <c r="J44" s="1271"/>
      <c r="K44" s="1271"/>
      <c r="L44" s="1271"/>
      <c r="M44" s="1271"/>
      <c r="N44" s="990" t="s">
        <v>721</v>
      </c>
      <c r="O44" s="990"/>
      <c r="P44" s="1274" t="s">
        <v>1272</v>
      </c>
      <c r="Q44" s="654"/>
      <c r="R44" s="783" t="s">
        <v>1698</v>
      </c>
      <c r="S44" s="1988"/>
      <c r="T44" s="1989" t="n">
        <f aca="false">IF(H67=0,0,(N64+W95-W77-W78-W79-W81-W82-W72-W71-W70-W69-W68-W67)/H67)</f>
        <v>0</v>
      </c>
      <c r="U44" s="1990" t="s">
        <v>1699</v>
      </c>
      <c r="V44" s="1991"/>
      <c r="W44" s="654"/>
    </row>
    <row r="45" s="1414" customFormat="true" ht="15" hidden="false" customHeight="false" outlineLevel="0" collapsed="false">
      <c r="A45" s="654"/>
      <c r="B45" s="1983"/>
      <c r="C45" s="1983"/>
      <c r="D45" s="1984"/>
      <c r="E45" s="1986"/>
      <c r="F45" s="1986"/>
      <c r="G45" s="1984"/>
      <c r="H45" s="1984"/>
      <c r="I45" s="1983"/>
      <c r="J45" s="1716"/>
      <c r="K45" s="1271"/>
      <c r="L45" s="1271"/>
      <c r="M45" s="1271"/>
      <c r="N45" s="1000" t="s">
        <v>1274</v>
      </c>
      <c r="O45" s="1001"/>
      <c r="P45" s="1002"/>
      <c r="Q45" s="1547"/>
      <c r="R45" s="1547" t="s">
        <v>1146</v>
      </c>
      <c r="S45" s="1547" t="s">
        <v>1268</v>
      </c>
      <c r="T45" s="1547" t="s">
        <v>1700</v>
      </c>
      <c r="U45" s="1547" t="s">
        <v>1701</v>
      </c>
      <c r="V45" s="1547"/>
      <c r="W45" s="1994"/>
    </row>
    <row r="46" s="1414" customFormat="true" ht="15" hidden="false" customHeight="false" outlineLevel="0" collapsed="false">
      <c r="A46" s="654"/>
      <c r="B46" s="1983"/>
      <c r="C46" s="1983"/>
      <c r="D46" s="1272"/>
      <c r="E46" s="1271"/>
      <c r="F46" s="1710"/>
      <c r="G46" s="1271"/>
      <c r="H46" s="1271"/>
      <c r="I46" s="1716"/>
      <c r="J46" s="1271"/>
      <c r="K46" s="1271"/>
      <c r="L46" s="1271"/>
      <c r="M46" s="1271"/>
      <c r="N46" s="1008" t="s">
        <v>1276</v>
      </c>
      <c r="O46" s="1009" t="n">
        <f aca="false">K56</f>
        <v>0</v>
      </c>
      <c r="P46" s="1285" t="n">
        <f aca="false">N56</f>
        <v>0</v>
      </c>
      <c r="Q46" s="654" t="s">
        <v>1702</v>
      </c>
      <c r="R46" s="656" t="n">
        <f aca="false">N67</f>
        <v>0</v>
      </c>
      <c r="S46" s="1996" t="n">
        <v>17.5</v>
      </c>
      <c r="T46" s="664" t="n">
        <f aca="false">S46*1.3</f>
        <v>22.75</v>
      </c>
      <c r="U46" s="1997" t="n">
        <f aca="false">R46/T46</f>
        <v>0</v>
      </c>
      <c r="V46" s="1998" t="e">
        <f aca="false">H67/U46</f>
        <v>#DIV/0!</v>
      </c>
      <c r="W46" s="1998"/>
    </row>
    <row r="47" s="1414" customFormat="true" ht="15" hidden="false" customHeight="false" outlineLevel="0" collapsed="false">
      <c r="A47" s="654"/>
      <c r="B47" s="1983"/>
      <c r="C47" s="1983"/>
      <c r="D47" s="1271"/>
      <c r="E47" s="1271"/>
      <c r="F47" s="1271"/>
      <c r="G47" s="1271"/>
      <c r="H47" s="1271"/>
      <c r="I47" s="1716"/>
      <c r="J47" s="1271"/>
      <c r="K47" s="1271"/>
      <c r="L47" s="1271"/>
      <c r="M47" s="1271"/>
      <c r="N47" s="1271"/>
      <c r="O47" s="1271"/>
      <c r="P47" s="654"/>
      <c r="Q47" s="859" t="s">
        <v>1703</v>
      </c>
      <c r="R47" s="656" t="n">
        <f aca="false">N68</f>
        <v>0</v>
      </c>
      <c r="S47" s="1996" t="n">
        <v>17.5</v>
      </c>
      <c r="T47" s="664" t="n">
        <f aca="false">S47*1.3</f>
        <v>22.75</v>
      </c>
      <c r="U47" s="1997" t="n">
        <f aca="false">R47/T47</f>
        <v>0</v>
      </c>
      <c r="V47" s="2001" t="e">
        <f aca="false">(K52+K55)/U47</f>
        <v>#DIV/0!</v>
      </c>
      <c r="W47" s="2001"/>
    </row>
    <row r="48" s="1414" customFormat="true" ht="15" hidden="false" customHeight="false" outlineLevel="0" collapsed="false">
      <c r="A48" s="16"/>
      <c r="B48" s="1983"/>
      <c r="C48" s="1983"/>
      <c r="D48" s="1271"/>
      <c r="E48" s="1271"/>
      <c r="F48" s="1271"/>
      <c r="G48" s="1271"/>
      <c r="H48" s="1271"/>
      <c r="I48" s="1716"/>
      <c r="J48" s="1271"/>
      <c r="K48" s="1271"/>
      <c r="L48" s="1271"/>
      <c r="M48" s="1271"/>
      <c r="N48" s="1271"/>
      <c r="O48" s="1271"/>
      <c r="Q48" s="785"/>
      <c r="R48" s="784"/>
      <c r="S48" s="784"/>
      <c r="T48" s="784"/>
      <c r="U48" s="2002"/>
      <c r="V48" s="2002"/>
      <c r="W48" s="2003"/>
      <c r="DD48" s="1414" t="n">
        <f aca="false">2.52/7.53</f>
        <v>0.334661354581673</v>
      </c>
    </row>
    <row r="49" s="1414"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726"/>
      <c r="U49" s="726"/>
      <c r="V49" s="726"/>
      <c r="W49" s="726"/>
      <c r="DB49" s="1414" t="n">
        <f aca="false">SUM(DE51:DE62)*(1+J56)</f>
        <v>38.861320265625</v>
      </c>
      <c r="DC49" s="427" t="s">
        <v>612</v>
      </c>
    </row>
    <row r="50" s="1414" customFormat="true" ht="42.1" hidden="false" customHeight="false" outlineLevel="0" collapsed="false">
      <c r="A50" s="1017" t="s">
        <v>1280</v>
      </c>
      <c r="B50" s="1296" t="s">
        <v>1281</v>
      </c>
      <c r="C50" s="1297"/>
      <c r="D50" s="1297"/>
      <c r="E50" s="1297"/>
      <c r="F50" s="1297"/>
      <c r="G50" s="1297"/>
      <c r="H50" s="1297"/>
      <c r="I50" s="1297"/>
      <c r="J50" s="1019" t="s">
        <v>1282</v>
      </c>
      <c r="K50" s="1020" t="str">
        <f aca="false">IF(ROUND(SUM(K51:K55),0)=W36,"Good","Missing Concrete!!!")</f>
        <v>Good</v>
      </c>
      <c r="L50" s="1020"/>
      <c r="M50" s="1297"/>
      <c r="N50" s="1297"/>
      <c r="O50" s="1298"/>
      <c r="P50" s="1299" t="s">
        <v>1284</v>
      </c>
      <c r="Q50" s="1022" t="s">
        <v>1283</v>
      </c>
      <c r="R50" s="1223"/>
      <c r="S50" s="879" t="s">
        <v>835</v>
      </c>
      <c r="T50" s="1023"/>
      <c r="U50" s="1024" t="s">
        <v>518</v>
      </c>
      <c r="V50" s="1023"/>
      <c r="W50" s="1025"/>
      <c r="DB50" s="1301" t="s">
        <v>1259</v>
      </c>
      <c r="DC50" s="1302" t="s">
        <v>1215</v>
      </c>
      <c r="DD50" s="1303" t="s">
        <v>1369</v>
      </c>
      <c r="DE50" s="1304" t="s">
        <v>1414</v>
      </c>
    </row>
    <row r="51" s="1414" customFormat="true" ht="18" hidden="false" customHeight="true" outlineLevel="0" collapsed="false">
      <c r="A51" s="2004" t="n">
        <v>1</v>
      </c>
      <c r="B51" s="1028" t="str">
        <f aca="false">IF(A51=1,Pricing!F$2,IF(A51=2,Pricing!G$2,IF(A51=3,Pricing!H$2,IF(A51=4,Pricing!I$2,IF(A51=5,Pricing!J$2,IF(A51=6,Pricing!K$2,IF(A51=7,Pricing!L$2,IF(A51=8,Pricing!M$2,IF(A51=9,Pricing!N$2,IF(A51=10,Pricing!O$2,0))))))))))</f>
        <v>3,000 PSI 5sk /Ash and Air</v>
      </c>
      <c r="C51" s="1726"/>
      <c r="D51" s="1726"/>
      <c r="E51" s="1726"/>
      <c r="F51" s="1048" t="n">
        <f aca="false">IF(A51=1,Pricing!F$3,IF(A51=2,Pricing!G$3,IF(A51=3,Pricing!H$3,IF(A51=4,Pricing!I$3,IF(A51=5,Pricing!J$3,IF(A51=6,Pricing!K$3,IF(A51=7,Pricing!L$3,IF(A51=8,Pricing!M$3,IF(A51=9,Pricing!N$3,IF(A51=10,Pricing!O$3))))))))))</f>
        <v>134</v>
      </c>
      <c r="G51" s="16" t="s">
        <v>1285</v>
      </c>
      <c r="H51" s="2005"/>
      <c r="I51" s="2005"/>
      <c r="J51" s="1334" t="n">
        <v>0.06</v>
      </c>
      <c r="K51" s="1051" t="n">
        <f aca="false">IF(A51=1,AR$36,IF(A51=2,AS$36,IF(A51=3,AT$36,IF(A51=4,AU$36,IF(A51=5,AV$36,IF(A51=6,AW$36,IF(A51=7,AX$36,IF(A51=8,AY$36,IF(A51=9,AZ$36,IF(A51=10,BA$36))))))))))+IF(A51=1,AH$36,IF(A51=2,AI$36,IF(A51=3,AJ$36,IF(A51=4,AK$36,IF(A51=5,AL$36,IF(A51=6,AM$36,IF(A51=7,AN$36,IF(A51=8,AOJ$36,IF(A51=9,AP$36,IF(A51=10,AQ$36))))))))))</f>
        <v>0</v>
      </c>
      <c r="L51" s="1051"/>
      <c r="M51" s="15" t="s">
        <v>1286</v>
      </c>
      <c r="N51" s="1318" t="n">
        <f aca="false">K51*F51*(IF(T$39="N",1+V$39,1))</f>
        <v>0</v>
      </c>
      <c r="O51" s="1318"/>
      <c r="P51" s="1306"/>
      <c r="Q51" s="920" t="s">
        <v>1415</v>
      </c>
      <c r="R51" s="78"/>
      <c r="S51" s="1307" t="n">
        <v>0.4</v>
      </c>
      <c r="T51" s="78"/>
      <c r="U51" s="1308" t="n">
        <f aca="false">BJ71</f>
        <v>0</v>
      </c>
      <c r="V51" s="78"/>
      <c r="W51" s="1309"/>
      <c r="DB51" s="149" t="n">
        <v>20</v>
      </c>
      <c r="DC51" s="150" t="n">
        <v>4</v>
      </c>
      <c r="DD51" s="151" t="n">
        <v>1</v>
      </c>
      <c r="DE51" s="152" t="n">
        <f aca="false">DB51*(DC51*DC51*0.04180884375)*DD51</f>
        <v>13.37883</v>
      </c>
    </row>
    <row r="52" s="1414" customFormat="true" ht="18" hidden="false" customHeight="true" outlineLevel="0" collapsed="false">
      <c r="A52" s="2006" t="n">
        <v>2</v>
      </c>
      <c r="B52" s="599" t="str">
        <f aca="false">IF(A52=1,Pricing!F$2,IF(A52=2,Pricing!G$2,IF(A52=3,Pricing!H$2,IF(A52=4,Pricing!I$2,IF(A52=5,Pricing!J$2,IF(A52=6,Pricing!K$2,IF(A52=7,Pricing!L$2,IF(A52=8,Pricing!M$2,IF(A52=9,Pricing!N$2,IF(A52=10,Pricing!O$2,0))))))))))</f>
        <v>3,000 PSI / Ash no Air</v>
      </c>
      <c r="C52" s="16"/>
      <c r="D52" s="16"/>
      <c r="E52" s="16"/>
      <c r="F52" s="1048" t="n">
        <f aca="false">IF(A52=1,Pricing!F$3,IF(A52=2,Pricing!G$3,IF(A52=3,Pricing!H$3,IF(A52=4,Pricing!I$3,IF(A52=5,Pricing!J$3,IF(A52=6,Pricing!K$3,IF(A52=7,Pricing!L$3,IF(A52=8,Pricing!M$3,IF(A52=9,Pricing!N$3,IF(A52=10,Pricing!O$3))))))))))</f>
        <v>145</v>
      </c>
      <c r="G52" s="16" t="s">
        <v>1285</v>
      </c>
      <c r="H52" s="2005"/>
      <c r="I52" s="2005"/>
      <c r="J52" s="1334"/>
      <c r="K52" s="1310" t="n">
        <f aca="false">IF(A52=1,AR$36,IF(A52=2,AS$36,IF(A52=3,AT$36,IF(A52=4,AU$36,IF(A52=5,AV$36,IF(A52=6,AW$36))))))+IF(A52=1,AH$36,IF(A52=2,AI$36,IF(A52=3,AJ$36,IF(A52=4,AK$36,IF(A52=5,AL$36,IF(A52=6,AM$36))))))</f>
        <v>0</v>
      </c>
      <c r="L52" s="1310"/>
      <c r="M52" s="15" t="s">
        <v>1286</v>
      </c>
      <c r="N52" s="1305" t="n">
        <f aca="false">K52*F52*(IF(T$39="N",1+V$39,1))</f>
        <v>0</v>
      </c>
      <c r="O52" s="1305"/>
      <c r="P52" s="1306" t="s">
        <v>1069</v>
      </c>
      <c r="Q52" s="920" t="s">
        <v>526</v>
      </c>
      <c r="R52" s="78"/>
      <c r="S52" s="1311" t="n">
        <f aca="false">H67*3.6*S51</f>
        <v>0</v>
      </c>
      <c r="T52" s="1312" t="s">
        <v>1704</v>
      </c>
      <c r="U52" s="1308" t="n">
        <f aca="false">Pricing!Q4</f>
        <v>0.859375</v>
      </c>
      <c r="V52" s="78" t="s">
        <v>527</v>
      </c>
      <c r="W52" s="1309" t="n">
        <f aca="false">IF(T$39="Y",S52*U52,S52*U52*(1+V$39))</f>
        <v>0</v>
      </c>
      <c r="DB52" s="149" t="n">
        <v>3</v>
      </c>
      <c r="DC52" s="150" t="n">
        <v>5</v>
      </c>
      <c r="DD52" s="151" t="n">
        <v>3</v>
      </c>
      <c r="DE52" s="152" t="n">
        <f aca="false">DB52*(DC52*DC52*0.04180884375)*DD52</f>
        <v>9.40698984375</v>
      </c>
    </row>
    <row r="53" s="1414" customFormat="true" ht="18" hidden="false" customHeight="true" outlineLevel="0" collapsed="false">
      <c r="A53" s="2007" t="n">
        <v>3</v>
      </c>
      <c r="B53" s="599" t="str">
        <f aca="false">IF(A53=1,Pricing!F$2,IF(A53=2,Pricing!G$2,IF(A53=3,Pricing!H$2,IF(A53=4,Pricing!I$2,IF(A53=5,Pricing!J$2,IF(A53=6,Pricing!K$2,IF(A53=7,Pricing!L$2,IF(A53=8,Pricing!M$2,IF(A53=9,Pricing!N$2,IF(A53=10,Pricing!O$2,0))))))))))</f>
        <v>3,500 PSI 5.5sk /Ash and Air</v>
      </c>
      <c r="C53" s="16"/>
      <c r="D53" s="16"/>
      <c r="E53" s="16"/>
      <c r="F53" s="1048" t="n">
        <f aca="false">IF(A53=1,Pricing!F$3,IF(A53=2,Pricing!G$3,IF(A53=3,Pricing!H$3,IF(A53=4,Pricing!I$3,IF(A53=5,Pricing!J$3,IF(A53=6,Pricing!K$3,IF(A53=7,Pricing!L$3,IF(A53=8,Pricing!M$3,IF(A53=9,Pricing!N$3,IF(A53=10,Pricing!O$3))))))))))</f>
        <v>140</v>
      </c>
      <c r="G53" s="16" t="s">
        <v>1285</v>
      </c>
      <c r="H53" s="2005"/>
      <c r="I53" s="2005"/>
      <c r="J53" s="1334"/>
      <c r="K53" s="1310" t="n">
        <f aca="false">IF(A53=1,AR$36,IF(A53=2,AS$36,IF(A53=3,AT$36,IF(A53=4,AU$36,IF(A53=5,AV$36,IF(A53=6,AW$36))))))+IF(A53=1,AH$36,IF(A53=2,AI$36,IF(A53=3,AJ$36,IF(A53=4,AK$36,IF(A53=5,AL$36,IF(A53=6,AM$36))))))</f>
        <v>0</v>
      </c>
      <c r="L53" s="1310"/>
      <c r="M53" s="15" t="s">
        <v>1286</v>
      </c>
      <c r="N53" s="1305" t="n">
        <f aca="false">K53*F53*(IF(T$39="N",1+V$39,1))</f>
        <v>0</v>
      </c>
      <c r="O53" s="1305"/>
      <c r="P53" s="1306"/>
      <c r="Q53" s="920"/>
      <c r="R53" s="78"/>
      <c r="S53" s="1311"/>
      <c r="T53" s="1312"/>
      <c r="U53" s="1308"/>
      <c r="V53" s="78"/>
      <c r="W53" s="1309" t="n">
        <f aca="false">IF(T$39="Y",S53*U53,S53*U53*(1+V$39))</f>
        <v>0</v>
      </c>
      <c r="DB53" s="149"/>
      <c r="DC53" s="150"/>
      <c r="DD53" s="151"/>
      <c r="DE53" s="152"/>
    </row>
    <row r="54" s="1414" customFormat="true" ht="18" hidden="false" customHeight="true" outlineLevel="0" collapsed="false">
      <c r="A54" s="2007" t="n">
        <v>4</v>
      </c>
      <c r="B54" s="599" t="str">
        <f aca="false">IF(A54=1,Pricing!F$2,IF(A54=2,Pricing!G$2,IF(A54=3,Pricing!H$2,IF(A54=4,Pricing!I$2,IF(A54=5,Pricing!J$2,IF(A54=6,Pricing!K$2,IF(A54=7,Pricing!L$2,IF(A54=8,Pricing!M$2,IF(A54=9,Pricing!N$2,IF(A54=10,Pricing!O$2,0))))))))))</f>
        <v>3,500 PSI /Ash No Air</v>
      </c>
      <c r="C54" s="16"/>
      <c r="D54" s="16"/>
      <c r="E54" s="16"/>
      <c r="F54" s="1048" t="n">
        <f aca="false">IF(A54=1,Pricing!F$3,IF(A54=2,Pricing!G$3,IF(A54=3,Pricing!H$3,IF(A54=4,Pricing!I$3,IF(A54=5,Pricing!J$3,IF(A54=6,Pricing!K$3,IF(A54=7,Pricing!L$3,IF(A54=8,Pricing!M$3,IF(A54=9,Pricing!N$3,IF(A54=10,Pricing!O$3))))))))))</f>
        <v>140</v>
      </c>
      <c r="G54" s="16" t="s">
        <v>1285</v>
      </c>
      <c r="H54" s="2005"/>
      <c r="I54" s="2005"/>
      <c r="J54" s="1334"/>
      <c r="K54" s="1310" t="n">
        <f aca="false">IF(A54=1,AR$36,IF(A54=2,AS$36,IF(A54=3,AT$36,IF(A54=4,AU$36,IF(A54=5,AV$36,IF(A54=6,AW$36))))))+IF(A54=1,AH$36,IF(A54=2,AI$36,IF(A54=3,AJ$36,IF(A54=4,AK$36,IF(A54=5,AL$36,IF(A54=6,AM$36))))))</f>
        <v>0</v>
      </c>
      <c r="L54" s="1310"/>
      <c r="M54" s="15" t="s">
        <v>1286</v>
      </c>
      <c r="N54" s="1305" t="n">
        <f aca="false">K54*F54*(IF(T$39="N",1+V$39,1))</f>
        <v>0</v>
      </c>
      <c r="O54" s="1305"/>
      <c r="P54" s="1306"/>
      <c r="Q54" s="920"/>
      <c r="R54" s="78"/>
      <c r="S54" s="1311"/>
      <c r="T54" s="1312"/>
      <c r="U54" s="1308"/>
      <c r="V54" s="78"/>
      <c r="W54" s="1309" t="n">
        <f aca="false">IF(T$39="Y",S54*U54,S54*U54*(1+V$39))</f>
        <v>0</v>
      </c>
      <c r="DB54" s="149"/>
      <c r="DC54" s="150"/>
      <c r="DD54" s="151"/>
      <c r="DE54" s="152"/>
    </row>
    <row r="55" s="1414" customFormat="true" ht="18" hidden="false" customHeight="true" outlineLevel="0" collapsed="false">
      <c r="A55" s="2008" t="n">
        <v>5</v>
      </c>
      <c r="B55" s="1044" t="str">
        <f aca="false">IF(A55=1,Pricing!F$2,IF(A55=2,Pricing!G$2,IF(A55=3,Pricing!H$2,IF(A55=4,Pricing!I$2,IF(A55=5,Pricing!J$2,IF(A55=6,Pricing!K$2,IF(A55=7,Pricing!L$2,IF(A55=8,Pricing!M$2,IF(A55=9,Pricing!N$2,IF(A55=10,Pricing!O$2,0))))))))))</f>
        <v>4,000 PSI /Ash and Air</v>
      </c>
      <c r="C55" s="397"/>
      <c r="D55" s="397"/>
      <c r="E55" s="397"/>
      <c r="F55" s="1315" t="n">
        <f aca="false">IF(A55=1,Pricing!F$3,IF(A55=2,Pricing!G$3,IF(A55=3,Pricing!H$3,IF(A55=4,Pricing!I$3,IF(A55=5,Pricing!J$3,IF(A55=6,Pricing!K$3,IF(A55=7,Pricing!L$3,IF(A55=8,Pricing!M$3,IF(A55=9,Pricing!N$3,IF(A55=10,Pricing!O$3))))))))))</f>
        <v>145</v>
      </c>
      <c r="G55" s="397" t="s">
        <v>1285</v>
      </c>
      <c r="H55" s="2005"/>
      <c r="I55" s="2005"/>
      <c r="J55" s="1334"/>
      <c r="K55" s="1316" t="n">
        <f aca="false">IF(A55=1,AR$36,IF(A55=2,AS$36,IF(A55=3,AT$36,IF(A55=4,AU$36,IF(A55=5,AV$36,IF(A55=6,AW$36))))))+IF(A55=1,AH$36,IF(A55=2,AI$36,IF(A55=3,AJ$36,IF(A55=4,AK$36,IF(A55=5,AL$36,IF(A55=6,AM$36))))))</f>
        <v>0</v>
      </c>
      <c r="L55" s="1316"/>
      <c r="M55" s="1046" t="s">
        <v>1286</v>
      </c>
      <c r="N55" s="1332" t="n">
        <f aca="false">K55*F55*(IF(T$39="N",1+V$39,1))</f>
        <v>0</v>
      </c>
      <c r="O55" s="1332"/>
      <c r="P55" s="1306" t="s">
        <v>1069</v>
      </c>
      <c r="Q55" s="920" t="s">
        <v>534</v>
      </c>
      <c r="R55" s="78"/>
      <c r="S55" s="1311" t="n">
        <f aca="false">S52*0.2</f>
        <v>0</v>
      </c>
      <c r="T55" s="1312" t="s">
        <v>1704</v>
      </c>
      <c r="U55" s="1308" t="n">
        <f aca="false">Pricing!Q5</f>
        <v>1.4453125</v>
      </c>
      <c r="V55" s="78" t="s">
        <v>527</v>
      </c>
      <c r="W55" s="1309" t="n">
        <f aca="false">IF(T$39="Y",S55*U55,S55*U55*(1+V$39))</f>
        <v>0</v>
      </c>
      <c r="DB55" s="149" t="n">
        <v>6</v>
      </c>
      <c r="DC55" s="150" t="n">
        <v>5</v>
      </c>
      <c r="DD55" s="151" t="n">
        <v>2</v>
      </c>
      <c r="DE55" s="152" t="n">
        <f aca="false">DB55*(DC55*DC55*0.04180884375)*DD55</f>
        <v>12.542653125</v>
      </c>
    </row>
    <row r="56" s="1414" customFormat="true" ht="18" hidden="false" customHeight="true" outlineLevel="0" collapsed="false">
      <c r="A56" s="2009" t="str">
        <f aca="false">Summary!V60</f>
        <v>Import</v>
      </c>
      <c r="B56" s="1041" t="s">
        <v>1287</v>
      </c>
      <c r="C56" s="16"/>
      <c r="D56" s="16"/>
      <c r="E56" s="16"/>
      <c r="F56" s="1048" t="n">
        <f aca="false">Pricing!D23</f>
        <v>0.55</v>
      </c>
      <c r="G56" s="16" t="s">
        <v>555</v>
      </c>
      <c r="H56" s="1867"/>
      <c r="I56" s="1867"/>
      <c r="J56" s="1050" t="n">
        <v>0.1</v>
      </c>
      <c r="K56" s="1051" t="n">
        <f aca="false">U36</f>
        <v>0</v>
      </c>
      <c r="L56" s="1051"/>
      <c r="M56" s="16" t="s">
        <v>1288</v>
      </c>
      <c r="N56" s="1318" t="n">
        <f aca="false">F56*K56*(IF(T39="N",1+V39,1))</f>
        <v>0</v>
      </c>
      <c r="O56" s="1318"/>
      <c r="P56" s="1306" t="s">
        <v>1069</v>
      </c>
      <c r="Q56" s="920" t="s">
        <v>536</v>
      </c>
      <c r="R56" s="78"/>
      <c r="S56" s="1311" t="n">
        <v>0</v>
      </c>
      <c r="T56" s="1312" t="s">
        <v>1704</v>
      </c>
      <c r="U56" s="1308" t="n">
        <f aca="false">Pricing!Q6</f>
        <v>1.171875</v>
      </c>
      <c r="V56" s="78" t="s">
        <v>527</v>
      </c>
      <c r="W56" s="1309" t="n">
        <f aca="false">IF(T$39="Y",S56*U56,S56*U56*(1+V$39))</f>
        <v>0</v>
      </c>
      <c r="DB56" s="149"/>
      <c r="DC56" s="150"/>
      <c r="DD56" s="151"/>
      <c r="DE56" s="152" t="n">
        <f aca="false">DB56*(DC56*DC56*0.04180884375)*DD56</f>
        <v>0</v>
      </c>
    </row>
    <row r="57" s="1414" customFormat="true" ht="18" hidden="false" customHeight="true" outlineLevel="0" collapsed="false">
      <c r="A57" s="599"/>
      <c r="B57" s="1041"/>
      <c r="C57" s="16"/>
      <c r="D57" s="16"/>
      <c r="E57" s="16"/>
      <c r="F57" s="1319" t="n">
        <f aca="false">Pricing!F6</f>
        <v>0</v>
      </c>
      <c r="G57" s="16" t="s">
        <v>600</v>
      </c>
      <c r="H57" s="895"/>
      <c r="I57" s="895"/>
      <c r="J57" s="1321" t="n">
        <v>0.05</v>
      </c>
      <c r="K57" s="1310"/>
      <c r="L57" s="1310"/>
      <c r="M57" s="16" t="s">
        <v>1418</v>
      </c>
      <c r="N57" s="1305" t="n">
        <f aca="false">K57*F57*(IF(T39="N",1+V39,1))*(J57+1)</f>
        <v>0</v>
      </c>
      <c r="O57" s="1305"/>
      <c r="P57" s="1306" t="s">
        <v>1069</v>
      </c>
      <c r="Q57" s="920" t="s">
        <v>538</v>
      </c>
      <c r="R57" s="78"/>
      <c r="S57" s="1311" t="n">
        <f aca="false">E36*2*S51</f>
        <v>0</v>
      </c>
      <c r="T57" s="1312" t="s">
        <v>1704</v>
      </c>
      <c r="U57" s="1308" t="n">
        <f aca="false">Pricing!Q7</f>
        <v>1.09375</v>
      </c>
      <c r="V57" s="78" t="s">
        <v>527</v>
      </c>
      <c r="W57" s="1309" t="n">
        <f aca="false">IF(T$39="Y",S57*U57,S57*U57*(1+V$39))</f>
        <v>0</v>
      </c>
      <c r="DB57" s="1322"/>
      <c r="DC57" s="1323"/>
      <c r="DD57" s="1324"/>
      <c r="DE57" s="1325" t="n">
        <f aca="false">DB57*(DC57*DC57*0.04180884375)*DD57</f>
        <v>0</v>
      </c>
    </row>
    <row r="58" s="1414" customFormat="true" ht="18" hidden="false" customHeight="true" outlineLevel="0" collapsed="false">
      <c r="A58" s="599"/>
      <c r="B58" s="1044" t="s">
        <v>1419</v>
      </c>
      <c r="C58" s="397"/>
      <c r="D58" s="397"/>
      <c r="E58" s="397"/>
      <c r="F58" s="1315" t="n">
        <v>0.35</v>
      </c>
      <c r="G58" s="397" t="s">
        <v>600</v>
      </c>
      <c r="H58" s="1358" t="s">
        <v>1291</v>
      </c>
      <c r="I58" s="1054" t="n">
        <v>0</v>
      </c>
      <c r="J58" s="1054"/>
      <c r="K58" s="1316"/>
      <c r="L58" s="1316"/>
      <c r="M58" s="397" t="s">
        <v>1418</v>
      </c>
      <c r="N58" s="1326" t="n">
        <f aca="false">IF(L35="y",IF(I58=0,K58*F58,I58),0)*(IF(S$65="N",1+U$65,1))</f>
        <v>0</v>
      </c>
      <c r="O58" s="1326"/>
      <c r="P58" s="1306" t="s">
        <v>1069</v>
      </c>
      <c r="Q58" s="920" t="s">
        <v>540</v>
      </c>
      <c r="R58" s="78"/>
      <c r="S58" s="1311" t="n">
        <f aca="false">ROUNDUP(H67*2/32*S51*1.1,0)</f>
        <v>0</v>
      </c>
      <c r="T58" s="78" t="s">
        <v>1420</v>
      </c>
      <c r="U58" s="1308" t="n">
        <f aca="false">Pricing!Q8</f>
        <v>74.75</v>
      </c>
      <c r="V58" s="78" t="s">
        <v>541</v>
      </c>
      <c r="W58" s="1309" t="n">
        <f aca="false">IF(T$39="Y",S58*U58,S58*U58*(1+V$39))</f>
        <v>0</v>
      </c>
      <c r="DB58" s="149"/>
      <c r="DC58" s="150"/>
      <c r="DD58" s="151"/>
      <c r="DE58" s="152" t="n">
        <f aca="false">DB58*(DC58*DC58*0.04180884375)*DD58</f>
        <v>0</v>
      </c>
    </row>
    <row r="59" s="1414" customFormat="true" ht="18" hidden="false" customHeight="true" outlineLevel="0" collapsed="false">
      <c r="A59" s="1205"/>
      <c r="B59" s="15" t="s">
        <v>1421</v>
      </c>
      <c r="C59" s="16"/>
      <c r="D59" s="16"/>
      <c r="E59" s="16"/>
      <c r="F59" s="1328" t="n">
        <v>20</v>
      </c>
      <c r="G59" s="16" t="s">
        <v>1459</v>
      </c>
      <c r="H59" s="1329"/>
      <c r="I59" s="1329"/>
      <c r="J59" s="1334" t="n">
        <v>0.05</v>
      </c>
      <c r="K59" s="1051" t="n">
        <f aca="false">SUM(BH36)</f>
        <v>0</v>
      </c>
      <c r="L59" s="1051"/>
      <c r="M59" s="16" t="s">
        <v>1286</v>
      </c>
      <c r="N59" s="1318" t="n">
        <f aca="false">K59*F59*IF(Q29="N",1+T29,1)</f>
        <v>0</v>
      </c>
      <c r="O59" s="1318"/>
      <c r="P59" s="1306" t="s">
        <v>1069</v>
      </c>
      <c r="Q59" s="920" t="s">
        <v>1298</v>
      </c>
      <c r="R59" s="78"/>
      <c r="S59" s="1311" t="n">
        <f aca="false">ROUNDUP(E36*2/25,0)*S51</f>
        <v>0</v>
      </c>
      <c r="T59" s="78" t="s">
        <v>1705</v>
      </c>
      <c r="U59" s="1308" t="n">
        <f aca="false">Pricing!Q15</f>
        <v>24</v>
      </c>
      <c r="V59" s="78" t="s">
        <v>1300</v>
      </c>
      <c r="W59" s="1309" t="n">
        <f aca="false">IF(T$39="Y",S59*U59,S59*U59*(1+V$39))</f>
        <v>0</v>
      </c>
      <c r="DB59" s="149"/>
      <c r="DC59" s="150"/>
      <c r="DD59" s="151"/>
      <c r="DE59" s="152" t="n">
        <f aca="false">DB59*(DC59*DC59*0.04180884375)*DD59</f>
        <v>0</v>
      </c>
    </row>
    <row r="60" s="1414" customFormat="true" ht="18" hidden="false" customHeight="true" outlineLevel="0" collapsed="false">
      <c r="A60" s="599"/>
      <c r="B60" s="1081" t="s">
        <v>1424</v>
      </c>
      <c r="C60" s="397"/>
      <c r="D60" s="1330"/>
      <c r="E60" s="397"/>
      <c r="F60" s="1331" t="n">
        <v>38</v>
      </c>
      <c r="G60" s="397" t="s">
        <v>1285</v>
      </c>
      <c r="H60" s="1329"/>
      <c r="I60" s="1329"/>
      <c r="J60" s="1334"/>
      <c r="K60" s="1316"/>
      <c r="L60" s="1316"/>
      <c r="M60" s="397" t="s">
        <v>1418</v>
      </c>
      <c r="N60" s="1332" t="n">
        <f aca="false">K60*F60</f>
        <v>0</v>
      </c>
      <c r="O60" s="1332"/>
      <c r="P60" s="1306" t="s">
        <v>1069</v>
      </c>
      <c r="Q60" s="920" t="s">
        <v>561</v>
      </c>
      <c r="R60" s="78"/>
      <c r="S60" s="1311" t="n">
        <f aca="false">ROUNDUP(H67/1800,0)</f>
        <v>0</v>
      </c>
      <c r="T60" s="78" t="s">
        <v>1303</v>
      </c>
      <c r="U60" s="1308" t="n">
        <f aca="false">Pricing!Q16</f>
        <v>68.2</v>
      </c>
      <c r="V60" s="78" t="s">
        <v>562</v>
      </c>
      <c r="W60" s="1309" t="n">
        <f aca="false">IF(T$39="Y",S60*U60,S60*U60*(1+V$39))</f>
        <v>0</v>
      </c>
      <c r="DB60" s="149"/>
      <c r="DC60" s="150"/>
      <c r="DD60" s="151"/>
      <c r="DE60" s="152" t="n">
        <f aca="false">DB60*(DC60*DC60*0.04180884375)*DD60</f>
        <v>0</v>
      </c>
    </row>
    <row r="61" s="1414" customFormat="true" ht="18" hidden="false" customHeight="true" outlineLevel="0" collapsed="false">
      <c r="A61" s="599"/>
      <c r="B61" s="1041"/>
      <c r="C61" s="16"/>
      <c r="D61" s="833"/>
      <c r="E61" s="16"/>
      <c r="F61" s="2010" t="n">
        <v>0.17</v>
      </c>
      <c r="G61" s="16" t="s">
        <v>1426</v>
      </c>
      <c r="H61" s="1329"/>
      <c r="I61" s="1329"/>
      <c r="J61" s="1334" t="n">
        <v>0.1</v>
      </c>
      <c r="K61" s="1051"/>
      <c r="L61" s="1051"/>
      <c r="M61" s="16" t="s">
        <v>1418</v>
      </c>
      <c r="N61" s="2011" t="n">
        <f aca="false">F61*K61</f>
        <v>0</v>
      </c>
      <c r="O61" s="2011"/>
      <c r="P61" s="1306" t="s">
        <v>1069</v>
      </c>
      <c r="Q61" s="920" t="s">
        <v>563</v>
      </c>
      <c r="R61" s="78"/>
      <c r="S61" s="1311" t="n">
        <f aca="false">ROUNDUP(H67/1000,0)</f>
        <v>0</v>
      </c>
      <c r="T61" s="78" t="s">
        <v>1303</v>
      </c>
      <c r="U61" s="1308" t="n">
        <f aca="false">Pricing!Q17</f>
        <v>68.2</v>
      </c>
      <c r="V61" s="78" t="s">
        <v>562</v>
      </c>
      <c r="W61" s="1309" t="n">
        <f aca="false">IF(T$39="Y",S61*U61,S61*U61*(1+V$39))</f>
        <v>0</v>
      </c>
      <c r="DB61" s="1335"/>
      <c r="DC61" s="150"/>
      <c r="DD61" s="151"/>
      <c r="DE61" s="152" t="n">
        <f aca="false">DB61*(DC61*DC61*0.04180884375)*DD61</f>
        <v>0</v>
      </c>
    </row>
    <row r="62" s="1414" customFormat="true" ht="18" hidden="false" customHeight="true" outlineLevel="0" collapsed="false">
      <c r="A62" s="1041" t="s">
        <v>1706</v>
      </c>
      <c r="B62" s="15"/>
      <c r="C62" s="15"/>
      <c r="D62" s="833" t="s">
        <v>1428</v>
      </c>
      <c r="E62" s="1336" t="s">
        <v>1029</v>
      </c>
      <c r="F62" s="1337" t="n">
        <v>1.25</v>
      </c>
      <c r="G62" s="16" t="s">
        <v>600</v>
      </c>
      <c r="H62" s="1329"/>
      <c r="I62" s="1329"/>
      <c r="J62" s="1334"/>
      <c r="K62" s="1310" t="n">
        <f aca="false">IF(E62="Y",E36,0)*(1+J60)</f>
        <v>0</v>
      </c>
      <c r="L62" s="1310"/>
      <c r="M62" s="16" t="s">
        <v>1259</v>
      </c>
      <c r="N62" s="1309" t="n">
        <f aca="false">K62*F62</f>
        <v>0</v>
      </c>
      <c r="O62" s="1309"/>
      <c r="P62" s="1306" t="s">
        <v>1069</v>
      </c>
      <c r="Q62" s="920" t="s">
        <v>564</v>
      </c>
      <c r="R62" s="78"/>
      <c r="S62" s="1311" t="n">
        <f aca="false">S61</f>
        <v>0</v>
      </c>
      <c r="T62" s="78" t="s">
        <v>1303</v>
      </c>
      <c r="U62" s="1308" t="n">
        <f aca="false">Pricing!Q18</f>
        <v>68.2</v>
      </c>
      <c r="V62" s="78" t="s">
        <v>562</v>
      </c>
      <c r="W62" s="1309" t="n">
        <f aca="false">IF(T$39="Y",S62*U62,S62*U62*(1+V$39))</f>
        <v>0</v>
      </c>
      <c r="DB62" s="1322"/>
      <c r="DC62" s="1323"/>
      <c r="DD62" s="1324"/>
      <c r="DE62" s="1325" t="n">
        <f aca="false">DB62*(DC62*DC62*0.04180884375)*DD62</f>
        <v>0</v>
      </c>
    </row>
    <row r="63" s="1414" customFormat="true" ht="18" hidden="false" customHeight="true" outlineLevel="0" collapsed="false">
      <c r="A63" s="1081" t="s">
        <v>1707</v>
      </c>
      <c r="B63" s="1046"/>
      <c r="C63" s="1046"/>
      <c r="D63" s="1330" t="s">
        <v>1428</v>
      </c>
      <c r="E63" s="1338" t="s">
        <v>1029</v>
      </c>
      <c r="F63" s="1339" t="n">
        <v>1.8</v>
      </c>
      <c r="G63" s="397" t="s">
        <v>1430</v>
      </c>
      <c r="H63" s="1329"/>
      <c r="I63" s="1329"/>
      <c r="J63" s="1334"/>
      <c r="K63" s="1316" t="n">
        <f aca="false">IF(E63="Y",E36*2,0)*(1+J61)</f>
        <v>0</v>
      </c>
      <c r="L63" s="1316"/>
      <c r="M63" s="397" t="s">
        <v>1259</v>
      </c>
      <c r="N63" s="1326" t="n">
        <f aca="false">K63*F63</f>
        <v>0</v>
      </c>
      <c r="O63" s="1326"/>
      <c r="P63" s="1306" t="s">
        <v>1069</v>
      </c>
      <c r="Q63" s="920" t="s">
        <v>1310</v>
      </c>
      <c r="R63" s="78"/>
      <c r="S63" s="1311" t="n">
        <f aca="false">AL23*12/48/50</f>
        <v>0</v>
      </c>
      <c r="T63" s="78" t="s">
        <v>1303</v>
      </c>
      <c r="U63" s="1308" t="n">
        <f aca="false">Pricing!Q34</f>
        <v>45.24</v>
      </c>
      <c r="V63" s="78" t="s">
        <v>562</v>
      </c>
      <c r="W63" s="1309" t="n">
        <f aca="false">IF(T$39="Y",S63*U63,S63*U63*(1+V$39))</f>
        <v>0</v>
      </c>
    </row>
    <row r="64" s="1414" customFormat="true" ht="18" hidden="false" customHeight="true" outlineLevel="0" collapsed="false">
      <c r="A64" s="602"/>
      <c r="B64" s="602" t="s">
        <v>1431</v>
      </c>
      <c r="C64" s="1058"/>
      <c r="D64" s="1058"/>
      <c r="E64" s="1058"/>
      <c r="F64" s="2012" t="n">
        <v>3.75</v>
      </c>
      <c r="G64" s="1058" t="s">
        <v>1432</v>
      </c>
      <c r="H64" s="1341" t="s">
        <v>1708</v>
      </c>
      <c r="I64" s="1341"/>
      <c r="J64" s="1060"/>
      <c r="K64" s="1342" t="n">
        <f aca="false">H67</f>
        <v>0</v>
      </c>
      <c r="L64" s="2013"/>
      <c r="M64" s="1058" t="s">
        <v>1418</v>
      </c>
      <c r="N64" s="1343" t="n">
        <f aca="false">F64*J64*K64</f>
        <v>0</v>
      </c>
      <c r="O64" s="1343"/>
      <c r="P64" s="1306" t="s">
        <v>1069</v>
      </c>
      <c r="Q64" s="920" t="s">
        <v>571</v>
      </c>
      <c r="R64" s="78"/>
      <c r="S64" s="1311" t="n">
        <f aca="false">BN51+AD122</f>
        <v>0</v>
      </c>
      <c r="T64" s="1312" t="s">
        <v>1704</v>
      </c>
      <c r="U64" s="1308" t="n">
        <f aca="false">Pricing!Q19</f>
        <v>0.95</v>
      </c>
      <c r="V64" s="78" t="s">
        <v>527</v>
      </c>
      <c r="W64" s="1309" t="n">
        <f aca="false">IF(T$39="Y",S64*U64,S64*U64*(1+V$39))</f>
        <v>0</v>
      </c>
    </row>
    <row r="65" s="1414" customFormat="true" ht="18" hidden="false" customHeight="true" outlineLevel="0" collapsed="false">
      <c r="A65" s="1344" t="s">
        <v>1434</v>
      </c>
      <c r="B65" s="1345"/>
      <c r="C65" s="1345" t="s">
        <v>1296</v>
      </c>
      <c r="D65" s="1345"/>
      <c r="E65" s="1345"/>
      <c r="F65" s="2014"/>
      <c r="G65" s="1345"/>
      <c r="H65" s="1345"/>
      <c r="I65" s="1345"/>
      <c r="J65" s="1345"/>
      <c r="K65" s="1345" t="s">
        <v>973</v>
      </c>
      <c r="L65" s="1345"/>
      <c r="M65" s="1345" t="s">
        <v>1297</v>
      </c>
      <c r="N65" s="2015"/>
      <c r="O65" s="1203"/>
      <c r="P65" s="1306" t="s">
        <v>1069</v>
      </c>
      <c r="Q65" s="920" t="s">
        <v>576</v>
      </c>
      <c r="R65" s="78"/>
      <c r="S65" s="1311" t="n">
        <f aca="false">E36*2</f>
        <v>0</v>
      </c>
      <c r="T65" s="1312" t="s">
        <v>1704</v>
      </c>
      <c r="U65" s="1308" t="n">
        <f aca="false">Pricing!Q20</f>
        <v>0.25</v>
      </c>
      <c r="V65" s="78" t="s">
        <v>527</v>
      </c>
      <c r="W65" s="1309" t="n">
        <f aca="false">IF(T$39="Y",S65*U65,S65*U65*(1+V$39))</f>
        <v>0</v>
      </c>
    </row>
    <row r="66" s="1414" customFormat="true" ht="18" hidden="false" customHeight="true" outlineLevel="0" collapsed="false">
      <c r="A66" s="1794" t="s">
        <v>1709</v>
      </c>
      <c r="B66" s="1068"/>
      <c r="C66" s="1066" t="s">
        <v>1306</v>
      </c>
      <c r="D66" s="1067" t="n">
        <v>8</v>
      </c>
      <c r="E66" s="1067"/>
      <c r="F66" s="2016" t="s">
        <v>1618</v>
      </c>
      <c r="G66" s="1068"/>
      <c r="H66" s="1350" t="n">
        <f aca="false">BG36</f>
        <v>0</v>
      </c>
      <c r="I66" s="1350"/>
      <c r="J66" s="1068" t="s">
        <v>1418</v>
      </c>
      <c r="K66" s="1770" t="n">
        <f aca="false">IF(C66="N",D66*H66,0)</f>
        <v>0</v>
      </c>
      <c r="L66" s="1770"/>
      <c r="M66" s="175"/>
      <c r="N66" s="1369" t="n">
        <f aca="false">IF(C66="y",D66*H66,0)</f>
        <v>0</v>
      </c>
      <c r="O66" s="1369"/>
      <c r="P66" s="1306" t="s">
        <v>1069</v>
      </c>
      <c r="Q66" s="920" t="s">
        <v>583</v>
      </c>
      <c r="R66" s="78"/>
      <c r="S66" s="1311" t="n">
        <f aca="false">H67/2.25/50</f>
        <v>0</v>
      </c>
      <c r="T66" s="78" t="s">
        <v>584</v>
      </c>
      <c r="U66" s="1308" t="n">
        <f aca="false">Pricing!Q21</f>
        <v>45</v>
      </c>
      <c r="V66" s="78" t="s">
        <v>562</v>
      </c>
      <c r="W66" s="1309" t="n">
        <f aca="false">IF(T$39="Y",S66*U66,S66*U66*(1+V$39))</f>
        <v>0</v>
      </c>
    </row>
    <row r="67" s="1414" customFormat="true" ht="18" hidden="false" customHeight="true" outlineLevel="0" collapsed="false">
      <c r="A67" s="507" t="s">
        <v>1437</v>
      </c>
      <c r="B67" s="405"/>
      <c r="C67" s="1352" t="s">
        <v>1306</v>
      </c>
      <c r="D67" s="1075" t="n">
        <v>3.5</v>
      </c>
      <c r="E67" s="1075"/>
      <c r="F67" s="78" t="s">
        <v>1618</v>
      </c>
      <c r="G67" s="1353" t="n">
        <f aca="false">SUM(D67:E69)</f>
        <v>8</v>
      </c>
      <c r="H67" s="2017" t="n">
        <f aca="false">BF36</f>
        <v>0</v>
      </c>
      <c r="I67" s="2017"/>
      <c r="J67" s="16" t="s">
        <v>1439</v>
      </c>
      <c r="K67" s="1773" t="n">
        <f aca="false">IF(C67="N",D67*H$67,0)</f>
        <v>0</v>
      </c>
      <c r="L67" s="1773"/>
      <c r="N67" s="2018" t="n">
        <f aca="false">IF(C67="y",H$67*D67,0)</f>
        <v>0</v>
      </c>
      <c r="O67" s="2018"/>
      <c r="P67" s="1306" t="s">
        <v>1069</v>
      </c>
      <c r="Q67" s="920" t="s">
        <v>1710</v>
      </c>
      <c r="R67" s="78"/>
      <c r="S67" s="1311" t="n">
        <f aca="false">E36</f>
        <v>0</v>
      </c>
      <c r="T67" s="78" t="s">
        <v>1259</v>
      </c>
      <c r="U67" s="1308" t="n">
        <v>1</v>
      </c>
      <c r="V67" s="78" t="s">
        <v>1511</v>
      </c>
      <c r="W67" s="1309" t="n">
        <f aca="false">IF(T$39="Y",S67*U67,S67*U67*(1+V$39))</f>
        <v>0</v>
      </c>
    </row>
    <row r="68" s="1414" customFormat="true" ht="18" hidden="false" customHeight="true" outlineLevel="0" collapsed="false">
      <c r="A68" s="507" t="s">
        <v>1442</v>
      </c>
      <c r="B68" s="405"/>
      <c r="C68" s="1074" t="s">
        <v>1306</v>
      </c>
      <c r="D68" s="1075" t="n">
        <v>3.5</v>
      </c>
      <c r="E68" s="1075"/>
      <c r="F68" s="78" t="s">
        <v>1618</v>
      </c>
      <c r="G68" s="1353"/>
      <c r="H68" s="2017"/>
      <c r="I68" s="2017"/>
      <c r="J68" s="16" t="s">
        <v>1439</v>
      </c>
      <c r="K68" s="1773" t="n">
        <f aca="false">IF(C68="N",D68*H$67,0)</f>
        <v>0</v>
      </c>
      <c r="L68" s="1773"/>
      <c r="N68" s="1309" t="n">
        <f aca="false">IF(C68="y",H$67*D68,0)</f>
        <v>0</v>
      </c>
      <c r="O68" s="1309"/>
      <c r="P68" s="1306" t="s">
        <v>1069</v>
      </c>
      <c r="Q68" s="920" t="s">
        <v>1453</v>
      </c>
      <c r="R68" s="78"/>
      <c r="S68" s="1311" t="n">
        <v>0</v>
      </c>
      <c r="T68" s="78" t="s">
        <v>1711</v>
      </c>
      <c r="U68" s="1308" t="n">
        <f aca="false">Pricing!Q43</f>
        <v>105</v>
      </c>
      <c r="V68" s="78" t="s">
        <v>630</v>
      </c>
      <c r="W68" s="1309" t="n">
        <f aca="false">U68*S68</f>
        <v>0</v>
      </c>
    </row>
    <row r="69" s="1414" customFormat="true" ht="18" hidden="false" customHeight="true" outlineLevel="0" collapsed="false">
      <c r="A69" s="507" t="s">
        <v>1443</v>
      </c>
      <c r="B69" s="405"/>
      <c r="C69" s="1074" t="s">
        <v>1306</v>
      </c>
      <c r="D69" s="1075" t="n">
        <v>1</v>
      </c>
      <c r="E69" s="1075"/>
      <c r="F69" s="78" t="s">
        <v>1618</v>
      </c>
      <c r="G69" s="1353"/>
      <c r="H69" s="2017"/>
      <c r="I69" s="2017"/>
      <c r="J69" s="16" t="s">
        <v>1439</v>
      </c>
      <c r="K69" s="1773" t="n">
        <f aca="false">IF(C69="N",D69*H$67,0)</f>
        <v>0</v>
      </c>
      <c r="L69" s="1773"/>
      <c r="N69" s="2018" t="n">
        <f aca="false">IF(C69="y",H$67*D69,0)</f>
        <v>0</v>
      </c>
      <c r="O69" s="2018"/>
      <c r="P69" s="1306" t="s">
        <v>1069</v>
      </c>
      <c r="Q69" s="920" t="s">
        <v>1712</v>
      </c>
      <c r="R69" s="78"/>
      <c r="S69" s="1311" t="n">
        <f aca="false">I72</f>
        <v>0</v>
      </c>
      <c r="T69" s="78" t="s">
        <v>836</v>
      </c>
      <c r="U69" s="1308" t="n">
        <v>8.5</v>
      </c>
      <c r="V69" s="78"/>
      <c r="W69" s="1309" t="n">
        <f aca="false">U69*S69</f>
        <v>0</v>
      </c>
    </row>
    <row r="70" s="1414" customFormat="true" ht="18" hidden="false" customHeight="true" outlineLevel="0" collapsed="false">
      <c r="A70" s="507" t="s">
        <v>1444</v>
      </c>
      <c r="B70" s="405"/>
      <c r="C70" s="1074" t="s">
        <v>1306</v>
      </c>
      <c r="D70" s="1075" t="n">
        <v>0.25</v>
      </c>
      <c r="E70" s="1075"/>
      <c r="F70" s="78" t="s">
        <v>1618</v>
      </c>
      <c r="G70" s="16"/>
      <c r="H70" s="2017"/>
      <c r="I70" s="2017"/>
      <c r="J70" s="16" t="s">
        <v>1439</v>
      </c>
      <c r="K70" s="1773" t="n">
        <f aca="false">IF(C70="N",D70*H$67,0)</f>
        <v>0</v>
      </c>
      <c r="L70" s="1773"/>
      <c r="N70" s="1309" t="n">
        <f aca="false">IF(C70="y",H$67*D70,0)</f>
        <v>0</v>
      </c>
      <c r="O70" s="1309"/>
      <c r="P70" s="1306" t="s">
        <v>1713</v>
      </c>
      <c r="Q70" s="920" t="s">
        <v>1714</v>
      </c>
      <c r="R70" s="78"/>
      <c r="S70" s="1311"/>
      <c r="T70" s="78" t="s">
        <v>1454</v>
      </c>
      <c r="U70" s="1308" t="n">
        <v>500</v>
      </c>
      <c r="V70" s="78"/>
      <c r="W70" s="1309" t="n">
        <f aca="false">U70*S70</f>
        <v>0</v>
      </c>
    </row>
    <row r="71" s="1414" customFormat="true" ht="18" hidden="false" customHeight="true" outlineLevel="0" collapsed="false">
      <c r="A71" s="507" t="s">
        <v>1307</v>
      </c>
      <c r="B71" s="405"/>
      <c r="C71" s="1074" t="s">
        <v>1306</v>
      </c>
      <c r="D71" s="2019" t="n">
        <v>450</v>
      </c>
      <c r="E71" s="2019"/>
      <c r="F71" s="78" t="s">
        <v>1308</v>
      </c>
      <c r="G71" s="16"/>
      <c r="H71" s="1042"/>
      <c r="I71" s="1042" t="n">
        <f aca="false">(K56/2000)</f>
        <v>0</v>
      </c>
      <c r="J71" s="16" t="s">
        <v>1309</v>
      </c>
      <c r="K71" s="1773" t="n">
        <f aca="false">IF(C71="N",D71*I71,0)</f>
        <v>0</v>
      </c>
      <c r="L71" s="1773"/>
      <c r="N71" s="1309" t="n">
        <f aca="false">IF(C71="y",I71*D71,0)</f>
        <v>0</v>
      </c>
      <c r="O71" s="1309"/>
      <c r="P71" s="1306" t="s">
        <v>1069</v>
      </c>
      <c r="Q71" s="920"/>
      <c r="R71" s="78"/>
      <c r="S71" s="1311"/>
      <c r="T71" s="78" t="s">
        <v>1018</v>
      </c>
      <c r="U71" s="1308"/>
      <c r="V71" s="78"/>
      <c r="W71" s="1309" t="n">
        <f aca="false">U71*S71</f>
        <v>0</v>
      </c>
    </row>
    <row r="72" s="1414" customFormat="true" ht="18" hidden="false" customHeight="true" outlineLevel="0" collapsed="false">
      <c r="A72" s="507" t="s">
        <v>1715</v>
      </c>
      <c r="B72" s="405"/>
      <c r="C72" s="1074" t="s">
        <v>1306</v>
      </c>
      <c r="D72" s="1075" t="n">
        <v>10</v>
      </c>
      <c r="E72" s="1075"/>
      <c r="F72" s="78" t="s">
        <v>1338</v>
      </c>
      <c r="G72" s="16"/>
      <c r="H72" s="1042"/>
      <c r="I72" s="1042" t="n">
        <f aca="false">DI37</f>
        <v>0</v>
      </c>
      <c r="J72" s="16" t="s">
        <v>1259</v>
      </c>
      <c r="K72" s="1773" t="n">
        <f aca="false">IF(C72="N",D72*I72,0)</f>
        <v>0</v>
      </c>
      <c r="L72" s="1773"/>
      <c r="N72" s="1309" t="n">
        <f aca="false">IF(C72="y",I72*D72,0)</f>
        <v>0</v>
      </c>
      <c r="O72" s="1309"/>
      <c r="P72" s="1306" t="s">
        <v>1069</v>
      </c>
      <c r="Q72" s="920"/>
      <c r="R72" s="78"/>
      <c r="S72" s="1311"/>
      <c r="T72" s="78" t="s">
        <v>1018</v>
      </c>
      <c r="U72" s="1308"/>
      <c r="V72" s="78"/>
      <c r="W72" s="1309" t="n">
        <f aca="false">U72*S72</f>
        <v>0</v>
      </c>
    </row>
    <row r="73" s="1414" customFormat="true" ht="18" hidden="false" customHeight="true" outlineLevel="0" collapsed="false">
      <c r="A73" s="507" t="s">
        <v>1716</v>
      </c>
      <c r="B73" s="405"/>
      <c r="C73" s="1074" t="s">
        <v>1306</v>
      </c>
      <c r="D73" s="1075" t="n">
        <v>12</v>
      </c>
      <c r="E73" s="1075"/>
      <c r="F73" s="78" t="s">
        <v>1285</v>
      </c>
      <c r="G73" s="16"/>
      <c r="H73" s="1042"/>
      <c r="I73" s="1042" t="n">
        <f aca="false">SUM(DD10:DD35)</f>
        <v>0</v>
      </c>
      <c r="J73" s="16" t="s">
        <v>998</v>
      </c>
      <c r="K73" s="1773" t="n">
        <f aca="false">IF(C73="N",D73*I73,0)</f>
        <v>0</v>
      </c>
      <c r="L73" s="1773"/>
      <c r="N73" s="1309" t="n">
        <f aca="false">IF(C73="y",I73*D73,0)</f>
        <v>0</v>
      </c>
      <c r="O73" s="1309"/>
      <c r="P73" s="1306" t="s">
        <v>1069</v>
      </c>
      <c r="Q73" s="920"/>
      <c r="R73" s="78"/>
      <c r="S73" s="1311"/>
      <c r="T73" s="78"/>
      <c r="U73" s="1308"/>
      <c r="V73" s="78"/>
      <c r="W73" s="1309" t="n">
        <f aca="false">U73*S73</f>
        <v>0</v>
      </c>
    </row>
    <row r="74" s="1414" customFormat="true" ht="18" hidden="false" customHeight="true" outlineLevel="0" collapsed="false">
      <c r="A74" s="507" t="s">
        <v>1660</v>
      </c>
      <c r="B74" s="405"/>
      <c r="C74" s="1074" t="s">
        <v>1306</v>
      </c>
      <c r="D74" s="1075" t="n">
        <v>8</v>
      </c>
      <c r="E74" s="1075"/>
      <c r="F74" s="78" t="s">
        <v>1285</v>
      </c>
      <c r="G74" s="16"/>
      <c r="H74" s="1042"/>
      <c r="I74" s="1042" t="n">
        <f aca="false">SUM(DF10:DF35)</f>
        <v>0</v>
      </c>
      <c r="J74" s="16" t="s">
        <v>998</v>
      </c>
      <c r="K74" s="1773" t="n">
        <f aca="false">IF(C74="N",D74*I74,0)</f>
        <v>0</v>
      </c>
      <c r="L74" s="1773"/>
      <c r="N74" s="1309" t="n">
        <f aca="false">IF(C74="y",I74*D74,0)</f>
        <v>0</v>
      </c>
      <c r="O74" s="1309"/>
      <c r="P74" s="1306" t="s">
        <v>1069</v>
      </c>
      <c r="Q74" s="920"/>
      <c r="R74" s="78"/>
      <c r="S74" s="1311"/>
      <c r="T74" s="78"/>
      <c r="U74" s="1308"/>
      <c r="V74" s="78"/>
      <c r="W74" s="1309" t="n">
        <f aca="false">U74*S74</f>
        <v>0</v>
      </c>
    </row>
    <row r="75" s="1414" customFormat="true" ht="18" hidden="false" customHeight="true" outlineLevel="0" collapsed="false">
      <c r="A75" s="1747" t="s">
        <v>1313</v>
      </c>
      <c r="B75" s="1082"/>
      <c r="C75" s="1083" t="s">
        <v>1306</v>
      </c>
      <c r="D75" s="1084" t="n">
        <v>0</v>
      </c>
      <c r="E75" s="1084"/>
      <c r="F75" s="1358"/>
      <c r="G75" s="397"/>
      <c r="H75" s="1055"/>
      <c r="I75" s="1055"/>
      <c r="J75" s="397"/>
      <c r="K75" s="1789" t="n">
        <f aca="false">IF(C75="N",D75*I75,0)</f>
        <v>0</v>
      </c>
      <c r="L75" s="1789"/>
      <c r="M75" s="397"/>
      <c r="N75" s="1326" t="n">
        <f aca="false">IF(C75="y",D75,0)</f>
        <v>0</v>
      </c>
      <c r="O75" s="1326"/>
      <c r="P75" s="1306" t="s">
        <v>1069</v>
      </c>
      <c r="Q75" s="920"/>
      <c r="R75" s="78"/>
      <c r="S75" s="1311"/>
      <c r="T75" s="78"/>
      <c r="U75" s="1308"/>
      <c r="V75" s="78"/>
      <c r="W75" s="1309" t="n">
        <f aca="false">U75*S75</f>
        <v>0</v>
      </c>
    </row>
    <row r="76" s="1414" customFormat="true" ht="18" hidden="false" customHeight="true" outlineLevel="0" collapsed="false">
      <c r="A76" s="1087" t="s">
        <v>1447</v>
      </c>
      <c r="B76" s="1088"/>
      <c r="C76" s="1089"/>
      <c r="D76" s="1090" t="n">
        <f aca="false">IF(H67=0,0,(N76-N75+K76)/H67)</f>
        <v>0</v>
      </c>
      <c r="E76" s="2020"/>
      <c r="F76" s="855"/>
      <c r="G76" s="1058"/>
      <c r="H76" s="1088" t="s">
        <v>980</v>
      </c>
      <c r="I76" s="1088"/>
      <c r="J76" s="1088"/>
      <c r="K76" s="1791" t="n">
        <f aca="false">SUM(K66:L75)</f>
        <v>0</v>
      </c>
      <c r="L76" s="1791"/>
      <c r="M76" s="246"/>
      <c r="N76" s="736" t="n">
        <f aca="false">SUM(N66:O75)</f>
        <v>0</v>
      </c>
      <c r="O76" s="736"/>
      <c r="P76" s="1306" t="s">
        <v>1069</v>
      </c>
      <c r="Q76" s="1357"/>
      <c r="R76" s="1358"/>
      <c r="S76" s="1359"/>
      <c r="T76" s="2021"/>
      <c r="U76" s="1360"/>
      <c r="V76" s="1358"/>
      <c r="W76" s="1326" t="n">
        <f aca="false">U76*S76</f>
        <v>0</v>
      </c>
    </row>
    <row r="77" s="1414" customFormat="true" ht="18" hidden="false" customHeight="true" outlineLevel="0" collapsed="false">
      <c r="A77" s="2022" t="s">
        <v>1449</v>
      </c>
      <c r="B77" s="2022"/>
      <c r="C77" s="2022"/>
      <c r="D77" s="2022"/>
      <c r="E77" s="2022"/>
      <c r="F77" s="2022"/>
      <c r="G77" s="2022"/>
      <c r="H77" s="2022"/>
      <c r="I77" s="2022"/>
      <c r="J77" s="2022"/>
      <c r="K77" s="2022"/>
      <c r="L77" s="2022"/>
      <c r="M77" s="2022"/>
      <c r="N77" s="2022"/>
      <c r="O77" s="2022"/>
      <c r="P77" s="1306" t="s">
        <v>1448</v>
      </c>
      <c r="Q77" s="920" t="s">
        <v>601</v>
      </c>
      <c r="R77" s="78"/>
      <c r="S77" s="1311" t="n">
        <f aca="false">ROUNDUP(K64*0.55*S51,0)</f>
        <v>0</v>
      </c>
      <c r="T77" s="78" t="s">
        <v>1312</v>
      </c>
      <c r="U77" s="1308" t="n">
        <f aca="false">Pricing!Q26</f>
        <v>0.45</v>
      </c>
      <c r="V77" s="78" t="s">
        <v>595</v>
      </c>
      <c r="W77" s="1309" t="n">
        <f aca="false">S77*U77</f>
        <v>0</v>
      </c>
    </row>
    <row r="78" s="1414" customFormat="true" ht="18" hidden="false" customHeight="true" outlineLevel="0" collapsed="false">
      <c r="A78" s="1794" t="s">
        <v>1316</v>
      </c>
      <c r="B78" s="2016"/>
      <c r="C78" s="1097"/>
      <c r="D78" s="1098"/>
      <c r="E78" s="2016" t="s">
        <v>1317</v>
      </c>
      <c r="F78" s="2023" t="n">
        <v>425</v>
      </c>
      <c r="G78" s="2024" t="s">
        <v>1450</v>
      </c>
      <c r="H78" s="1068"/>
      <c r="I78" s="1068"/>
      <c r="J78" s="1068"/>
      <c r="K78" s="1068"/>
      <c r="L78" s="1101" t="n">
        <f aca="false">IF(D40=0,0,(SUM(N78:O81))/D40)</f>
        <v>0</v>
      </c>
      <c r="M78" s="1101"/>
      <c r="N78" s="2025" t="n">
        <f aca="false">D78*F78</f>
        <v>0</v>
      </c>
      <c r="O78" s="2025"/>
      <c r="P78" s="1306" t="n">
        <v>39</v>
      </c>
      <c r="Q78" s="920" t="s">
        <v>604</v>
      </c>
      <c r="R78" s="78"/>
      <c r="S78" s="1311" t="n">
        <f aca="false">E36/4</f>
        <v>0</v>
      </c>
      <c r="T78" s="78" t="s">
        <v>1312</v>
      </c>
      <c r="U78" s="1308" t="n">
        <f aca="false">Pricing!Q27</f>
        <v>0.75</v>
      </c>
      <c r="V78" s="78" t="s">
        <v>1312</v>
      </c>
      <c r="W78" s="1309" t="n">
        <f aca="false">S78*U78</f>
        <v>0</v>
      </c>
    </row>
    <row r="79" s="1414" customFormat="true" ht="18" hidden="false" customHeight="true" outlineLevel="0" collapsed="false">
      <c r="A79" s="507" t="s">
        <v>1318</v>
      </c>
      <c r="B79" s="78"/>
      <c r="C79" s="78"/>
      <c r="D79" s="1103" t="n">
        <f aca="false">D78</f>
        <v>0</v>
      </c>
      <c r="E79" s="2026" t="s">
        <v>1317</v>
      </c>
      <c r="F79" s="2027" t="n">
        <v>250</v>
      </c>
      <c r="G79" s="2028" t="s">
        <v>1450</v>
      </c>
      <c r="H79" s="16"/>
      <c r="I79" s="16"/>
      <c r="J79" s="16"/>
      <c r="K79" s="16"/>
      <c r="L79" s="2029" t="n">
        <f aca="false">SUM(N78:O80)</f>
        <v>0</v>
      </c>
      <c r="M79" s="2029"/>
      <c r="N79" s="2030" t="n">
        <f aca="false">D79*F79</f>
        <v>0</v>
      </c>
      <c r="O79" s="2030"/>
      <c r="P79" s="1306" t="s">
        <v>1451</v>
      </c>
      <c r="Q79" s="920" t="s">
        <v>1657</v>
      </c>
      <c r="R79" s="78"/>
      <c r="S79" s="1311" t="n">
        <f aca="false">H67/350</f>
        <v>0</v>
      </c>
      <c r="T79" s="78" t="s">
        <v>1452</v>
      </c>
      <c r="U79" s="1308" t="n">
        <f aca="false">Pricing!Q28</f>
        <v>45</v>
      </c>
      <c r="V79" s="78" t="s">
        <v>607</v>
      </c>
      <c r="W79" s="1309" t="n">
        <f aca="false">S79*U79</f>
        <v>0</v>
      </c>
    </row>
    <row r="80" s="1414" customFormat="true" ht="18" hidden="false" customHeight="true" outlineLevel="0" collapsed="false">
      <c r="A80" s="78" t="s">
        <v>1320</v>
      </c>
      <c r="B80" s="78"/>
      <c r="C80" s="78"/>
      <c r="D80" s="2031" t="n">
        <f aca="false">IF(D77=0,D78,D77)</f>
        <v>0</v>
      </c>
      <c r="E80" s="78"/>
      <c r="F80" s="2032" t="n">
        <v>100</v>
      </c>
      <c r="G80" s="78"/>
      <c r="H80" s="16"/>
      <c r="I80" s="16"/>
      <c r="J80" s="16"/>
      <c r="K80" s="16"/>
      <c r="L80" s="2033"/>
      <c r="M80" s="2033"/>
      <c r="N80" s="2030" t="n">
        <f aca="false">D80*F80</f>
        <v>0</v>
      </c>
      <c r="O80" s="2030"/>
      <c r="P80" s="1306"/>
      <c r="Q80" s="920"/>
      <c r="R80" s="78"/>
      <c r="S80" s="1311"/>
      <c r="T80" s="78"/>
      <c r="U80" s="1308"/>
      <c r="V80" s="78"/>
      <c r="W80" s="1309" t="n">
        <f aca="false">S80*U80</f>
        <v>0</v>
      </c>
    </row>
    <row r="81" s="1414" customFormat="true" ht="18" hidden="false" customHeight="true" outlineLevel="0" collapsed="false">
      <c r="A81" s="1798" t="s">
        <v>1320</v>
      </c>
      <c r="B81" s="1826"/>
      <c r="C81" s="1826"/>
      <c r="D81" s="1110" t="n">
        <f aca="false">IF(D78=0,D79,D78)</f>
        <v>0</v>
      </c>
      <c r="E81" s="1826" t="s">
        <v>1317</v>
      </c>
      <c r="F81" s="2034" t="n">
        <v>200</v>
      </c>
      <c r="G81" s="1826" t="s">
        <v>1450</v>
      </c>
      <c r="H81" s="1058"/>
      <c r="I81" s="1058"/>
      <c r="J81" s="1058"/>
      <c r="K81" s="1058"/>
      <c r="L81" s="1372" t="n">
        <f aca="false">IF(D40=0,0,N81/D40)</f>
        <v>0</v>
      </c>
      <c r="M81" s="1372"/>
      <c r="N81" s="730" t="n">
        <f aca="false">D81*F81</f>
        <v>0</v>
      </c>
      <c r="O81" s="730"/>
      <c r="P81" s="1306" t="s">
        <v>1069</v>
      </c>
      <c r="Q81" s="920" t="s">
        <v>1717</v>
      </c>
      <c r="R81" s="78"/>
      <c r="S81" s="1311" t="n">
        <f aca="false">H67/30</f>
        <v>0</v>
      </c>
      <c r="T81" s="78" t="s">
        <v>1312</v>
      </c>
      <c r="U81" s="1308" t="n">
        <v>15</v>
      </c>
      <c r="V81" s="78" t="s">
        <v>595</v>
      </c>
      <c r="W81" s="1309" t="n">
        <f aca="false">S81*U81</f>
        <v>0</v>
      </c>
    </row>
    <row r="82" s="1414" customFormat="true" ht="18" hidden="false" customHeight="true" outlineLevel="0" collapsed="false">
      <c r="A82" s="2022" t="s">
        <v>1325</v>
      </c>
      <c r="B82" s="2022"/>
      <c r="C82" s="2022"/>
      <c r="D82" s="2022"/>
      <c r="E82" s="2022"/>
      <c r="F82" s="2022"/>
      <c r="G82" s="2022"/>
      <c r="H82" s="2022"/>
      <c r="I82" s="2022"/>
      <c r="J82" s="2022"/>
      <c r="K82" s="2022"/>
      <c r="L82" s="2022"/>
      <c r="M82" s="2022"/>
      <c r="N82" s="2022"/>
      <c r="O82" s="2022"/>
      <c r="P82" s="1306" t="s">
        <v>1069</v>
      </c>
      <c r="Q82" s="1044" t="s">
        <v>1643</v>
      </c>
      <c r="R82" s="397"/>
      <c r="S82" s="2035" t="n">
        <f aca="false">SUM(K51:L55)/300</f>
        <v>0</v>
      </c>
      <c r="T82" s="397" t="s">
        <v>1323</v>
      </c>
      <c r="U82" s="1108" t="n">
        <v>250</v>
      </c>
      <c r="V82" s="397" t="s">
        <v>1324</v>
      </c>
      <c r="W82" s="1326" t="n">
        <f aca="false">S82*U82</f>
        <v>0</v>
      </c>
    </row>
    <row r="83" s="1414" customFormat="true" ht="18" hidden="false" customHeight="true" outlineLevel="0" collapsed="false">
      <c r="A83" s="1794" t="s">
        <v>1326</v>
      </c>
      <c r="B83" s="1799"/>
      <c r="C83" s="1800"/>
      <c r="D83" s="1098" t="n">
        <f aca="false">D84</f>
        <v>0</v>
      </c>
      <c r="E83" s="2016" t="s">
        <v>1327</v>
      </c>
      <c r="F83" s="2023" t="n">
        <f aca="false">Pricing!D32</f>
        <v>425</v>
      </c>
      <c r="G83" s="2016" t="s">
        <v>1450</v>
      </c>
      <c r="H83" s="1068"/>
      <c r="I83" s="1068"/>
      <c r="J83" s="1068"/>
      <c r="K83" s="1068"/>
      <c r="L83" s="1068"/>
      <c r="M83" s="1068"/>
      <c r="N83" s="1369" t="n">
        <f aca="false">(IF(AND(D83&gt;0,D83&lt;4),D83*F83,0)+IF(AND(D83&gt;3,D83&lt;8),F83*3,0)+IF(AND(D83&gt;7,D83&lt;21),D83/7*F83*3,0)+IF(AND(D83&gt;20,D83&lt;30),F83*9,0)+IF(D83&gt;29,D83/30*F83*9,0))*(1+V$39+I$85)</f>
        <v>0</v>
      </c>
      <c r="O83" s="1369"/>
      <c r="P83" s="1306" t="s">
        <v>1073</v>
      </c>
      <c r="Q83" s="920" t="s">
        <v>618</v>
      </c>
      <c r="R83" s="78"/>
      <c r="S83" s="1311"/>
      <c r="T83" s="78" t="s">
        <v>1452</v>
      </c>
      <c r="U83" s="1308" t="n">
        <f aca="false">Pricing!Q31</f>
        <v>27</v>
      </c>
      <c r="V83" s="78" t="s">
        <v>607</v>
      </c>
      <c r="W83" s="1309" t="n">
        <f aca="false">S83*U83</f>
        <v>0</v>
      </c>
    </row>
    <row r="84" s="1414" customFormat="true" ht="18" hidden="false" customHeight="true" outlineLevel="0" collapsed="false">
      <c r="A84" s="507" t="s">
        <v>622</v>
      </c>
      <c r="B84" s="1312"/>
      <c r="C84" s="1801"/>
      <c r="D84"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1327</v>
      </c>
      <c r="F84" s="2023" t="n">
        <f aca="false">Pricing!D33</f>
        <v>475</v>
      </c>
      <c r="G84" s="78" t="s">
        <v>1450</v>
      </c>
      <c r="H84" s="16"/>
      <c r="I84" s="1118" t="s">
        <v>1329</v>
      </c>
      <c r="J84" s="1118"/>
      <c r="K84" s="16"/>
      <c r="L84" s="1119" t="n">
        <f aca="false">IF(D40=0,0,(SUM(N83:O88))/D40)</f>
        <v>0</v>
      </c>
      <c r="M84" s="1119"/>
      <c r="N84" s="2030" t="n">
        <f aca="false">(IF(AND(D84&gt;0,D84&lt;4),D84*F84,0)+IF(AND(D84&gt;3,D84&lt;8),F84*3,0)+IF(AND(D84&gt;7,D84&lt;21),D84/7*F84*3,0)+IF(AND(D84&gt;20,D84&lt;30),F84*9,0)+IF(D84&gt;29,D84/30*F84*9,0))*(1+V$39+I$85)</f>
        <v>0</v>
      </c>
      <c r="O84" s="2030"/>
      <c r="P84" s="1306" t="s">
        <v>1073</v>
      </c>
      <c r="Q84" s="920" t="s">
        <v>1457</v>
      </c>
      <c r="R84" s="78"/>
      <c r="S84" s="1311" t="n">
        <v>0</v>
      </c>
      <c r="T84" s="78" t="s">
        <v>1511</v>
      </c>
      <c r="U84" s="1308" t="n">
        <f aca="false">Pricing!Q32</f>
        <v>1.25</v>
      </c>
      <c r="V84" s="78" t="s">
        <v>1417</v>
      </c>
      <c r="W84" s="1309" t="n">
        <f aca="false">U84*S84</f>
        <v>0</v>
      </c>
    </row>
    <row r="85" s="1414" customFormat="true" ht="18" hidden="false" customHeight="true" outlineLevel="0" collapsed="false">
      <c r="A85" s="507" t="s">
        <v>626</v>
      </c>
      <c r="B85" s="1312"/>
      <c r="C85" s="1801"/>
      <c r="D85"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1327</v>
      </c>
      <c r="F85" s="2027" t="n">
        <v>275</v>
      </c>
      <c r="G85" s="78" t="s">
        <v>1450</v>
      </c>
      <c r="H85" s="16"/>
      <c r="I85" s="2036" t="n">
        <v>0.5</v>
      </c>
      <c r="J85" s="2036"/>
      <c r="K85" s="16"/>
      <c r="L85" s="2029" t="n">
        <f aca="false">SUM(N83:O88)</f>
        <v>0</v>
      </c>
      <c r="M85" s="2029"/>
      <c r="N85" s="2030" t="n">
        <f aca="false">(IF(AND(D85&gt;0,D85&lt;4),D85*F85,0)+IF(AND(D85&gt;3,D85&lt;8),F85*3,0)+IF(AND(D85&gt;7,D85&lt;21),D85/7*F85*3,0)+IF(AND(D85&gt;20,D85&lt;30),F85*9,0)+IF(D85&gt;29,D85/30*F85*9,0))*(1+V$39+I$85)</f>
        <v>0</v>
      </c>
      <c r="O85" s="2030"/>
      <c r="P85" s="1306" t="s">
        <v>1073</v>
      </c>
      <c r="Q85" s="1357" t="s">
        <v>554</v>
      </c>
      <c r="R85" s="1358"/>
      <c r="S85" s="1359" t="n">
        <f aca="false">K56</f>
        <v>0</v>
      </c>
      <c r="T85" s="1358" t="s">
        <v>1288</v>
      </c>
      <c r="U85" s="1360" t="n">
        <v>0.04</v>
      </c>
      <c r="V85" s="1358" t="s">
        <v>555</v>
      </c>
      <c r="W85" s="1326" t="n">
        <f aca="false">U85*S85</f>
        <v>0</v>
      </c>
    </row>
    <row r="86" s="1414" customFormat="true" ht="18" hidden="false" customHeight="true" outlineLevel="0" collapsed="false">
      <c r="A86" s="507" t="s">
        <v>1332</v>
      </c>
      <c r="B86" s="1312"/>
      <c r="C86" s="1801"/>
      <c r="D86"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1327</v>
      </c>
      <c r="F86" s="2027" t="n">
        <f aca="false">Pricing!D39</f>
        <v>100</v>
      </c>
      <c r="G86" s="78" t="s">
        <v>1450</v>
      </c>
      <c r="H86" s="16"/>
      <c r="I86" s="2036"/>
      <c r="J86" s="2036"/>
      <c r="K86" s="16"/>
      <c r="L86" s="16"/>
      <c r="M86" s="16"/>
      <c r="N86" s="1309" t="n">
        <f aca="false">(IF(AND(D86&gt;0,D86&lt;4),D86*F86,0)+IF(AND(D86&gt;3,D86&lt;8),F86*3,0)+IF(AND(D86&gt;7,D86&lt;21),D86/7*F86*3,0)+IF(AND(D86&gt;20,D86&lt;30),F86*9,0)+IF(D86&gt;29,D86/30*F86*9,0))*(1+V$39+I$85)</f>
        <v>0</v>
      </c>
      <c r="O86" s="1309"/>
      <c r="P86" s="1306" t="s">
        <v>1078</v>
      </c>
      <c r="Q86" s="920" t="s">
        <v>1105</v>
      </c>
      <c r="R86" s="78"/>
      <c r="S86" s="1311"/>
      <c r="T86" s="78"/>
      <c r="U86" s="1308"/>
      <c r="V86" s="78"/>
      <c r="W86" s="1309" t="n">
        <v>0</v>
      </c>
    </row>
    <row r="87" s="1414" customFormat="true" ht="18" hidden="false" customHeight="true" outlineLevel="0" collapsed="false">
      <c r="A87" s="507" t="s">
        <v>1333</v>
      </c>
      <c r="B87" s="1312"/>
      <c r="C87" s="1801"/>
      <c r="D87"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1327</v>
      </c>
      <c r="F87" s="2027" t="n">
        <v>50</v>
      </c>
      <c r="G87" s="78" t="s">
        <v>1450</v>
      </c>
      <c r="H87" s="16"/>
      <c r="I87" s="16"/>
      <c r="J87" s="16"/>
      <c r="K87" s="16"/>
      <c r="L87" s="16"/>
      <c r="M87" s="16"/>
      <c r="N87" s="1309" t="n">
        <f aca="false">(IF(AND(D87&gt;0,D87&lt;4),D87*F87,0)+IF(AND(D87&gt;3,D87&lt;8),F87*3,0)+IF(AND(D87&gt;7,D87&lt;21),D87/7*F87*3,0)+IF(AND(D87&gt;20,D87&lt;30),F87*9,0)+IF(D87&gt;29,D87/30*F87*9,0))*(1+V$39+I$85)</f>
        <v>0</v>
      </c>
      <c r="O87" s="1309"/>
      <c r="P87" s="1306" t="s">
        <v>1328</v>
      </c>
      <c r="Q87" s="920" t="s">
        <v>1105</v>
      </c>
      <c r="R87" s="78"/>
      <c r="S87" s="1311"/>
      <c r="T87" s="78"/>
      <c r="U87" s="1308"/>
      <c r="V87" s="78"/>
      <c r="W87" s="1309" t="n">
        <v>0</v>
      </c>
    </row>
    <row r="88" s="1414" customFormat="true" ht="18" hidden="false" customHeight="true" outlineLevel="0" collapsed="false">
      <c r="A88" s="1798" t="s">
        <v>1067</v>
      </c>
      <c r="B88" s="1804"/>
      <c r="C88" s="1805"/>
      <c r="D88" s="2037"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826" t="s">
        <v>1327</v>
      </c>
      <c r="F88" s="2034" t="n">
        <v>35</v>
      </c>
      <c r="G88" s="1826" t="s">
        <v>1450</v>
      </c>
      <c r="H88" s="1058"/>
      <c r="I88" s="1058"/>
      <c r="J88" s="1058"/>
      <c r="K88" s="1058"/>
      <c r="L88" s="1127"/>
      <c r="M88" s="1058"/>
      <c r="N88" s="730" t="n">
        <f aca="false">(IF(AND(D88&gt;0,D88&lt;4),D88*F88,0)+IF(AND(D88&gt;3,D88&lt;8),F88*3,0)+IF(AND(D88&gt;7,D88&lt;21),D88/7*F88*3,0)+IF(AND(D88&gt;20,D88&lt;30),F88*9,0)+IF(D88&gt;29,D88/30*F88*9,0))</f>
        <v>0</v>
      </c>
      <c r="O88" s="730"/>
      <c r="P88" s="1306" t="s">
        <v>1330</v>
      </c>
      <c r="Q88" s="1357" t="s">
        <v>1108</v>
      </c>
      <c r="R88" s="1358"/>
      <c r="S88" s="1359"/>
      <c r="T88" s="1358"/>
      <c r="U88" s="1360"/>
      <c r="V88" s="1358"/>
      <c r="W88" s="1326" t="n">
        <v>0</v>
      </c>
    </row>
    <row r="89" s="1414" customFormat="true" ht="18" hidden="false" customHeight="true" outlineLevel="0" collapsed="false">
      <c r="A89" s="2022" t="s">
        <v>1336</v>
      </c>
      <c r="B89" s="2022"/>
      <c r="C89" s="2022"/>
      <c r="D89" s="2022"/>
      <c r="E89" s="2022"/>
      <c r="F89" s="2022"/>
      <c r="G89" s="2022"/>
      <c r="H89" s="2022"/>
      <c r="I89" s="2022"/>
      <c r="J89" s="2022"/>
      <c r="K89" s="2022"/>
      <c r="L89" s="2022"/>
      <c r="M89" s="2022"/>
      <c r="N89" s="2022"/>
      <c r="O89" s="2022"/>
      <c r="P89" s="1306" t="s">
        <v>1342</v>
      </c>
      <c r="Q89" s="599"/>
      <c r="R89" s="16"/>
      <c r="S89" s="1037"/>
      <c r="T89" s="16"/>
      <c r="U89" s="922"/>
      <c r="V89" s="16"/>
      <c r="W89" s="2011"/>
    </row>
    <row r="90" s="1414" customFormat="true" ht="18" hidden="false" customHeight="true" outlineLevel="0" collapsed="false">
      <c r="A90" s="1794" t="s">
        <v>1458</v>
      </c>
      <c r="B90" s="2038"/>
      <c r="C90" s="2039"/>
      <c r="D90" s="2040" t="n">
        <f aca="false">W36</f>
        <v>0</v>
      </c>
      <c r="E90" s="1800" t="s">
        <v>998</v>
      </c>
      <c r="F90" s="1383" t="n">
        <v>10</v>
      </c>
      <c r="G90" s="2016" t="s">
        <v>1285</v>
      </c>
      <c r="H90" s="1068"/>
      <c r="I90" s="1068"/>
      <c r="J90" s="1068"/>
      <c r="K90" s="1068"/>
      <c r="L90" s="1068"/>
      <c r="M90" s="1068"/>
      <c r="N90" s="1369" t="n">
        <f aca="false">D90*F90</f>
        <v>0</v>
      </c>
      <c r="O90" s="1369"/>
      <c r="P90" s="1306" t="s">
        <v>1342</v>
      </c>
      <c r="Q90" s="599" t="s">
        <v>646</v>
      </c>
      <c r="R90" s="16"/>
      <c r="S90" s="1037" t="n">
        <f aca="false">ROUNDUP(H67/300/55,0)</f>
        <v>0</v>
      </c>
      <c r="T90" s="16" t="s">
        <v>1720</v>
      </c>
      <c r="U90" s="922" t="n">
        <f aca="false">Pricing!Q44</f>
        <v>567.5</v>
      </c>
      <c r="V90" s="16" t="s">
        <v>647</v>
      </c>
      <c r="W90" s="1309" t="n">
        <f aca="false">U90*S90</f>
        <v>0</v>
      </c>
    </row>
    <row r="91" s="1414" customFormat="true" ht="18" hidden="false" customHeight="true" outlineLevel="0" collapsed="false">
      <c r="A91" s="507" t="s">
        <v>1721</v>
      </c>
      <c r="B91" s="528"/>
      <c r="C91" s="895"/>
      <c r="D91" s="2041" t="n">
        <f aca="false">DH36</f>
        <v>0</v>
      </c>
      <c r="E91" s="78" t="s">
        <v>1418</v>
      </c>
      <c r="F91" s="1337" t="n">
        <v>5.25</v>
      </c>
      <c r="G91" s="78" t="s">
        <v>600</v>
      </c>
      <c r="H91" s="16"/>
      <c r="I91" s="16"/>
      <c r="J91" s="16"/>
      <c r="K91" s="16"/>
      <c r="L91" s="16"/>
      <c r="M91" s="16"/>
      <c r="N91" s="1309" t="n">
        <f aca="false">D91*F91</f>
        <v>0</v>
      </c>
      <c r="O91" s="1309"/>
      <c r="P91" s="1306" t="s">
        <v>1342</v>
      </c>
      <c r="Q91" s="1044" t="s">
        <v>649</v>
      </c>
      <c r="R91" s="397"/>
      <c r="S91" s="1107" t="n">
        <f aca="false">BN66</f>
        <v>0</v>
      </c>
      <c r="T91" s="397" t="s">
        <v>1720</v>
      </c>
      <c r="U91" s="1108" t="n">
        <f aca="false">Pricing!Q45</f>
        <v>542</v>
      </c>
      <c r="V91" s="397" t="s">
        <v>647</v>
      </c>
      <c r="W91" s="1326" t="n">
        <f aca="false">U91*S91</f>
        <v>0</v>
      </c>
    </row>
    <row r="92" s="1414" customFormat="true" ht="18" hidden="false" customHeight="true" outlineLevel="0" collapsed="false">
      <c r="A92" s="507" t="s">
        <v>1462</v>
      </c>
      <c r="B92" s="528"/>
      <c r="C92" s="895"/>
      <c r="D92" s="2041"/>
      <c r="E92" s="2026" t="s">
        <v>1341</v>
      </c>
      <c r="F92" s="1337" t="n">
        <v>0.25</v>
      </c>
      <c r="G92" s="78" t="s">
        <v>1341</v>
      </c>
      <c r="H92" s="16"/>
      <c r="I92" s="16"/>
      <c r="J92" s="16"/>
      <c r="K92" s="16"/>
      <c r="L92" s="16"/>
      <c r="M92" s="16"/>
      <c r="N92" s="1309" t="n">
        <f aca="false">D92*F92</f>
        <v>0</v>
      </c>
      <c r="O92" s="1309"/>
      <c r="P92" s="1306"/>
      <c r="Q92" s="599"/>
      <c r="R92" s="16"/>
      <c r="S92" s="16"/>
      <c r="T92" s="16"/>
      <c r="U92" s="905"/>
      <c r="V92" s="16"/>
      <c r="W92" s="1146"/>
    </row>
    <row r="93" s="1414" customFormat="true" ht="18" hidden="false" customHeight="true" outlineLevel="0" collapsed="false">
      <c r="A93" s="2042" t="s">
        <v>1067</v>
      </c>
      <c r="B93" s="2043"/>
      <c r="C93" s="2044"/>
      <c r="D93" s="2045"/>
      <c r="E93" s="2046" t="s">
        <v>1000</v>
      </c>
      <c r="F93" s="2047" t="n">
        <v>1000</v>
      </c>
      <c r="G93" s="2048" t="s">
        <v>1624</v>
      </c>
      <c r="H93" s="16"/>
      <c r="I93" s="16"/>
      <c r="J93" s="16"/>
      <c r="K93" s="16"/>
      <c r="L93" s="16"/>
      <c r="M93" s="170"/>
      <c r="N93" s="1309" t="n">
        <f aca="false">D93*F93</f>
        <v>0</v>
      </c>
      <c r="O93" s="1309"/>
      <c r="P93" s="1306"/>
      <c r="Q93" s="1151" t="s">
        <v>1349</v>
      </c>
      <c r="R93" s="5"/>
      <c r="S93" s="994" t="n">
        <v>18</v>
      </c>
      <c r="T93" s="994" t="s">
        <v>1350</v>
      </c>
      <c r="U93" s="16"/>
      <c r="V93" s="16"/>
      <c r="W93" s="1152"/>
    </row>
    <row r="94" s="1414" customFormat="true" ht="18" hidden="false" customHeight="true" outlineLevel="0" collapsed="false">
      <c r="A94" s="507" t="s">
        <v>1234</v>
      </c>
      <c r="B94" s="528"/>
      <c r="C94" s="895"/>
      <c r="D94" s="2041"/>
      <c r="E94" s="1308" t="s">
        <v>1285</v>
      </c>
      <c r="F94" s="1337" t="n">
        <v>6</v>
      </c>
      <c r="G94" s="78" t="s">
        <v>1285</v>
      </c>
      <c r="H94" s="16"/>
      <c r="I94" s="16"/>
      <c r="J94" s="16"/>
      <c r="K94" s="16"/>
      <c r="L94" s="16"/>
      <c r="M94" s="170"/>
      <c r="N94" s="1309" t="n">
        <f aca="false">D94*F94</f>
        <v>0</v>
      </c>
      <c r="O94" s="1309"/>
      <c r="P94" s="1306" t="s">
        <v>1072</v>
      </c>
      <c r="Q94" s="602" t="s">
        <v>1353</v>
      </c>
      <c r="R94" s="1058"/>
      <c r="S94" s="1058" t="n">
        <f aca="false">S64*12/S93</f>
        <v>0</v>
      </c>
      <c r="T94" s="1058" t="s">
        <v>1354</v>
      </c>
      <c r="U94" s="1162" t="n">
        <f aca="false">Pricing!D30</f>
        <v>1</v>
      </c>
      <c r="V94" s="1162"/>
      <c r="W94" s="2049" t="n">
        <f aca="false">U94*S94</f>
        <v>0</v>
      </c>
    </row>
    <row r="95" s="1414" customFormat="true" ht="18" hidden="false" customHeight="true" outlineLevel="0" collapsed="false">
      <c r="A95" s="1798" t="s">
        <v>1346</v>
      </c>
      <c r="B95" s="1605"/>
      <c r="C95" s="1609"/>
      <c r="D95" s="2050"/>
      <c r="E95" s="2051" t="s">
        <v>1347</v>
      </c>
      <c r="F95" s="2052" t="n">
        <v>200</v>
      </c>
      <c r="G95" s="1826" t="s">
        <v>620</v>
      </c>
      <c r="H95" s="1058"/>
      <c r="I95" s="1058"/>
      <c r="J95" s="1058"/>
      <c r="K95" s="1058"/>
      <c r="L95" s="1058"/>
      <c r="M95" s="1058"/>
      <c r="N95" s="730" t="n">
        <f aca="false">D95*F95</f>
        <v>0</v>
      </c>
      <c r="O95" s="730"/>
      <c r="P95" s="654"/>
      <c r="Q95" s="654"/>
      <c r="R95" s="654"/>
      <c r="S95" s="654"/>
      <c r="T95" s="654"/>
      <c r="U95" s="654"/>
      <c r="V95" s="654"/>
      <c r="W95" s="1393" t="n">
        <f aca="false">SUM(W52:W94)</f>
        <v>0</v>
      </c>
    </row>
    <row r="96" s="1414" customFormat="true" ht="18" hidden="false" customHeight="true" outlineLevel="0" collapsed="false">
      <c r="A96" s="1394" t="s">
        <v>1191</v>
      </c>
      <c r="B96" s="1394"/>
      <c r="C96" s="1394"/>
      <c r="D96" s="1395" t="n">
        <f aca="false">Summary!P60</f>
        <v>0</v>
      </c>
      <c r="E96" s="1396" t="s">
        <v>1465</v>
      </c>
      <c r="F96" s="2053" t="n">
        <f aca="false">(SUM(N51:O64)+SUM(N66:O75)+SUM(K66:L75)+SUM(N78:O81)+SUM(N83:O88)+SUM(N90:O95))*D96</f>
        <v>0</v>
      </c>
      <c r="G96" s="1398" t="s">
        <v>1039</v>
      </c>
      <c r="H96" s="1398"/>
      <c r="I96" s="1398"/>
      <c r="J96" s="1398"/>
      <c r="K96" s="1398"/>
      <c r="L96" s="1398"/>
      <c r="M96" s="1398"/>
      <c r="N96" s="1399" t="n">
        <f aca="false">F96</f>
        <v>0</v>
      </c>
      <c r="O96" s="1399"/>
      <c r="P96" s="654"/>
      <c r="Q96" s="654"/>
      <c r="R96" s="654"/>
      <c r="S96" s="654"/>
      <c r="T96" s="654"/>
      <c r="U96" s="654"/>
      <c r="V96" s="654"/>
      <c r="W96" s="654"/>
    </row>
    <row r="97" s="1414" customFormat="true" ht="18" hidden="false" customHeight="true" outlineLevel="0" collapsed="false">
      <c r="A97" s="949"/>
      <c r="B97" s="950"/>
      <c r="C97" s="950"/>
      <c r="D97" s="950"/>
      <c r="E97" s="950"/>
      <c r="F97" s="950"/>
      <c r="G97" s="950"/>
      <c r="H97" s="950"/>
      <c r="I97" s="950"/>
      <c r="J97" s="950"/>
      <c r="K97" s="954"/>
      <c r="L97" s="950"/>
      <c r="M97" s="950"/>
      <c r="N97" s="950"/>
      <c r="O97" s="950"/>
      <c r="P97" s="950"/>
      <c r="Q97" s="950"/>
      <c r="R97" s="950"/>
      <c r="S97" s="950"/>
      <c r="T97" s="950"/>
      <c r="U97" s="950"/>
      <c r="V97" s="950"/>
      <c r="W97" s="957"/>
    </row>
    <row r="98" s="1414" customFormat="true" ht="18" hidden="false" customHeight="true" outlineLevel="0" collapsed="false">
      <c r="A98" s="1642" t="s">
        <v>1262</v>
      </c>
      <c r="B98" s="1643"/>
      <c r="C98" s="1644"/>
      <c r="D98" s="1642" t="s">
        <v>982</v>
      </c>
      <c r="E98" s="1644"/>
      <c r="F98" s="1642" t="s">
        <v>1263</v>
      </c>
      <c r="G98" s="1643"/>
      <c r="H98" s="1644"/>
      <c r="I98" s="1167" t="s">
        <v>1264</v>
      </c>
      <c r="J98" s="1168"/>
      <c r="K98" s="1169"/>
      <c r="L98" s="1170" t="s">
        <v>1265</v>
      </c>
      <c r="M98" s="1171"/>
      <c r="N98" s="1171"/>
      <c r="O98" s="1172"/>
      <c r="P98" s="961"/>
      <c r="Q98" s="599" t="s">
        <v>1266</v>
      </c>
      <c r="R98" s="16"/>
      <c r="S98" s="16" t="s">
        <v>1267</v>
      </c>
      <c r="T98" s="1173" t="str">
        <f aca="false">T39</f>
        <v>N</v>
      </c>
      <c r="U98" s="833" t="s">
        <v>1268</v>
      </c>
      <c r="V98" s="1401" t="n">
        <f aca="false">V39</f>
        <v>0.0825</v>
      </c>
      <c r="W98" s="964"/>
    </row>
    <row r="99" s="1414" customFormat="true" ht="18" hidden="false" customHeight="true" outlineLevel="0" collapsed="false">
      <c r="A99" s="965" t="s">
        <v>1269</v>
      </c>
      <c r="B99" s="966" t="n">
        <f aca="false">B40</f>
        <v>0</v>
      </c>
      <c r="C99" s="966"/>
      <c r="D99" s="967" t="n">
        <f aca="false">D40</f>
        <v>0</v>
      </c>
      <c r="E99" s="967"/>
      <c r="F99" s="968" t="n">
        <f aca="false">F40</f>
        <v>0</v>
      </c>
      <c r="G99" s="736" t="n">
        <f aca="false">G40</f>
        <v>0</v>
      </c>
      <c r="H99" s="736"/>
      <c r="I99" s="1651" t="n">
        <f aca="false">I40</f>
        <v>0</v>
      </c>
      <c r="J99" s="1652"/>
      <c r="K99" s="1653"/>
      <c r="L99" s="1402" t="n">
        <f aca="false">L40</f>
        <v>0.18</v>
      </c>
      <c r="M99" s="1402"/>
      <c r="N99" s="1402"/>
      <c r="O99" s="1402"/>
      <c r="P99" s="1265"/>
      <c r="Q99" s="970" t="s">
        <v>980</v>
      </c>
      <c r="R99" s="16"/>
      <c r="S99" s="16"/>
      <c r="T99" s="971" t="n">
        <f aca="false">S40</f>
        <v>0</v>
      </c>
      <c r="U99" s="971"/>
      <c r="V99" s="16"/>
      <c r="W99" s="964"/>
    </row>
    <row r="100" s="1414" customFormat="true" ht="18" hidden="false" customHeight="true" outlineLevel="0" collapsed="false">
      <c r="A100" s="979"/>
      <c r="B100" s="973"/>
      <c r="C100" s="973"/>
      <c r="D100" s="973"/>
      <c r="E100" s="973"/>
      <c r="F100" s="973"/>
      <c r="G100" s="973"/>
      <c r="H100" s="973"/>
      <c r="I100" s="973"/>
      <c r="J100" s="973"/>
      <c r="K100" s="973"/>
      <c r="L100" s="973"/>
      <c r="M100" s="973"/>
      <c r="N100" s="973"/>
      <c r="O100" s="973"/>
      <c r="P100" s="973"/>
      <c r="Q100" s="973"/>
      <c r="R100" s="973"/>
      <c r="S100" s="973"/>
      <c r="T100" s="973"/>
      <c r="U100" s="973"/>
      <c r="V100" s="973"/>
      <c r="W100" s="984"/>
    </row>
    <row r="101" s="1414"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14"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14" customFormat="true" ht="15" hidden="false" customHeight="false" outlineLevel="0" collapsed="false">
      <c r="A103" s="717" t="s">
        <v>1055</v>
      </c>
      <c r="B103" s="1403" t="s">
        <v>853</v>
      </c>
      <c r="C103" s="719"/>
      <c r="D103" s="722" t="n">
        <f aca="false">D104-T99</f>
        <v>0</v>
      </c>
      <c r="E103" s="654"/>
      <c r="F103" s="654"/>
      <c r="G103" s="654"/>
      <c r="H103" s="654"/>
      <c r="I103" s="654"/>
      <c r="J103" s="654"/>
      <c r="K103" s="654"/>
      <c r="L103" s="654"/>
      <c r="M103" s="654"/>
      <c r="N103" s="654"/>
      <c r="O103" s="654"/>
      <c r="P103" s="654"/>
      <c r="Q103" s="654"/>
      <c r="R103" s="654"/>
      <c r="S103" s="654"/>
    </row>
    <row r="104" s="1414" customFormat="true" ht="15" hidden="false" customHeight="false" outlineLevel="0" collapsed="false">
      <c r="A104" s="733" t="s">
        <v>1070</v>
      </c>
      <c r="B104" s="735"/>
      <c r="C104" s="735"/>
      <c r="D104" s="736"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04" t="n">
        <f aca="false">Summary!P74</f>
        <v>40001</v>
      </c>
      <c r="B105" s="741" t="str">
        <f aca="false">Summary!Q74</f>
        <v>General Requirements</v>
      </c>
      <c r="C105" s="318"/>
      <c r="D105" s="742" t="n">
        <f aca="false">SUM(L100:M102)</f>
        <v>0</v>
      </c>
    </row>
    <row r="106" customFormat="false" ht="15" hidden="false" customHeight="false" outlineLevel="0" collapsed="false">
      <c r="A106" s="1404" t="n">
        <f aca="false">Summary!P75</f>
        <v>40002</v>
      </c>
      <c r="B106" s="741" t="str">
        <f aca="false">Summary!Q75</f>
        <v>Lumber</v>
      </c>
      <c r="C106" s="318"/>
      <c r="D106" s="751" t="n">
        <f aca="false">SUM(W51:W76)+W77+W78+W79+W81+W82</f>
        <v>0</v>
      </c>
    </row>
    <row r="107" customFormat="false" ht="15" hidden="false" customHeight="false" outlineLevel="0" collapsed="false">
      <c r="A107" s="1404" t="n">
        <f aca="false">Summary!P76</f>
        <v>40003</v>
      </c>
      <c r="B107" s="741" t="str">
        <f aca="false">Summary!Q76</f>
        <v>Sand Material</v>
      </c>
      <c r="C107" s="318"/>
      <c r="D107" s="751" t="n">
        <f aca="false">N59</f>
        <v>0</v>
      </c>
    </row>
    <row r="108" customFormat="false" ht="15" hidden="false" customHeight="false" outlineLevel="0" collapsed="false">
      <c r="A108" s="1404" t="n">
        <f aca="false">Summary!P77</f>
        <v>40004</v>
      </c>
      <c r="B108" s="741" t="str">
        <f aca="false">Summary!Q77</f>
        <v>Rock Material</v>
      </c>
      <c r="C108" s="318"/>
      <c r="D108" s="751" t="n">
        <f aca="false">N60</f>
        <v>0</v>
      </c>
    </row>
    <row r="109" customFormat="false" ht="15" hidden="false" customHeight="false" outlineLevel="0" collapsed="false">
      <c r="A109" s="1404" t="n">
        <f aca="false">Summary!P78</f>
        <v>40005</v>
      </c>
      <c r="B109" s="741" t="str">
        <f aca="false">Summary!Q78</f>
        <v>Reinforcement Material</v>
      </c>
      <c r="C109" s="318"/>
      <c r="D109" s="751" t="n">
        <f aca="false">N56+N57</f>
        <v>0</v>
      </c>
    </row>
    <row r="110" customFormat="false" ht="15" hidden="false" customHeight="false" outlineLevel="0" collapsed="false">
      <c r="A110" s="1404" t="n">
        <f aca="false">Summary!P79</f>
        <v>40006</v>
      </c>
      <c r="B110" s="741" t="str">
        <f aca="false">Summary!Q79</f>
        <v>Reinforcement Accessories</v>
      </c>
      <c r="C110" s="318"/>
      <c r="D110" s="751" t="n">
        <f aca="false">SUM(W83:DA85)+W94</f>
        <v>0</v>
      </c>
    </row>
    <row r="111" customFormat="false" ht="15" hidden="false" customHeight="false" outlineLevel="0" collapsed="false">
      <c r="A111" s="1404" t="n">
        <f aca="false">Summary!P80</f>
        <v>40007</v>
      </c>
      <c r="B111" s="741" t="str">
        <f aca="false">Summary!Q80</f>
        <v>PT Cables</v>
      </c>
      <c r="C111" s="318"/>
      <c r="D111" s="751" t="n">
        <f aca="false">N58</f>
        <v>0</v>
      </c>
    </row>
    <row r="112" customFormat="false" ht="15" hidden="false" customHeight="false" outlineLevel="0" collapsed="false">
      <c r="A112" s="1404" t="n">
        <f aca="false">Summary!P81</f>
        <v>40008</v>
      </c>
      <c r="B112" s="741" t="str">
        <f aca="false">Summary!Q81</f>
        <v>Concrete Material</v>
      </c>
      <c r="C112" s="318"/>
      <c r="D112" s="751" t="n">
        <f aca="false">SUM(N51:O55)</f>
        <v>0</v>
      </c>
    </row>
    <row r="113" customFormat="false" ht="15" hidden="false" customHeight="false" outlineLevel="0" collapsed="false">
      <c r="A113" s="1404" t="n">
        <f aca="false">Summary!P82</f>
        <v>40009</v>
      </c>
      <c r="B113" s="741" t="str">
        <f aca="false">Summary!Q82</f>
        <v>Carton Forms</v>
      </c>
      <c r="C113" s="318"/>
      <c r="D113" s="751" t="n">
        <f aca="false">SUM(N61:O63)</f>
        <v>0</v>
      </c>
    </row>
    <row r="114" customFormat="false" ht="15" hidden="false" customHeight="false" outlineLevel="0" collapsed="false">
      <c r="A114" s="1404" t="n">
        <f aca="false">Summary!P83</f>
        <v>40010</v>
      </c>
      <c r="B114" s="741" t="str">
        <f aca="false">Summary!Q83</f>
        <v>Cure/Sealers</v>
      </c>
      <c r="C114" s="318"/>
      <c r="D114" s="751" t="n">
        <f aca="false">SUM(W89:W91)</f>
        <v>0</v>
      </c>
    </row>
    <row r="115" customFormat="false" ht="15" hidden="false" customHeight="false" outlineLevel="0" collapsed="false">
      <c r="A115" s="1404" t="n">
        <f aca="false">Summary!P84</f>
        <v>40011</v>
      </c>
      <c r="B115" s="741" t="str">
        <f aca="false">Summary!Q84</f>
        <v>Patch/Grout</v>
      </c>
      <c r="C115" s="318"/>
      <c r="D115" s="751"/>
    </row>
    <row r="116" customFormat="false" ht="15" hidden="false" customHeight="false" outlineLevel="0" collapsed="false">
      <c r="A116" s="1404" t="n">
        <f aca="false">Summary!P85</f>
        <v>40012</v>
      </c>
      <c r="B116" s="741" t="str">
        <f aca="false">Summary!Q85</f>
        <v>Poly/Vapor Barrier</v>
      </c>
      <c r="C116" s="318"/>
      <c r="D116" s="751"/>
    </row>
    <row r="117" customFormat="false" ht="15" hidden="false" customHeight="false" outlineLevel="0" collapsed="false">
      <c r="A117" s="1404" t="n">
        <f aca="false">Summary!P86</f>
        <v>40013</v>
      </c>
      <c r="B117" s="741" t="s">
        <v>1105</v>
      </c>
      <c r="C117" s="318"/>
      <c r="D117" s="751" t="n">
        <f aca="false">W86</f>
        <v>0</v>
      </c>
    </row>
    <row r="118" customFormat="false" ht="15" hidden="false" customHeight="false" outlineLevel="0" collapsed="false">
      <c r="A118" s="1404" t="n">
        <f aca="false">Summary!P87</f>
        <v>40014</v>
      </c>
      <c r="B118" s="741" t="s">
        <v>1105</v>
      </c>
      <c r="C118" s="318"/>
      <c r="D118" s="751" t="n">
        <f aca="false">W87</f>
        <v>0</v>
      </c>
    </row>
    <row r="119" customFormat="false" ht="15" hidden="false" customHeight="false" outlineLevel="0" collapsed="false">
      <c r="A119" s="1404" t="n">
        <f aca="false">Summary!P88</f>
        <v>40015</v>
      </c>
      <c r="B119" s="741" t="s">
        <v>1108</v>
      </c>
      <c r="C119" s="318"/>
      <c r="D119" s="751" t="n">
        <f aca="false">W88</f>
        <v>0</v>
      </c>
    </row>
    <row r="120" customFormat="false" ht="15" hidden="false" customHeight="false" outlineLevel="0" collapsed="false">
      <c r="A120" s="1404" t="n">
        <f aca="false">Summary!P89</f>
        <v>40020</v>
      </c>
      <c r="B120" s="741" t="str">
        <f aca="false">Summary!Q89</f>
        <v>Supervision</v>
      </c>
      <c r="C120" s="318"/>
      <c r="D120" s="751" t="n">
        <f aca="false">SUM(N78:O79)</f>
        <v>0</v>
      </c>
    </row>
    <row r="121" customFormat="false" ht="15" hidden="false" customHeight="false" outlineLevel="0" collapsed="false">
      <c r="A121" s="1404" t="n">
        <f aca="false">Summary!P90</f>
        <v>40021</v>
      </c>
      <c r="B121" s="741" t="str">
        <f aca="false">Summary!Q90</f>
        <v>Supervision Expense</v>
      </c>
      <c r="C121" s="318"/>
      <c r="D121" s="751" t="n">
        <f aca="false">SUM(N80)</f>
        <v>0</v>
      </c>
    </row>
    <row r="122" customFormat="false" ht="15" hidden="false" customHeight="false" outlineLevel="0" collapsed="false">
      <c r="A122" s="1404" t="n">
        <f aca="false">Summary!P91</f>
        <v>40022</v>
      </c>
      <c r="B122" s="741" t="str">
        <f aca="false">Summary!Q91</f>
        <v>Project Management</v>
      </c>
      <c r="C122" s="318"/>
      <c r="D122" s="751" t="n">
        <f aca="false">N81</f>
        <v>0</v>
      </c>
    </row>
    <row r="123" customFormat="false" ht="15" hidden="false" customHeight="false" outlineLevel="0" collapsed="false">
      <c r="A123" s="1404" t="n">
        <f aca="false">Summary!P92</f>
        <v>40023</v>
      </c>
      <c r="B123" s="741" t="str">
        <f aca="false">Summary!Q92</f>
        <v>Labor Grade, Poly, Reinf.</v>
      </c>
      <c r="C123" s="318"/>
      <c r="D123" s="751" t="n">
        <f aca="false">K66</f>
        <v>0</v>
      </c>
    </row>
    <row r="124" customFormat="false" ht="15" hidden="false" customHeight="false" outlineLevel="0" collapsed="false">
      <c r="A124" s="1404" t="n">
        <f aca="false">Summary!P93</f>
        <v>40024</v>
      </c>
      <c r="B124" s="741" t="str">
        <f aca="false">Summary!Q93</f>
        <v>Labor Place &amp; Finish</v>
      </c>
      <c r="C124" s="318"/>
      <c r="D124" s="1405" t="n">
        <f aca="false">K68</f>
        <v>0</v>
      </c>
    </row>
    <row r="125" customFormat="false" ht="15" hidden="false" customHeight="false" outlineLevel="0" collapsed="false">
      <c r="A125" s="1404" t="n">
        <f aca="false">Summary!P94</f>
        <v>40025</v>
      </c>
      <c r="B125" s="741" t="str">
        <f aca="false">Summary!Q94</f>
        <v>Labor Drops</v>
      </c>
      <c r="C125" s="318"/>
      <c r="D125" s="751" t="n">
        <f aca="false">K70</f>
        <v>0</v>
      </c>
    </row>
    <row r="126" customFormat="false" ht="15" hidden="false" customHeight="false" outlineLevel="0" collapsed="false">
      <c r="A126" s="1404" t="n">
        <f aca="false">Summary!P95</f>
        <v>40026</v>
      </c>
      <c r="B126" s="741" t="str">
        <f aca="false">Summary!Q95</f>
        <v>Labor Strip Forms</v>
      </c>
      <c r="C126" s="318"/>
      <c r="D126" s="751" t="n">
        <f aca="false">K69</f>
        <v>0</v>
      </c>
    </row>
    <row r="127" customFormat="false" ht="15" hidden="false" customHeight="false" outlineLevel="0" collapsed="false">
      <c r="A127" s="1404" t="n">
        <f aca="false">Summary!P96</f>
        <v>40027</v>
      </c>
      <c r="B127" s="741" t="str">
        <f aca="false">Summary!Q96</f>
        <v>Labor Burden</v>
      </c>
      <c r="C127" s="318"/>
      <c r="D127" s="751"/>
    </row>
    <row r="128" customFormat="false" ht="15" hidden="false" customHeight="false" outlineLevel="0" collapsed="false">
      <c r="A128" s="1404" t="n">
        <f aca="false">Summary!P98</f>
        <v>40030</v>
      </c>
      <c r="B128" s="741" t="str">
        <f aca="false">Summary!Q98</f>
        <v>Pumping</v>
      </c>
      <c r="C128" s="318"/>
      <c r="D128" s="751" t="n">
        <f aca="false">N90</f>
        <v>0</v>
      </c>
    </row>
    <row r="129" customFormat="false" ht="15" hidden="false" customHeight="false" outlineLevel="0" collapsed="false">
      <c r="A129" s="1404" t="n">
        <f aca="false">Summary!P99</f>
        <v>40031</v>
      </c>
      <c r="B129" s="741" t="str">
        <f aca="false">Summary!Q99</f>
        <v>Earth Work/Excavation</v>
      </c>
      <c r="C129" s="318"/>
      <c r="D129" s="751"/>
    </row>
    <row r="130" customFormat="false" ht="15" hidden="false" customHeight="false" outlineLevel="0" collapsed="false">
      <c r="A130" s="1404" t="n">
        <f aca="false">Summary!P100</f>
        <v>40032</v>
      </c>
      <c r="B130" s="741" t="str">
        <f aca="false">Summary!Q100</f>
        <v>Drilling</v>
      </c>
      <c r="C130" s="318"/>
      <c r="D130" s="751"/>
    </row>
    <row r="131" customFormat="false" ht="15" hidden="false" customHeight="false" outlineLevel="0" collapsed="false">
      <c r="A131" s="1404" t="n">
        <f aca="false">Summary!P101</f>
        <v>40033</v>
      </c>
      <c r="B131" s="741" t="str">
        <f aca="false">Summary!Q101</f>
        <v>Haul off</v>
      </c>
      <c r="C131" s="318"/>
      <c r="D131" s="751" t="n">
        <f aca="false">N94</f>
        <v>0</v>
      </c>
    </row>
    <row r="132" customFormat="false" ht="15" hidden="false" customHeight="false" outlineLevel="0" collapsed="false">
      <c r="A132" s="1404" t="n">
        <f aca="false">Summary!P102</f>
        <v>40034</v>
      </c>
      <c r="B132" s="741" t="str">
        <f aca="false">Summary!Q102</f>
        <v>Saw Cutting/Sealing</v>
      </c>
      <c r="C132" s="318"/>
      <c r="D132" s="751" t="n">
        <f aca="false">N92</f>
        <v>0</v>
      </c>
    </row>
    <row r="133" customFormat="false" ht="15" hidden="false" customHeight="false" outlineLevel="0" collapsed="false">
      <c r="A133" s="1404" t="n">
        <f aca="false">Summary!P103</f>
        <v>40035</v>
      </c>
      <c r="B133" s="741" t="str">
        <f aca="false">Summary!Q103</f>
        <v>Demolition</v>
      </c>
      <c r="C133" s="318"/>
      <c r="D133" s="751"/>
    </row>
    <row r="134" customFormat="false" ht="15" hidden="false" customHeight="false" outlineLevel="0" collapsed="false">
      <c r="A134" s="1404" t="n">
        <f aca="false">Summary!P104</f>
        <v>40037</v>
      </c>
      <c r="B134" s="741" t="str">
        <f aca="false">Summary!Q104</f>
        <v>Waterproofing</v>
      </c>
      <c r="C134" s="318"/>
      <c r="D134" s="751" t="n">
        <f aca="false">N91</f>
        <v>0</v>
      </c>
    </row>
    <row r="135" customFormat="false" ht="15" hidden="false" customHeight="false" outlineLevel="0" collapsed="false">
      <c r="A135" s="1404" t="n">
        <f aca="false">Summary!P105</f>
        <v>40038</v>
      </c>
      <c r="B135" s="741" t="str">
        <f aca="false">Summary!Q105</f>
        <v>Crain/Hoisting</v>
      </c>
      <c r="C135" s="318"/>
      <c r="D135" s="751"/>
    </row>
    <row r="136" customFormat="false" ht="15" hidden="false" customHeight="false" outlineLevel="0" collapsed="false">
      <c r="A136" s="1406" t="n">
        <f aca="false">Summary!P106</f>
        <v>40039</v>
      </c>
      <c r="B136" s="788" t="str">
        <f aca="false">Summary!Q106</f>
        <v>Forming Systems</v>
      </c>
      <c r="C136" s="800"/>
      <c r="D136" s="2054" t="n">
        <f aca="false">N64</f>
        <v>0</v>
      </c>
    </row>
    <row r="137" customFormat="false" ht="15" hidden="false" customHeight="false" outlineLevel="0" collapsed="false">
      <c r="A137" s="2055" t="n">
        <f aca="false">Summary!P107</f>
        <v>40040</v>
      </c>
      <c r="B137" s="2056" t="str">
        <f aca="false">Summary!Q107</f>
        <v>Total Sub Labor</v>
      </c>
      <c r="C137" s="2057"/>
      <c r="D137" s="2058" t="n">
        <f aca="false">SUM(D138:D145)</f>
        <v>0</v>
      </c>
    </row>
    <row r="138" customFormat="false" ht="15" hidden="false" customHeight="false" outlineLevel="0" collapsed="false">
      <c r="A138" s="1404" t="n">
        <f aca="false">Summary!P108</f>
        <v>40041</v>
      </c>
      <c r="B138" s="741" t="str">
        <f aca="false">Summary!Q108</f>
        <v>Labor Forming</v>
      </c>
      <c r="C138" s="318"/>
      <c r="D138" s="742" t="n">
        <f aca="false">N67</f>
        <v>0</v>
      </c>
    </row>
    <row r="139" customFormat="false" ht="15" hidden="false" customHeight="false" outlineLevel="0" collapsed="false">
      <c r="A139" s="1404" t="n">
        <f aca="false">Summary!P109</f>
        <v>40042</v>
      </c>
      <c r="B139" s="741" t="str">
        <f aca="false">Summary!Q109</f>
        <v>Labor Grade, Poly, Reinf.</v>
      </c>
      <c r="C139" s="749"/>
      <c r="D139" s="742" t="n">
        <f aca="false">N66+N74+N73</f>
        <v>0</v>
      </c>
    </row>
    <row r="140" customFormat="false" ht="15" hidden="false" customHeight="false" outlineLevel="0" collapsed="false">
      <c r="A140" s="1404" t="n">
        <f aca="false">Summary!P110</f>
        <v>40043</v>
      </c>
      <c r="B140" s="741" t="str">
        <f aca="false">Summary!Q110</f>
        <v>Labor Place &amp; Finish</v>
      </c>
      <c r="C140" s="749"/>
      <c r="D140" s="742" t="n">
        <f aca="false">N68</f>
        <v>0</v>
      </c>
    </row>
    <row r="141" customFormat="false" ht="15" hidden="false" customHeight="false" outlineLevel="0" collapsed="false">
      <c r="A141" s="1404" t="n">
        <f aca="false">Summary!P111</f>
        <v>40044</v>
      </c>
      <c r="B141" s="741" t="str">
        <f aca="false">Summary!Q111</f>
        <v>Labor Drops</v>
      </c>
      <c r="C141" s="749"/>
      <c r="D141" s="742"/>
    </row>
    <row r="142" customFormat="false" ht="15" hidden="false" customHeight="false" outlineLevel="0" collapsed="false">
      <c r="A142" s="1404" t="n">
        <f aca="false">Summary!P112</f>
        <v>40045</v>
      </c>
      <c r="B142" s="741" t="str">
        <f aca="false">Summary!Q112</f>
        <v>Labor Strip Forms</v>
      </c>
      <c r="C142" s="749"/>
      <c r="D142" s="742" t="n">
        <f aca="false">N69</f>
        <v>0</v>
      </c>
    </row>
    <row r="143" customFormat="false" ht="15" hidden="false" customHeight="false" outlineLevel="0" collapsed="false">
      <c r="A143" s="1404" t="n">
        <f aca="false">Summary!P113</f>
        <v>40046</v>
      </c>
      <c r="B143" s="741" t="str">
        <f aca="false">Summary!Q113</f>
        <v>Labor Burden</v>
      </c>
      <c r="C143" s="318"/>
      <c r="D143" s="751" t="n">
        <f aca="false">N70+N72</f>
        <v>0</v>
      </c>
    </row>
    <row r="144" customFormat="false" ht="15" hidden="false" customHeight="false" outlineLevel="0" collapsed="false">
      <c r="A144" s="1404" t="n">
        <f aca="false">Summary!P114</f>
        <v>40047</v>
      </c>
      <c r="B144" s="741" t="str">
        <f aca="false">Summary!Q114</f>
        <v>Rebar</v>
      </c>
      <c r="C144" s="749"/>
      <c r="D144" s="742" t="n">
        <f aca="false">N71</f>
        <v>0</v>
      </c>
    </row>
    <row r="145" customFormat="false" ht="15" hidden="false" customHeight="false" outlineLevel="0" collapsed="false">
      <c r="A145" s="1406" t="n">
        <f aca="false">Summary!P115</f>
        <v>40048</v>
      </c>
      <c r="B145" s="788" t="str">
        <f aca="false">Summary!Q115</f>
        <v>PT Installation</v>
      </c>
      <c r="C145" s="800"/>
      <c r="D145" s="2054"/>
    </row>
    <row r="146" customFormat="false" ht="15" hidden="false" customHeight="false" outlineLevel="0" collapsed="false">
      <c r="A146" s="1406" t="n">
        <f aca="false">Summary!P116</f>
        <v>40049</v>
      </c>
      <c r="B146" s="788" t="str">
        <f aca="false">Summary!Q116</f>
        <v>Extra Hours</v>
      </c>
      <c r="C146" s="800"/>
      <c r="D146" s="756" t="n">
        <f aca="false">N75</f>
        <v>0</v>
      </c>
    </row>
    <row r="147" customFormat="false" ht="15" hidden="false" customHeight="false" outlineLevel="0" collapsed="false">
      <c r="A147" s="2055" t="n">
        <f aca="false">Summary!P117</f>
        <v>40060</v>
      </c>
      <c r="B147" s="2056" t="str">
        <f aca="false">Summary!Q117</f>
        <v>Total Equipment Rental</v>
      </c>
      <c r="C147" s="2057"/>
      <c r="D147" s="2058" t="n">
        <f aca="false">SUM(D148:D153)</f>
        <v>0</v>
      </c>
    </row>
    <row r="148" customFormat="false" ht="15" hidden="false" customHeight="false" outlineLevel="0" collapsed="false">
      <c r="A148" s="1404" t="n">
        <f aca="false">Summary!P118</f>
        <v>40061</v>
      </c>
      <c r="B148" s="741" t="str">
        <f aca="false">Summary!Q118</f>
        <v>SkyTrack</v>
      </c>
      <c r="C148" s="318"/>
      <c r="D148" s="742" t="n">
        <f aca="false">N83/(1+V$39+I$85)</f>
        <v>0</v>
      </c>
    </row>
    <row r="149" customFormat="false" ht="15" hidden="false" customHeight="false" outlineLevel="0" collapsed="false">
      <c r="A149" s="1404" t="n">
        <f aca="false">Summary!P119</f>
        <v>40062</v>
      </c>
      <c r="B149" s="741" t="str">
        <f aca="false">Summary!Q119</f>
        <v>Mini Excavator</v>
      </c>
      <c r="C149" s="318"/>
      <c r="D149" s="742" t="n">
        <f aca="false">N84/(1+V$39+I$85)</f>
        <v>0</v>
      </c>
    </row>
    <row r="150" customFormat="false" ht="15" hidden="false" customHeight="false" outlineLevel="0" collapsed="false">
      <c r="A150" s="1404" t="n">
        <f aca="false">Summary!P120</f>
        <v>40063</v>
      </c>
      <c r="B150" s="741" t="str">
        <f aca="false">Summary!Q120</f>
        <v>Trencher</v>
      </c>
      <c r="C150" s="318"/>
      <c r="D150" s="742" t="n">
        <f aca="false">N85/(1+V$39+I$85)</f>
        <v>0</v>
      </c>
    </row>
    <row r="151" customFormat="false" ht="15" hidden="false" customHeight="false" outlineLevel="0" collapsed="false">
      <c r="A151" s="1404" t="n">
        <f aca="false">Summary!P121</f>
        <v>40064</v>
      </c>
      <c r="B151" s="741" t="str">
        <f aca="false">Summary!Q121</f>
        <v>Skid Steer</v>
      </c>
      <c r="C151" s="318"/>
      <c r="D151" s="742" t="n">
        <f aca="false">N86/(1+V$39+I$85)</f>
        <v>0</v>
      </c>
    </row>
    <row r="152" customFormat="false" ht="15" hidden="false" customHeight="false" outlineLevel="0" collapsed="false">
      <c r="A152" s="1404" t="n">
        <f aca="false">Summary!P122</f>
        <v>40065</v>
      </c>
      <c r="B152" s="741" t="str">
        <f aca="false">Summary!Q122</f>
        <v>General Equipment Rental</v>
      </c>
      <c r="C152" s="318"/>
      <c r="D152" s="742" t="n">
        <f aca="false">(N87+N88)/(1+V$39+I$85)</f>
        <v>0</v>
      </c>
    </row>
    <row r="153" customFormat="false" ht="15" hidden="false" customHeight="false" outlineLevel="0" collapsed="false">
      <c r="A153" s="1404" t="n">
        <f aca="false">Summary!P123</f>
        <v>40066</v>
      </c>
      <c r="B153" s="741" t="str">
        <f aca="false">Summary!Q123</f>
        <v>Fuel</v>
      </c>
      <c r="C153" s="318"/>
      <c r="D153" s="742" t="n">
        <f aca="false">L85-SUM(D148:D152)</f>
        <v>0</v>
      </c>
    </row>
    <row r="154" customFormat="false" ht="15" hidden="false" customHeight="false" outlineLevel="0" collapsed="false">
      <c r="A154" s="1404" t="n">
        <f aca="false">Summary!P124</f>
        <v>40067</v>
      </c>
      <c r="B154" s="741" t="str">
        <f aca="false">Summary!Q124</f>
        <v>Purchased Tools</v>
      </c>
      <c r="C154" s="318"/>
      <c r="D154" s="742"/>
    </row>
    <row r="155" customFormat="false" ht="15" hidden="false" customHeight="false" outlineLevel="0" collapsed="false">
      <c r="A155" s="1404" t="n">
        <f aca="false">Summary!P125</f>
        <v>40068</v>
      </c>
      <c r="B155" s="741" t="str">
        <f aca="false">Summary!Q125</f>
        <v>Stolen/Damaged</v>
      </c>
      <c r="C155" s="318"/>
      <c r="D155" s="742"/>
    </row>
    <row r="156" customFormat="false" ht="15" hidden="false" customHeight="false" outlineLevel="0" collapsed="false">
      <c r="A156" s="1404" t="n">
        <f aca="false">Summary!P126</f>
        <v>40070</v>
      </c>
      <c r="B156" s="741" t="str">
        <f aca="false">Summary!Q126</f>
        <v>Out of Town Expense</v>
      </c>
      <c r="C156" s="318"/>
      <c r="D156" s="742" t="n">
        <f aca="false">N95</f>
        <v>0</v>
      </c>
    </row>
    <row r="157" customFormat="false" ht="15" hidden="false" customHeight="false" outlineLevel="0" collapsed="false">
      <c r="A157" s="1404" t="n">
        <f aca="false">Summary!P127</f>
        <v>40071</v>
      </c>
      <c r="B157" s="741" t="str">
        <f aca="false">Summary!Q127</f>
        <v>Miscellaneous</v>
      </c>
      <c r="C157" s="318"/>
      <c r="D157" s="751" t="n">
        <f aca="false">N93</f>
        <v>0</v>
      </c>
    </row>
    <row r="158" customFormat="false" ht="15" hidden="false" customHeight="false" outlineLevel="0" collapsed="false">
      <c r="A158" s="1404" t="n">
        <f aca="false">Summary!P128</f>
        <v>40072</v>
      </c>
      <c r="B158" s="741" t="str">
        <f aca="false">Summary!Q128</f>
        <v>Repairs</v>
      </c>
      <c r="C158" s="318"/>
      <c r="D158" s="751"/>
    </row>
    <row r="159" customFormat="false" ht="15" hidden="false" customHeight="false" outlineLevel="0" collapsed="false">
      <c r="A159" s="1404" t="n">
        <f aca="false">Summary!P129</f>
        <v>40073</v>
      </c>
      <c r="B159" s="741" t="str">
        <f aca="false">Summary!Q129</f>
        <v>Engineering</v>
      </c>
      <c r="C159" s="318"/>
      <c r="D159" s="751"/>
    </row>
    <row r="160" customFormat="false" ht="15" hidden="false" customHeight="false" outlineLevel="0" collapsed="false">
      <c r="A160" s="1404" t="n">
        <f aca="false">Summary!P130</f>
        <v>40090</v>
      </c>
      <c r="B160" s="741" t="str">
        <f aca="false">Summary!Q130</f>
        <v>Not Used</v>
      </c>
      <c r="C160" s="318"/>
      <c r="D160" s="751"/>
    </row>
    <row r="161" customFormat="false" ht="15" hidden="false" customHeight="false" outlineLevel="0" collapsed="false">
      <c r="A161" s="1404" t="n">
        <f aca="false">Summary!P131</f>
        <v>40091</v>
      </c>
      <c r="B161" s="741" t="str">
        <f aca="false">Summary!Q131</f>
        <v>Margin Contingency</v>
      </c>
      <c r="C161" s="318"/>
      <c r="D161" s="751" t="n">
        <f aca="false">N96</f>
        <v>0</v>
      </c>
    </row>
  </sheetData>
  <mergeCells count="123">
    <mergeCell ref="C6:D6"/>
    <mergeCell ref="C7:D7"/>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1:D27">
    <cfRule type="expression" priority="2" aboveAverage="0" equalAverage="0" bottom="0" percent="0" rank="0" text="" dxfId="9">
      <formula>AND(E11&lt;&gt;"",ISERROR(MATCH(D11,$A$51:$A$55,0)))</formula>
    </cfRule>
  </conditionalFormatting>
  <conditionalFormatting sqref="K50:L50">
    <cfRule type="containsText" priority="3" operator="containsText" aboveAverage="0" equalAverage="0" bottom="0" percent="0" rank="0" text="Missing Concrete" dxfId="10">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1" colorId="64" zoomScale="65" zoomScaleNormal="65" zoomScalePageLayoutView="70" workbookViewId="0">
      <selection pane="topLeft" activeCell="C11" activeCellId="0" sqref="C11"/>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4.82"/>
    <col collapsed="false" customWidth="true" hidden="false" outlineLevel="0" max="30" min="25"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14" customFormat="true" ht="15" hidden="false" customHeight="false" outlineLevel="0" collapsed="false">
      <c r="A1" s="710"/>
      <c r="B1" s="614"/>
      <c r="C1" s="614"/>
      <c r="D1" s="614"/>
      <c r="E1" s="614"/>
      <c r="F1" s="614"/>
      <c r="G1" s="614"/>
      <c r="H1" s="614"/>
      <c r="I1" s="614"/>
      <c r="J1" s="614"/>
      <c r="K1" s="614"/>
      <c r="L1" s="614"/>
      <c r="M1" s="614"/>
      <c r="N1" s="614"/>
      <c r="O1" s="614"/>
      <c r="P1" s="614"/>
      <c r="Q1" s="614"/>
      <c r="R1" s="614"/>
      <c r="S1" s="1068"/>
      <c r="T1" s="1197" t="s">
        <v>1193</v>
      </c>
      <c r="U1" s="1197"/>
      <c r="V1" s="1875" t="n">
        <v>37456</v>
      </c>
      <c r="W1" s="1198"/>
      <c r="AE1" s="1414" t="n">
        <f aca="false">SUM(AE67:AE127)</f>
        <v>0</v>
      </c>
    </row>
    <row r="2" s="1414" customFormat="true" ht="15" hidden="false" customHeight="false" outlineLevel="0" collapsed="false">
      <c r="A2" s="1415" t="str">
        <f aca="false">Summary!C1</f>
        <v>Trammell Crow – LBJ</v>
      </c>
      <c r="B2" s="1416"/>
      <c r="C2" s="1416"/>
      <c r="D2" s="1417"/>
      <c r="E2" s="654"/>
      <c r="F2" s="654"/>
      <c r="G2" s="406"/>
      <c r="H2" s="1268" t="s">
        <v>56</v>
      </c>
      <c r="I2" s="1068"/>
      <c r="J2" s="1202" t="s">
        <v>57</v>
      </c>
      <c r="K2" s="614"/>
      <c r="L2" s="614"/>
      <c r="M2" s="614"/>
      <c r="N2" s="1202" t="s">
        <v>1</v>
      </c>
      <c r="O2" s="1202"/>
      <c r="P2" s="1202" t="s">
        <v>1194</v>
      </c>
      <c r="Q2" s="865"/>
      <c r="R2" s="654"/>
      <c r="S2" s="654"/>
      <c r="T2" s="836" t="s">
        <v>957</v>
      </c>
      <c r="U2" s="695"/>
      <c r="V2" s="837" t="n">
        <f aca="false">Information!C7</f>
        <v>0</v>
      </c>
      <c r="W2" s="838"/>
    </row>
    <row r="3" s="1414" customFormat="true" ht="15" hidden="false" customHeight="false" outlineLevel="0" collapsed="false">
      <c r="A3" s="1420" t="n">
        <f aca="false">Summary!C2</f>
        <v>0</v>
      </c>
      <c r="B3" s="1421"/>
      <c r="C3" s="1421"/>
      <c r="D3" s="1422"/>
      <c r="E3" s="654"/>
      <c r="F3" s="654"/>
      <c r="G3" s="421"/>
      <c r="H3" s="1004" t="s">
        <v>955</v>
      </c>
      <c r="I3" s="1876" t="n">
        <f aca="false">Summary!K2</f>
        <v>0</v>
      </c>
      <c r="J3" s="1877"/>
      <c r="K3" s="1877"/>
      <c r="L3" s="1877"/>
      <c r="M3" s="1877"/>
      <c r="N3" s="1878" t="n">
        <f aca="false">Summary!O2</f>
        <v>0</v>
      </c>
      <c r="O3" s="1878"/>
      <c r="P3" s="1423" t="n">
        <f aca="false">Summary!P2</f>
        <v>0</v>
      </c>
      <c r="Q3" s="1424"/>
      <c r="R3" s="654"/>
      <c r="S3" s="654"/>
      <c r="T3" s="599"/>
      <c r="U3" s="16"/>
      <c r="V3" s="16"/>
      <c r="W3" s="843"/>
    </row>
    <row r="4" s="1414" customFormat="true" ht="15" hidden="false" customHeight="false" outlineLevel="0" collapsed="false">
      <c r="A4" s="1425" t="str">
        <f aca="false">Summary!C3</f>
        <v>Dallas, TX</v>
      </c>
      <c r="B4" s="1426"/>
      <c r="C4" s="1426"/>
      <c r="D4" s="1427"/>
      <c r="E4" s="654"/>
      <c r="F4" s="654"/>
      <c r="G4" s="421"/>
      <c r="H4" s="1004" t="s">
        <v>71</v>
      </c>
      <c r="I4" s="1879" t="n">
        <f aca="false">Summary!K3</f>
        <v>0</v>
      </c>
      <c r="J4" s="1880"/>
      <c r="K4" s="1880"/>
      <c r="L4" s="1880"/>
      <c r="M4" s="1880"/>
      <c r="N4" s="1881" t="n">
        <f aca="false">Summary!O3</f>
        <v>0</v>
      </c>
      <c r="O4" s="1881"/>
      <c r="P4" s="1428" t="n">
        <f aca="false">Summary!P3</f>
        <v>0</v>
      </c>
      <c r="Q4" s="1429"/>
      <c r="R4" s="654"/>
      <c r="S4" s="654"/>
      <c r="T4" s="599" t="s">
        <v>958</v>
      </c>
      <c r="U4" s="16"/>
      <c r="V4" s="848"/>
      <c r="W4" s="849"/>
    </row>
    <row r="5" s="1414" customFormat="true" ht="15" hidden="false" customHeight="false" outlineLevel="0" collapsed="false">
      <c r="A5" s="1041" t="s">
        <v>0</v>
      </c>
      <c r="B5" s="654"/>
      <c r="C5" s="405" t="s">
        <v>1</v>
      </c>
      <c r="D5" s="16"/>
      <c r="E5" s="654"/>
      <c r="F5" s="654"/>
      <c r="G5" s="421"/>
      <c r="H5" s="1004" t="s">
        <v>79</v>
      </c>
      <c r="I5" s="1882" t="n">
        <f aca="false">Summary!K4</f>
        <v>0</v>
      </c>
      <c r="J5" s="1883"/>
      <c r="K5" s="1883"/>
      <c r="L5" s="1883"/>
      <c r="M5" s="1883"/>
      <c r="N5" s="1432" t="n">
        <f aca="false">Summary!O4</f>
        <v>0</v>
      </c>
      <c r="O5" s="1432"/>
      <c r="P5" s="1884" t="n">
        <f aca="false">Summary!P4</f>
        <v>0</v>
      </c>
      <c r="Q5" s="1885"/>
      <c r="R5" s="654"/>
      <c r="S5" s="654"/>
      <c r="T5" s="599"/>
      <c r="U5" s="16"/>
      <c r="V5" s="16"/>
      <c r="W5" s="843"/>
    </row>
    <row r="6" s="1414" customFormat="true" ht="15" hidden="false" customHeight="false" outlineLevel="0" collapsed="false">
      <c r="A6" s="1211" t="n">
        <v>0</v>
      </c>
      <c r="B6" s="654"/>
      <c r="C6" s="851" t="n">
        <v>0</v>
      </c>
      <c r="D6" s="851"/>
      <c r="E6" s="654"/>
      <c r="F6" s="654"/>
      <c r="G6" s="685"/>
      <c r="H6" s="1212" t="s">
        <v>87</v>
      </c>
      <c r="I6" s="1886" t="n">
        <f aca="false">Summary!K5</f>
        <v>0</v>
      </c>
      <c r="J6" s="1887"/>
      <c r="K6" s="1887"/>
      <c r="L6" s="1887"/>
      <c r="M6" s="1887"/>
      <c r="N6" s="1888" t="n">
        <f aca="false">Summary!O5</f>
        <v>0</v>
      </c>
      <c r="O6" s="1888"/>
      <c r="P6" s="1889" t="n">
        <f aca="false">Summary!P5</f>
        <v>0</v>
      </c>
      <c r="Q6" s="1890"/>
      <c r="R6" s="654"/>
      <c r="S6" s="654"/>
      <c r="T6" s="602" t="s">
        <v>958</v>
      </c>
      <c r="U6" s="855"/>
      <c r="V6" s="855"/>
      <c r="W6" s="856"/>
    </row>
    <row r="7" s="1414" customFormat="true" ht="15" hidden="false" customHeight="false" outlineLevel="0" collapsed="false">
      <c r="A7" s="1214" t="n">
        <v>0</v>
      </c>
      <c r="B7" s="654"/>
      <c r="C7" s="1215" t="n">
        <v>0</v>
      </c>
      <c r="D7" s="1215"/>
      <c r="E7" s="654"/>
      <c r="F7" s="1212" t="s">
        <v>1196</v>
      </c>
      <c r="G7" s="1212"/>
      <c r="H7" s="1212"/>
      <c r="I7" s="860" t="str">
        <f aca="false">Pricing!A3</f>
        <v>SRM</v>
      </c>
      <c r="J7" s="860"/>
      <c r="K7" s="860"/>
      <c r="L7" s="860"/>
      <c r="M7" s="860"/>
      <c r="N7" s="726"/>
      <c r="O7" s="726"/>
      <c r="P7" s="726"/>
      <c r="Q7" s="726"/>
      <c r="R7" s="726"/>
      <c r="S7" s="654"/>
      <c r="T7" s="654"/>
      <c r="U7" s="654"/>
      <c r="V7" s="654"/>
      <c r="W7" s="1218"/>
    </row>
    <row r="8" s="1414" customFormat="true" ht="28.55" hidden="false" customHeight="false" outlineLevel="0" collapsed="false">
      <c r="A8" s="1219"/>
      <c r="B8" s="1891"/>
      <c r="C8" s="1892" t="s">
        <v>1660</v>
      </c>
      <c r="D8" s="1893" t="s">
        <v>1661</v>
      </c>
      <c r="E8" s="1894" t="s">
        <v>1662</v>
      </c>
      <c r="F8" s="1895"/>
      <c r="G8" s="1896"/>
      <c r="H8" s="1897" t="s">
        <v>1663</v>
      </c>
      <c r="I8" s="1895"/>
      <c r="J8" s="1896"/>
      <c r="K8" s="1897" t="s">
        <v>1664</v>
      </c>
      <c r="L8" s="1895"/>
      <c r="M8" s="1895"/>
      <c r="N8" s="1898" t="s">
        <v>1665</v>
      </c>
      <c r="O8" s="1457"/>
      <c r="P8" s="1457"/>
      <c r="Q8" s="1457" t="s">
        <v>785</v>
      </c>
      <c r="R8" s="1899" t="n">
        <v>3</v>
      </c>
      <c r="S8" s="1894" t="s">
        <v>1362</v>
      </c>
      <c r="T8" s="1457"/>
      <c r="U8" s="863"/>
      <c r="V8" s="1452" t="s">
        <v>1363</v>
      </c>
      <c r="W8" s="1673" t="s">
        <v>1219</v>
      </c>
      <c r="AI8" s="1414" t="s">
        <v>1666</v>
      </c>
      <c r="AS8" s="1414" t="s">
        <v>1667</v>
      </c>
      <c r="BJ8" s="1900" t="s">
        <v>1507</v>
      </c>
      <c r="BK8" s="1900"/>
      <c r="BL8" s="1900"/>
      <c r="BM8" s="1900"/>
      <c r="BN8" s="1900"/>
      <c r="BO8" s="1900"/>
      <c r="BP8" s="1900"/>
      <c r="BQ8" s="1900"/>
      <c r="BR8" s="1900"/>
      <c r="BS8" s="1901"/>
      <c r="BT8" s="1901"/>
      <c r="BU8" s="1901"/>
      <c r="BV8" s="1901"/>
      <c r="BW8" s="1902"/>
      <c r="DD8" s="1903" t="s">
        <v>1021</v>
      </c>
      <c r="DE8" s="1903"/>
      <c r="DF8" s="1903"/>
      <c r="DG8" s="1903"/>
      <c r="DH8" s="1904"/>
      <c r="DI8" s="1904"/>
      <c r="DJ8" s="1905"/>
    </row>
    <row r="9" s="1414" customFormat="true" ht="28.55" hidden="false" customHeight="true" outlineLevel="0" collapsed="false">
      <c r="A9" s="1906" t="s">
        <v>1668</v>
      </c>
      <c r="B9" s="1906"/>
      <c r="C9" s="1227" t="s">
        <v>1428</v>
      </c>
      <c r="D9" s="1907" t="s">
        <v>1669</v>
      </c>
      <c r="E9" s="1477" t="s">
        <v>1366</v>
      </c>
      <c r="F9" s="1226" t="s">
        <v>1670</v>
      </c>
      <c r="G9" s="1225" t="s">
        <v>1596</v>
      </c>
      <c r="H9" s="1226" t="s">
        <v>1216</v>
      </c>
      <c r="I9" s="1226" t="s">
        <v>1215</v>
      </c>
      <c r="J9" s="1477" t="s">
        <v>1671</v>
      </c>
      <c r="K9" s="1226" t="s">
        <v>1216</v>
      </c>
      <c r="L9" s="1227" t="s">
        <v>1215</v>
      </c>
      <c r="M9" s="1226" t="s">
        <v>1672</v>
      </c>
      <c r="N9" s="1908" t="s">
        <v>1673</v>
      </c>
      <c r="O9" s="1227" t="s">
        <v>1674</v>
      </c>
      <c r="P9" s="1227" t="s">
        <v>1216</v>
      </c>
      <c r="Q9" s="1227" t="s">
        <v>1215</v>
      </c>
      <c r="R9" s="1680" t="s">
        <v>1672</v>
      </c>
      <c r="S9" s="1230" t="s">
        <v>835</v>
      </c>
      <c r="T9" s="1227" t="s">
        <v>1675</v>
      </c>
      <c r="U9" s="1477" t="s">
        <v>1676</v>
      </c>
      <c r="V9" s="1480"/>
      <c r="W9" s="1682"/>
      <c r="AH9" s="1909" t="s">
        <v>1374</v>
      </c>
      <c r="AI9" s="1910" t="s">
        <v>1375</v>
      </c>
      <c r="AJ9" s="1910" t="s">
        <v>1376</v>
      </c>
      <c r="AK9" s="1910" t="s">
        <v>1377</v>
      </c>
      <c r="AL9" s="1910" t="s">
        <v>1378</v>
      </c>
      <c r="AM9" s="1910" t="s">
        <v>1522</v>
      </c>
      <c r="AN9" s="1910" t="s">
        <v>1523</v>
      </c>
      <c r="AO9" s="1910" t="s">
        <v>1524</v>
      </c>
      <c r="AP9" s="1910" t="s">
        <v>1525</v>
      </c>
      <c r="AQ9" s="1911" t="s">
        <v>1526</v>
      </c>
      <c r="AR9" s="1909" t="s">
        <v>1374</v>
      </c>
      <c r="AS9" s="1910" t="s">
        <v>1375</v>
      </c>
      <c r="AT9" s="1910" t="s">
        <v>1376</v>
      </c>
      <c r="AU9" s="1910" t="s">
        <v>1377</v>
      </c>
      <c r="AV9" s="1910" t="s">
        <v>1378</v>
      </c>
      <c r="AW9" s="1910" t="s">
        <v>1522</v>
      </c>
      <c r="AX9" s="1910" t="s">
        <v>1523</v>
      </c>
      <c r="AY9" s="1910" t="s">
        <v>1524</v>
      </c>
      <c r="AZ9" s="1910" t="s">
        <v>1525</v>
      </c>
      <c r="BA9" s="1911" t="s">
        <v>1526</v>
      </c>
      <c r="BB9" s="1414" t="s">
        <v>1677</v>
      </c>
      <c r="BC9" s="1414" t="s">
        <v>1678</v>
      </c>
      <c r="BD9" s="1414" t="s">
        <v>1385</v>
      </c>
      <c r="BE9" s="1414" t="s">
        <v>1386</v>
      </c>
      <c r="BF9" s="1414" t="s">
        <v>1387</v>
      </c>
      <c r="BG9" s="1414" t="s">
        <v>1679</v>
      </c>
      <c r="BH9" s="427" t="s">
        <v>1680</v>
      </c>
      <c r="BJ9" s="1912" t="s">
        <v>577</v>
      </c>
      <c r="BK9" s="1913" t="s">
        <v>1388</v>
      </c>
      <c r="BL9" s="1914" t="s">
        <v>1681</v>
      </c>
      <c r="BM9" s="1913" t="s">
        <v>1389</v>
      </c>
      <c r="BN9" s="1913" t="s">
        <v>1682</v>
      </c>
      <c r="BO9" s="1913" t="s">
        <v>1391</v>
      </c>
      <c r="BP9" s="1914" t="s">
        <v>1683</v>
      </c>
      <c r="BQ9" s="1913" t="s">
        <v>1393</v>
      </c>
      <c r="BR9" s="1915"/>
      <c r="BS9" s="1913" t="s">
        <v>1684</v>
      </c>
      <c r="BT9" s="1913"/>
      <c r="BU9" s="1913" t="s">
        <v>1685</v>
      </c>
      <c r="BV9" s="1913" t="s">
        <v>1686</v>
      </c>
      <c r="BW9" s="1915" t="s">
        <v>1687</v>
      </c>
      <c r="DB9" s="427" t="s">
        <v>1688</v>
      </c>
      <c r="DC9" s="427" t="s">
        <v>1689</v>
      </c>
      <c r="DD9" s="1916" t="s">
        <v>1250</v>
      </c>
      <c r="DE9" s="1917" t="s">
        <v>1396</v>
      </c>
      <c r="DF9" s="1917" t="s">
        <v>1397</v>
      </c>
      <c r="DG9" s="1917" t="s">
        <v>1690</v>
      </c>
      <c r="DH9" s="1917" t="s">
        <v>1141</v>
      </c>
      <c r="DI9" s="1917" t="s">
        <v>1691</v>
      </c>
      <c r="DJ9" s="1918" t="s">
        <v>1692</v>
      </c>
    </row>
    <row r="10" s="1414" customFormat="true" ht="15" hidden="false" customHeight="false" outlineLevel="0" collapsed="false">
      <c r="A10" s="507"/>
      <c r="B10" s="1312"/>
      <c r="C10" s="1919"/>
      <c r="D10" s="1920"/>
      <c r="E10" s="1921"/>
      <c r="F10" s="1234"/>
      <c r="G10" s="1235"/>
      <c r="H10" s="1236"/>
      <c r="I10" s="1234"/>
      <c r="J10" s="1235"/>
      <c r="K10" s="1236"/>
      <c r="L10" s="1234"/>
      <c r="M10" s="1234"/>
      <c r="N10" s="1922"/>
      <c r="O10" s="1234"/>
      <c r="P10" s="1234"/>
      <c r="Q10" s="1234"/>
      <c r="R10" s="1923"/>
      <c r="S10" s="1924"/>
      <c r="T10" s="78"/>
      <c r="U10" s="900"/>
      <c r="V10" s="1925" t="n">
        <f aca="false">((E10*I10/16*I10/16*10.680159*J10)*IF(H10=0,0,(G10/H10))+(G10/12*L10/16*L10/16*10.680159*M10)*IF(K10=0,0,(E10*12/K10))+(E10*IF(P10=0,0,N10/P10)*Q10/16*Q10/16*10.680159*R10)+(IF(P10=0,0,E10/P10*N10)*Q10/16*Q10/16*10.680159*R10)+((T10*U10*S10*0.03*0.2836*G10)/12+4)*IF(H10=0,0,(G10/H10))*I10/16*I10/16*10.680159)*(1+J$56)</f>
        <v>0</v>
      </c>
      <c r="W10" s="1926" t="n">
        <f aca="false">((E10*F10/12*G10/324)+ROUNDUP(S10*T10*U10*G10/46656,0)+(N10*O10*E10/3888))*(1+J$51)</f>
        <v>0</v>
      </c>
      <c r="AH10" s="1927" t="n">
        <f aca="false">IF($R$8=1,$N10*$O10*$E10/3888*(1+$J$51),0)</f>
        <v>0</v>
      </c>
      <c r="AI10" s="1928" t="n">
        <f aca="false">IF($R$8=2,$N10*$O10*$E10/3888*(1+$J$51),0)</f>
        <v>0</v>
      </c>
      <c r="AJ10" s="1928" t="n">
        <f aca="false">IF($R$8=3,$N10*$O10*$E10/3888*(1+$J$51),0)</f>
        <v>0</v>
      </c>
      <c r="AK10" s="1928" t="n">
        <f aca="false">IF($R$8=4,$N10*$O10*$E10/3888*(1+$J$51),0)</f>
        <v>0</v>
      </c>
      <c r="AL10" s="1928" t="n">
        <f aca="false">IF($R$8=5,$N10*$O10*$E10/3888*(1+$J$51),0)</f>
        <v>0</v>
      </c>
      <c r="AM10" s="1928" t="n">
        <f aca="false">IF($R$8=6,$N10*$O10*$E10/3888*(1+$J$51),0)</f>
        <v>0</v>
      </c>
      <c r="AN10" s="1928" t="n">
        <f aca="false">IF($R$8=7,$N10*$O10*$E10/3888*(1+$J$51),0)</f>
        <v>0</v>
      </c>
      <c r="AO10" s="1928" t="n">
        <f aca="false">IF($R$8=8,$N10*$O10*$E10/3888*(1+$J$51),0)</f>
        <v>0</v>
      </c>
      <c r="AP10" s="1928" t="n">
        <f aca="false">IF($R$8=9,$N10*$O10*$E10/3888*(1+$J$51),0)</f>
        <v>0</v>
      </c>
      <c r="AQ10" s="1928" t="n">
        <f aca="false">IF($R$8=10,$N10*$O10*$E10/3888*(1+$J$51),0)</f>
        <v>0</v>
      </c>
      <c r="AR10" s="1929" t="n">
        <f aca="false">IF($D10=1,$W10-SUM($AH10:$AQ10),0)</f>
        <v>0</v>
      </c>
      <c r="AS10" s="1928" t="n">
        <f aca="false">IF($D10=2,W10-SUM($AH10:$AQ10),0)</f>
        <v>0</v>
      </c>
      <c r="AT10" s="1928" t="n">
        <f aca="false">IF($D10=3,W10-SUM($AH10:$AQ10),0)</f>
        <v>0</v>
      </c>
      <c r="AU10" s="1928" t="n">
        <f aca="false">IF($D10=4,W10-SUM($AH10:$AQ10),0)</f>
        <v>0</v>
      </c>
      <c r="AV10" s="1928" t="n">
        <f aca="false">IF($D10=5,W10-SUM($AH10:$AQ10),0)</f>
        <v>0</v>
      </c>
      <c r="AW10" s="1928" t="n">
        <f aca="false">IF($D10=6,W10-SUM($AH10:$AQ10),0)</f>
        <v>0</v>
      </c>
      <c r="AX10" s="1928" t="n">
        <f aca="false">IF($D10=7,W10-SUM($AH10:$AQ10),0)</f>
        <v>0</v>
      </c>
      <c r="AY10" s="1928" t="n">
        <f aca="false">IF($D10=8,W10-SUM($AH10:$AQ10),0)</f>
        <v>0</v>
      </c>
      <c r="AZ10" s="1928" t="n">
        <f aca="false">IF($D10=9,W10-SUM($AH10:$AQ10),0)</f>
        <v>0</v>
      </c>
      <c r="BA10" s="1930" t="n">
        <f aca="false">IF($D10=10,W10-SUM($AH10:$AQ10),0)</f>
        <v>0</v>
      </c>
      <c r="BB10" s="1928" t="n">
        <f aca="false">SUM(AH10:AM10)</f>
        <v>0</v>
      </c>
      <c r="BC10" s="1928" t="n">
        <f aca="false">SUM(AR10:AW10)</f>
        <v>0</v>
      </c>
      <c r="BD10" s="1928" t="n">
        <f aca="false">V10</f>
        <v>0</v>
      </c>
      <c r="BE10" s="1928" t="n">
        <f aca="false">E10*G10/12*2+(U10*U10*G10/1728*S10)</f>
        <v>0</v>
      </c>
      <c r="BF10" s="1928" t="n">
        <f aca="false">BE10/2</f>
        <v>0</v>
      </c>
      <c r="BG10" s="1928" t="n">
        <f aca="false">N10*E10/12</f>
        <v>0</v>
      </c>
      <c r="BH10" s="1928" t="n">
        <f aca="false">ROUND(IF(C10="Y",BF10*3/27,0),0)</f>
        <v>0</v>
      </c>
      <c r="BJ10" s="1931" t="n">
        <f aca="false">V10*F$56*IF(T$39="N",(1+V$39),1)</f>
        <v>0</v>
      </c>
      <c r="BK10" s="1932" t="n">
        <f aca="false">(AR10*Pricing!F$3+AS10*Pricing!G$3+AT10*Pricing!H$3+AU10*Pricing!I$3+AV10*Pricing!J$3+AW10*Pricing!K$3+AH10*Pricing!F$3+AI10*Pricing!G$3+AJ10*Pricing!H$3+AK10*Pricing!I$3+AL10*Pricing!J$3+AM10*Pricing!K$3)*IF(T$39="N",(1+V$39),1)</f>
        <v>0</v>
      </c>
      <c r="BL10" s="1932" t="n">
        <f aca="false">IF(C10="Y",(N$59+N$60)/DF$36*DF10,0)</f>
        <v>0</v>
      </c>
      <c r="BM10" s="1932" t="n">
        <f aca="false">BF10*(G$67+D$70)</f>
        <v>0</v>
      </c>
      <c r="BN10" s="1932" t="n">
        <f aca="false">BG10*D$66</f>
        <v>0</v>
      </c>
      <c r="BO10" s="1932" t="n">
        <f aca="false">V10/2000*D$71</f>
        <v>0</v>
      </c>
      <c r="BP10" s="1932" t="n">
        <f aca="false">IF(C10="Y",(N$74+N$73+N$72)/DF$36*DF10,0)</f>
        <v>0</v>
      </c>
      <c r="BQ10" s="1932" t="n">
        <f aca="false">IF(SUM(BF$36:BG$36)=0,0,(SUM(N$78:O$81)+SUM(N$83:O$88)+SUM(N$90:O$96)+W$95)/SUM(BF$36:BG$36)*(BF10+BG10))</f>
        <v>0</v>
      </c>
      <c r="BR10" s="1933"/>
      <c r="BS10" s="1934" t="n">
        <f aca="false">IF(SUM(BF$36:BG$36)=0,0,(BQ$36-W$58-N$64-W77-(L$79*0.15))/SUM(BF$36:BG$36)*BG10+BN10)</f>
        <v>0</v>
      </c>
      <c r="BT10" s="1932" t="n">
        <f aca="false">(AH10*Pricing!F$3+AI10*Pricing!G$3+AJ10*Pricing!H$3+AK10*Pricing!I$3+AL10*Pricing!J$3+AM10*Pricing!K$3)*IF(T$39="N",(1+V$39),1)</f>
        <v>0</v>
      </c>
      <c r="BU10" s="1932" t="n">
        <f aca="false">IF(BG10=0,0,(BS10+BT10)/BG10)</f>
        <v>0</v>
      </c>
      <c r="BV10" s="1932" t="n">
        <f aca="false">SUM(BJ10:BQ10)-BS10-BT10</f>
        <v>0</v>
      </c>
      <c r="BW10" s="1933" t="n">
        <f aca="false">IF(BE10=0,0,BV10/BF10)</f>
        <v>0</v>
      </c>
      <c r="DB10" s="1935" t="n">
        <f aca="false">IF(W10=0,0,D$40/SUM(W$10:W$35)*W10)</f>
        <v>0</v>
      </c>
      <c r="DC10" s="1932" t="e">
        <f aca="false">E10*N10/12*(D$40-7980)/H$66</f>
        <v>#DIV/0!</v>
      </c>
      <c r="DD10" s="179" t="n">
        <f aca="false">ROUND(N10*O10/3088*E10,0)</f>
        <v>0</v>
      </c>
      <c r="DE10" s="908" t="n">
        <f aca="false">ROUND(V10,0)</f>
        <v>0</v>
      </c>
      <c r="DF10" s="356" t="n">
        <f aca="false">ROUND(IF(C10="Y",(G10*0.25*E10+G10*G10/144*0.5*E10)/27*1.3,0),0)</f>
        <v>0</v>
      </c>
      <c r="DG10" s="908" t="n">
        <f aca="false">ROUND(E10*G10/12,0)</f>
        <v>0</v>
      </c>
      <c r="DH10" s="908" t="n">
        <f aca="false">IF(C10="y",ROUNDUP(E10*G10/12,0),0)</f>
        <v>0</v>
      </c>
      <c r="DI10" s="908" t="n">
        <f aca="false">IF(C10="Y",IF(E10&gt;0,E10,0),0)</f>
        <v>0</v>
      </c>
      <c r="DJ10" s="1936" t="n">
        <f aca="false">ROUND(E10*N10/12,0)</f>
        <v>0</v>
      </c>
    </row>
    <row r="11" s="1414" customFormat="true" ht="15" hidden="false" customHeight="false" outlineLevel="0" collapsed="false">
      <c r="A11" s="507"/>
      <c r="B11" s="1312"/>
      <c r="C11" s="1919"/>
      <c r="D11" s="1920"/>
      <c r="E11" s="1921"/>
      <c r="F11" s="1234"/>
      <c r="G11" s="1235"/>
      <c r="H11" s="1236"/>
      <c r="I11" s="1234"/>
      <c r="J11" s="1235"/>
      <c r="K11" s="1236"/>
      <c r="L11" s="1234"/>
      <c r="M11" s="1234"/>
      <c r="N11" s="1922"/>
      <c r="O11" s="1234"/>
      <c r="P11" s="1234"/>
      <c r="Q11" s="1237"/>
      <c r="R11" s="1923"/>
      <c r="S11" s="1924"/>
      <c r="T11" s="78"/>
      <c r="U11" s="900"/>
      <c r="V11" s="1925" t="n">
        <f aca="false">((E11*I11/16*I11/16*10.680159*J11)*IF(H11=0,0,(G11/H11))+(G11/12*L11/16*L11/16*10.680159*M11)*IF(K11=0,0,(E11*12/K11))+(E11*IF(P11=0,0,N11/P11)*Q11/16*Q11/16*10.680159*R11)+(IF(P11=0,0,E11/P11*N11)*Q11/16*Q11/16*10.680159*R11)+((T11*U11*S11*0.03*0.2836*G11)/12+4)*IF(H11=0,0,(G11/H11))*I11/16*I11/16*10.680159)*(1+J$56)</f>
        <v>0</v>
      </c>
      <c r="W11" s="1926" t="n">
        <f aca="false">((E11*F11/12*G11/324)+ROUNDUP(S11*T11*U11*G11/46656,0)+(N11*O11*E11/3888))*(1+J$51)</f>
        <v>0</v>
      </c>
      <c r="AH11" s="1929" t="n">
        <f aca="false">IF($R$8=1,$N11*$O11*$E11/3888*(1+$J$51),0)</f>
        <v>0</v>
      </c>
      <c r="AI11" s="1928" t="n">
        <f aca="false">IF($R$8=2,$N11*$O11*$E11/3888*(1+$J$51),0)</f>
        <v>0</v>
      </c>
      <c r="AJ11" s="1928" t="n">
        <f aca="false">IF($R$8=3,$N11*$O11*$E11/3888*(1+$J$51),0)</f>
        <v>0</v>
      </c>
      <c r="AK11" s="1928" t="n">
        <f aca="false">IF($R$8=4,$N11*$O11*$E11/3888*(1+$J$51),0)</f>
        <v>0</v>
      </c>
      <c r="AL11" s="1928" t="n">
        <f aca="false">IF($R$8=5,$N11*$O11*$E11/3888*(1+$J$51),0)</f>
        <v>0</v>
      </c>
      <c r="AM11" s="1928" t="n">
        <f aca="false">IF($R$8=6,$N11*$O11*$E11/3888*(1+$J$51),0)</f>
        <v>0</v>
      </c>
      <c r="AN11" s="1928" t="n">
        <f aca="false">IF($R$8=7,$N11*$O11*$E11/3888*(1+$J$51),0)</f>
        <v>0</v>
      </c>
      <c r="AO11" s="1928" t="n">
        <f aca="false">IF($R$8=8,$N11*$O11*$E11/3888*(1+$J$51),0)</f>
        <v>0</v>
      </c>
      <c r="AP11" s="1928" t="n">
        <f aca="false">IF($R$8=9,$N11*$O11*$E11/3888*(1+$J$51),0)</f>
        <v>0</v>
      </c>
      <c r="AQ11" s="1928" t="n">
        <f aca="false">IF($R$8=10,$N11*$O11*$E11/3888*(1+$J$51),0)</f>
        <v>0</v>
      </c>
      <c r="AR11" s="1929" t="n">
        <f aca="false">IF($D11=1,$W11-SUM($AH11:$AQ11),0)</f>
        <v>0</v>
      </c>
      <c r="AS11" s="1928" t="n">
        <f aca="false">IF($D11=2,W11-SUM($AH11:$AQ11),0)</f>
        <v>0</v>
      </c>
      <c r="AT11" s="1928" t="n">
        <f aca="false">IF($D11=3,W11-SUM($AH11:$AQ11),0)</f>
        <v>0</v>
      </c>
      <c r="AU11" s="1928" t="n">
        <f aca="false">IF($D11=4,W11-SUM($AH11:$AQ11),0)</f>
        <v>0</v>
      </c>
      <c r="AV11" s="1928" t="n">
        <f aca="false">IF($D11=5,W11-SUM($AH11:$AQ11),0)</f>
        <v>0</v>
      </c>
      <c r="AW11" s="1928" t="n">
        <f aca="false">IF($D11=6,W11-SUM($AH11:$AQ11),0)</f>
        <v>0</v>
      </c>
      <c r="AX11" s="1928" t="n">
        <f aca="false">IF($D11=7,W11-SUM($AH11:$AQ11),0)</f>
        <v>0</v>
      </c>
      <c r="AY11" s="1928" t="n">
        <f aca="false">IF($D11=8,W11-SUM($AH11:$AQ11),0)</f>
        <v>0</v>
      </c>
      <c r="AZ11" s="1928" t="n">
        <f aca="false">IF($D11=9,W11-SUM($AH11:$AQ11),0)</f>
        <v>0</v>
      </c>
      <c r="BA11" s="1930" t="n">
        <f aca="false">IF($D11=10,W11-SUM($AH11:$AQ11),0)</f>
        <v>0</v>
      </c>
      <c r="BB11" s="1928" t="n">
        <f aca="false">SUM(AH11:AM11)</f>
        <v>0</v>
      </c>
      <c r="BC11" s="1928" t="n">
        <f aca="false">SUM(AR11:AW11)</f>
        <v>0</v>
      </c>
      <c r="BD11" s="1928" t="n">
        <f aca="false">V11</f>
        <v>0</v>
      </c>
      <c r="BE11" s="1928" t="n">
        <f aca="false">E11*G11/12*2+(U11*U11*G11/1728*S11)</f>
        <v>0</v>
      </c>
      <c r="BF11" s="1928" t="n">
        <f aca="false">BE11/2</f>
        <v>0</v>
      </c>
      <c r="BG11" s="1928" t="n">
        <f aca="false">N11*E11/12</f>
        <v>0</v>
      </c>
      <c r="BH11" s="1928" t="n">
        <f aca="false">ROUND(IF(C11="Y",BF11*3/27,0),0)</f>
        <v>0</v>
      </c>
      <c r="BJ11" s="1931" t="n">
        <f aca="false">V11*F$56*IF(T$39="N",(1+V$39),1)</f>
        <v>0</v>
      </c>
      <c r="BK11" s="1932" t="n">
        <f aca="false">(AR11*Pricing!F$3+AS11*Pricing!G$3+AT11*Pricing!H$3+AU11*Pricing!I$3+AV11*Pricing!J$3+AW11*Pricing!K$3+AH11*Pricing!F$3+AI11*Pricing!G$3+AJ11*Pricing!H$3+AK11*Pricing!I$3+AL11*Pricing!J$3+AM11*Pricing!K$3)*IF(T$39="N",(1+V$39),1)</f>
        <v>0</v>
      </c>
      <c r="BL11" s="1932" t="n">
        <f aca="false">IF(C11="Y",(N$59+N$60)/DF$36*DF11,0)</f>
        <v>0</v>
      </c>
      <c r="BM11" s="1932" t="n">
        <f aca="false">BF11*(G$67+D$70)</f>
        <v>0</v>
      </c>
      <c r="BN11" s="1932" t="n">
        <f aca="false">BG11*D$66</f>
        <v>0</v>
      </c>
      <c r="BO11" s="1932" t="n">
        <f aca="false">V11/2000*D$71</f>
        <v>0</v>
      </c>
      <c r="BP11" s="1932" t="n">
        <f aca="false">IF(C11="Y",(N$74+N$73+N$72)/DF$36*DF11,0)</f>
        <v>0</v>
      </c>
      <c r="BQ11" s="1932" t="n">
        <f aca="false">IF(SUM(BF$36:BG$36)=0,0,(SUM(N$78:O$81)+SUM(N$83:O$88)+SUM(N$90:O$96)+W$95)/SUM(BF$36:BG$36)*(BF11+BG11))</f>
        <v>0</v>
      </c>
      <c r="BR11" s="1933"/>
      <c r="BS11" s="1934" t="n">
        <f aca="false">IF(SUM(BF$36:BG$36)=0,0,(BQ$36-W$58-N$64-W59-(L$79*0.15))/SUM(BF$36:BG$36)*BG11+BN11)</f>
        <v>0</v>
      </c>
      <c r="BT11" s="1932" t="n">
        <f aca="false">(AH11*Pricing!F$3+AI11*Pricing!G$3+AJ11*Pricing!H$3+AK11*Pricing!I$3+AL11*Pricing!J$3+AM11*Pricing!K$3)*IF(T$39="N",(1+V$39),1)</f>
        <v>0</v>
      </c>
      <c r="BU11" s="1932" t="n">
        <f aca="false">IF(BG11=0,0,(BS11+BT11)/BG11)</f>
        <v>0</v>
      </c>
      <c r="BV11" s="1932" t="n">
        <f aca="false">SUM(BJ11:BQ11)-BS11-BT11</f>
        <v>0</v>
      </c>
      <c r="BW11" s="1933" t="n">
        <f aca="false">IF(BE11=0,0,BV11/BF11)</f>
        <v>0</v>
      </c>
      <c r="DB11" s="1935" t="n">
        <f aca="false">IF(W11=0,0,D$40/SUM(W$10:W$35)*W11)</f>
        <v>0</v>
      </c>
      <c r="DC11" s="1932" t="e">
        <f aca="false">E11*N11/12*(D$40-7980)/H$66</f>
        <v>#DIV/0!</v>
      </c>
      <c r="DD11" s="179" t="n">
        <f aca="false">ROUND(N11*O11/3088*E11,0)</f>
        <v>0</v>
      </c>
      <c r="DE11" s="908" t="n">
        <f aca="false">ROUND(V11,0)</f>
        <v>0</v>
      </c>
      <c r="DF11" s="356" t="n">
        <f aca="false">ROUND(IF(C11="Y",(G11*0.25*E11+G11*G11/144*0.5*E11)/27*1.3,0),0)</f>
        <v>0</v>
      </c>
      <c r="DG11" s="908" t="n">
        <f aca="false">ROUND(E11*G11/12,0)</f>
        <v>0</v>
      </c>
      <c r="DH11" s="908" t="n">
        <f aca="false">IF(C11="y",ROUNDUP(E11*G11/12,0),0)</f>
        <v>0</v>
      </c>
      <c r="DI11" s="908" t="n">
        <f aca="false">IF(C11="Y",IF(E11&gt;0,E11,0),0)</f>
        <v>0</v>
      </c>
      <c r="DJ11" s="1936" t="n">
        <f aca="false">ROUND(E11*N11/12,0)</f>
        <v>0</v>
      </c>
    </row>
    <row r="12" s="1414" customFormat="true" ht="15" hidden="false" customHeight="false" outlineLevel="0" collapsed="false">
      <c r="A12" s="507"/>
      <c r="B12" s="1312"/>
      <c r="C12" s="1919"/>
      <c r="D12" s="1920"/>
      <c r="E12" s="1921"/>
      <c r="F12" s="1234"/>
      <c r="G12" s="1235"/>
      <c r="H12" s="1236"/>
      <c r="I12" s="1234"/>
      <c r="J12" s="1235"/>
      <c r="K12" s="1236"/>
      <c r="L12" s="1234"/>
      <c r="M12" s="1234"/>
      <c r="N12" s="1922"/>
      <c r="O12" s="1234"/>
      <c r="P12" s="1234"/>
      <c r="Q12" s="1237"/>
      <c r="R12" s="1923"/>
      <c r="S12" s="1924"/>
      <c r="T12" s="78"/>
      <c r="U12" s="900"/>
      <c r="V12" s="1925" t="n">
        <f aca="false">((E12*I12/16*I12/16*10.680159*J12)*IF(H12=0,0,(G12/H12))+(G12/12*L12/16*L12/16*10.680159*M12)*IF(K12=0,0,(E12*12/K12))+(E12*IF(P12=0,0,N12/P12)*Q12/16*Q12/16*10.680159*R12)+(IF(P12=0,0,E12/P12*N12)*Q12/16*Q12/16*10.680159*R12)+((T12*U12*S12*0.03*0.2836*G12)/12+4)*IF(H12=0,0,(G12/H12))*I12/16*I12/16*10.680159)*(1+J$56)</f>
        <v>0</v>
      </c>
      <c r="W12" s="1926" t="n">
        <f aca="false">((E12*F12/12*G12/324)+ROUNDUP(S12*T12*U12*G12/46656,0)+(N12*O12*E12/3888))*(1+J$51)</f>
        <v>0</v>
      </c>
      <c r="AH12" s="1929" t="n">
        <f aca="false">IF($R$8=1,$N12*$O12*$E12/3888*(1+$J$51),0)</f>
        <v>0</v>
      </c>
      <c r="AI12" s="1928" t="n">
        <f aca="false">IF($R$8=2,$N12*$O12*$E12/3888*(1+$J$51),0)</f>
        <v>0</v>
      </c>
      <c r="AJ12" s="1928" t="n">
        <f aca="false">IF($R$8=3,$N12*$O12*$E12/3888*(1+$J$51),0)</f>
        <v>0</v>
      </c>
      <c r="AK12" s="1928" t="n">
        <f aca="false">IF($R$8=4,$N12*$O12*$E12/3888*(1+$J$51),0)</f>
        <v>0</v>
      </c>
      <c r="AL12" s="1928" t="n">
        <f aca="false">IF($R$8=5,$N12*$O12*$E12/3888*(1+$J$51),0)</f>
        <v>0</v>
      </c>
      <c r="AM12" s="1928" t="n">
        <f aca="false">IF($R$8=6,$N12*$O12*$E12/3888*(1+$J$51),0)</f>
        <v>0</v>
      </c>
      <c r="AN12" s="1928" t="n">
        <f aca="false">IF($R$8=7,$N12*$O12*$E12/3888*(1+$J$51),0)</f>
        <v>0</v>
      </c>
      <c r="AO12" s="1928" t="n">
        <f aca="false">IF($R$8=8,$N12*$O12*$E12/3888*(1+$J$51),0)</f>
        <v>0</v>
      </c>
      <c r="AP12" s="1928" t="n">
        <f aca="false">IF($R$8=9,$N12*$O12*$E12/3888*(1+$J$51),0)</f>
        <v>0</v>
      </c>
      <c r="AQ12" s="1928" t="n">
        <f aca="false">IF($R$8=10,$N12*$O12*$E12/3888*(1+$J$51),0)</f>
        <v>0</v>
      </c>
      <c r="AR12" s="1929" t="n">
        <f aca="false">IF($D12=1,$W12-SUM($AH12:$AQ12),0)</f>
        <v>0</v>
      </c>
      <c r="AS12" s="1928" t="n">
        <f aca="false">IF($D12=2,W12-SUM($AH12:$AQ12),0)</f>
        <v>0</v>
      </c>
      <c r="AT12" s="1928" t="n">
        <f aca="false">IF($D12=3,W12-SUM($AH12:$AQ12),0)</f>
        <v>0</v>
      </c>
      <c r="AU12" s="1928" t="n">
        <f aca="false">IF($D12=4,W12-SUM($AH12:$AQ12),0)</f>
        <v>0</v>
      </c>
      <c r="AV12" s="1928" t="n">
        <f aca="false">IF($D12=5,W12-SUM($AH12:$AQ12),0)</f>
        <v>0</v>
      </c>
      <c r="AW12" s="1928" t="n">
        <f aca="false">IF($D12=6,W12-SUM($AH12:$AQ12),0)</f>
        <v>0</v>
      </c>
      <c r="AX12" s="1928" t="n">
        <f aca="false">IF($D12=7,W12-SUM($AH12:$AQ12),0)</f>
        <v>0</v>
      </c>
      <c r="AY12" s="1928" t="n">
        <f aca="false">IF($D12=8,W12-SUM($AH12:$AQ12),0)</f>
        <v>0</v>
      </c>
      <c r="AZ12" s="1928" t="n">
        <f aca="false">IF($D12=9,W12-SUM($AH12:$AQ12),0)</f>
        <v>0</v>
      </c>
      <c r="BA12" s="1930" t="n">
        <f aca="false">IF($D12=10,W12-SUM($AH12:$AQ12),0)</f>
        <v>0</v>
      </c>
      <c r="BB12" s="1928" t="n">
        <f aca="false">SUM(AH12:AM12)</f>
        <v>0</v>
      </c>
      <c r="BC12" s="1928" t="n">
        <f aca="false">SUM(AR12:AW12)</f>
        <v>0</v>
      </c>
      <c r="BD12" s="1928" t="n">
        <f aca="false">V12</f>
        <v>0</v>
      </c>
      <c r="BE12" s="1928" t="n">
        <f aca="false">E12*G12/12*2+(U12*U12*G12/1728*S12)</f>
        <v>0</v>
      </c>
      <c r="BF12" s="1928" t="n">
        <f aca="false">BE12/2</f>
        <v>0</v>
      </c>
      <c r="BG12" s="1928" t="n">
        <f aca="false">N12*E12/12</f>
        <v>0</v>
      </c>
      <c r="BH12" s="1928" t="n">
        <f aca="false">ROUND(IF(C12="Y",BF12*3/27,0),0)</f>
        <v>0</v>
      </c>
      <c r="BJ12" s="1931" t="n">
        <f aca="false">V12*F$56*IF(T$39="N",(1+V$39),1)</f>
        <v>0</v>
      </c>
      <c r="BK12" s="1932" t="n">
        <f aca="false">(AR12*Pricing!F$3+AS12*Pricing!G$3+AT12*Pricing!H$3+AU12*Pricing!I$3+AV12*Pricing!J$3+AW12*Pricing!K$3+AH12*Pricing!F$3+AI12*Pricing!G$3+AJ12*Pricing!H$3+AK12*Pricing!I$3+AL12*Pricing!J$3+AM12*Pricing!K$3)*IF(T$39="N",(1+V$39),1)</f>
        <v>0</v>
      </c>
      <c r="BL12" s="1932" t="n">
        <f aca="false">IF(C12="Y",(N$59+N$60)/DF$36*DF12,0)</f>
        <v>0</v>
      </c>
      <c r="BM12" s="1932" t="n">
        <f aca="false">BF12*(G$67+D$70)</f>
        <v>0</v>
      </c>
      <c r="BN12" s="1932" t="n">
        <f aca="false">BG12*D$66</f>
        <v>0</v>
      </c>
      <c r="BO12" s="1932" t="n">
        <f aca="false">V12/2000*D$71</f>
        <v>0</v>
      </c>
      <c r="BP12" s="1932" t="n">
        <f aca="false">IF(C12="Y",(N$74+N$73+N$72)/DF$36*DF12,0)</f>
        <v>0</v>
      </c>
      <c r="BQ12" s="1932" t="n">
        <f aca="false">IF(SUM(BF$36:BG$36)=0,0,(SUM(N$78:O$81)+SUM(N$83:O$88)+SUM(N$90:O$96)+W$95)/SUM(BF$36:BG$36)*(BF12+BG12))</f>
        <v>0</v>
      </c>
      <c r="BR12" s="1933"/>
      <c r="BS12" s="1934" t="n">
        <f aca="false">IF(SUM(BF$36:BG$36)=0,0,(BQ$36-W$58-N$64-W56-(L$79*0.15))/SUM(BF$36:BG$36)*BG12+BN12)</f>
        <v>0</v>
      </c>
      <c r="BT12" s="1932" t="n">
        <f aca="false">(AH12*Pricing!F$3+AI12*Pricing!G$3+AJ12*Pricing!H$3+AK12*Pricing!I$3+AL12*Pricing!J$3+AM12*Pricing!K$3)*IF(T$39="N",(1+V$39),1)</f>
        <v>0</v>
      </c>
      <c r="BU12" s="1932" t="n">
        <f aca="false">IF(BG12=0,0,(BS12+BT12)/BG12)</f>
        <v>0</v>
      </c>
      <c r="BV12" s="1932" t="n">
        <f aca="false">SUM(BJ12:BQ12)-BS12-BT12</f>
        <v>0</v>
      </c>
      <c r="BW12" s="1933" t="n">
        <f aca="false">IF(BE12=0,0,BV12/BF12)</f>
        <v>0</v>
      </c>
      <c r="DB12" s="1935" t="n">
        <f aca="false">IF(W12=0,0,D$40/SUM(W$10:W$35)*W12)</f>
        <v>0</v>
      </c>
      <c r="DC12" s="1932" t="e">
        <f aca="false">E12*N12/12*(D$40-7980)/H$66</f>
        <v>#DIV/0!</v>
      </c>
      <c r="DD12" s="179" t="n">
        <f aca="false">ROUND(N12*O12/3088*E12,0)</f>
        <v>0</v>
      </c>
      <c r="DE12" s="908" t="n">
        <f aca="false">ROUND(V12,0)</f>
        <v>0</v>
      </c>
      <c r="DF12" s="356" t="n">
        <f aca="false">ROUND(IF(C12="Y",(G12*0.25*E12+G12*G12/144*0.5*E12)/27*1.3,0),0)</f>
        <v>0</v>
      </c>
      <c r="DG12" s="908" t="n">
        <f aca="false">ROUND(E12*G12/12,0)</f>
        <v>0</v>
      </c>
      <c r="DH12" s="908" t="n">
        <f aca="false">IF(C12="y",ROUNDUP(E12*G12/12,0),0)</f>
        <v>0</v>
      </c>
      <c r="DI12" s="908" t="n">
        <f aca="false">IF(C12="Y",IF(E12&gt;0,E12,0),0)</f>
        <v>0</v>
      </c>
      <c r="DJ12" s="1936" t="n">
        <f aca="false">ROUND(E12*N12/12,0)</f>
        <v>0</v>
      </c>
    </row>
    <row r="13" s="1414" customFormat="true" ht="15" hidden="false" customHeight="false" outlineLevel="0" collapsed="false">
      <c r="A13" s="507"/>
      <c r="B13" s="1312"/>
      <c r="C13" s="1919"/>
      <c r="D13" s="1920"/>
      <c r="E13" s="1921"/>
      <c r="F13" s="1234"/>
      <c r="G13" s="1235"/>
      <c r="H13" s="1236"/>
      <c r="I13" s="1234"/>
      <c r="J13" s="1235"/>
      <c r="K13" s="1236"/>
      <c r="L13" s="1234"/>
      <c r="M13" s="1234"/>
      <c r="N13" s="1922"/>
      <c r="O13" s="1234"/>
      <c r="P13" s="1234"/>
      <c r="Q13" s="1237"/>
      <c r="R13" s="1923"/>
      <c r="S13" s="1924"/>
      <c r="T13" s="78"/>
      <c r="U13" s="900"/>
      <c r="V13" s="1925" t="n">
        <f aca="false">((E13*I13/16*I13/16*10.680159*J13)*IF(H13=0,0,(G13/H13))+(G13/12*L13/16*L13/16*10.680159*M13)*IF(K13=0,0,(E13*12/K13))+(E13*IF(P13=0,0,N13/P13)*Q13/16*Q13/16*10.680159*R13)+(IF(P13=0,0,E13/P13*N13)*Q13/16*Q13/16*10.680159*R13)+((T13*U13*S13*0.03*0.2836*G13)/12+4)*IF(H13=0,0,(G13/H13))*I13/16*I13/16*10.680159)*(1+J$56)</f>
        <v>0</v>
      </c>
      <c r="W13" s="1926" t="n">
        <f aca="false">((E13*F13/12*G13/324)+ROUNDUP(S13*T13*U13*G13/46656,0)+(N13*O13*E13/3888))*(1+J$51)</f>
        <v>0</v>
      </c>
      <c r="AH13" s="1929" t="n">
        <f aca="false">IF($R$8=1,$N13*$O13*$E13/3888*(1+$J$51),0)</f>
        <v>0</v>
      </c>
      <c r="AI13" s="1928" t="n">
        <f aca="false">IF($R$8=2,$N13*$O13*$E13/3888*(1+$J$51),0)</f>
        <v>0</v>
      </c>
      <c r="AJ13" s="1928" t="n">
        <f aca="false">IF($R$8=3,$N13*$O13*$E13/3888*(1+$J$51),0)</f>
        <v>0</v>
      </c>
      <c r="AK13" s="1928" t="n">
        <f aca="false">IF($R$8=4,$N13*$O13*$E13/3888*(1+$J$51),0)</f>
        <v>0</v>
      </c>
      <c r="AL13" s="1928" t="n">
        <f aca="false">IF($R$8=5,$N13*$O13*$E13/3888*(1+$J$51),0)</f>
        <v>0</v>
      </c>
      <c r="AM13" s="1928" t="n">
        <f aca="false">IF($R$8=6,$N13*$O13*$E13/3888*(1+$J$51),0)</f>
        <v>0</v>
      </c>
      <c r="AN13" s="1928" t="n">
        <f aca="false">IF($R$8=7,$N13*$O13*$E13/3888*(1+$J$51),0)</f>
        <v>0</v>
      </c>
      <c r="AO13" s="1928" t="n">
        <f aca="false">IF($R$8=8,$N13*$O13*$E13/3888*(1+$J$51),0)</f>
        <v>0</v>
      </c>
      <c r="AP13" s="1928" t="n">
        <f aca="false">IF($R$8=9,$N13*$O13*$E13/3888*(1+$J$51),0)</f>
        <v>0</v>
      </c>
      <c r="AQ13" s="1928" t="n">
        <f aca="false">IF($R$8=10,$N13*$O13*$E13/3888*(1+$J$51),0)</f>
        <v>0</v>
      </c>
      <c r="AR13" s="1929" t="n">
        <f aca="false">IF($D13=1,$W13-SUM($AH13:$AQ13),0)</f>
        <v>0</v>
      </c>
      <c r="AS13" s="1928" t="n">
        <f aca="false">IF($D13=2,W13-SUM($AH13:$AQ13),0)</f>
        <v>0</v>
      </c>
      <c r="AT13" s="1928" t="n">
        <f aca="false">IF($D13=3,W13-SUM($AH13:$AQ13),0)</f>
        <v>0</v>
      </c>
      <c r="AU13" s="1928" t="n">
        <f aca="false">IF($D13=4,W13-SUM($AH13:$AQ13),0)</f>
        <v>0</v>
      </c>
      <c r="AV13" s="1928" t="n">
        <f aca="false">IF($D13=5,W13-SUM($AH13:$AQ13),0)</f>
        <v>0</v>
      </c>
      <c r="AW13" s="1928" t="n">
        <f aca="false">IF($D13=6,W13-SUM($AH13:$AQ13),0)</f>
        <v>0</v>
      </c>
      <c r="AX13" s="1928" t="n">
        <f aca="false">IF($D13=7,W13-SUM($AH13:$AQ13),0)</f>
        <v>0</v>
      </c>
      <c r="AY13" s="1928" t="n">
        <f aca="false">IF($D13=8,W13-SUM($AH13:$AQ13),0)</f>
        <v>0</v>
      </c>
      <c r="AZ13" s="1928" t="n">
        <f aca="false">IF($D13=9,W13-SUM($AH13:$AQ13),0)</f>
        <v>0</v>
      </c>
      <c r="BA13" s="1930" t="n">
        <f aca="false">IF($D13=10,W13-SUM($AH13:$AQ13),0)</f>
        <v>0</v>
      </c>
      <c r="BB13" s="1928" t="n">
        <f aca="false">SUM(AH13:AM13)</f>
        <v>0</v>
      </c>
      <c r="BC13" s="1928" t="n">
        <f aca="false">SUM(AR13:AW13)</f>
        <v>0</v>
      </c>
      <c r="BD13" s="1928" t="n">
        <f aca="false">V13</f>
        <v>0</v>
      </c>
      <c r="BE13" s="1928" t="n">
        <f aca="false">E13*G13/12*2+(U13*U13*G13/1728*S13)</f>
        <v>0</v>
      </c>
      <c r="BF13" s="1928" t="n">
        <f aca="false">BE13/2</f>
        <v>0</v>
      </c>
      <c r="BG13" s="1928" t="n">
        <f aca="false">N13*E13/12</f>
        <v>0</v>
      </c>
      <c r="BH13" s="1928" t="n">
        <f aca="false">ROUND(IF(C13="Y",BF13*3/27,0),0)</f>
        <v>0</v>
      </c>
      <c r="BJ13" s="1931" t="n">
        <f aca="false">V13*F$56*IF(T$39="N",(1+V$39),1)</f>
        <v>0</v>
      </c>
      <c r="BK13" s="1932" t="n">
        <f aca="false">(AR13*Pricing!F$3+AS13*Pricing!G$3+AT13*Pricing!H$3+AU13*Pricing!I$3+AV13*Pricing!J$3+AW13*Pricing!K$3+AH13*Pricing!F$3+AI13*Pricing!G$3+AJ13*Pricing!H$3+AK13*Pricing!I$3+AL13*Pricing!J$3+AM13*Pricing!K$3)*IF(T$39="N",(1+V$39),1)</f>
        <v>0</v>
      </c>
      <c r="BL13" s="1932" t="n">
        <f aca="false">IF(C13="Y",(N$59+N$60)/DF$36*DF13,0)</f>
        <v>0</v>
      </c>
      <c r="BM13" s="1932" t="n">
        <f aca="false">BF13*(G$67+D$70)</f>
        <v>0</v>
      </c>
      <c r="BN13" s="1932" t="n">
        <f aca="false">BG13*D$66</f>
        <v>0</v>
      </c>
      <c r="BO13" s="1932" t="n">
        <f aca="false">V13/2000*D$71</f>
        <v>0</v>
      </c>
      <c r="BP13" s="1932" t="n">
        <f aca="false">IF(C13="Y",(N$74+N$73+N$72)/DF$36*DF13,0)</f>
        <v>0</v>
      </c>
      <c r="BQ13" s="1932" t="n">
        <f aca="false">IF(SUM(BF$36:BG$36)=0,0,(SUM(N$78:O$81)+SUM(N$83:O$88)+SUM(N$90:O$96)+W$95)/SUM(BF$36:BG$36)*(BF13+BG13))</f>
        <v>0</v>
      </c>
      <c r="BR13" s="1933"/>
      <c r="BS13" s="1934" t="n">
        <f aca="false">IF(SUM(BF$36:BG$36)=0,0,(BQ$36-W$58-N$64-W58-(L$79*0.15))/SUM(BF$36:BG$36)*BG13+BN13)</f>
        <v>0</v>
      </c>
      <c r="BT13" s="1932" t="n">
        <f aca="false">(AH13*Pricing!F$3+AI13*Pricing!G$3+AJ13*Pricing!H$3+AK13*Pricing!I$3+AL13*Pricing!J$3+AM13*Pricing!K$3)*IF(T$39="N",(1+V$39),1)</f>
        <v>0</v>
      </c>
      <c r="BU13" s="1932" t="n">
        <f aca="false">IF(BG13=0,0,(BS13+BT13)/BG13)</f>
        <v>0</v>
      </c>
      <c r="BV13" s="1932" t="n">
        <f aca="false">SUM(BJ13:BQ13)-BS13-BT13</f>
        <v>0</v>
      </c>
      <c r="BW13" s="1933" t="n">
        <f aca="false">IF(BE13=0,0,BV13/BF13)</f>
        <v>0</v>
      </c>
      <c r="DB13" s="1935" t="n">
        <f aca="false">IF(W13=0,0,D$40/SUM(W$10:W$35)*W13)</f>
        <v>0</v>
      </c>
      <c r="DC13" s="1932" t="e">
        <f aca="false">E13*N13/12*(D$40-7980)/H$66</f>
        <v>#DIV/0!</v>
      </c>
      <c r="DD13" s="179" t="n">
        <f aca="false">ROUND(N13*O13/3088*E13,0)</f>
        <v>0</v>
      </c>
      <c r="DE13" s="908" t="n">
        <f aca="false">ROUND(V13,0)</f>
        <v>0</v>
      </c>
      <c r="DF13" s="356" t="n">
        <f aca="false">ROUND(IF(C13="Y",(G13*0.25*E13+G13*G13/144*0.5*E13)/27*1.3,0),0)</f>
        <v>0</v>
      </c>
      <c r="DG13" s="908" t="n">
        <f aca="false">ROUND(E13*G13/12,0)</f>
        <v>0</v>
      </c>
      <c r="DH13" s="908" t="n">
        <f aca="false">IF(C13="y",ROUNDUP(E13*G13/12,0),0)</f>
        <v>0</v>
      </c>
      <c r="DI13" s="908" t="n">
        <f aca="false">IF(C13="Y",IF(E13&gt;0,E13,0),0)</f>
        <v>0</v>
      </c>
      <c r="DJ13" s="1936" t="n">
        <f aca="false">ROUND(E13*N13/12,0)</f>
        <v>0</v>
      </c>
    </row>
    <row r="14" s="1414" customFormat="true" ht="15" hidden="false" customHeight="false" outlineLevel="0" collapsed="false">
      <c r="A14" s="507"/>
      <c r="B14" s="1312"/>
      <c r="C14" s="1919"/>
      <c r="D14" s="1920"/>
      <c r="E14" s="1921"/>
      <c r="F14" s="1234"/>
      <c r="G14" s="1235"/>
      <c r="H14" s="1236"/>
      <c r="I14" s="1234"/>
      <c r="J14" s="1235"/>
      <c r="K14" s="1236"/>
      <c r="L14" s="1234"/>
      <c r="M14" s="1234"/>
      <c r="N14" s="1922"/>
      <c r="O14" s="1234"/>
      <c r="P14" s="1234"/>
      <c r="Q14" s="1237"/>
      <c r="R14" s="1923"/>
      <c r="S14" s="1924"/>
      <c r="T14" s="78"/>
      <c r="U14" s="900"/>
      <c r="V14" s="1925" t="n">
        <f aca="false">((E14*I14/16*I14/16*10.680159*J14)*IF(H14=0,0,(G14/H14))+(G14/12*L14/16*L14/16*10.680159*M14)*IF(K14=0,0,(E14*12/K14))+(E14*IF(P14=0,0,N14/P14)*Q14/16*Q14/16*10.680159*R14)+(IF(P14=0,0,E14/P14*N14)*Q14/16*Q14/16*10.680159*R14)+((T14*U14*S14*0.03*0.2836*G14)/12+4)*IF(H14=0,0,(G14/H14))*I14/16*I14/16*10.680159)*(1+J$56)</f>
        <v>0</v>
      </c>
      <c r="W14" s="1926" t="n">
        <f aca="false">((E14*F14/12*G14/324)+ROUNDUP(S14*T14*U14*G14/46656,0)+(N14*O14*E14/3888))*(1+J$51)</f>
        <v>0</v>
      </c>
      <c r="AH14" s="1929" t="n">
        <f aca="false">IF($R$8=1,$N14*$O14*$E14/3888*(1+$J$51),0)</f>
        <v>0</v>
      </c>
      <c r="AI14" s="1928" t="n">
        <f aca="false">IF($R$8=2,$N14*$O14*$E14/3888*(1+$J$51),0)</f>
        <v>0</v>
      </c>
      <c r="AJ14" s="1928" t="n">
        <f aca="false">IF($R$8=3,$N14*$O14*$E14/3888*(1+$J$51),0)</f>
        <v>0</v>
      </c>
      <c r="AK14" s="1928" t="n">
        <f aca="false">IF($R$8=4,$N14*$O14*$E14/3888*(1+$J$51),0)</f>
        <v>0</v>
      </c>
      <c r="AL14" s="1928" t="n">
        <f aca="false">IF($R$8=5,$N14*$O14*$E14/3888*(1+$J$51),0)</f>
        <v>0</v>
      </c>
      <c r="AM14" s="1928" t="n">
        <f aca="false">IF($R$8=6,$N14*$O14*$E14/3888*(1+$J$51),0)</f>
        <v>0</v>
      </c>
      <c r="AN14" s="1928" t="n">
        <f aca="false">IF($R$8=7,$N14*$O14*$E14/3888*(1+$J$51),0)</f>
        <v>0</v>
      </c>
      <c r="AO14" s="1928" t="n">
        <f aca="false">IF($R$8=8,$N14*$O14*$E14/3888*(1+$J$51),0)</f>
        <v>0</v>
      </c>
      <c r="AP14" s="1928" t="n">
        <f aca="false">IF($R$8=9,$N14*$O14*$E14/3888*(1+$J$51),0)</f>
        <v>0</v>
      </c>
      <c r="AQ14" s="1928" t="n">
        <f aca="false">IF($R$8=10,$N14*$O14*$E14/3888*(1+$J$51),0)</f>
        <v>0</v>
      </c>
      <c r="AR14" s="1929" t="n">
        <f aca="false">IF($D14=1,$W14-SUM($AH14:$AQ14),0)</f>
        <v>0</v>
      </c>
      <c r="AS14" s="1928" t="n">
        <f aca="false">IF($D14=2,W14-SUM($AH14:$AQ14),0)</f>
        <v>0</v>
      </c>
      <c r="AT14" s="1928" t="n">
        <f aca="false">IF($D14=3,W14-SUM($AH14:$AQ14),0)</f>
        <v>0</v>
      </c>
      <c r="AU14" s="1928" t="n">
        <f aca="false">IF($D14=4,W14-SUM($AH14:$AQ14),0)</f>
        <v>0</v>
      </c>
      <c r="AV14" s="1928" t="n">
        <f aca="false">IF($D14=5,W14-SUM($AH14:$AQ14),0)</f>
        <v>0</v>
      </c>
      <c r="AW14" s="1928" t="n">
        <f aca="false">IF($D14=6,W14-SUM($AH14:$AQ14),0)</f>
        <v>0</v>
      </c>
      <c r="AX14" s="1928" t="n">
        <f aca="false">IF($D14=7,W14-SUM($AH14:$AQ14),0)</f>
        <v>0</v>
      </c>
      <c r="AY14" s="1928" t="n">
        <f aca="false">IF($D14=8,W14-SUM($AH14:$AQ14),0)</f>
        <v>0</v>
      </c>
      <c r="AZ14" s="1928" t="n">
        <f aca="false">IF($D14=9,W14-SUM($AH14:$AQ14),0)</f>
        <v>0</v>
      </c>
      <c r="BA14" s="1930" t="n">
        <f aca="false">IF($D14=10,W14-SUM($AH14:$AQ14),0)</f>
        <v>0</v>
      </c>
      <c r="BB14" s="1928" t="n">
        <f aca="false">SUM(AH14:AM14)</f>
        <v>0</v>
      </c>
      <c r="BC14" s="1928" t="n">
        <f aca="false">SUM(AR14:AW14)</f>
        <v>0</v>
      </c>
      <c r="BD14" s="1928" t="n">
        <f aca="false">V14</f>
        <v>0</v>
      </c>
      <c r="BE14" s="1928" t="n">
        <f aca="false">E14*G14/12*2+(U14*U14*G14/1728*S14)</f>
        <v>0</v>
      </c>
      <c r="BF14" s="1928" t="n">
        <f aca="false">BE14/2</f>
        <v>0</v>
      </c>
      <c r="BG14" s="1928" t="n">
        <f aca="false">N14*E14/12</f>
        <v>0</v>
      </c>
      <c r="BH14" s="1928" t="n">
        <f aca="false">ROUND(IF(C14="Y",BF14*3/27,0),0)</f>
        <v>0</v>
      </c>
      <c r="BJ14" s="1931" t="n">
        <f aca="false">V14*F$56*IF(T$39="N",(1+V$39),1)</f>
        <v>0</v>
      </c>
      <c r="BK14" s="1932" t="n">
        <f aca="false">(AR14*Pricing!F$3+AS14*Pricing!G$3+AT14*Pricing!H$3+AU14*Pricing!I$3+AV14*Pricing!J$3+AW14*Pricing!K$3+AH14*Pricing!F$3+AI14*Pricing!G$3+AJ14*Pricing!H$3+AK14*Pricing!I$3+AL14*Pricing!J$3+AM14*Pricing!K$3)*IF(T$39="N",(1+V$39),1)</f>
        <v>0</v>
      </c>
      <c r="BL14" s="1932" t="n">
        <f aca="false">IF(C14="Y",(N$59+N$60)/DF$36*DF14,0)</f>
        <v>0</v>
      </c>
      <c r="BM14" s="1932" t="n">
        <f aca="false">BF14*(G$67+D$70)</f>
        <v>0</v>
      </c>
      <c r="BN14" s="1932" t="n">
        <f aca="false">BG14*D$66</f>
        <v>0</v>
      </c>
      <c r="BO14" s="1932" t="n">
        <f aca="false">V14/2000*D$71</f>
        <v>0</v>
      </c>
      <c r="BP14" s="1932" t="n">
        <f aca="false">IF(C14="Y",(N$74+N$73+N$72)/DF$36*DF14,0)</f>
        <v>0</v>
      </c>
      <c r="BQ14" s="1932" t="n">
        <f aca="false">IF(SUM(BF$36:BG$36)=0,0,(SUM(N$78:O$81)+SUM(N$83:O$88)+SUM(N$90:O$96)+W$95)/SUM(BF$36:BG$36)*(BF14+BG14))</f>
        <v>0</v>
      </c>
      <c r="BR14" s="1933"/>
      <c r="BS14" s="1934" t="n">
        <f aca="false">IF(SUM(BF$36:BG$36)=0,0,(BQ$36-W$58-N$64-W78-(L$79*0.15))/SUM(BF$36:BG$36)*BG14+BN14)</f>
        <v>0</v>
      </c>
      <c r="BT14" s="1932" t="n">
        <f aca="false">(AH14*Pricing!F$3+AI14*Pricing!G$3+AJ14*Pricing!H$3+AK14*Pricing!I$3+AL14*Pricing!J$3+AM14*Pricing!K$3)*IF(T$39="N",(1+V$39),1)</f>
        <v>0</v>
      </c>
      <c r="BU14" s="1932" t="n">
        <f aca="false">IF(BG14=0,0,(BS14+BT14)/BG14)</f>
        <v>0</v>
      </c>
      <c r="BV14" s="1932" t="n">
        <f aca="false">SUM(BJ14:BQ14)-BS14-BT14</f>
        <v>0</v>
      </c>
      <c r="BW14" s="1933" t="n">
        <f aca="false">IF(BE14=0,0,BV14/BF14)</f>
        <v>0</v>
      </c>
      <c r="DB14" s="1935" t="n">
        <f aca="false">IF(W14=0,0,D$40/SUM(W$10:W$35)*W14)</f>
        <v>0</v>
      </c>
      <c r="DC14" s="1932" t="e">
        <f aca="false">E14*N14/12*(D$40-7980)/H$66</f>
        <v>#DIV/0!</v>
      </c>
      <c r="DD14" s="179" t="n">
        <f aca="false">ROUND(N14*O14/3088*E14,0)</f>
        <v>0</v>
      </c>
      <c r="DE14" s="908" t="n">
        <f aca="false">ROUND(V14,0)</f>
        <v>0</v>
      </c>
      <c r="DF14" s="356" t="n">
        <f aca="false">ROUND(IF(C14="Y",(G14*0.25*E14+G14*G14/144*0.5*E14)/27*1.3,0),0)</f>
        <v>0</v>
      </c>
      <c r="DG14" s="908" t="n">
        <f aca="false">ROUND(E14*G14/12,0)</f>
        <v>0</v>
      </c>
      <c r="DH14" s="908" t="n">
        <f aca="false">IF(C14="y",ROUNDUP(E14*G14/12,0),0)</f>
        <v>0</v>
      </c>
      <c r="DI14" s="908" t="n">
        <f aca="false">IF(C14="Y",IF(E14&gt;0,E14,0),0)</f>
        <v>0</v>
      </c>
      <c r="DJ14" s="1936" t="n">
        <f aca="false">ROUND(E14*N14/12,0)</f>
        <v>0</v>
      </c>
    </row>
    <row r="15" s="1414" customFormat="true" ht="15" hidden="false" customHeight="false" outlineLevel="0" collapsed="false">
      <c r="A15" s="507"/>
      <c r="B15" s="1312"/>
      <c r="C15" s="1919"/>
      <c r="D15" s="1920"/>
      <c r="E15" s="1921"/>
      <c r="F15" s="1234"/>
      <c r="G15" s="1235"/>
      <c r="H15" s="1236"/>
      <c r="I15" s="1234"/>
      <c r="J15" s="1235"/>
      <c r="K15" s="1236"/>
      <c r="L15" s="1234"/>
      <c r="M15" s="1234"/>
      <c r="N15" s="1922"/>
      <c r="O15" s="1234"/>
      <c r="P15" s="1234"/>
      <c r="Q15" s="1237"/>
      <c r="R15" s="1923"/>
      <c r="S15" s="1924"/>
      <c r="T15" s="78"/>
      <c r="U15" s="900"/>
      <c r="V15" s="1925" t="n">
        <f aca="false">((E15*I15/16*I15/16*10.680159*J15)*IF(H15=0,0,(G15/H15))+(G15/12*L15/16*L15/16*10.680159*M15)*IF(K15=0,0,(E15*12/K15))+(E15*IF(P15=0,0,N15/P15)*Q15/16*Q15/16*10.680159*R15)+(IF(P15=0,0,E15/P15*N15)*Q15/16*Q15/16*10.680159*R15)+((T15*U15*S15*0.03*0.2836*G15)/12+4)*IF(H15=0,0,(G15/H15))*I15/16*I15/16*10.680159)*(1+J$56)</f>
        <v>0</v>
      </c>
      <c r="W15" s="1926" t="n">
        <f aca="false">((E15*F15/12*G15/324)+ROUNDUP(S15*T15*U15*G15/46656,0)+(N15*O15*E15/3888))*(1+J$51)</f>
        <v>0</v>
      </c>
      <c r="AH15" s="1929" t="n">
        <f aca="false">IF($R$8=1,$N15*$O15*$E15/3888*(1+$J$51),0)</f>
        <v>0</v>
      </c>
      <c r="AI15" s="1928" t="n">
        <f aca="false">IF($R$8=2,$N15*$O15*$E15/3888*(1+$J$51),0)</f>
        <v>0</v>
      </c>
      <c r="AJ15" s="1928" t="n">
        <f aca="false">IF($R$8=3,$N15*$O15*$E15/3888*(1+$J$51),0)</f>
        <v>0</v>
      </c>
      <c r="AK15" s="1928" t="n">
        <f aca="false">IF($R$8=4,$N15*$O15*$E15/3888*(1+$J$51),0)</f>
        <v>0</v>
      </c>
      <c r="AL15" s="1928" t="n">
        <f aca="false">IF($R$8=5,$N15*$O15*$E15/3888*(1+$J$51),0)</f>
        <v>0</v>
      </c>
      <c r="AM15" s="1928" t="n">
        <f aca="false">IF($R$8=6,$N15*$O15*$E15/3888*(1+$J$51),0)</f>
        <v>0</v>
      </c>
      <c r="AN15" s="1928" t="n">
        <f aca="false">IF($R$8=7,$N15*$O15*$E15/3888*(1+$J$51),0)</f>
        <v>0</v>
      </c>
      <c r="AO15" s="1928" t="n">
        <f aca="false">IF($R$8=8,$N15*$O15*$E15/3888*(1+$J$51),0)</f>
        <v>0</v>
      </c>
      <c r="AP15" s="1928" t="n">
        <f aca="false">IF($R$8=9,$N15*$O15*$E15/3888*(1+$J$51),0)</f>
        <v>0</v>
      </c>
      <c r="AQ15" s="1928" t="n">
        <f aca="false">IF($R$8=10,$N15*$O15*$E15/3888*(1+$J$51),0)</f>
        <v>0</v>
      </c>
      <c r="AR15" s="1929" t="n">
        <f aca="false">IF($D15=1,$W15-SUM($AH15:$AQ15),0)</f>
        <v>0</v>
      </c>
      <c r="AS15" s="1928" t="n">
        <f aca="false">IF($D15=2,W15-SUM($AH15:$AQ15),0)</f>
        <v>0</v>
      </c>
      <c r="AT15" s="1928" t="n">
        <f aca="false">IF($D15=3,W15-SUM($AH15:$AQ15),0)</f>
        <v>0</v>
      </c>
      <c r="AU15" s="1928" t="n">
        <f aca="false">IF($D15=4,W15-SUM($AH15:$AQ15),0)</f>
        <v>0</v>
      </c>
      <c r="AV15" s="1928" t="n">
        <f aca="false">IF($D15=5,W15-SUM($AH15:$AQ15),0)</f>
        <v>0</v>
      </c>
      <c r="AW15" s="1928" t="n">
        <f aca="false">IF($D15=6,W15-SUM($AH15:$AQ15),0)</f>
        <v>0</v>
      </c>
      <c r="AX15" s="1928" t="n">
        <f aca="false">IF($D15=7,W15-SUM($AH15:$AQ15),0)</f>
        <v>0</v>
      </c>
      <c r="AY15" s="1928" t="n">
        <f aca="false">IF($D15=8,W15-SUM($AH15:$AQ15),0)</f>
        <v>0</v>
      </c>
      <c r="AZ15" s="1928" t="n">
        <f aca="false">IF($D15=9,W15-SUM($AH15:$AQ15),0)</f>
        <v>0</v>
      </c>
      <c r="BA15" s="1930" t="n">
        <f aca="false">IF($D15=10,W15-SUM($AH15:$AQ15),0)</f>
        <v>0</v>
      </c>
      <c r="BB15" s="1928" t="n">
        <f aca="false">SUM(AH15:AM15)</f>
        <v>0</v>
      </c>
      <c r="BC15" s="1928" t="n">
        <f aca="false">SUM(AR15:AW15)</f>
        <v>0</v>
      </c>
      <c r="BD15" s="1928" t="n">
        <f aca="false">V15</f>
        <v>0</v>
      </c>
      <c r="BE15" s="1928" t="n">
        <f aca="false">E15*G15/12*2+(U15*U15*G15/1728*S15)</f>
        <v>0</v>
      </c>
      <c r="BF15" s="1928" t="n">
        <f aca="false">BE15/2</f>
        <v>0</v>
      </c>
      <c r="BG15" s="1928" t="n">
        <f aca="false">N15*E15/12</f>
        <v>0</v>
      </c>
      <c r="BH15" s="1928" t="n">
        <f aca="false">ROUND(IF(C15="Y",BF15*3/27,0),0)</f>
        <v>0</v>
      </c>
      <c r="BJ15" s="1931" t="n">
        <f aca="false">V15*F$56*IF(T$39="N",(1+V$39),1)</f>
        <v>0</v>
      </c>
      <c r="BK15" s="1932" t="n">
        <f aca="false">(AR15*Pricing!F$3+AS15*Pricing!G$3+AT15*Pricing!H$3+AU15*Pricing!I$3+AV15*Pricing!J$3+AW15*Pricing!K$3+AH15*Pricing!F$3+AI15*Pricing!G$3+AJ15*Pricing!H$3+AK15*Pricing!I$3+AL15*Pricing!J$3+AM15*Pricing!K$3)*IF(T$39="N",(1+V$39),1)</f>
        <v>0</v>
      </c>
      <c r="BL15" s="1932" t="n">
        <f aca="false">IF(C15="Y",(N$59+N$60)/DF$36*DF15,0)</f>
        <v>0</v>
      </c>
      <c r="BM15" s="1932" t="n">
        <f aca="false">BF15*(G$67+D$70)</f>
        <v>0</v>
      </c>
      <c r="BN15" s="1932" t="n">
        <f aca="false">BG15*D$66</f>
        <v>0</v>
      </c>
      <c r="BO15" s="1932" t="n">
        <f aca="false">V15/2000*D$71</f>
        <v>0</v>
      </c>
      <c r="BP15" s="1932" t="n">
        <f aca="false">IF(C15="Y",(N$74+N$73+N$72)/DF$36*DF15,0)</f>
        <v>0</v>
      </c>
      <c r="BQ15" s="1932" t="n">
        <f aca="false">IF(SUM(BF$36:BG$36)=0,0,(SUM(N$78:O$81)+SUM(N$83:O$88)+SUM(N$90:O$96)+W$95)/SUM(BF$36:BG$36)*(BF15+BG15))</f>
        <v>0</v>
      </c>
      <c r="BR15" s="1933"/>
      <c r="BS15" s="1934" t="n">
        <f aca="false">IF(SUM(BF$36:BG$36)=0,0,(BQ$36-W$58-N$64-W79-(L$79*0.15))/SUM(BF$36:BG$36)*BG15+BN15)</f>
        <v>0</v>
      </c>
      <c r="BT15" s="1932" t="n">
        <f aca="false">(AH15*Pricing!F$3+AI15*Pricing!G$3+AJ15*Pricing!H$3+AK15*Pricing!I$3+AL15*Pricing!J$3+AM15*Pricing!K$3)*IF(T$39="N",(1+V$39),1)</f>
        <v>0</v>
      </c>
      <c r="BU15" s="1932" t="n">
        <f aca="false">IF(BG15=0,0,(BS15+BT15)/BG15)</f>
        <v>0</v>
      </c>
      <c r="BV15" s="1932" t="n">
        <f aca="false">SUM(BJ15:BQ15)-BS15-BT15</f>
        <v>0</v>
      </c>
      <c r="BW15" s="1933" t="n">
        <f aca="false">IF(BE15=0,0,BV15/BF15)</f>
        <v>0</v>
      </c>
      <c r="DB15" s="1935" t="n">
        <f aca="false">IF(W15=0,0,D$40/SUM(W$10:W$35)*W15)</f>
        <v>0</v>
      </c>
      <c r="DC15" s="1932" t="e">
        <f aca="false">E15*N15/12*(D$40-7980)/H$66</f>
        <v>#DIV/0!</v>
      </c>
      <c r="DD15" s="179" t="n">
        <f aca="false">ROUND(N15*O15/3088*E15,0)</f>
        <v>0</v>
      </c>
      <c r="DE15" s="908" t="n">
        <f aca="false">ROUND(V15,0)</f>
        <v>0</v>
      </c>
      <c r="DF15" s="356" t="n">
        <f aca="false">ROUND(IF(C15="Y",(G15*0.25*E15+G15*G15/144*0.5*E15)/27*1.3,0),0)</f>
        <v>0</v>
      </c>
      <c r="DG15" s="908" t="n">
        <f aca="false">ROUND(E15*G15/12,0)</f>
        <v>0</v>
      </c>
      <c r="DH15" s="908" t="n">
        <f aca="false">IF(C15="y",ROUNDUP(E15*G15/12,0),0)</f>
        <v>0</v>
      </c>
      <c r="DI15" s="908" t="n">
        <f aca="false">IF(C15="Y",IF(E15&gt;0,E15,0),0)</f>
        <v>0</v>
      </c>
      <c r="DJ15" s="1936" t="n">
        <f aca="false">ROUND(E15*N15/12,0)</f>
        <v>0</v>
      </c>
    </row>
    <row r="16" s="1414" customFormat="true" ht="15" hidden="false" customHeight="false" outlineLevel="0" collapsed="false">
      <c r="A16" s="507"/>
      <c r="B16" s="1312"/>
      <c r="C16" s="1919"/>
      <c r="D16" s="1920"/>
      <c r="E16" s="1921"/>
      <c r="F16" s="1234"/>
      <c r="G16" s="1235"/>
      <c r="H16" s="1236"/>
      <c r="I16" s="1234"/>
      <c r="J16" s="1235"/>
      <c r="K16" s="1236"/>
      <c r="L16" s="1234"/>
      <c r="M16" s="1234"/>
      <c r="N16" s="1922"/>
      <c r="O16" s="1234"/>
      <c r="P16" s="1234"/>
      <c r="Q16" s="1237"/>
      <c r="R16" s="1923"/>
      <c r="S16" s="1924"/>
      <c r="T16" s="78"/>
      <c r="U16" s="900"/>
      <c r="V16" s="1925" t="n">
        <f aca="false">((E16*I16/16*I16/16*10.680159*J16)*IF(H16=0,0,(G16/H16))+(G16/12*L16/16*L16/16*10.680159*M16)*IF(K16=0,0,(E16*12/K16))+(E16*IF(P16=0,0,N16/P16)*Q16/16*Q16/16*10.680159*R16)+(IF(P16=0,0,E16/P16*N16)*Q16/16*Q16/16*10.680159*R16)+((T16*U16*S16*0.03*0.2836*G16)/12+4)*IF(H16=0,0,(G16/H16))*I16/16*I16/16*10.680159)*(1+J$56)</f>
        <v>0</v>
      </c>
      <c r="W16" s="1926" t="n">
        <f aca="false">((E16*F16/12*G16/324)+ROUNDUP(S16*T16*U16*G16/46656,0)+(N16*O16*E16/3888))*(1+J$51)</f>
        <v>0</v>
      </c>
      <c r="AH16" s="1929" t="n">
        <f aca="false">IF($R$8=1,$N16*$O16*$E16/3888*(1+$J$51),0)</f>
        <v>0</v>
      </c>
      <c r="AI16" s="1928" t="n">
        <f aca="false">IF($R$8=2,$N16*$O16*$E16/3888*(1+$J$51),0)</f>
        <v>0</v>
      </c>
      <c r="AJ16" s="1928" t="n">
        <f aca="false">IF($R$8=3,$N16*$O16*$E16/3888*(1+$J$51),0)</f>
        <v>0</v>
      </c>
      <c r="AK16" s="1928" t="n">
        <f aca="false">IF($R$8=4,$N16*$O16*$E16/3888*(1+$J$51),0)</f>
        <v>0</v>
      </c>
      <c r="AL16" s="1928" t="n">
        <f aca="false">IF($R$8=5,$N16*$O16*$E16/3888*(1+$J$51),0)</f>
        <v>0</v>
      </c>
      <c r="AM16" s="1928" t="n">
        <f aca="false">IF($R$8=6,$N16*$O16*$E16/3888*(1+$J$51),0)</f>
        <v>0</v>
      </c>
      <c r="AN16" s="1928" t="n">
        <f aca="false">IF($R$8=7,$N16*$O16*$E16/3888*(1+$J$51),0)</f>
        <v>0</v>
      </c>
      <c r="AO16" s="1928" t="n">
        <f aca="false">IF($R$8=8,$N16*$O16*$E16/3888*(1+$J$51),0)</f>
        <v>0</v>
      </c>
      <c r="AP16" s="1928" t="n">
        <f aca="false">IF($R$8=9,$N16*$O16*$E16/3888*(1+$J$51),0)</f>
        <v>0</v>
      </c>
      <c r="AQ16" s="1928" t="n">
        <f aca="false">IF($R$8=10,$N16*$O16*$E16/3888*(1+$J$51),0)</f>
        <v>0</v>
      </c>
      <c r="AR16" s="1929" t="n">
        <f aca="false">IF($D16=1,$W16-SUM($AH16:$AQ16),0)</f>
        <v>0</v>
      </c>
      <c r="AS16" s="1928" t="n">
        <f aca="false">IF($D16=2,W16-SUM($AH16:$AQ16),0)</f>
        <v>0</v>
      </c>
      <c r="AT16" s="1928" t="n">
        <f aca="false">IF($D16=3,W16-SUM($AH16:$AQ16),0)</f>
        <v>0</v>
      </c>
      <c r="AU16" s="1928" t="n">
        <f aca="false">IF($D16=4,W16-SUM($AH16:$AQ16),0)</f>
        <v>0</v>
      </c>
      <c r="AV16" s="1928" t="n">
        <f aca="false">IF($D16=5,W16-SUM($AH16:$AQ16),0)</f>
        <v>0</v>
      </c>
      <c r="AW16" s="1928" t="n">
        <f aca="false">IF($D16=6,W16-SUM($AH16:$AQ16),0)</f>
        <v>0</v>
      </c>
      <c r="AX16" s="1928" t="n">
        <f aca="false">IF($D16=7,W16-SUM($AH16:$AQ16),0)</f>
        <v>0</v>
      </c>
      <c r="AY16" s="1928" t="n">
        <f aca="false">IF($D16=8,W16-SUM($AH16:$AQ16),0)</f>
        <v>0</v>
      </c>
      <c r="AZ16" s="1928" t="n">
        <f aca="false">IF($D16=9,W16-SUM($AH16:$AQ16),0)</f>
        <v>0</v>
      </c>
      <c r="BA16" s="1930" t="n">
        <f aca="false">IF($D16=10,W16-SUM($AH16:$AQ16),0)</f>
        <v>0</v>
      </c>
      <c r="BB16" s="1928" t="n">
        <f aca="false">SUM(AH16:AM16)</f>
        <v>0</v>
      </c>
      <c r="BC16" s="1928" t="n">
        <f aca="false">SUM(AR16:AW16)</f>
        <v>0</v>
      </c>
      <c r="BD16" s="1928" t="n">
        <f aca="false">V16</f>
        <v>0</v>
      </c>
      <c r="BE16" s="1928" t="n">
        <f aca="false">E16*G16/12*2+(U16*U16*G16/1728*S16)</f>
        <v>0</v>
      </c>
      <c r="BF16" s="1928" t="n">
        <f aca="false">BE16/2</f>
        <v>0</v>
      </c>
      <c r="BG16" s="1928" t="n">
        <f aca="false">N16*E16/12</f>
        <v>0</v>
      </c>
      <c r="BH16" s="1928" t="n">
        <f aca="false">ROUND(IF(C16="Y",BF16*3/27,0),0)</f>
        <v>0</v>
      </c>
      <c r="BJ16" s="1931" t="n">
        <f aca="false">V16*F$56*IF(T$39="N",(1+V$39),1)</f>
        <v>0</v>
      </c>
      <c r="BK16" s="1932" t="n">
        <f aca="false">(AR16*Pricing!F$3+AS16*Pricing!G$3+AT16*Pricing!H$3+AU16*Pricing!I$3+AV16*Pricing!J$3+AW16*Pricing!K$3+AH16*Pricing!F$3+AI16*Pricing!G$3+AJ16*Pricing!H$3+AK16*Pricing!I$3+AL16*Pricing!J$3+AM16*Pricing!K$3)*IF(T$39="N",(1+V$39),1)</f>
        <v>0</v>
      </c>
      <c r="BL16" s="1932" t="n">
        <f aca="false">IF(C16="Y",(N$59+N$60)/DF$36*DF16,0)</f>
        <v>0</v>
      </c>
      <c r="BM16" s="1932" t="n">
        <f aca="false">BF16*(G$67+D$70)</f>
        <v>0</v>
      </c>
      <c r="BN16" s="1932" t="n">
        <f aca="false">BG16*D$66</f>
        <v>0</v>
      </c>
      <c r="BO16" s="1932" t="n">
        <f aca="false">V16/2000*D$71</f>
        <v>0</v>
      </c>
      <c r="BP16" s="1932" t="n">
        <f aca="false">IF(C16="Y",(N$74+N$73+N$72)/DF$36*DF16,0)</f>
        <v>0</v>
      </c>
      <c r="BQ16" s="1932" t="n">
        <f aca="false">IF(SUM(BF$36:BG$36)=0,0,(SUM(N$78:O$81)+SUM(N$83:O$88)+SUM(N$90:O$96)+W$95)/SUM(BF$36:BG$36)*(BF16+BG16))</f>
        <v>0</v>
      </c>
      <c r="BR16" s="1933"/>
      <c r="BS16" s="1934" t="n">
        <f aca="false">IF(SUM(BF$36:BG$36)=0,0,(BQ$36-W$58-N$64-W71-(L$79*0.15))/SUM(BF$36:BG$36)*BG16+BN16)</f>
        <v>0</v>
      </c>
      <c r="BT16" s="1932" t="n">
        <f aca="false">(AH16*Pricing!F$3+AI16*Pricing!G$3+AJ16*Pricing!H$3+AK16*Pricing!I$3+AL16*Pricing!J$3+AM16*Pricing!K$3)*IF(T$39="N",(1+V$39),1)</f>
        <v>0</v>
      </c>
      <c r="BU16" s="1932" t="n">
        <f aca="false">IF(BG16=0,0,(BS16+BT16)/BG16)</f>
        <v>0</v>
      </c>
      <c r="BV16" s="1932" t="n">
        <f aca="false">SUM(BJ16:BQ16)-BS16-BT16</f>
        <v>0</v>
      </c>
      <c r="BW16" s="1933" t="n">
        <f aca="false">IF(BE16=0,0,BV16/BF16)</f>
        <v>0</v>
      </c>
      <c r="DB16" s="1935" t="n">
        <f aca="false">IF(W16=0,0,D$40/SUM(W$10:W$35)*W16)</f>
        <v>0</v>
      </c>
      <c r="DC16" s="1932" t="e">
        <f aca="false">E16*N16/12*(D$40-7980)/H$66</f>
        <v>#DIV/0!</v>
      </c>
      <c r="DD16" s="179" t="n">
        <f aca="false">ROUND(N16*O16/3088*E16,0)</f>
        <v>0</v>
      </c>
      <c r="DE16" s="908" t="n">
        <f aca="false">ROUND(V16,0)</f>
        <v>0</v>
      </c>
      <c r="DF16" s="356" t="n">
        <f aca="false">ROUND(IF(C16="Y",(G16*0.25*E16+G16*G16/144*0.5*E16)/27*1.3,0),0)</f>
        <v>0</v>
      </c>
      <c r="DG16" s="908" t="n">
        <f aca="false">ROUND(E16*G16/12,0)</f>
        <v>0</v>
      </c>
      <c r="DH16" s="908" t="n">
        <f aca="false">IF(C16="y",ROUNDUP(E16*G16/12,0),0)</f>
        <v>0</v>
      </c>
      <c r="DI16" s="908" t="n">
        <f aca="false">IF(C16="Y",IF(E16&gt;0,E16,0),0)</f>
        <v>0</v>
      </c>
      <c r="DJ16" s="1936" t="n">
        <f aca="false">ROUND(E16*N16/12,0)</f>
        <v>0</v>
      </c>
    </row>
    <row r="17" s="1414" customFormat="true" ht="15" hidden="false" customHeight="false" outlineLevel="0" collapsed="false">
      <c r="A17" s="507"/>
      <c r="B17" s="1312"/>
      <c r="C17" s="1919"/>
      <c r="D17" s="1920"/>
      <c r="E17" s="1921"/>
      <c r="F17" s="1234"/>
      <c r="G17" s="1235"/>
      <c r="H17" s="1236"/>
      <c r="I17" s="1234"/>
      <c r="J17" s="1235"/>
      <c r="K17" s="1236"/>
      <c r="L17" s="1234"/>
      <c r="M17" s="1234"/>
      <c r="N17" s="1922"/>
      <c r="O17" s="1234"/>
      <c r="P17" s="1234"/>
      <c r="Q17" s="1237"/>
      <c r="R17" s="1923"/>
      <c r="S17" s="1924"/>
      <c r="T17" s="78"/>
      <c r="U17" s="900"/>
      <c r="V17" s="1925" t="n">
        <f aca="false">((E17*I17/16*I17/16*10.680159*J17)*IF(H17=0,0,(G17/H17))+(G17/12*L17/16*L17/16*10.680159*M17)*IF(K17=0,0,(E17*12/K17))+(E17*IF(P17=0,0,N17/P17)*Q17/16*Q17/16*10.680159*R17)+(IF(P17=0,0,E17/P17*N17)*Q17/16*Q17/16*10.680159*R17)+((T17*U17*S17*0.03*0.2836*G17)/12+4)*IF(H17=0,0,(G17/H17))*I17/16*I17/16*10.680159)*(1+J$56)</f>
        <v>0</v>
      </c>
      <c r="W17" s="1926" t="n">
        <f aca="false">((E17*F17/12*G17/324)+ROUNDUP(S17*T17*U17*G17/46656,0)+(N17*O17*E17/3888))*(1+J$51)</f>
        <v>0</v>
      </c>
      <c r="AH17" s="1929" t="n">
        <f aca="false">IF($R$8=1,$N17*$O17*$E17/3888*(1+$J$51),0)</f>
        <v>0</v>
      </c>
      <c r="AI17" s="1928" t="n">
        <f aca="false">IF($R$8=2,$N17*$O17*$E17/3888*(1+$J$51),0)</f>
        <v>0</v>
      </c>
      <c r="AJ17" s="1928" t="n">
        <f aca="false">IF($R$8=3,$N17*$O17*$E17/3888*(1+$J$51),0)</f>
        <v>0</v>
      </c>
      <c r="AK17" s="1928" t="n">
        <f aca="false">IF($R$8=4,$N17*$O17*$E17/3888*(1+$J$51),0)</f>
        <v>0</v>
      </c>
      <c r="AL17" s="1928" t="n">
        <f aca="false">IF($R$8=5,$N17*$O17*$E17/3888*(1+$J$51),0)</f>
        <v>0</v>
      </c>
      <c r="AM17" s="1928" t="n">
        <f aca="false">IF($R$8=6,$N17*$O17*$E17/3888*(1+$J$51),0)</f>
        <v>0</v>
      </c>
      <c r="AN17" s="1928" t="n">
        <f aca="false">IF($R$8=7,$N17*$O17*$E17/3888*(1+$J$51),0)</f>
        <v>0</v>
      </c>
      <c r="AO17" s="1928" t="n">
        <f aca="false">IF($R$8=8,$N17*$O17*$E17/3888*(1+$J$51),0)</f>
        <v>0</v>
      </c>
      <c r="AP17" s="1928" t="n">
        <f aca="false">IF($R$8=9,$N17*$O17*$E17/3888*(1+$J$51),0)</f>
        <v>0</v>
      </c>
      <c r="AQ17" s="1928" t="n">
        <f aca="false">IF($R$8=10,$N17*$O17*$E17/3888*(1+$J$51),0)</f>
        <v>0</v>
      </c>
      <c r="AR17" s="1929" t="n">
        <f aca="false">IF($D17=1,$W17-SUM($AH17:$AQ17),0)</f>
        <v>0</v>
      </c>
      <c r="AS17" s="1928" t="n">
        <f aca="false">IF($D17=2,W17-SUM($AH17:$AQ17),0)</f>
        <v>0</v>
      </c>
      <c r="AT17" s="1928" t="n">
        <f aca="false">IF($D17=3,W17-SUM($AH17:$AQ17),0)</f>
        <v>0</v>
      </c>
      <c r="AU17" s="1928" t="n">
        <f aca="false">IF($D17=4,W17-SUM($AH17:$AQ17),0)</f>
        <v>0</v>
      </c>
      <c r="AV17" s="1928" t="n">
        <f aca="false">IF($D17=5,W17-SUM($AH17:$AQ17),0)</f>
        <v>0</v>
      </c>
      <c r="AW17" s="1928" t="n">
        <f aca="false">IF($D17=6,W17-SUM($AH17:$AQ17),0)</f>
        <v>0</v>
      </c>
      <c r="AX17" s="1928" t="n">
        <f aca="false">IF($D17=7,W17-SUM($AH17:$AQ17),0)</f>
        <v>0</v>
      </c>
      <c r="AY17" s="1928" t="n">
        <f aca="false">IF($D17=8,W17-SUM($AH17:$AQ17),0)</f>
        <v>0</v>
      </c>
      <c r="AZ17" s="1928" t="n">
        <f aca="false">IF($D17=9,W17-SUM($AH17:$AQ17),0)</f>
        <v>0</v>
      </c>
      <c r="BA17" s="1930" t="n">
        <f aca="false">IF($D17=10,W17-SUM($AH17:$AQ17),0)</f>
        <v>0</v>
      </c>
      <c r="BB17" s="1928" t="n">
        <f aca="false">SUM(AH17:AM17)</f>
        <v>0</v>
      </c>
      <c r="BC17" s="1928" t="n">
        <f aca="false">SUM(AR17:AW17)</f>
        <v>0</v>
      </c>
      <c r="BD17" s="1928" t="n">
        <f aca="false">V17</f>
        <v>0</v>
      </c>
      <c r="BE17" s="1928" t="n">
        <f aca="false">E17*G17/12*2+(U17*U17*G17/1728*S17)</f>
        <v>0</v>
      </c>
      <c r="BF17" s="1928" t="n">
        <f aca="false">BE17/2</f>
        <v>0</v>
      </c>
      <c r="BG17" s="1928" t="n">
        <f aca="false">N17*E17/12</f>
        <v>0</v>
      </c>
      <c r="BH17" s="1928" t="n">
        <f aca="false">ROUND(IF(C17="Y",BF17*3/27,0),0)</f>
        <v>0</v>
      </c>
      <c r="BJ17" s="1931" t="n">
        <f aca="false">V17*F$56*IF(T$39="N",(1+V$39),1)</f>
        <v>0</v>
      </c>
      <c r="BK17" s="1932" t="n">
        <f aca="false">(AR17*Pricing!F$3+AS17*Pricing!G$3+AT17*Pricing!H$3+AU17*Pricing!I$3+AV17*Pricing!J$3+AW17*Pricing!K$3+AH17*Pricing!F$3+AI17*Pricing!G$3+AJ17*Pricing!H$3+AK17*Pricing!I$3+AL17*Pricing!J$3+AM17*Pricing!K$3)*IF(T$39="N",(1+V$39),1)</f>
        <v>0</v>
      </c>
      <c r="BL17" s="1932" t="n">
        <f aca="false">IF(C17="Y",(N$59+N$60)/DF$36*DF17,0)</f>
        <v>0</v>
      </c>
      <c r="BM17" s="1932" t="n">
        <f aca="false">BF17*(G$67+D$70)</f>
        <v>0</v>
      </c>
      <c r="BN17" s="1932" t="n">
        <f aca="false">BG17*D$66</f>
        <v>0</v>
      </c>
      <c r="BO17" s="1932" t="n">
        <f aca="false">V17/2000*D$71</f>
        <v>0</v>
      </c>
      <c r="BP17" s="1932" t="n">
        <f aca="false">IF(C17="Y",(N$74+N$73+N$72)/DF$36*DF17,0)</f>
        <v>0</v>
      </c>
      <c r="BQ17" s="1932" t="n">
        <f aca="false">IF(SUM(BF$36:BG$36)=0,0,(SUM(N$78:O$81)+SUM(N$83:O$88)+SUM(N$90:O$96)+W$95)/SUM(BF$36:BG$36)*(BF17+BG17))</f>
        <v>0</v>
      </c>
      <c r="BR17" s="1933"/>
      <c r="BS17" s="1934" t="n">
        <f aca="false">IF(SUM(BF$36:BG$36)=0,0,(BQ$36-W$58-N$64-W64-(L$79*0.15))/SUM(BF$36:BG$36)*BG17+BN17)</f>
        <v>0</v>
      </c>
      <c r="BT17" s="1932" t="n">
        <f aca="false">(AH17*Pricing!F$3+AI17*Pricing!G$3+AJ17*Pricing!H$3+AK17*Pricing!I$3+AL17*Pricing!J$3+AM17*Pricing!K$3)*IF(T$39="N",(1+V$39),1)</f>
        <v>0</v>
      </c>
      <c r="BU17" s="1932" t="n">
        <f aca="false">IF(BG17=0,0,(BS17+BT17)/BG17)</f>
        <v>0</v>
      </c>
      <c r="BV17" s="1932" t="n">
        <f aca="false">SUM(BJ17:BQ17)-BS17-BT17</f>
        <v>0</v>
      </c>
      <c r="BW17" s="1933" t="n">
        <f aca="false">IF(BE17=0,0,BV17/BF17)</f>
        <v>0</v>
      </c>
      <c r="DB17" s="1935" t="n">
        <f aca="false">IF(W17=0,0,D$40/SUM(W$10:W$35)*W17)</f>
        <v>0</v>
      </c>
      <c r="DC17" s="1932" t="e">
        <f aca="false">E17*N17/12*(D$40-7980)/H$66</f>
        <v>#DIV/0!</v>
      </c>
      <c r="DD17" s="179" t="n">
        <f aca="false">ROUND(N17*O17/3088*E17,0)</f>
        <v>0</v>
      </c>
      <c r="DE17" s="908" t="n">
        <f aca="false">ROUND(V17,0)</f>
        <v>0</v>
      </c>
      <c r="DF17" s="356" t="n">
        <f aca="false">ROUND(IF(C17="Y",(G17*0.25*E17+G17*G17/144*0.5*E17)/27*1.3,0),0)</f>
        <v>0</v>
      </c>
      <c r="DG17" s="908" t="n">
        <f aca="false">ROUND(E17*G17/12,0)</f>
        <v>0</v>
      </c>
      <c r="DH17" s="908" t="n">
        <f aca="false">IF(C17="y",ROUNDUP(E17*G17/12,0),0)</f>
        <v>0</v>
      </c>
      <c r="DI17" s="908" t="n">
        <f aca="false">IF(C17="Y",IF(E17&gt;0,E17,0),0)</f>
        <v>0</v>
      </c>
      <c r="DJ17" s="1936" t="n">
        <f aca="false">ROUND(E17*N17/12,0)</f>
        <v>0</v>
      </c>
    </row>
    <row r="18" s="1414" customFormat="true" ht="15" hidden="false" customHeight="false" outlineLevel="0" collapsed="false">
      <c r="A18" s="507"/>
      <c r="B18" s="1312"/>
      <c r="C18" s="1919"/>
      <c r="D18" s="1920"/>
      <c r="E18" s="1921"/>
      <c r="F18" s="1234"/>
      <c r="G18" s="1235"/>
      <c r="H18" s="1236"/>
      <c r="I18" s="1234"/>
      <c r="J18" s="1235"/>
      <c r="K18" s="1236"/>
      <c r="L18" s="1234"/>
      <c r="M18" s="1234"/>
      <c r="N18" s="1922"/>
      <c r="O18" s="1234"/>
      <c r="P18" s="1234"/>
      <c r="Q18" s="1237"/>
      <c r="R18" s="1923"/>
      <c r="S18" s="1924"/>
      <c r="T18" s="78"/>
      <c r="U18" s="900"/>
      <c r="V18" s="1925" t="n">
        <f aca="false">((E18*I18/16*I18/16*10.680159*J18)*IF(H18=0,0,(G18/H18))+(G18/12*L18/16*L18/16*10.680159*M18)*IF(K18=0,0,(E18*12/K18))+(E18*IF(P18=0,0,N18/P18)*Q18/16*Q18/16*10.680159*R18)+(IF(P18=0,0,E18/P18*N18)*Q18/16*Q18/16*10.680159*R18)+((T18*U18*S18*0.03*0.2836*G18)/12+4)*IF(H18=0,0,(G18/H18))*I18/16*I18/16*10.680159)*(1+J$56)</f>
        <v>0</v>
      </c>
      <c r="W18" s="1926" t="n">
        <f aca="false">((E18*F18/12*G18/324)+ROUNDUP(S18*T18*U18*G18/46656,0)+(N18*O18*E18/3888))*(1+J$51)</f>
        <v>0</v>
      </c>
      <c r="AH18" s="1929" t="n">
        <f aca="false">IF($R$8=1,$N18*$O18*$E18/3888*(1+$J$51),0)</f>
        <v>0</v>
      </c>
      <c r="AI18" s="1928" t="n">
        <f aca="false">IF($R$8=2,$N18*$O18*$E18/3888*(1+$J$51),0)</f>
        <v>0</v>
      </c>
      <c r="AJ18" s="1928" t="n">
        <f aca="false">IF($R$8=3,$N18*$O18*$E18/3888*(1+$J$51),0)</f>
        <v>0</v>
      </c>
      <c r="AK18" s="1928" t="n">
        <f aca="false">IF($R$8=4,$N18*$O18*$E18/3888*(1+$J$51),0)</f>
        <v>0</v>
      </c>
      <c r="AL18" s="1928" t="n">
        <f aca="false">IF($R$8=5,$N18*$O18*$E18/3888*(1+$J$51),0)</f>
        <v>0</v>
      </c>
      <c r="AM18" s="1928" t="n">
        <f aca="false">IF($R$8=6,$N18*$O18*$E18/3888*(1+$J$51),0)</f>
        <v>0</v>
      </c>
      <c r="AN18" s="1928" t="n">
        <f aca="false">IF($R$8=7,$N18*$O18*$E18/3888*(1+$J$51),0)</f>
        <v>0</v>
      </c>
      <c r="AO18" s="1928" t="n">
        <f aca="false">IF($R$8=8,$N18*$O18*$E18/3888*(1+$J$51),0)</f>
        <v>0</v>
      </c>
      <c r="AP18" s="1928" t="n">
        <f aca="false">IF($R$8=9,$N18*$O18*$E18/3888*(1+$J$51),0)</f>
        <v>0</v>
      </c>
      <c r="AQ18" s="1928" t="n">
        <f aca="false">IF($R$8=10,$N18*$O18*$E18/3888*(1+$J$51),0)</f>
        <v>0</v>
      </c>
      <c r="AR18" s="1929" t="n">
        <f aca="false">IF($D18=1,$W18-SUM($AH18:$AQ18),0)</f>
        <v>0</v>
      </c>
      <c r="AS18" s="1928" t="n">
        <f aca="false">IF($D18=2,W18-SUM($AH18:$AQ18),0)</f>
        <v>0</v>
      </c>
      <c r="AT18" s="1928" t="n">
        <f aca="false">IF($D18=3,W18-SUM($AH18:$AQ18),0)</f>
        <v>0</v>
      </c>
      <c r="AU18" s="1928" t="n">
        <f aca="false">IF($D18=4,W18-SUM($AH18:$AQ18),0)</f>
        <v>0</v>
      </c>
      <c r="AV18" s="1928" t="n">
        <f aca="false">IF($D18=5,W18-SUM($AH18:$AQ18),0)</f>
        <v>0</v>
      </c>
      <c r="AW18" s="1928" t="n">
        <f aca="false">IF($D18=6,W18-SUM($AH18:$AQ18),0)</f>
        <v>0</v>
      </c>
      <c r="AX18" s="1928" t="n">
        <f aca="false">IF($D18=7,W18-SUM($AH18:$AQ18),0)</f>
        <v>0</v>
      </c>
      <c r="AY18" s="1928" t="n">
        <f aca="false">IF($D18=8,W18-SUM($AH18:$AQ18),0)</f>
        <v>0</v>
      </c>
      <c r="AZ18" s="1928" t="n">
        <f aca="false">IF($D18=9,W18-SUM($AH18:$AQ18),0)</f>
        <v>0</v>
      </c>
      <c r="BA18" s="1930" t="n">
        <f aca="false">IF($D18=10,W18-SUM($AH18:$AQ18),0)</f>
        <v>0</v>
      </c>
      <c r="BB18" s="1928" t="n">
        <f aca="false">SUM(AH18:AM18)</f>
        <v>0</v>
      </c>
      <c r="BC18" s="1928" t="n">
        <f aca="false">SUM(AR18:AW18)</f>
        <v>0</v>
      </c>
      <c r="BD18" s="1928" t="n">
        <f aca="false">V18</f>
        <v>0</v>
      </c>
      <c r="BE18" s="1928" t="n">
        <f aca="false">E18*G18/12*2+(U18*U18*G18/1728*S18)</f>
        <v>0</v>
      </c>
      <c r="BF18" s="1928" t="n">
        <f aca="false">BE18/2</f>
        <v>0</v>
      </c>
      <c r="BG18" s="1928" t="n">
        <f aca="false">N18*E18/12</f>
        <v>0</v>
      </c>
      <c r="BH18" s="1928" t="n">
        <f aca="false">ROUND(IF(C18="Y",BF18*3/27,0),0)</f>
        <v>0</v>
      </c>
      <c r="BJ18" s="1931" t="n">
        <f aca="false">V18*F$56*IF(T$39="N",(1+V$39),1)</f>
        <v>0</v>
      </c>
      <c r="BK18" s="1932" t="n">
        <f aca="false">(AR18*Pricing!F$3+AS18*Pricing!G$3+AT18*Pricing!H$3+AU18*Pricing!I$3+AV18*Pricing!J$3+AW18*Pricing!K$3+AH18*Pricing!F$3+AI18*Pricing!G$3+AJ18*Pricing!H$3+AK18*Pricing!I$3+AL18*Pricing!J$3+AM18*Pricing!K$3)*IF(T$39="N",(1+V$39),1)</f>
        <v>0</v>
      </c>
      <c r="BL18" s="1932" t="n">
        <f aca="false">IF(C18="Y",(N$59+N$60)/DF$36*DF18,0)</f>
        <v>0</v>
      </c>
      <c r="BM18" s="1932" t="n">
        <f aca="false">BF18*(G$67+D$70)</f>
        <v>0</v>
      </c>
      <c r="BN18" s="1932" t="n">
        <f aca="false">BG18*D$66</f>
        <v>0</v>
      </c>
      <c r="BO18" s="1932" t="n">
        <f aca="false">V18/2000*D$71</f>
        <v>0</v>
      </c>
      <c r="BP18" s="1932" t="n">
        <f aca="false">IF(C18="Y",(N$74+N$73+N$72)/DF$36*DF18,0)</f>
        <v>0</v>
      </c>
      <c r="BQ18" s="1932" t="n">
        <f aca="false">IF(SUM(BF$36:BG$36)=0,0,(SUM(N$78:O$81)+SUM(N$83:O$88)+SUM(N$90:O$96)+W$95)/SUM(BF$36:BG$36)*(BF18+BG18))</f>
        <v>0</v>
      </c>
      <c r="BR18" s="1933"/>
      <c r="BS18" s="1934" t="n">
        <f aca="false">IF(SUM(BF$36:BG$36)=0,0,(BQ$36-W$58-N$64-W60-(L$79*0.15))/SUM(BF$36:BG$36)*BG18+BN18)</f>
        <v>0</v>
      </c>
      <c r="BT18" s="1932" t="n">
        <f aca="false">(AH18*Pricing!F$3+AI18*Pricing!G$3+AJ18*Pricing!H$3+AK18*Pricing!I$3+AL18*Pricing!J$3+AM18*Pricing!K$3)*IF(T$39="N",(1+V$39),1)</f>
        <v>0</v>
      </c>
      <c r="BU18" s="1932" t="n">
        <f aca="false">IF(BG18=0,0,(BS18+BT18)/BG18)</f>
        <v>0</v>
      </c>
      <c r="BV18" s="1932" t="n">
        <f aca="false">SUM(BJ18:BQ18)-BS18-BT18</f>
        <v>0</v>
      </c>
      <c r="BW18" s="1933" t="n">
        <f aca="false">IF(BE18=0,0,BV18/BF18)</f>
        <v>0</v>
      </c>
      <c r="DB18" s="1935" t="n">
        <f aca="false">IF(W18=0,0,D$40/SUM(W$10:W$35)*W18)</f>
        <v>0</v>
      </c>
      <c r="DC18" s="1932" t="e">
        <f aca="false">E18*N18/12*(D$40-7980)/H$66</f>
        <v>#DIV/0!</v>
      </c>
      <c r="DD18" s="179" t="n">
        <f aca="false">ROUND(N18*O18/3088*E18,0)</f>
        <v>0</v>
      </c>
      <c r="DE18" s="908" t="n">
        <f aca="false">ROUND(V18,0)</f>
        <v>0</v>
      </c>
      <c r="DF18" s="356" t="n">
        <f aca="false">ROUND(IF(C18="Y",(G18*0.25*E18+G18*G18/144*0.5*E18)/27*1.3,0),0)</f>
        <v>0</v>
      </c>
      <c r="DG18" s="908" t="n">
        <f aca="false">ROUND(E18*G18/12,0)</f>
        <v>0</v>
      </c>
      <c r="DH18" s="908" t="n">
        <f aca="false">IF(C18="y",ROUNDUP(E18*G18/12,0),0)</f>
        <v>0</v>
      </c>
      <c r="DI18" s="908" t="n">
        <f aca="false">IF(C18="Y",IF(E18&gt;0,E18,0),0)</f>
        <v>0</v>
      </c>
      <c r="DJ18" s="1936" t="n">
        <f aca="false">ROUND(E18*N18/12,0)</f>
        <v>0</v>
      </c>
    </row>
    <row r="19" s="1414" customFormat="true" ht="15" hidden="false" customHeight="false" outlineLevel="0" collapsed="false">
      <c r="A19" s="507"/>
      <c r="B19" s="1312"/>
      <c r="C19" s="1919"/>
      <c r="D19" s="1920"/>
      <c r="E19" s="1921"/>
      <c r="F19" s="1234"/>
      <c r="G19" s="1235"/>
      <c r="H19" s="1236"/>
      <c r="I19" s="1234"/>
      <c r="J19" s="1235"/>
      <c r="K19" s="1236"/>
      <c r="L19" s="1234"/>
      <c r="M19" s="1234"/>
      <c r="N19" s="1922"/>
      <c r="O19" s="1234"/>
      <c r="P19" s="1234"/>
      <c r="Q19" s="1237"/>
      <c r="R19" s="1923"/>
      <c r="S19" s="1924"/>
      <c r="T19" s="78"/>
      <c r="U19" s="900"/>
      <c r="V19" s="1925" t="n">
        <f aca="false">((E19*I19/16*I19/16*10.680159*J19)*IF(H19=0,0,(G19/H19))+(G19/12*L19/16*L19/16*10.680159*M19)*IF(K19=0,0,(E19*12/K19))+(E19*IF(P19=0,0,N19/P19)*Q19/16*Q19/16*10.680159*R19)+(IF(P19=0,0,E19/P19*N19)*Q19/16*Q19/16*10.680159*R19)+((T19*U19*S19*0.03*0.2836*G19)/12+4)*IF(H19=0,0,(G19/H19))*I19/16*I19/16*10.680159)*(1+J$56)</f>
        <v>0</v>
      </c>
      <c r="W19" s="1926" t="n">
        <f aca="false">((E19*F19/12*G19/324)+ROUNDUP(S19*T19*U19*G19/46656,0)+(N19*O19*E19/3888))*(1+J$51)</f>
        <v>0</v>
      </c>
      <c r="AH19" s="1929" t="n">
        <f aca="false">IF($R$8=1,$N19*$O19*$E19/3888*(1+$J$51),0)</f>
        <v>0</v>
      </c>
      <c r="AI19" s="1928" t="n">
        <f aca="false">IF($R$8=2,$N19*$O19*$E19/3888*(1+$J$51),0)</f>
        <v>0</v>
      </c>
      <c r="AJ19" s="1928" t="n">
        <f aca="false">IF($R$8=3,$N19*$O19*$E19/3888*(1+$J$51),0)</f>
        <v>0</v>
      </c>
      <c r="AK19" s="1928" t="n">
        <f aca="false">IF($R$8=4,$N19*$O19*$E19/3888*(1+$J$51),0)</f>
        <v>0</v>
      </c>
      <c r="AL19" s="1928" t="n">
        <f aca="false">IF($R$8=5,$N19*$O19*$E19/3888*(1+$J$51),0)</f>
        <v>0</v>
      </c>
      <c r="AM19" s="1928" t="n">
        <f aca="false">IF($R$8=6,$N19*$O19*$E19/3888*(1+$J$51),0)</f>
        <v>0</v>
      </c>
      <c r="AN19" s="1928" t="n">
        <f aca="false">IF($R$8=7,$N19*$O19*$E19/3888*(1+$J$51),0)</f>
        <v>0</v>
      </c>
      <c r="AO19" s="1928" t="n">
        <f aca="false">IF($R$8=8,$N19*$O19*$E19/3888*(1+$J$51),0)</f>
        <v>0</v>
      </c>
      <c r="AP19" s="1928" t="n">
        <f aca="false">IF($R$8=9,$N19*$O19*$E19/3888*(1+$J$51),0)</f>
        <v>0</v>
      </c>
      <c r="AQ19" s="1928" t="n">
        <f aca="false">IF($R$8=10,$N19*$O19*$E19/3888*(1+$J$51),0)</f>
        <v>0</v>
      </c>
      <c r="AR19" s="1929" t="n">
        <f aca="false">IF($D19=1,$W19-SUM($AH19:$AQ19),0)</f>
        <v>0</v>
      </c>
      <c r="AS19" s="1928" t="n">
        <f aca="false">IF($D19=2,W19-SUM($AH19:$AQ19),0)</f>
        <v>0</v>
      </c>
      <c r="AT19" s="1928" t="n">
        <f aca="false">IF($D19=3,W19-SUM($AH19:$AQ19),0)</f>
        <v>0</v>
      </c>
      <c r="AU19" s="1928" t="n">
        <f aca="false">IF($D19=4,W19-SUM($AH19:$AQ19),0)</f>
        <v>0</v>
      </c>
      <c r="AV19" s="1928" t="n">
        <f aca="false">IF($D19=5,W19-SUM($AH19:$AQ19),0)</f>
        <v>0</v>
      </c>
      <c r="AW19" s="1928" t="n">
        <f aca="false">IF($D19=6,W19-SUM($AH19:$AQ19),0)</f>
        <v>0</v>
      </c>
      <c r="AX19" s="1928" t="n">
        <f aca="false">IF($D19=7,W19-SUM($AH19:$AQ19),0)</f>
        <v>0</v>
      </c>
      <c r="AY19" s="1928" t="n">
        <f aca="false">IF($D19=8,W19-SUM($AH19:$AQ19),0)</f>
        <v>0</v>
      </c>
      <c r="AZ19" s="1928" t="n">
        <f aca="false">IF($D19=9,W19-SUM($AH19:$AQ19),0)</f>
        <v>0</v>
      </c>
      <c r="BA19" s="1930" t="n">
        <f aca="false">IF($D19=10,W19-SUM($AH19:$AQ19),0)</f>
        <v>0</v>
      </c>
      <c r="BB19" s="1928" t="n">
        <f aca="false">SUM(AH19:AM19)</f>
        <v>0</v>
      </c>
      <c r="BC19" s="1928" t="n">
        <f aca="false">SUM(AR19:AW19)</f>
        <v>0</v>
      </c>
      <c r="BD19" s="1928" t="n">
        <f aca="false">V19</f>
        <v>0</v>
      </c>
      <c r="BE19" s="1928" t="n">
        <f aca="false">E19*G19/12*2+(U19*U19*G19/1728*S19)</f>
        <v>0</v>
      </c>
      <c r="BF19" s="1928" t="n">
        <f aca="false">BE19/2</f>
        <v>0</v>
      </c>
      <c r="BG19" s="1928" t="n">
        <f aca="false">N19*E19/12</f>
        <v>0</v>
      </c>
      <c r="BH19" s="1928" t="n">
        <f aca="false">ROUND(IF(C19="Y",BF19*3/27,0),0)</f>
        <v>0</v>
      </c>
      <c r="BJ19" s="1931" t="n">
        <f aca="false">V19*F$56*IF(T$39="N",(1+V$39),1)</f>
        <v>0</v>
      </c>
      <c r="BK19" s="1932" t="n">
        <f aca="false">(AR19*Pricing!F$3+AS19*Pricing!G$3+AT19*Pricing!H$3+AU19*Pricing!I$3+AV19*Pricing!J$3+AW19*Pricing!K$3+AH19*Pricing!F$3+AI19*Pricing!G$3+AJ19*Pricing!H$3+AK19*Pricing!I$3+AL19*Pricing!J$3+AM19*Pricing!K$3)*IF(T$39="N",(1+V$39),1)</f>
        <v>0</v>
      </c>
      <c r="BL19" s="1932" t="n">
        <f aca="false">IF(C19="Y",(N$59+N$60)/DF$36*DF19,0)</f>
        <v>0</v>
      </c>
      <c r="BM19" s="1932" t="n">
        <f aca="false">BF19*(G$67+D$70)</f>
        <v>0</v>
      </c>
      <c r="BN19" s="1932" t="n">
        <f aca="false">BG19*D$66</f>
        <v>0</v>
      </c>
      <c r="BO19" s="1932" t="n">
        <f aca="false">V19/2000*D$71</f>
        <v>0</v>
      </c>
      <c r="BP19" s="1932" t="n">
        <f aca="false">IF(C19="Y",(N$74+N$73+N$72)/DF$36*DF19,0)</f>
        <v>0</v>
      </c>
      <c r="BQ19" s="1932" t="n">
        <f aca="false">IF(SUM(BF$36:BG$36)=0,0,(SUM(N$78:O$81)+SUM(N$83:O$88)+SUM(N$90:O$96)+W$95)/SUM(BF$36:BG$36)*(BF19+BG19))</f>
        <v>0</v>
      </c>
      <c r="BR19" s="1933"/>
      <c r="BS19" s="1934" t="n">
        <f aca="false">IF(SUM(BF$36:BG$36)=0,0,(BQ$36-W$58-N$64-W61-(L$79*0.15))/SUM(BF$36:BG$36)*BG19+BN19)</f>
        <v>0</v>
      </c>
      <c r="BT19" s="1932" t="n">
        <f aca="false">(AH19*Pricing!F$3+AI19*Pricing!G$3+AJ19*Pricing!H$3+AK19*Pricing!I$3+AL19*Pricing!J$3+AM19*Pricing!K$3)*IF(T$39="N",(1+V$39),1)</f>
        <v>0</v>
      </c>
      <c r="BU19" s="1932" t="n">
        <f aca="false">IF(BG19=0,0,(BS19+BT19)/BG19)</f>
        <v>0</v>
      </c>
      <c r="BV19" s="1932" t="n">
        <f aca="false">SUM(BJ19:BQ19)-BS19-BT19</f>
        <v>0</v>
      </c>
      <c r="BW19" s="1933" t="n">
        <f aca="false">IF(BE19=0,0,BV19/BF19)</f>
        <v>0</v>
      </c>
      <c r="DB19" s="1935" t="n">
        <f aca="false">IF(W19=0,0,D$40/SUM(W$10:W$35)*W19)</f>
        <v>0</v>
      </c>
      <c r="DC19" s="1932" t="e">
        <f aca="false">E19*N19/12*(D$40-7980)/H$66</f>
        <v>#DIV/0!</v>
      </c>
      <c r="DD19" s="179" t="n">
        <f aca="false">ROUND(N19*O19/3088*E19,0)</f>
        <v>0</v>
      </c>
      <c r="DE19" s="908" t="n">
        <f aca="false">ROUND(V19,0)</f>
        <v>0</v>
      </c>
      <c r="DF19" s="356" t="n">
        <f aca="false">ROUND(IF(C19="Y",(G19*0.25*E19+G19*G19/144*0.5*E19)/27*1.3,0),0)</f>
        <v>0</v>
      </c>
      <c r="DG19" s="908" t="n">
        <f aca="false">ROUND(E19*G19/12,0)</f>
        <v>0</v>
      </c>
      <c r="DH19" s="908" t="n">
        <f aca="false">IF(C19="y",ROUNDUP(E19*G19/12,0),0)</f>
        <v>0</v>
      </c>
      <c r="DI19" s="908" t="n">
        <f aca="false">IF(C19="Y",IF(E19&gt;0,E19,0),0)</f>
        <v>0</v>
      </c>
      <c r="DJ19" s="1936" t="n">
        <f aca="false">ROUND(E19*N19/12,0)</f>
        <v>0</v>
      </c>
    </row>
    <row r="20" s="1414" customFormat="true" ht="15" hidden="false" customHeight="false" outlineLevel="0" collapsed="false">
      <c r="A20" s="507"/>
      <c r="B20" s="1312"/>
      <c r="C20" s="1919"/>
      <c r="D20" s="1920"/>
      <c r="E20" s="1921"/>
      <c r="F20" s="1234"/>
      <c r="G20" s="1235"/>
      <c r="H20" s="1236"/>
      <c r="I20" s="1234"/>
      <c r="J20" s="1235"/>
      <c r="K20" s="1236"/>
      <c r="L20" s="1234"/>
      <c r="M20" s="1234"/>
      <c r="N20" s="1922"/>
      <c r="O20" s="1234"/>
      <c r="P20" s="1234"/>
      <c r="Q20" s="1237"/>
      <c r="R20" s="1923"/>
      <c r="S20" s="1924"/>
      <c r="T20" s="78"/>
      <c r="U20" s="900"/>
      <c r="V20" s="1925" t="n">
        <f aca="false">((E20*I20/16*I20/16*10.680159*J20)*IF(H20=0,0,(G20/H20))+(G20/12*L20/16*L20/16*10.680159*M20)*IF(K20=0,0,(E20*12/K20))+(E20*IF(P20=0,0,N20/P20)*Q20/16*Q20/16*10.680159*R20)+(IF(P20=0,0,E20/P20*N20)*Q20/16*Q20/16*10.680159*R20)+((T20*U20*S20*0.03*0.2836*G20)/12+4)*IF(H20=0,0,(G20/H20))*I20/16*I20/16*10.680159)*(1+J$56)</f>
        <v>0</v>
      </c>
      <c r="W20" s="1926" t="n">
        <f aca="false">((E20*F20/12*G20/324)+ROUNDUP(S20*T20*U20*G20/46656,0)+(N20*O20*E20/3888))*(1+J$51)</f>
        <v>0</v>
      </c>
      <c r="AH20" s="1929" t="n">
        <f aca="false">IF($R$8=1,$N20*$O20*$E20/3888*(1+$J$51),0)</f>
        <v>0</v>
      </c>
      <c r="AI20" s="1928" t="n">
        <f aca="false">IF($R$8=2,$N20*$O20*$E20/3888*(1+$J$51),0)</f>
        <v>0</v>
      </c>
      <c r="AJ20" s="1928" t="n">
        <f aca="false">IF($R$8=3,$N20*$O20*$E20/3888*(1+$J$51),0)</f>
        <v>0</v>
      </c>
      <c r="AK20" s="1928" t="n">
        <f aca="false">IF($R$8=4,$N20*$O20*$E20/3888*(1+$J$51),0)</f>
        <v>0</v>
      </c>
      <c r="AL20" s="1928" t="n">
        <f aca="false">IF($R$8=5,$N20*$O20*$E20/3888*(1+$J$51),0)</f>
        <v>0</v>
      </c>
      <c r="AM20" s="1928" t="n">
        <f aca="false">IF($R$8=6,$N20*$O20*$E20/3888*(1+$J$51),0)</f>
        <v>0</v>
      </c>
      <c r="AN20" s="1928" t="n">
        <f aca="false">IF($R$8=7,$N20*$O20*$E20/3888*(1+$J$51),0)</f>
        <v>0</v>
      </c>
      <c r="AO20" s="1928" t="n">
        <f aca="false">IF($R$8=8,$N20*$O20*$E20/3888*(1+$J$51),0)</f>
        <v>0</v>
      </c>
      <c r="AP20" s="1928" t="n">
        <f aca="false">IF($R$8=9,$N20*$O20*$E20/3888*(1+$J$51),0)</f>
        <v>0</v>
      </c>
      <c r="AQ20" s="1928" t="n">
        <f aca="false">IF($R$8=10,$N20*$O20*$E20/3888*(1+$J$51),0)</f>
        <v>0</v>
      </c>
      <c r="AR20" s="1929" t="n">
        <f aca="false">IF($D20=1,$W20-SUM($AH20:$AQ20),0)</f>
        <v>0</v>
      </c>
      <c r="AS20" s="1928" t="n">
        <f aca="false">IF($D20=2,W20-SUM($AH20:$AQ20),0)</f>
        <v>0</v>
      </c>
      <c r="AT20" s="1928" t="n">
        <f aca="false">IF($D20=3,W20-SUM($AH20:$AQ20),0)</f>
        <v>0</v>
      </c>
      <c r="AU20" s="1928" t="n">
        <f aca="false">IF($D20=4,W20-SUM($AH20:$AQ20),0)</f>
        <v>0</v>
      </c>
      <c r="AV20" s="1928" t="n">
        <f aca="false">IF($D20=5,W20-SUM($AH20:$AQ20),0)</f>
        <v>0</v>
      </c>
      <c r="AW20" s="1928" t="n">
        <f aca="false">IF($D20=6,W20-SUM($AH20:$AQ20),0)</f>
        <v>0</v>
      </c>
      <c r="AX20" s="1928" t="n">
        <f aca="false">IF($D20=7,W20-SUM($AH20:$AQ20),0)</f>
        <v>0</v>
      </c>
      <c r="AY20" s="1928" t="n">
        <f aca="false">IF($D20=8,W20-SUM($AH20:$AQ20),0)</f>
        <v>0</v>
      </c>
      <c r="AZ20" s="1928" t="n">
        <f aca="false">IF($D20=9,W20-SUM($AH20:$AQ20),0)</f>
        <v>0</v>
      </c>
      <c r="BA20" s="1930" t="n">
        <f aca="false">IF($D20=10,W20-SUM($AH20:$AQ20),0)</f>
        <v>0</v>
      </c>
      <c r="BB20" s="1928" t="n">
        <f aca="false">SUM(AH20:AM20)</f>
        <v>0</v>
      </c>
      <c r="BC20" s="1928" t="n">
        <f aca="false">SUM(AR20:AW20)</f>
        <v>0</v>
      </c>
      <c r="BD20" s="1928" t="n">
        <f aca="false">V20</f>
        <v>0</v>
      </c>
      <c r="BE20" s="1928" t="n">
        <f aca="false">E20*G20/12*2+(U20*U20*G20/1728*S20)</f>
        <v>0</v>
      </c>
      <c r="BF20" s="1928" t="n">
        <f aca="false">BE20/2</f>
        <v>0</v>
      </c>
      <c r="BG20" s="1928" t="n">
        <f aca="false">N20*E20/12</f>
        <v>0</v>
      </c>
      <c r="BH20" s="1928" t="n">
        <f aca="false">ROUND(IF(C20="Y",BF20*3/27,0),0)</f>
        <v>0</v>
      </c>
      <c r="BJ20" s="1931" t="n">
        <f aca="false">V20*F$56*IF(T$39="N",(1+V$39),1)</f>
        <v>0</v>
      </c>
      <c r="BK20" s="1932" t="n">
        <f aca="false">(AR20*Pricing!F$3+AS20*Pricing!G$3+AT20*Pricing!H$3+AU20*Pricing!I$3+AV20*Pricing!J$3+AW20*Pricing!K$3+AH20*Pricing!F$3+AI20*Pricing!G$3+AJ20*Pricing!H$3+AK20*Pricing!I$3+AL20*Pricing!J$3+AM20*Pricing!K$3)*IF(T$39="N",(1+V$39),1)</f>
        <v>0</v>
      </c>
      <c r="BL20" s="1932" t="n">
        <f aca="false">IF(C20="Y",(N$59+N$60)/DF$36*DF20,0)</f>
        <v>0</v>
      </c>
      <c r="BM20" s="1932" t="n">
        <f aca="false">BF20*(G$67+D$70)</f>
        <v>0</v>
      </c>
      <c r="BN20" s="1932" t="n">
        <f aca="false">BG20*D$66</f>
        <v>0</v>
      </c>
      <c r="BO20" s="1932" t="n">
        <f aca="false">V20/2000*D$71</f>
        <v>0</v>
      </c>
      <c r="BP20" s="1932" t="n">
        <f aca="false">IF(C20="Y",(N$74+N$73+N$72)/DF$36*DF20,0)</f>
        <v>0</v>
      </c>
      <c r="BQ20" s="1932" t="n">
        <f aca="false">IF(SUM(BF$36:BG$36)=0,0,(SUM(N$78:O$81)+SUM(N$83:O$88)+SUM(N$90:O$96)+W$95)/SUM(BF$36:BG$36)*(BF20+BG20))</f>
        <v>0</v>
      </c>
      <c r="BR20" s="1933"/>
      <c r="BS20" s="1934" t="n">
        <f aca="false">IF(SUM(BF$36:BG$36)=0,0,(BQ$36-W$58-N$64-W62-(L$79*0.15))/SUM(BF$36:BG$36)*BG20+BN20)</f>
        <v>0</v>
      </c>
      <c r="BT20" s="1932" t="n">
        <f aca="false">(AH20*Pricing!F$3+AI20*Pricing!G$3+AJ20*Pricing!H$3+AK20*Pricing!I$3+AL20*Pricing!J$3+AM20*Pricing!K$3)*IF(T$39="N",(1+V$39),1)</f>
        <v>0</v>
      </c>
      <c r="BU20" s="1932" t="n">
        <f aca="false">IF(BG20=0,0,(BS20+BT20)/BG20)</f>
        <v>0</v>
      </c>
      <c r="BV20" s="1932" t="n">
        <f aca="false">SUM(BJ20:BQ20)-BS20-BT20</f>
        <v>0</v>
      </c>
      <c r="BW20" s="1933" t="n">
        <f aca="false">IF(BE20=0,0,BV20/BF20)</f>
        <v>0</v>
      </c>
      <c r="DB20" s="1935" t="n">
        <f aca="false">IF(W20=0,0,D$40/SUM(W$10:W$35)*W20)</f>
        <v>0</v>
      </c>
      <c r="DC20" s="1932" t="e">
        <f aca="false">E20*N20/12*(D$40-7980)/H$66</f>
        <v>#DIV/0!</v>
      </c>
      <c r="DD20" s="179" t="n">
        <f aca="false">ROUND(N20*O20/3088*E20,0)</f>
        <v>0</v>
      </c>
      <c r="DE20" s="908" t="n">
        <f aca="false">ROUND(V20,0)</f>
        <v>0</v>
      </c>
      <c r="DF20" s="356" t="n">
        <f aca="false">ROUND(IF(C20="Y",(G20*0.25*E20+G20*G20/144*0.5*E20)/27*1.3,0),0)</f>
        <v>0</v>
      </c>
      <c r="DG20" s="908" t="n">
        <f aca="false">ROUND(E20*G20/12,0)</f>
        <v>0</v>
      </c>
      <c r="DH20" s="908" t="n">
        <f aca="false">IF(C20="y",ROUNDUP(E20*G20/12,0),0)</f>
        <v>0</v>
      </c>
      <c r="DI20" s="908" t="n">
        <f aca="false">IF(C20="Y",IF(E20&gt;0,E20,0),0)</f>
        <v>0</v>
      </c>
      <c r="DJ20" s="1936" t="n">
        <f aca="false">ROUND(E20*N20/12,0)</f>
        <v>0</v>
      </c>
    </row>
    <row r="21" s="1414" customFormat="true" ht="15" hidden="false" customHeight="false" outlineLevel="0" collapsed="false">
      <c r="A21" s="507"/>
      <c r="B21" s="1312"/>
      <c r="C21" s="1919"/>
      <c r="D21" s="1920"/>
      <c r="E21" s="1921"/>
      <c r="F21" s="1234"/>
      <c r="G21" s="1235"/>
      <c r="H21" s="1236"/>
      <c r="I21" s="1234"/>
      <c r="J21" s="1235"/>
      <c r="K21" s="1236"/>
      <c r="L21" s="1234"/>
      <c r="M21" s="1234"/>
      <c r="N21" s="1922"/>
      <c r="O21" s="1234"/>
      <c r="P21" s="1234"/>
      <c r="Q21" s="1237"/>
      <c r="R21" s="1923"/>
      <c r="S21" s="1924"/>
      <c r="T21" s="78"/>
      <c r="U21" s="900"/>
      <c r="V21" s="1925" t="n">
        <f aca="false">((E21*I21/16*I21/16*10.680159*J21)*IF(H21=0,0,(G21/H21))+(G21/12*L21/16*L21/16*10.680159*M21)*IF(K21=0,0,(E21*12/K21))+(E21*IF(P21=0,0,N21/P21)*Q21/16*Q21/16*10.680159*R21)+(IF(P21=0,0,E21/P21*N21)*Q21/16*Q21/16*10.680159*R21)+((T21*U21*S21*0.03*0.2836*G21)/12+4)*IF(H21=0,0,(G21/H21))*I21/16*I21/16*10.680159)*(1+J$56)</f>
        <v>0</v>
      </c>
      <c r="W21" s="1926" t="n">
        <f aca="false">((E21*F21/12*G21/324)+ROUNDUP(S21*T21*U21*G21/46656,0)+(N21*O21*E21/3888))*(1+J$51)</f>
        <v>0</v>
      </c>
      <c r="AH21" s="1929" t="n">
        <f aca="false">IF($R$8=1,$N21*$O21*$E21/3888*(1+$J$51),0)</f>
        <v>0</v>
      </c>
      <c r="AI21" s="1928" t="n">
        <f aca="false">IF($R$8=2,$N21*$O21*$E21/3888*(1+$J$51),0)</f>
        <v>0</v>
      </c>
      <c r="AJ21" s="1928" t="n">
        <f aca="false">IF($R$8=3,$N21*$O21*$E21/3888*(1+$J$51),0)</f>
        <v>0</v>
      </c>
      <c r="AK21" s="1928" t="n">
        <f aca="false">IF($R$8=4,$N21*$O21*$E21/3888*(1+$J$51),0)</f>
        <v>0</v>
      </c>
      <c r="AL21" s="1928" t="n">
        <f aca="false">IF($R$8=5,$N21*$O21*$E21/3888*(1+$J$51),0)</f>
        <v>0</v>
      </c>
      <c r="AM21" s="1928" t="n">
        <f aca="false">IF($R$8=6,$N21*$O21*$E21/3888*(1+$J$51),0)</f>
        <v>0</v>
      </c>
      <c r="AN21" s="1928" t="n">
        <f aca="false">IF($R$8=7,$N21*$O21*$E21/3888*(1+$J$51),0)</f>
        <v>0</v>
      </c>
      <c r="AO21" s="1928" t="n">
        <f aca="false">IF($R$8=8,$N21*$O21*$E21/3888*(1+$J$51),0)</f>
        <v>0</v>
      </c>
      <c r="AP21" s="1928" t="n">
        <f aca="false">IF($R$8=9,$N21*$O21*$E21/3888*(1+$J$51),0)</f>
        <v>0</v>
      </c>
      <c r="AQ21" s="1928" t="n">
        <f aca="false">IF($R$8=10,$N21*$O21*$E21/3888*(1+$J$51),0)</f>
        <v>0</v>
      </c>
      <c r="AR21" s="1929" t="n">
        <f aca="false">IF($D21=1,$W21-SUM($AH21:$AQ21),0)</f>
        <v>0</v>
      </c>
      <c r="AS21" s="1928" t="n">
        <f aca="false">IF($D21=2,W21-SUM($AH21:$AQ21),0)</f>
        <v>0</v>
      </c>
      <c r="AT21" s="1928" t="n">
        <f aca="false">IF($D21=3,W21-SUM($AH21:$AQ21),0)</f>
        <v>0</v>
      </c>
      <c r="AU21" s="1928" t="n">
        <f aca="false">IF($D21=4,W21-SUM($AH21:$AQ21),0)</f>
        <v>0</v>
      </c>
      <c r="AV21" s="1928" t="n">
        <f aca="false">IF($D21=5,W21-SUM($AH21:$AQ21),0)</f>
        <v>0</v>
      </c>
      <c r="AW21" s="1928" t="n">
        <f aca="false">IF($D21=6,W21-SUM($AH21:$AQ21),0)</f>
        <v>0</v>
      </c>
      <c r="AX21" s="1928" t="n">
        <f aca="false">IF($D21=7,W21-SUM($AH21:$AQ21),0)</f>
        <v>0</v>
      </c>
      <c r="AY21" s="1928" t="n">
        <f aca="false">IF($D21=8,W21-SUM($AH21:$AQ21),0)</f>
        <v>0</v>
      </c>
      <c r="AZ21" s="1928" t="n">
        <f aca="false">IF($D21=9,W21-SUM($AH21:$AQ21),0)</f>
        <v>0</v>
      </c>
      <c r="BA21" s="1930" t="n">
        <f aca="false">IF($D21=10,W21-SUM($AH21:$AQ21),0)</f>
        <v>0</v>
      </c>
      <c r="BB21" s="1928" t="n">
        <f aca="false">SUM(AH21:AM21)</f>
        <v>0</v>
      </c>
      <c r="BC21" s="1928" t="n">
        <f aca="false">SUM(AR21:AW21)</f>
        <v>0</v>
      </c>
      <c r="BD21" s="1928" t="n">
        <f aca="false">V21</f>
        <v>0</v>
      </c>
      <c r="BE21" s="1928" t="n">
        <f aca="false">E21*G21/12*2+(U21*U21*G21/1728*S21)</f>
        <v>0</v>
      </c>
      <c r="BF21" s="1928" t="n">
        <f aca="false">BE21/2</f>
        <v>0</v>
      </c>
      <c r="BG21" s="1928" t="n">
        <f aca="false">N21*E21/12</f>
        <v>0</v>
      </c>
      <c r="BH21" s="1928" t="n">
        <f aca="false">ROUND(IF(C21="Y",BF21*3/27,0),0)</f>
        <v>0</v>
      </c>
      <c r="BJ21" s="1931" t="n">
        <f aca="false">V21*F$56*IF(T$39="N",(1+V$39),1)</f>
        <v>0</v>
      </c>
      <c r="BK21" s="1932" t="n">
        <f aca="false">(AR21*Pricing!F$3+AS21*Pricing!G$3+AT21*Pricing!H$3+AU21*Pricing!I$3+AV21*Pricing!J$3+AW21*Pricing!K$3+AH21*Pricing!F$3+AI21*Pricing!G$3+AJ21*Pricing!H$3+AK21*Pricing!I$3+AL21*Pricing!J$3+AM21*Pricing!K$3)*IF(T$39="N",(1+V$39),1)</f>
        <v>0</v>
      </c>
      <c r="BL21" s="1932" t="n">
        <f aca="false">IF(C21="Y",(N$59+N$60)/DF$36*DF21,0)</f>
        <v>0</v>
      </c>
      <c r="BM21" s="1932" t="n">
        <f aca="false">BF21*(G$67+D$70)</f>
        <v>0</v>
      </c>
      <c r="BN21" s="1932" t="n">
        <f aca="false">BG21*D$66</f>
        <v>0</v>
      </c>
      <c r="BO21" s="1932" t="n">
        <f aca="false">V21/2000*D$71</f>
        <v>0</v>
      </c>
      <c r="BP21" s="1932" t="n">
        <f aca="false">IF(C21="Y",(N$74+N$73+N$72)/DF$36*DF21,0)</f>
        <v>0</v>
      </c>
      <c r="BQ21" s="1932" t="n">
        <f aca="false">IF(SUM(BF$36:BG$36)=0,0,(SUM(N$78:O$81)+SUM(N$83:O$88)+SUM(N$90:O$96)+W$95)/SUM(BF$36:BG$36)*(BF21+BG21))</f>
        <v>0</v>
      </c>
      <c r="BR21" s="1933"/>
      <c r="BS21" s="1934" t="n">
        <f aca="false">IF(SUM(BF$36:BG$36)=0,0,(BQ$36-W$58-N$64-W52-(L$79*0.15))/SUM(BF$36:BG$36)*BG21+BN21)</f>
        <v>0</v>
      </c>
      <c r="BT21" s="1932" t="n">
        <f aca="false">(AH21*Pricing!F$3+AI21*Pricing!G$3+AJ21*Pricing!H$3+AK21*Pricing!I$3+AL21*Pricing!J$3+AM21*Pricing!K$3)*IF(T$39="N",(1+V$39),1)</f>
        <v>0</v>
      </c>
      <c r="BU21" s="1932" t="n">
        <f aca="false">IF(BG21=0,0,(BS21+BT21)/BG21)</f>
        <v>0</v>
      </c>
      <c r="BV21" s="1932" t="n">
        <f aca="false">SUM(BJ21:BQ21)-BS21-BT21</f>
        <v>0</v>
      </c>
      <c r="BW21" s="1933" t="n">
        <f aca="false">IF(BE21=0,0,BV21/BF21)</f>
        <v>0</v>
      </c>
      <c r="DB21" s="1935" t="n">
        <f aca="false">IF(W21=0,0,D$40/SUM(W$10:W$35)*W21)</f>
        <v>0</v>
      </c>
      <c r="DC21" s="1932" t="e">
        <f aca="false">E21*N21/12*(D$40-7980)/H$66</f>
        <v>#DIV/0!</v>
      </c>
      <c r="DD21" s="179" t="n">
        <f aca="false">ROUND(N21*O21/3088*E21,0)</f>
        <v>0</v>
      </c>
      <c r="DE21" s="908" t="n">
        <f aca="false">ROUND(V21,0)</f>
        <v>0</v>
      </c>
      <c r="DF21" s="356" t="n">
        <f aca="false">ROUND(IF(C21="Y",(G21*0.25*E21+G21*G21/144*0.5*E21)/27*1.3,0),0)</f>
        <v>0</v>
      </c>
      <c r="DG21" s="908" t="n">
        <f aca="false">ROUND(E21*G21/12,0)</f>
        <v>0</v>
      </c>
      <c r="DH21" s="908" t="n">
        <f aca="false">IF(C21="y",ROUNDUP(E21*G21/12,0),0)</f>
        <v>0</v>
      </c>
      <c r="DI21" s="908" t="n">
        <f aca="false">IF(C21="Y",IF(E21&gt;0,E21,0),0)</f>
        <v>0</v>
      </c>
      <c r="DJ21" s="1936" t="n">
        <f aca="false">ROUND(E21*N21/12,0)</f>
        <v>0</v>
      </c>
    </row>
    <row r="22" s="1414" customFormat="true" ht="15" hidden="false" customHeight="false" outlineLevel="0" collapsed="false">
      <c r="A22" s="507"/>
      <c r="B22" s="1312"/>
      <c r="C22" s="1919"/>
      <c r="D22" s="1920"/>
      <c r="E22" s="1921"/>
      <c r="F22" s="1234"/>
      <c r="G22" s="1235"/>
      <c r="H22" s="1236"/>
      <c r="I22" s="1234"/>
      <c r="J22" s="1235"/>
      <c r="K22" s="1236"/>
      <c r="L22" s="1234"/>
      <c r="M22" s="1234"/>
      <c r="N22" s="1922"/>
      <c r="O22" s="1234"/>
      <c r="P22" s="1234"/>
      <c r="Q22" s="1237"/>
      <c r="R22" s="1923"/>
      <c r="S22" s="1924"/>
      <c r="T22" s="78"/>
      <c r="U22" s="900"/>
      <c r="V22" s="1925" t="n">
        <f aca="false">((E22*I22/16*I22/16*10.680159*J22)*IF(H22=0,0,(G22/H22))+(G22/12*L22/16*L22/16*10.680159*M22)*IF(K22=0,0,(E22*12/K22))+(E22*IF(P22=0,0,N22/P22)*Q22/16*Q22/16*10.680159*R22)+(IF(P22=0,0,E22/P22*N22)*Q22/16*Q22/16*10.680159*R22)+((T22*U22*S22*0.03*0.2836*G22)/12+4)*IF(H22=0,0,(G22/H22))*I22/16*I22/16*10.680159)*(1+J$56)</f>
        <v>0</v>
      </c>
      <c r="W22" s="1926" t="n">
        <f aca="false">((E22*F22/12*G22/324)+ROUNDUP(S22*T22*U22*G22/46656,0)+(N22*O22*E22/3888))*(1+J$51)</f>
        <v>0</v>
      </c>
      <c r="AH22" s="1929" t="n">
        <f aca="false">IF($R$8=1,$N22*$O22*$E22/3888*(1+$J$51),0)</f>
        <v>0</v>
      </c>
      <c r="AI22" s="1928" t="n">
        <f aca="false">IF($R$8=2,$N22*$O22*$E22/3888*(1+$J$51),0)</f>
        <v>0</v>
      </c>
      <c r="AJ22" s="1928" t="n">
        <f aca="false">IF($R$8=3,$N22*$O22*$E22/3888*(1+$J$51),0)</f>
        <v>0</v>
      </c>
      <c r="AK22" s="1928" t="n">
        <f aca="false">IF($R$8=4,$N22*$O22*$E22/3888*(1+$J$51),0)</f>
        <v>0</v>
      </c>
      <c r="AL22" s="1928" t="n">
        <f aca="false">IF($R$8=5,$N22*$O22*$E22/3888*(1+$J$51),0)</f>
        <v>0</v>
      </c>
      <c r="AM22" s="1928" t="n">
        <f aca="false">IF($R$8=6,$N22*$O22*$E22/3888*(1+$J$51),0)</f>
        <v>0</v>
      </c>
      <c r="AN22" s="1928" t="n">
        <f aca="false">IF($R$8=7,$N22*$O22*$E22/3888*(1+$J$51),0)</f>
        <v>0</v>
      </c>
      <c r="AO22" s="1928" t="n">
        <f aca="false">IF($R$8=8,$N22*$O22*$E22/3888*(1+$J$51),0)</f>
        <v>0</v>
      </c>
      <c r="AP22" s="1928" t="n">
        <f aca="false">IF($R$8=9,$N22*$O22*$E22/3888*(1+$J$51),0)</f>
        <v>0</v>
      </c>
      <c r="AQ22" s="1928" t="n">
        <f aca="false">IF($R$8=10,$N22*$O22*$E22/3888*(1+$J$51),0)</f>
        <v>0</v>
      </c>
      <c r="AR22" s="1929" t="n">
        <f aca="false">IF($D22=1,$W22-SUM($AH22:$AQ22),0)</f>
        <v>0</v>
      </c>
      <c r="AS22" s="1928" t="n">
        <f aca="false">IF($D22=2,W22-SUM($AH22:$AQ22),0)</f>
        <v>0</v>
      </c>
      <c r="AT22" s="1928" t="n">
        <f aca="false">IF($D22=3,W22-SUM($AH22:$AQ22),0)</f>
        <v>0</v>
      </c>
      <c r="AU22" s="1928" t="n">
        <f aca="false">IF($D22=4,W22-SUM($AH22:$AQ22),0)</f>
        <v>0</v>
      </c>
      <c r="AV22" s="1928" t="n">
        <f aca="false">IF($D22=5,W22-SUM($AH22:$AQ22),0)</f>
        <v>0</v>
      </c>
      <c r="AW22" s="1928" t="n">
        <f aca="false">IF($D22=6,W22-SUM($AH22:$AQ22),0)</f>
        <v>0</v>
      </c>
      <c r="AX22" s="1928" t="n">
        <f aca="false">IF($D22=7,W22-SUM($AH22:$AQ22),0)</f>
        <v>0</v>
      </c>
      <c r="AY22" s="1928" t="n">
        <f aca="false">IF($D22=8,W22-SUM($AH22:$AQ22),0)</f>
        <v>0</v>
      </c>
      <c r="AZ22" s="1928" t="n">
        <f aca="false">IF($D22=9,W22-SUM($AH22:$AQ22),0)</f>
        <v>0</v>
      </c>
      <c r="BA22" s="1930" t="n">
        <f aca="false">IF($D22=10,W22-SUM($AH22:$AQ22),0)</f>
        <v>0</v>
      </c>
      <c r="BB22" s="1928" t="n">
        <f aca="false">SUM(AH22:AM22)</f>
        <v>0</v>
      </c>
      <c r="BC22" s="1928" t="n">
        <f aca="false">SUM(AR22:AW22)</f>
        <v>0</v>
      </c>
      <c r="BD22" s="1928" t="n">
        <f aca="false">V22</f>
        <v>0</v>
      </c>
      <c r="BE22" s="1928" t="n">
        <f aca="false">E22*G22/12*2+(U22*U22*G22/1728*S22)</f>
        <v>0</v>
      </c>
      <c r="BF22" s="1928" t="n">
        <f aca="false">BE22/2</f>
        <v>0</v>
      </c>
      <c r="BG22" s="1928" t="n">
        <f aca="false">N22*E22/12</f>
        <v>0</v>
      </c>
      <c r="BH22" s="1928" t="n">
        <f aca="false">ROUND(IF(C22="Y",BF22*3/27,0),0)</f>
        <v>0</v>
      </c>
      <c r="BJ22" s="1931" t="n">
        <f aca="false">V22*F$56*IF(T$39="N",(1+V$39),1)</f>
        <v>0</v>
      </c>
      <c r="BK22" s="1932" t="n">
        <f aca="false">(AR22*Pricing!F$3+AS22*Pricing!G$3+AT22*Pricing!H$3+AU22*Pricing!I$3+AV22*Pricing!J$3+AW22*Pricing!K$3+AH22*Pricing!F$3+AI22*Pricing!G$3+AJ22*Pricing!H$3+AK22*Pricing!I$3+AL22*Pricing!J$3+AM22*Pricing!K$3)*IF(T$39="N",(1+V$39),1)</f>
        <v>0</v>
      </c>
      <c r="BL22" s="1932" t="n">
        <f aca="false">IF(C22="Y",(N$59+N$60)/DF$36*DF22,0)</f>
        <v>0</v>
      </c>
      <c r="BM22" s="1932" t="n">
        <f aca="false">BF22*(G$67+D$70)</f>
        <v>0</v>
      </c>
      <c r="BN22" s="1932" t="n">
        <f aca="false">BG22*D$66</f>
        <v>0</v>
      </c>
      <c r="BO22" s="1932" t="n">
        <f aca="false">V22/2000*D$71</f>
        <v>0</v>
      </c>
      <c r="BP22" s="1932" t="n">
        <f aca="false">IF(C22="Y",(N$74+N$73+N$72)/DF$36*DF22,0)</f>
        <v>0</v>
      </c>
      <c r="BQ22" s="1932" t="n">
        <f aca="false">IF(SUM(BF$36:BG$36)=0,0,(SUM(N$78:O$81)+SUM(N$83:O$88)+SUM(N$90:O$96)+W$95)/SUM(BF$36:BG$36)*(BF22+BG22))</f>
        <v>0</v>
      </c>
      <c r="BR22" s="1933"/>
      <c r="BS22" s="1934" t="n">
        <f aca="false">IF(SUM(BF$36:BG$36)=0,0,(BQ$36-W$58-N$64-W55-(L$79*0.15))/SUM(BF$36:BG$36)*BG22+BN22)</f>
        <v>0</v>
      </c>
      <c r="BT22" s="1932" t="n">
        <f aca="false">(AH22*Pricing!F$3+AI22*Pricing!G$3+AJ22*Pricing!H$3+AK22*Pricing!I$3+AL22*Pricing!J$3+AM22*Pricing!K$3)*IF(T$39="N",(1+V$39),1)</f>
        <v>0</v>
      </c>
      <c r="BU22" s="1932" t="n">
        <f aca="false">IF(BG22=0,0,(BS22+BT22)/BG22)</f>
        <v>0</v>
      </c>
      <c r="BV22" s="1932" t="n">
        <f aca="false">SUM(BJ22:BQ22)-BS22-BT22</f>
        <v>0</v>
      </c>
      <c r="BW22" s="1933" t="n">
        <f aca="false">IF(BE22=0,0,BV22/BF22)</f>
        <v>0</v>
      </c>
      <c r="DB22" s="1935" t="n">
        <f aca="false">IF(W22=0,0,D$40/SUM(W$10:W$35)*W22)</f>
        <v>0</v>
      </c>
      <c r="DC22" s="1932" t="e">
        <f aca="false">E22*N22/12*(D$40-7980)/H$66</f>
        <v>#DIV/0!</v>
      </c>
      <c r="DD22" s="179" t="n">
        <f aca="false">ROUND(N22*O22/3088*E22,0)</f>
        <v>0</v>
      </c>
      <c r="DE22" s="908" t="n">
        <f aca="false">ROUND(V22,0)</f>
        <v>0</v>
      </c>
      <c r="DF22" s="356" t="n">
        <f aca="false">ROUND(IF(C22="Y",(G22*0.25*E22+G22*G22/144*0.5*E22)/27*1.3,0),0)</f>
        <v>0</v>
      </c>
      <c r="DG22" s="908" t="n">
        <f aca="false">ROUND(E22*G22/12,0)</f>
        <v>0</v>
      </c>
      <c r="DH22" s="908" t="n">
        <f aca="false">IF(C22="y",ROUNDUP(E22*G22/12,0),0)</f>
        <v>0</v>
      </c>
      <c r="DI22" s="908" t="n">
        <f aca="false">IF(C22="Y",IF(E22&gt;0,E22,0),0)</f>
        <v>0</v>
      </c>
      <c r="DJ22" s="1936" t="n">
        <f aca="false">ROUND(E22*N22/12,0)</f>
        <v>0</v>
      </c>
    </row>
    <row r="23" s="1414" customFormat="true" ht="15" hidden="false" customHeight="false" outlineLevel="0" collapsed="false">
      <c r="A23" s="507"/>
      <c r="B23" s="1312"/>
      <c r="C23" s="1919"/>
      <c r="D23" s="1920"/>
      <c r="E23" s="1921"/>
      <c r="F23" s="1234"/>
      <c r="G23" s="1235"/>
      <c r="H23" s="1236"/>
      <c r="I23" s="1234"/>
      <c r="J23" s="1235"/>
      <c r="K23" s="1236"/>
      <c r="L23" s="1234"/>
      <c r="M23" s="1234"/>
      <c r="N23" s="1922"/>
      <c r="O23" s="1234"/>
      <c r="P23" s="1234"/>
      <c r="Q23" s="1237"/>
      <c r="R23" s="1923"/>
      <c r="S23" s="1924"/>
      <c r="T23" s="78"/>
      <c r="U23" s="900"/>
      <c r="V23" s="1925" t="n">
        <f aca="false">((E23*I23/16*I23/16*10.680159*J23)*IF(H23=0,0,(G23/H23))+(G23/12*L23/16*L23/16*10.680159*M23)*IF(K23=0,0,(E23*12/K23))+(E23*IF(P23=0,0,N23/P23)*Q23/16*Q23/16*10.680159*R23)+(IF(P23=0,0,E23/P23*N23)*Q23/16*Q23/16*10.680159*R23)+((T23*U23*S23*0.03*0.2836*G23)/12+4)*IF(H23=0,0,(G23/H23))*I23/16*I23/16*10.680159)*(1+J$56)</f>
        <v>0</v>
      </c>
      <c r="W23" s="1926" t="n">
        <f aca="false">((E23*F23/12*G23/324)+ROUNDUP(S23*T23*U23*G23/46656,0)+(N23*O23*E23/3888))*(1+J$51)</f>
        <v>0</v>
      </c>
      <c r="AH23" s="1929" t="n">
        <f aca="false">IF($R$8=1,$N23*$O23*$E23/3888*(1+$J$51),0)</f>
        <v>0</v>
      </c>
      <c r="AI23" s="1928" t="n">
        <f aca="false">IF($R$8=2,$N23*$O23*$E23/3888*(1+$J$51),0)</f>
        <v>0</v>
      </c>
      <c r="AJ23" s="1928" t="n">
        <f aca="false">IF($R$8=3,$N23*$O23*$E23/3888*(1+$J$51),0)</f>
        <v>0</v>
      </c>
      <c r="AK23" s="1928" t="n">
        <f aca="false">IF($R$8=4,$N23*$O23*$E23/3888*(1+$J$51),0)</f>
        <v>0</v>
      </c>
      <c r="AL23" s="1928" t="n">
        <f aca="false">IF($R$8=5,$N23*$O23*$E23/3888*(1+$J$51),0)</f>
        <v>0</v>
      </c>
      <c r="AM23" s="1928" t="n">
        <f aca="false">IF($R$8=6,$N23*$O23*$E23/3888*(1+$J$51),0)</f>
        <v>0</v>
      </c>
      <c r="AN23" s="1928" t="n">
        <f aca="false">IF($R$8=7,$N23*$O23*$E23/3888*(1+$J$51),0)</f>
        <v>0</v>
      </c>
      <c r="AO23" s="1928" t="n">
        <f aca="false">IF($R$8=8,$N23*$O23*$E23/3888*(1+$J$51),0)</f>
        <v>0</v>
      </c>
      <c r="AP23" s="1928" t="n">
        <f aca="false">IF($R$8=9,$N23*$O23*$E23/3888*(1+$J$51),0)</f>
        <v>0</v>
      </c>
      <c r="AQ23" s="1928" t="n">
        <f aca="false">IF($R$8=10,$N23*$O23*$E23/3888*(1+$J$51),0)</f>
        <v>0</v>
      </c>
      <c r="AR23" s="1929" t="n">
        <f aca="false">IF($D23=1,$W23-SUM($AH23:$AQ23),0)</f>
        <v>0</v>
      </c>
      <c r="AS23" s="1928" t="n">
        <f aca="false">IF($D23=2,W23-SUM($AH23:$AQ23),0)</f>
        <v>0</v>
      </c>
      <c r="AT23" s="1928" t="n">
        <f aca="false">IF($D23=3,W23-SUM($AH23:$AQ23),0)</f>
        <v>0</v>
      </c>
      <c r="AU23" s="1928" t="n">
        <f aca="false">IF($D23=4,W23-SUM($AH23:$AQ23),0)</f>
        <v>0</v>
      </c>
      <c r="AV23" s="1928" t="n">
        <f aca="false">IF($D23=5,W23-SUM($AH23:$AQ23),0)</f>
        <v>0</v>
      </c>
      <c r="AW23" s="1928" t="n">
        <f aca="false">IF($D23=6,W23-SUM($AH23:$AQ23),0)</f>
        <v>0</v>
      </c>
      <c r="AX23" s="1928" t="n">
        <f aca="false">IF($D23=7,W23-SUM($AH23:$AQ23),0)</f>
        <v>0</v>
      </c>
      <c r="AY23" s="1928" t="n">
        <f aca="false">IF($D23=8,W23-SUM($AH23:$AQ23),0)</f>
        <v>0</v>
      </c>
      <c r="AZ23" s="1928" t="n">
        <f aca="false">IF($D23=9,W23-SUM($AH23:$AQ23),0)</f>
        <v>0</v>
      </c>
      <c r="BA23" s="1930" t="n">
        <f aca="false">IF($D23=10,W23-SUM($AH23:$AQ23),0)</f>
        <v>0</v>
      </c>
      <c r="BB23" s="1928" t="n">
        <f aca="false">SUM(AH23:AM23)</f>
        <v>0</v>
      </c>
      <c r="BC23" s="1928" t="n">
        <f aca="false">SUM(AR23:AW23)</f>
        <v>0</v>
      </c>
      <c r="BD23" s="1928" t="n">
        <f aca="false">V23</f>
        <v>0</v>
      </c>
      <c r="BE23" s="1928" t="n">
        <f aca="false">E23*G23/12*2+(U23*U23*G23/1728*S23)</f>
        <v>0</v>
      </c>
      <c r="BF23" s="1928" t="n">
        <f aca="false">BE23/2</f>
        <v>0</v>
      </c>
      <c r="BG23" s="1928" t="n">
        <f aca="false">N23*E23/12</f>
        <v>0</v>
      </c>
      <c r="BH23" s="1928" t="n">
        <f aca="false">ROUND(IF(C23="Y",BF23*3/27,0),0)</f>
        <v>0</v>
      </c>
      <c r="BJ23" s="1931" t="n">
        <f aca="false">V23*F$56*IF(T$39="N",(1+V$39),1)</f>
        <v>0</v>
      </c>
      <c r="BK23" s="1932" t="n">
        <f aca="false">(AR23*Pricing!F$3+AS23*Pricing!G$3+AT23*Pricing!H$3+AU23*Pricing!I$3+AV23*Pricing!J$3+AW23*Pricing!K$3+AH23*Pricing!F$3+AI23*Pricing!G$3+AJ23*Pricing!H$3+AK23*Pricing!I$3+AL23*Pricing!J$3+AM23*Pricing!K$3)*IF(T$39="N",(1+V$39),1)</f>
        <v>0</v>
      </c>
      <c r="BL23" s="1932" t="n">
        <f aca="false">IF(C23="Y",(N$59+N$60)/DF$36*DF23,0)</f>
        <v>0</v>
      </c>
      <c r="BM23" s="1932" t="n">
        <f aca="false">BF23*(G$67+D$70)</f>
        <v>0</v>
      </c>
      <c r="BN23" s="1932" t="n">
        <f aca="false">BG23*D$66</f>
        <v>0</v>
      </c>
      <c r="BO23" s="1932" t="n">
        <f aca="false">V23/2000*D$71</f>
        <v>0</v>
      </c>
      <c r="BP23" s="1932" t="n">
        <f aca="false">IF(C23="Y",(N$74+N$73+N$72)/DF$36*DF23,0)</f>
        <v>0</v>
      </c>
      <c r="BQ23" s="1932" t="n">
        <f aca="false">IF(SUM(BF$36:BG$36)=0,0,(SUM(N$78:O$81)+SUM(N$83:O$88)+SUM(N$90:O$96)+W$95)/SUM(BF$36:BG$36)*(BF23+BG23))</f>
        <v>0</v>
      </c>
      <c r="BR23" s="1933"/>
      <c r="BS23" s="1934" t="n">
        <f aca="false">IF(SUM(BF$36:BG$36)=0,0,(BQ$36-W$58-N$64-W74-(L$79*0.15))/SUM(BF$36:BG$36)*BG23+BN23)</f>
        <v>0</v>
      </c>
      <c r="BT23" s="1932" t="n">
        <f aca="false">(AH23*Pricing!F$3+AI23*Pricing!G$3+AJ23*Pricing!H$3+AK23*Pricing!I$3+AL23*Pricing!J$3+AM23*Pricing!K$3)*IF(T$39="N",(1+V$39),1)</f>
        <v>0</v>
      </c>
      <c r="BU23" s="1932" t="n">
        <f aca="false">IF(BG23=0,0,(BS23+BT23)/BG23)</f>
        <v>0</v>
      </c>
      <c r="BV23" s="1932" t="n">
        <f aca="false">SUM(BJ23:BQ23)-BS23-BT23</f>
        <v>0</v>
      </c>
      <c r="BW23" s="1933" t="n">
        <f aca="false">IF(BE23=0,0,BV23/BF23)</f>
        <v>0</v>
      </c>
      <c r="DB23" s="1935" t="n">
        <f aca="false">IF(W23=0,0,D$40/SUM(W$10:W$35)*W23)</f>
        <v>0</v>
      </c>
      <c r="DC23" s="1932" t="e">
        <f aca="false">E23*N23/12*(D$40-7980)/H$66</f>
        <v>#DIV/0!</v>
      </c>
      <c r="DD23" s="179" t="n">
        <f aca="false">ROUND(N23*O23/3088*E23,0)</f>
        <v>0</v>
      </c>
      <c r="DE23" s="908" t="n">
        <f aca="false">ROUND(V23,0)</f>
        <v>0</v>
      </c>
      <c r="DF23" s="356" t="n">
        <f aca="false">ROUND(IF(C23="Y",(G23*0.25*E23+G23*G23/144*0.5*E23)/27*1.3,0),0)</f>
        <v>0</v>
      </c>
      <c r="DG23" s="908" t="n">
        <f aca="false">ROUND(E23*G23/12,0)</f>
        <v>0</v>
      </c>
      <c r="DH23" s="908" t="n">
        <f aca="false">IF(C23="y",ROUNDUP(E23*G23/12,0),0)</f>
        <v>0</v>
      </c>
      <c r="DI23" s="908" t="n">
        <f aca="false">IF(C23="Y",IF(E23&gt;0,E23,0),0)</f>
        <v>0</v>
      </c>
      <c r="DJ23" s="1936" t="n">
        <f aca="false">ROUND(E23*N23/12,0)</f>
        <v>0</v>
      </c>
    </row>
    <row r="24" s="1414" customFormat="true" ht="15" hidden="false" customHeight="false" outlineLevel="0" collapsed="false">
      <c r="A24" s="507"/>
      <c r="B24" s="1312"/>
      <c r="C24" s="1919"/>
      <c r="D24" s="1920"/>
      <c r="E24" s="1921"/>
      <c r="F24" s="1234"/>
      <c r="G24" s="1235"/>
      <c r="H24" s="1236"/>
      <c r="I24" s="1234"/>
      <c r="J24" s="1235"/>
      <c r="K24" s="1236"/>
      <c r="L24" s="1234"/>
      <c r="M24" s="1234"/>
      <c r="N24" s="1922"/>
      <c r="O24" s="1234"/>
      <c r="P24" s="1234"/>
      <c r="Q24" s="1237"/>
      <c r="R24" s="1923"/>
      <c r="S24" s="1924"/>
      <c r="T24" s="78"/>
      <c r="U24" s="900"/>
      <c r="V24" s="1925" t="n">
        <f aca="false">((E24*I24/16*I24/16*10.680159*J24)*IF(H24=0,0,(G24/H24))+(G24/12*L24/16*L24/16*10.680159*M24)*IF(K24=0,0,(E24*12/K24))+(E24*IF(P24=0,0,N24/P24)*Q24/16*Q24/16*10.680159*R24)+(IF(P24=0,0,E24/P24*N24)*Q24/16*Q24/16*10.680159*R24)+((T24*U24*S24*0.03*0.2836*G24)/12+4)*IF(H24=0,0,(G24/H24))*I24/16*I24/16*10.680159)*(1+J$56)</f>
        <v>0</v>
      </c>
      <c r="W24" s="1926" t="n">
        <f aca="false">((E24*F24/12*G24/324)+ROUNDUP(S24*T24*U24*G24/46656,0)+(N24*O24*E24/3888))*(1+J$51)</f>
        <v>0</v>
      </c>
      <c r="AH24" s="1929" t="n">
        <f aca="false">IF($R$8=1,$N24*$O24*$E24/3888*(1+$J$51),0)</f>
        <v>0</v>
      </c>
      <c r="AI24" s="1928" t="n">
        <f aca="false">IF($R$8=2,$N24*$O24*$E24/3888*(1+$J$51),0)</f>
        <v>0</v>
      </c>
      <c r="AJ24" s="1928" t="n">
        <f aca="false">IF($R$8=3,$N24*$O24*$E24/3888*(1+$J$51),0)</f>
        <v>0</v>
      </c>
      <c r="AK24" s="1928" t="n">
        <f aca="false">IF($R$8=4,$N24*$O24*$E24/3888*(1+$J$51),0)</f>
        <v>0</v>
      </c>
      <c r="AL24" s="1928" t="n">
        <f aca="false">IF($R$8=5,$N24*$O24*$E24/3888*(1+$J$51),0)</f>
        <v>0</v>
      </c>
      <c r="AM24" s="1928" t="n">
        <f aca="false">IF($R$8=6,$N24*$O24*$E24/3888*(1+$J$51),0)</f>
        <v>0</v>
      </c>
      <c r="AN24" s="1928" t="n">
        <f aca="false">IF($R$8=7,$N24*$O24*$E24/3888*(1+$J$51),0)</f>
        <v>0</v>
      </c>
      <c r="AO24" s="1928" t="n">
        <f aca="false">IF($R$8=8,$N24*$O24*$E24/3888*(1+$J$51),0)</f>
        <v>0</v>
      </c>
      <c r="AP24" s="1928" t="n">
        <f aca="false">IF($R$8=9,$N24*$O24*$E24/3888*(1+$J$51),0)</f>
        <v>0</v>
      </c>
      <c r="AQ24" s="1928" t="n">
        <f aca="false">IF($R$8=10,$N24*$O24*$E24/3888*(1+$J$51),0)</f>
        <v>0</v>
      </c>
      <c r="AR24" s="1929" t="n">
        <f aca="false">IF($D24=1,$W24-SUM($AH24:$AQ24),0)</f>
        <v>0</v>
      </c>
      <c r="AS24" s="1928" t="n">
        <f aca="false">IF($D24=2,W24-SUM($AH24:$AQ24),0)</f>
        <v>0</v>
      </c>
      <c r="AT24" s="1928" t="n">
        <f aca="false">IF($D24=3,W24-SUM($AH24:$AQ24),0)</f>
        <v>0</v>
      </c>
      <c r="AU24" s="1928" t="n">
        <f aca="false">IF($D24=4,W24-SUM($AH24:$AQ24),0)</f>
        <v>0</v>
      </c>
      <c r="AV24" s="1928" t="n">
        <f aca="false">IF($D24=5,W24-SUM($AH24:$AQ24),0)</f>
        <v>0</v>
      </c>
      <c r="AW24" s="1928" t="n">
        <f aca="false">IF($D24=6,W24-SUM($AH24:$AQ24),0)</f>
        <v>0</v>
      </c>
      <c r="AX24" s="1928" t="n">
        <f aca="false">IF($D24=7,W24-SUM($AH24:$AQ24),0)</f>
        <v>0</v>
      </c>
      <c r="AY24" s="1928" t="n">
        <f aca="false">IF($D24=8,W24-SUM($AH24:$AQ24),0)</f>
        <v>0</v>
      </c>
      <c r="AZ24" s="1928" t="n">
        <f aca="false">IF($D24=9,W24-SUM($AH24:$AQ24),0)</f>
        <v>0</v>
      </c>
      <c r="BA24" s="1930" t="n">
        <f aca="false">IF($D24=10,W24-SUM($AH24:$AQ24),0)</f>
        <v>0</v>
      </c>
      <c r="BB24" s="1928" t="n">
        <f aca="false">SUM(AH24:AM24)</f>
        <v>0</v>
      </c>
      <c r="BC24" s="1928" t="n">
        <f aca="false">SUM(AR24:AW24)</f>
        <v>0</v>
      </c>
      <c r="BD24" s="1928" t="n">
        <f aca="false">V24</f>
        <v>0</v>
      </c>
      <c r="BE24" s="1928" t="n">
        <f aca="false">E24*G24/12*2+(U24*U24*G24/1728*S24)</f>
        <v>0</v>
      </c>
      <c r="BF24" s="1928" t="n">
        <f aca="false">BE24/2</f>
        <v>0</v>
      </c>
      <c r="BG24" s="1928" t="n">
        <f aca="false">N24*E24/12</f>
        <v>0</v>
      </c>
      <c r="BH24" s="1928" t="n">
        <f aca="false">ROUND(IF(C24="Y",BF24*3/27,0),0)</f>
        <v>0</v>
      </c>
      <c r="BJ24" s="1931" t="n">
        <f aca="false">V24*F$56*IF(T$39="N",(1+V$39),1)</f>
        <v>0</v>
      </c>
      <c r="BK24" s="1932" t="n">
        <f aca="false">(AR24*Pricing!F$3+AS24*Pricing!G$3+AT24*Pricing!H$3+AU24*Pricing!I$3+AV24*Pricing!J$3+AW24*Pricing!K$3+AH24*Pricing!F$3+AI24*Pricing!G$3+AJ24*Pricing!H$3+AK24*Pricing!I$3+AL24*Pricing!J$3+AM24*Pricing!K$3)*IF(T$39="N",(1+V$39),1)</f>
        <v>0</v>
      </c>
      <c r="BL24" s="1932" t="n">
        <f aca="false">IF(C24="Y",(N$59+N$60)/DF$36*DF24,0)</f>
        <v>0</v>
      </c>
      <c r="BM24" s="1932" t="n">
        <f aca="false">BF24*(G$67+D$70)</f>
        <v>0</v>
      </c>
      <c r="BN24" s="1932" t="n">
        <f aca="false">BG24*D$66</f>
        <v>0</v>
      </c>
      <c r="BO24" s="1932" t="n">
        <f aca="false">V24/2000*D$71</f>
        <v>0</v>
      </c>
      <c r="BP24" s="1932" t="n">
        <f aca="false">IF(C24="Y",(N$74+N$73+N$72)/DF$36*DF24,0)</f>
        <v>0</v>
      </c>
      <c r="BQ24" s="1932" t="n">
        <f aca="false">IF(SUM(BF$36:BG$36)=0,0,(SUM(N$78:O$81)+SUM(N$83:O$88)+SUM(N$90:O$96)+W$95)/SUM(BF$36:BG$36)*(BF24+BG24))</f>
        <v>0</v>
      </c>
      <c r="BR24" s="1933"/>
      <c r="BS24" s="1934" t="n">
        <f aca="false">IF(SUM(BF$36:BG$36)=0,0,(BQ$36-W$58-N$64-W76-(L$79*0.15))/SUM(BF$36:BG$36)*BG24+BN24)</f>
        <v>0</v>
      </c>
      <c r="BT24" s="1932" t="n">
        <f aca="false">(AH24*Pricing!F$3+AI24*Pricing!G$3+AJ24*Pricing!H$3+AK24*Pricing!I$3+AL24*Pricing!J$3+AM24*Pricing!K$3)*IF(T$39="N",(1+V$39),1)</f>
        <v>0</v>
      </c>
      <c r="BU24" s="1932" t="n">
        <f aca="false">IF(BG24=0,0,(BS24+BT24)/BG24)</f>
        <v>0</v>
      </c>
      <c r="BV24" s="1932" t="n">
        <f aca="false">SUM(BJ24:BQ24)-BS24-BT24</f>
        <v>0</v>
      </c>
      <c r="BW24" s="1933" t="n">
        <f aca="false">IF(BE24=0,0,BV24/BF24)</f>
        <v>0</v>
      </c>
      <c r="DB24" s="1935" t="n">
        <f aca="false">IF(W24=0,0,D$40/SUM(W$10:W$35)*W24)</f>
        <v>0</v>
      </c>
      <c r="DC24" s="1932" t="e">
        <f aca="false">E24*N24/12*(D$40-7980)/H$66</f>
        <v>#DIV/0!</v>
      </c>
      <c r="DD24" s="179" t="n">
        <f aca="false">ROUND(N24*O24/3088*E24,0)</f>
        <v>0</v>
      </c>
      <c r="DE24" s="908" t="n">
        <f aca="false">ROUND(V24,0)</f>
        <v>0</v>
      </c>
      <c r="DF24" s="356" t="n">
        <f aca="false">ROUND(IF(C24="Y",(G24*0.25*E24+G24*G24/144*0.5*E24)/27*1.3,0),0)</f>
        <v>0</v>
      </c>
      <c r="DG24" s="908" t="n">
        <f aca="false">ROUND(E24*G24/12,0)</f>
        <v>0</v>
      </c>
      <c r="DH24" s="908" t="n">
        <f aca="false">IF(C24="y",ROUNDUP(E24*G24/12,0),0)</f>
        <v>0</v>
      </c>
      <c r="DI24" s="908" t="n">
        <f aca="false">IF(C24="Y",IF(E24&gt;0,E24,0),0)</f>
        <v>0</v>
      </c>
      <c r="DJ24" s="1936" t="n">
        <f aca="false">ROUND(E24*N24/12,0)</f>
        <v>0</v>
      </c>
    </row>
    <row r="25" s="1414" customFormat="true" ht="15" hidden="false" customHeight="false" outlineLevel="0" collapsed="false">
      <c r="A25" s="507"/>
      <c r="B25" s="1312"/>
      <c r="C25" s="1919"/>
      <c r="D25" s="1920"/>
      <c r="E25" s="1921"/>
      <c r="F25" s="1234"/>
      <c r="G25" s="1235"/>
      <c r="H25" s="1236"/>
      <c r="I25" s="1234"/>
      <c r="J25" s="1235"/>
      <c r="K25" s="1236"/>
      <c r="L25" s="1234"/>
      <c r="M25" s="1234"/>
      <c r="N25" s="1922"/>
      <c r="O25" s="1234"/>
      <c r="P25" s="1234"/>
      <c r="Q25" s="1237"/>
      <c r="R25" s="1923"/>
      <c r="S25" s="1924"/>
      <c r="T25" s="78"/>
      <c r="U25" s="900"/>
      <c r="V25" s="1925" t="n">
        <f aca="false">((E25*I25/16*I25/16*10.680159*J25)*IF(H25=0,0,(G25/H25))+(G25/12*L25/16*L25/16*10.680159*M25)*IF(K25=0,0,(E25*12/K25))+(E25*IF(P25=0,0,N25/P25)*Q25/16*Q25/16*10.680159*R25)+(IF(P25=0,0,E25/P25*N25)*Q25/16*Q25/16*10.680159*R25)+((T25*U25*S25*0.03*0.2836*G25)/12+4)*IF(H25=0,0,(G25/H25))*I25/16*I25/16*10.680159)*(1+J$56)</f>
        <v>0</v>
      </c>
      <c r="W25" s="1926" t="n">
        <f aca="false">((E25*F25/12*G25/324)+ROUNDUP(S25*T25*U25*G25/46656,0)+(N25*O25*E25/3888))*(1+J$51)</f>
        <v>0</v>
      </c>
      <c r="AH25" s="1929" t="n">
        <f aca="false">IF($R$8=1,$N25*$O25*$E25/3888*(1+$J$51),0)</f>
        <v>0</v>
      </c>
      <c r="AI25" s="1928" t="n">
        <f aca="false">IF($R$8=2,$N25*$O25*$E25/3888*(1+$J$51),0)</f>
        <v>0</v>
      </c>
      <c r="AJ25" s="1928" t="n">
        <f aca="false">IF($R$8=3,$N25*$O25*$E25/3888*(1+$J$51),0)</f>
        <v>0</v>
      </c>
      <c r="AK25" s="1928" t="n">
        <f aca="false">IF($R$8=4,$N25*$O25*$E25/3888*(1+$J$51),0)</f>
        <v>0</v>
      </c>
      <c r="AL25" s="1928" t="n">
        <f aca="false">IF($R$8=5,$N25*$O25*$E25/3888*(1+$J$51),0)</f>
        <v>0</v>
      </c>
      <c r="AM25" s="1928" t="n">
        <f aca="false">IF($R$8=6,$N25*$O25*$E25/3888*(1+$J$51),0)</f>
        <v>0</v>
      </c>
      <c r="AN25" s="1928" t="n">
        <f aca="false">IF($R$8=7,$N25*$O25*$E25/3888*(1+$J$51),0)</f>
        <v>0</v>
      </c>
      <c r="AO25" s="1928" t="n">
        <f aca="false">IF($R$8=8,$N25*$O25*$E25/3888*(1+$J$51),0)</f>
        <v>0</v>
      </c>
      <c r="AP25" s="1928" t="n">
        <f aca="false">IF($R$8=9,$N25*$O25*$E25/3888*(1+$J$51),0)</f>
        <v>0</v>
      </c>
      <c r="AQ25" s="1928" t="n">
        <f aca="false">IF($R$8=10,$N25*$O25*$E25/3888*(1+$J$51),0)</f>
        <v>0</v>
      </c>
      <c r="AR25" s="1929" t="n">
        <f aca="false">IF($D25=1,$W25-SUM($AH25:$AQ25),0)</f>
        <v>0</v>
      </c>
      <c r="AS25" s="1928" t="n">
        <f aca="false">IF($D25=2,W25-SUM($AH25:$AQ25),0)</f>
        <v>0</v>
      </c>
      <c r="AT25" s="1928" t="n">
        <f aca="false">IF($D25=3,W25-SUM($AH25:$AQ25),0)</f>
        <v>0</v>
      </c>
      <c r="AU25" s="1928" t="n">
        <f aca="false">IF($D25=4,W25-SUM($AH25:$AQ25),0)</f>
        <v>0</v>
      </c>
      <c r="AV25" s="1928" t="n">
        <f aca="false">IF($D25=5,W25-SUM($AH25:$AQ25),0)</f>
        <v>0</v>
      </c>
      <c r="AW25" s="1928" t="n">
        <f aca="false">IF($D25=6,W25-SUM($AH25:$AQ25),0)</f>
        <v>0</v>
      </c>
      <c r="AX25" s="1928" t="n">
        <f aca="false">IF($D25=7,W25-SUM($AH25:$AQ25),0)</f>
        <v>0</v>
      </c>
      <c r="AY25" s="1928" t="n">
        <f aca="false">IF($D25=8,W25-SUM($AH25:$AQ25),0)</f>
        <v>0</v>
      </c>
      <c r="AZ25" s="1928" t="n">
        <f aca="false">IF($D25=9,W25-SUM($AH25:$AQ25),0)</f>
        <v>0</v>
      </c>
      <c r="BA25" s="1930" t="n">
        <f aca="false">IF($D25=10,W25-SUM($AH25:$AQ25),0)</f>
        <v>0</v>
      </c>
      <c r="BB25" s="1928" t="n">
        <f aca="false">SUM(AH25:AM25)</f>
        <v>0</v>
      </c>
      <c r="BC25" s="1928" t="n">
        <f aca="false">SUM(AR25:AW25)</f>
        <v>0</v>
      </c>
      <c r="BD25" s="1928" t="n">
        <f aca="false">V25</f>
        <v>0</v>
      </c>
      <c r="BE25" s="1928" t="n">
        <f aca="false">E25*G25/12*2+(U25*U25*G25/1728*S25)</f>
        <v>0</v>
      </c>
      <c r="BF25" s="1928" t="n">
        <f aca="false">BE25/2</f>
        <v>0</v>
      </c>
      <c r="BG25" s="1928" t="n">
        <f aca="false">N25*E25/12</f>
        <v>0</v>
      </c>
      <c r="BH25" s="1928" t="n">
        <f aca="false">ROUND(IF(C25="Y",BF25*3/27,0),0)</f>
        <v>0</v>
      </c>
      <c r="BJ25" s="1931" t="n">
        <f aca="false">V25*F$56*IF(T$39="N",(1+V$39),1)</f>
        <v>0</v>
      </c>
      <c r="BK25" s="1932" t="n">
        <f aca="false">(AR25*Pricing!F$3+AS25*Pricing!G$3+AT25*Pricing!H$3+AU25*Pricing!I$3+AV25*Pricing!J$3+AW25*Pricing!K$3+AH25*Pricing!F$3+AI25*Pricing!G$3+AJ25*Pricing!H$3+AK25*Pricing!I$3+AL25*Pricing!J$3+AM25*Pricing!K$3)*IF(T$39="N",(1+V$39),1)</f>
        <v>0</v>
      </c>
      <c r="BL25" s="1932" t="n">
        <f aca="false">IF(C25="Y",(N$59+N$60)/DF$36*DF25,0)</f>
        <v>0</v>
      </c>
      <c r="BM25" s="1932" t="n">
        <f aca="false">BF25*(G$67+D$70)</f>
        <v>0</v>
      </c>
      <c r="BN25" s="1932" t="n">
        <f aca="false">BG25*D$66</f>
        <v>0</v>
      </c>
      <c r="BO25" s="1932" t="n">
        <f aca="false">V25/2000*D$71</f>
        <v>0</v>
      </c>
      <c r="BP25" s="1932" t="n">
        <f aca="false">IF(C25="Y",(N$74+N$73+N$72)/DF$36*DF25,0)</f>
        <v>0</v>
      </c>
      <c r="BQ25" s="1932" t="n">
        <f aca="false">IF(SUM(BF$36:BG$36)=0,0,(SUM(N$78:O$81)+SUM(N$83:O$88)+SUM(N$90:O$96)+W$95)/SUM(BF$36:BG$36)*(BF25+BG25))</f>
        <v>0</v>
      </c>
      <c r="BR25" s="1933"/>
      <c r="BS25" s="1934" t="n">
        <f aca="false">IF(SUM(BF$36:BG$36)=0,0,(BQ$36-W$58-N$64-W63-(L$79*0.15))/SUM(BF$36:BG$36)*BG25+BN25)</f>
        <v>0</v>
      </c>
      <c r="BT25" s="1932" t="n">
        <f aca="false">(AH25*Pricing!F$3+AI25*Pricing!G$3+AJ25*Pricing!H$3+AK25*Pricing!I$3+AL25*Pricing!J$3+AM25*Pricing!K$3)*IF(T$39="N",(1+V$39),1)</f>
        <v>0</v>
      </c>
      <c r="BU25" s="1932" t="n">
        <f aca="false">IF(BG25=0,0,(BS25+BT25)/BG25)</f>
        <v>0</v>
      </c>
      <c r="BV25" s="1932" t="n">
        <f aca="false">SUM(BJ25:BQ25)-BS25-BT25</f>
        <v>0</v>
      </c>
      <c r="BW25" s="1933" t="n">
        <f aca="false">IF(BE25=0,0,BV25/BF25)</f>
        <v>0</v>
      </c>
      <c r="DB25" s="1935" t="n">
        <f aca="false">IF(W25=0,0,D$40/SUM(W$10:W$35)*W25)</f>
        <v>0</v>
      </c>
      <c r="DC25" s="1932" t="e">
        <f aca="false">E25*N25/12*(D$40-7980)/H$66</f>
        <v>#DIV/0!</v>
      </c>
      <c r="DD25" s="179" t="n">
        <f aca="false">ROUND(N25*O25/3088*E25,0)</f>
        <v>0</v>
      </c>
      <c r="DE25" s="908" t="n">
        <f aca="false">ROUND(V25,0)</f>
        <v>0</v>
      </c>
      <c r="DF25" s="356" t="n">
        <f aca="false">ROUND(IF(C25="Y",(G25*0.25*E25+G25*G25/144*0.5*E25)/27*1.3,0),0)</f>
        <v>0</v>
      </c>
      <c r="DG25" s="908" t="n">
        <f aca="false">ROUND(E25*G25/12,0)</f>
        <v>0</v>
      </c>
      <c r="DH25" s="908" t="n">
        <f aca="false">IF(C25="y",ROUNDUP(E25*G25/12,0),0)</f>
        <v>0</v>
      </c>
      <c r="DI25" s="908" t="n">
        <f aca="false">IF(C25="Y",IF(E25&gt;0,E25,0),0)</f>
        <v>0</v>
      </c>
      <c r="DJ25" s="1936" t="n">
        <f aca="false">ROUND(E25*N25/12,0)</f>
        <v>0</v>
      </c>
    </row>
    <row r="26" s="1414" customFormat="true" ht="15" hidden="false" customHeight="false" outlineLevel="0" collapsed="false">
      <c r="A26" s="507"/>
      <c r="B26" s="1312"/>
      <c r="C26" s="1919"/>
      <c r="D26" s="1920"/>
      <c r="E26" s="1921"/>
      <c r="F26" s="1234"/>
      <c r="G26" s="1235"/>
      <c r="H26" s="1236"/>
      <c r="I26" s="1234"/>
      <c r="J26" s="1235"/>
      <c r="K26" s="1236"/>
      <c r="L26" s="1234"/>
      <c r="M26" s="1234"/>
      <c r="N26" s="1922"/>
      <c r="O26" s="1234"/>
      <c r="P26" s="1234"/>
      <c r="Q26" s="1237"/>
      <c r="R26" s="1923"/>
      <c r="S26" s="1924"/>
      <c r="T26" s="78"/>
      <c r="U26" s="900"/>
      <c r="V26" s="1925" t="n">
        <f aca="false">((E26*I26/16*I26/16*10.680159*J26)*IF(H26=0,0,(G26/H26))+(G26/12*L26/16*L26/16*10.680159*M26)*IF(K26=0,0,(E26*12/K26))+(E26*IF(P26=0,0,N26/P26)*Q26/16*Q26/16*10.680159*R26)+(IF(P26=0,0,E26/P26*N26)*Q26/16*Q26/16*10.680159*R26)+((T26*U26*S26*0.03*0.2836*G26)/12+4)*IF(H26=0,0,(G26/H26))*I26/16*I26/16*10.680159)*(1+J$56)</f>
        <v>0</v>
      </c>
      <c r="W26" s="1926" t="n">
        <f aca="false">((E26*F26/12*G26/324)+ROUNDUP(S26*T26*U26*G26/46656,0)+(N26*O26*E26/3888))*(1+J$51)</f>
        <v>0</v>
      </c>
      <c r="AH26" s="1929" t="n">
        <f aca="false">IF($R$8=1,$N26*$O26*$E26/3888*(1+$J$51),0)</f>
        <v>0</v>
      </c>
      <c r="AI26" s="1928" t="n">
        <f aca="false">IF($R$8=2,$N26*$O26*$E26/3888*(1+$J$51),0)</f>
        <v>0</v>
      </c>
      <c r="AJ26" s="1928" t="n">
        <f aca="false">IF($R$8=3,$N26*$O26*$E26/3888*(1+$J$51),0)</f>
        <v>0</v>
      </c>
      <c r="AK26" s="1928" t="n">
        <f aca="false">IF($R$8=4,$N26*$O26*$E26/3888*(1+$J$51),0)</f>
        <v>0</v>
      </c>
      <c r="AL26" s="1928" t="n">
        <f aca="false">IF($R$8=5,$N26*$O26*$E26/3888*(1+$J$51),0)</f>
        <v>0</v>
      </c>
      <c r="AM26" s="1928" t="n">
        <f aca="false">IF($R$8=6,$N26*$O26*$E26/3888*(1+$J$51),0)</f>
        <v>0</v>
      </c>
      <c r="AN26" s="1928" t="n">
        <f aca="false">IF($R$8=7,$N26*$O26*$E26/3888*(1+$J$51),0)</f>
        <v>0</v>
      </c>
      <c r="AO26" s="1928" t="n">
        <f aca="false">IF($R$8=8,$N26*$O26*$E26/3888*(1+$J$51),0)</f>
        <v>0</v>
      </c>
      <c r="AP26" s="1928" t="n">
        <f aca="false">IF($R$8=9,$N26*$O26*$E26/3888*(1+$J$51),0)</f>
        <v>0</v>
      </c>
      <c r="AQ26" s="1928" t="n">
        <f aca="false">IF($R$8=10,$N26*$O26*$E26/3888*(1+$J$51),0)</f>
        <v>0</v>
      </c>
      <c r="AR26" s="1929" t="n">
        <f aca="false">IF($D26=1,$W26-SUM($AH26:$AQ26),0)</f>
        <v>0</v>
      </c>
      <c r="AS26" s="1928" t="n">
        <f aca="false">IF($D26=2,W26-SUM($AH26:$AQ26),0)</f>
        <v>0</v>
      </c>
      <c r="AT26" s="1928" t="n">
        <f aca="false">IF($D26=3,W26-SUM($AH26:$AQ26),0)</f>
        <v>0</v>
      </c>
      <c r="AU26" s="1928" t="n">
        <f aca="false">IF($D26=4,W26-SUM($AH26:$AQ26),0)</f>
        <v>0</v>
      </c>
      <c r="AV26" s="1928" t="n">
        <f aca="false">IF($D26=5,W26-SUM($AH26:$AQ26),0)</f>
        <v>0</v>
      </c>
      <c r="AW26" s="1928" t="n">
        <f aca="false">IF($D26=6,W26-SUM($AH26:$AQ26),0)</f>
        <v>0</v>
      </c>
      <c r="AX26" s="1928" t="n">
        <f aca="false">IF($D26=7,W26-SUM($AH26:$AQ26),0)</f>
        <v>0</v>
      </c>
      <c r="AY26" s="1928" t="n">
        <f aca="false">IF($D26=8,W26-SUM($AH26:$AQ26),0)</f>
        <v>0</v>
      </c>
      <c r="AZ26" s="1928" t="n">
        <f aca="false">IF($D26=9,W26-SUM($AH26:$AQ26),0)</f>
        <v>0</v>
      </c>
      <c r="BA26" s="1930" t="n">
        <f aca="false">IF($D26=10,W26-SUM($AH26:$AQ26),0)</f>
        <v>0</v>
      </c>
      <c r="BB26" s="1928" t="n">
        <f aca="false">SUM(AH26:AM26)</f>
        <v>0</v>
      </c>
      <c r="BC26" s="1928" t="n">
        <f aca="false">SUM(AR26:AW26)</f>
        <v>0</v>
      </c>
      <c r="BD26" s="1928" t="n">
        <f aca="false">V26</f>
        <v>0</v>
      </c>
      <c r="BE26" s="1928" t="n">
        <f aca="false">E26*G26/12*2+(U26*U26*G26/1728*S26)</f>
        <v>0</v>
      </c>
      <c r="BF26" s="1928" t="n">
        <f aca="false">BE26/2</f>
        <v>0</v>
      </c>
      <c r="BG26" s="1928" t="n">
        <f aca="false">N26*E26/12</f>
        <v>0</v>
      </c>
      <c r="BH26" s="1928" t="n">
        <f aca="false">ROUND(IF(C26="Y",BF26*3/27,0),0)</f>
        <v>0</v>
      </c>
      <c r="BJ26" s="1931" t="n">
        <f aca="false">V26*F$56*IF(T$39="N",(1+V$39),1)</f>
        <v>0</v>
      </c>
      <c r="BK26" s="1932" t="n">
        <f aca="false">(AR26*Pricing!F$3+AS26*Pricing!G$3+AT26*Pricing!H$3+AU26*Pricing!I$3+AV26*Pricing!J$3+AW26*Pricing!K$3+AH26*Pricing!F$3+AI26*Pricing!G$3+AJ26*Pricing!H$3+AK26*Pricing!I$3+AL26*Pricing!J$3+AM26*Pricing!K$3)*IF(T$39="N",(1+V$39),1)</f>
        <v>0</v>
      </c>
      <c r="BL26" s="1932" t="n">
        <f aca="false">IF(C26="Y",(N$59+N$60)/DF$36*DF26,0)</f>
        <v>0</v>
      </c>
      <c r="BM26" s="1932" t="n">
        <f aca="false">BF26*(G$67+D$70)</f>
        <v>0</v>
      </c>
      <c r="BN26" s="1932" t="n">
        <f aca="false">BG26*D$66</f>
        <v>0</v>
      </c>
      <c r="BO26" s="1932" t="n">
        <f aca="false">V26/2000*D$71</f>
        <v>0</v>
      </c>
      <c r="BP26" s="1932" t="n">
        <f aca="false">IF(C26="Y",(N$74+N$73+N$72)/DF$36*DF26,0)</f>
        <v>0</v>
      </c>
      <c r="BQ26" s="1932" t="n">
        <f aca="false">IF(SUM(BF$36:BG$36)=0,0,(SUM(N$78:O$81)+SUM(N$83:O$88)+SUM(N$90:O$96)+W$95)/SUM(BF$36:BG$36)*(BF26+BG26))</f>
        <v>0</v>
      </c>
      <c r="BR26" s="1933"/>
      <c r="BS26" s="1934" t="n">
        <f aca="false">IF(SUM(BF$36:BG$36)=0,0,(BQ$36-W$58-N$64-W57-(L$79*0.15))/SUM(BF$36:BG$36)*BG26+BN26)</f>
        <v>0</v>
      </c>
      <c r="BT26" s="1932" t="n">
        <f aca="false">(AH26*Pricing!F$3+AI26*Pricing!G$3+AJ26*Pricing!H$3+AK26*Pricing!I$3+AL26*Pricing!J$3+AM26*Pricing!K$3)*IF(T$39="N",(1+V$39),1)</f>
        <v>0</v>
      </c>
      <c r="BU26" s="1932" t="n">
        <f aca="false">IF(BG26=0,0,(BS26+BT26)/BG26)</f>
        <v>0</v>
      </c>
      <c r="BV26" s="1932" t="n">
        <f aca="false">SUM(BJ26:BQ26)-BS26-BT26</f>
        <v>0</v>
      </c>
      <c r="BW26" s="1933" t="n">
        <f aca="false">IF(BE26=0,0,BV26/BF26)</f>
        <v>0</v>
      </c>
      <c r="DB26" s="1935" t="n">
        <f aca="false">IF(W26=0,0,D$40/SUM(W$10:W$35)*W26)</f>
        <v>0</v>
      </c>
      <c r="DC26" s="1932" t="e">
        <f aca="false">E26*N26/12*(D$40-7980)/H$66</f>
        <v>#DIV/0!</v>
      </c>
      <c r="DD26" s="179" t="n">
        <f aca="false">ROUND(N26*O26/3088*E26,0)</f>
        <v>0</v>
      </c>
      <c r="DE26" s="908" t="n">
        <f aca="false">ROUND(V26,0)</f>
        <v>0</v>
      </c>
      <c r="DF26" s="356" t="n">
        <f aca="false">ROUND(IF(C26="Y",(G26*0.25*E26+G26*G26/144*0.5*E26)/27*1.3,0),0)</f>
        <v>0</v>
      </c>
      <c r="DG26" s="908" t="n">
        <f aca="false">ROUND(E26*G26/12,0)</f>
        <v>0</v>
      </c>
      <c r="DH26" s="908" t="n">
        <f aca="false">IF(C26="y",ROUNDUP(E26*G26/12,0),0)</f>
        <v>0</v>
      </c>
      <c r="DI26" s="908" t="n">
        <f aca="false">IF(C26="Y",IF(E26&gt;0,E26,0),0)</f>
        <v>0</v>
      </c>
      <c r="DJ26" s="1936" t="n">
        <f aca="false">ROUND(E26*N26/12,0)</f>
        <v>0</v>
      </c>
    </row>
    <row r="27" s="1414" customFormat="true" ht="15" hidden="false" customHeight="false" outlineLevel="0" collapsed="false">
      <c r="A27" s="507"/>
      <c r="B27" s="1312"/>
      <c r="C27" s="1919"/>
      <c r="D27" s="1920"/>
      <c r="E27" s="1921"/>
      <c r="F27" s="1234"/>
      <c r="G27" s="1235"/>
      <c r="H27" s="1236"/>
      <c r="I27" s="1234"/>
      <c r="J27" s="1235"/>
      <c r="K27" s="1236"/>
      <c r="L27" s="1234"/>
      <c r="M27" s="1234"/>
      <c r="N27" s="1922"/>
      <c r="O27" s="1234"/>
      <c r="P27" s="1234"/>
      <c r="Q27" s="1237"/>
      <c r="R27" s="1923"/>
      <c r="S27" s="1924"/>
      <c r="T27" s="78"/>
      <c r="U27" s="900"/>
      <c r="V27" s="1925" t="n">
        <f aca="false">((E27*I27/16*I27/16*10.680159*J27)*IF(H27=0,0,(G27/H27))+(G27/12*L27/16*L27/16*10.680159*M27)*IF(K27=0,0,(E27*12/K27))+(E27*IF(P27=0,0,N27/P27)*Q27/16*Q27/16*10.680159*R27)+(IF(P27=0,0,E27/P27*N27)*Q27/16*Q27/16*10.680159*R27)+((T27*U27*S27*0.03*0.2836*G27)/12+4)*IF(H27=0,0,(G27/H27))*I27/16*I27/16*10.680159)*(1+J$56)</f>
        <v>0</v>
      </c>
      <c r="W27" s="1926" t="n">
        <f aca="false">((E27*F27/12*G27/324)+ROUNDUP(S27*T27*U27*G27/46656,0)+(N27*O27*E27/3888))*(1+J$51)</f>
        <v>0</v>
      </c>
      <c r="AH27" s="1929" t="n">
        <f aca="false">IF($R$8=1,$N27*$O27*$E27/3888*(1+$J$51),0)</f>
        <v>0</v>
      </c>
      <c r="AI27" s="1928" t="n">
        <f aca="false">IF($R$8=2,$N27*$O27*$E27/3888*(1+$J$51),0)</f>
        <v>0</v>
      </c>
      <c r="AJ27" s="1928" t="n">
        <f aca="false">IF($R$8=3,$N27*$O27*$E27/3888*(1+$J$51),0)</f>
        <v>0</v>
      </c>
      <c r="AK27" s="1928" t="n">
        <f aca="false">IF($R$8=4,$N27*$O27*$E27/3888*(1+$J$51),0)</f>
        <v>0</v>
      </c>
      <c r="AL27" s="1928" t="n">
        <f aca="false">IF($R$8=5,$N27*$O27*$E27/3888*(1+$J$51),0)</f>
        <v>0</v>
      </c>
      <c r="AM27" s="1928" t="n">
        <f aca="false">IF($R$8=6,$N27*$O27*$E27/3888*(1+$J$51),0)</f>
        <v>0</v>
      </c>
      <c r="AN27" s="1928" t="n">
        <f aca="false">IF($R$8=7,$N27*$O27*$E27/3888*(1+$J$51),0)</f>
        <v>0</v>
      </c>
      <c r="AO27" s="1928" t="n">
        <f aca="false">IF($R$8=8,$N27*$O27*$E27/3888*(1+$J$51),0)</f>
        <v>0</v>
      </c>
      <c r="AP27" s="1928" t="n">
        <f aca="false">IF($R$8=9,$N27*$O27*$E27/3888*(1+$J$51),0)</f>
        <v>0</v>
      </c>
      <c r="AQ27" s="1928" t="n">
        <f aca="false">IF($R$8=10,$N27*$O27*$E27/3888*(1+$J$51),0)</f>
        <v>0</v>
      </c>
      <c r="AR27" s="1929" t="n">
        <f aca="false">IF($D27=1,$W27-SUM($AH27:$AQ27),0)</f>
        <v>0</v>
      </c>
      <c r="AS27" s="1928" t="n">
        <f aca="false">IF($D27=2,W27-SUM($AH27:$AQ27),0)</f>
        <v>0</v>
      </c>
      <c r="AT27" s="1928" t="n">
        <f aca="false">IF($D27=3,W27-SUM($AH27:$AQ27),0)</f>
        <v>0</v>
      </c>
      <c r="AU27" s="1928" t="n">
        <f aca="false">IF($D27=4,W27-SUM($AH27:$AQ27),0)</f>
        <v>0</v>
      </c>
      <c r="AV27" s="1928" t="n">
        <f aca="false">IF($D27=5,W27-SUM($AH27:$AQ27),0)</f>
        <v>0</v>
      </c>
      <c r="AW27" s="1928" t="n">
        <f aca="false">IF($D27=6,W27-SUM($AH27:$AQ27),0)</f>
        <v>0</v>
      </c>
      <c r="AX27" s="1928" t="n">
        <f aca="false">IF($D27=7,W27-SUM($AH27:$AQ27),0)</f>
        <v>0</v>
      </c>
      <c r="AY27" s="1928" t="n">
        <f aca="false">IF($D27=8,W27-SUM($AH27:$AQ27),0)</f>
        <v>0</v>
      </c>
      <c r="AZ27" s="1928" t="n">
        <f aca="false">IF($D27=9,W27-SUM($AH27:$AQ27),0)</f>
        <v>0</v>
      </c>
      <c r="BA27" s="1930" t="n">
        <f aca="false">IF($D27=10,W27-SUM($AH27:$AQ27),0)</f>
        <v>0</v>
      </c>
      <c r="BB27" s="1928" t="n">
        <f aca="false">SUM(AH27:AM27)</f>
        <v>0</v>
      </c>
      <c r="BC27" s="1928" t="n">
        <f aca="false">SUM(AR27:AW27)</f>
        <v>0</v>
      </c>
      <c r="BD27" s="1928" t="n">
        <f aca="false">V27</f>
        <v>0</v>
      </c>
      <c r="BE27" s="1928" t="n">
        <f aca="false">E27*G27/12*2+(U27*U27*G27/1728*S27)</f>
        <v>0</v>
      </c>
      <c r="BF27" s="1928" t="n">
        <f aca="false">BE27/2</f>
        <v>0</v>
      </c>
      <c r="BG27" s="1928" t="n">
        <f aca="false">N27*E27/12</f>
        <v>0</v>
      </c>
      <c r="BH27" s="1928" t="n">
        <f aca="false">ROUND(IF(C27="Y",BF27*3/27,0),0)</f>
        <v>0</v>
      </c>
      <c r="BJ27" s="1931" t="n">
        <f aca="false">V27*F$56*IF(T$39="N",(1+V$39),1)</f>
        <v>0</v>
      </c>
      <c r="BK27" s="1932" t="n">
        <f aca="false">(AR27*Pricing!F$3+AS27*Pricing!G$3+AT27*Pricing!H$3+AU27*Pricing!I$3+AV27*Pricing!J$3+AW27*Pricing!K$3+AH27*Pricing!F$3+AI27*Pricing!G$3+AJ27*Pricing!H$3+AK27*Pricing!I$3+AL27*Pricing!J$3+AM27*Pricing!K$3)*IF(T$39="N",(1+V$39),1)</f>
        <v>0</v>
      </c>
      <c r="BL27" s="1932" t="n">
        <f aca="false">IF(C27="Y",(N$59+N$60)/DF$36*DF27,0)</f>
        <v>0</v>
      </c>
      <c r="BM27" s="1932" t="n">
        <f aca="false">BF27*(G$67+D$70)</f>
        <v>0</v>
      </c>
      <c r="BN27" s="1932" t="n">
        <f aca="false">BG27*D$66</f>
        <v>0</v>
      </c>
      <c r="BO27" s="1932" t="n">
        <f aca="false">V27/2000*D$71</f>
        <v>0</v>
      </c>
      <c r="BP27" s="1932" t="n">
        <f aca="false">IF(C27="Y",(N$74+N$73+N$72)/DF$36*DF27,0)</f>
        <v>0</v>
      </c>
      <c r="BQ27" s="1932" t="n">
        <f aca="false">IF(SUM(BF$36:BG$36)=0,0,(SUM(N$78:O$81)+SUM(N$83:O$88)+SUM(N$90:O$96)+W$95)/SUM(BF$36:BG$36)*(BF27+BG27))</f>
        <v>0</v>
      </c>
      <c r="BR27" s="1933"/>
      <c r="BS27" s="1934" t="n">
        <f aca="false">IF(SUM(BF$36:BG$36)=0,0,(BQ$36-W$58-N$64-W65-(L$79*0.15))/SUM(BF$36:BG$36)*BG27+BN27)</f>
        <v>0</v>
      </c>
      <c r="BT27" s="1932" t="n">
        <f aca="false">(AH27*Pricing!F$3+AI27*Pricing!G$3+AJ27*Pricing!H$3+AK27*Pricing!I$3+AL27*Pricing!J$3+AM27*Pricing!K$3)*IF(T$39="N",(1+V$39),1)</f>
        <v>0</v>
      </c>
      <c r="BU27" s="1932" t="n">
        <f aca="false">IF(BG27=0,0,(BS27+BT27)/BG27)</f>
        <v>0</v>
      </c>
      <c r="BV27" s="1932" t="n">
        <f aca="false">SUM(BJ27:BQ27)-BS27-BT27</f>
        <v>0</v>
      </c>
      <c r="BW27" s="1933" t="n">
        <f aca="false">IF(BE27=0,0,BV27/BF27)</f>
        <v>0</v>
      </c>
      <c r="DB27" s="1935" t="n">
        <f aca="false">IF(W27=0,0,D$40/SUM(W$10:W$35)*W27)</f>
        <v>0</v>
      </c>
      <c r="DC27" s="1932" t="e">
        <f aca="false">E27*N27/12*(D$40-7980)/H$66</f>
        <v>#DIV/0!</v>
      </c>
      <c r="DD27" s="179" t="n">
        <f aca="false">ROUND(N27*O27/3088*E27,0)</f>
        <v>0</v>
      </c>
      <c r="DE27" s="908" t="n">
        <f aca="false">ROUND(V27,0)</f>
        <v>0</v>
      </c>
      <c r="DF27" s="356" t="n">
        <f aca="false">ROUND(IF(C27="Y",(G27*0.25*E27+G27*G27/144*0.5*E27)/27*1.3,0),0)</f>
        <v>0</v>
      </c>
      <c r="DG27" s="908" t="n">
        <f aca="false">ROUND(E27*G27/12,0)</f>
        <v>0</v>
      </c>
      <c r="DH27" s="908" t="n">
        <f aca="false">IF(C27="y",ROUNDUP(E27*G27/12,0),0)</f>
        <v>0</v>
      </c>
      <c r="DI27" s="908" t="n">
        <f aca="false">IF(C27="Y",IF(E27&gt;0,E27,0),0)</f>
        <v>0</v>
      </c>
      <c r="DJ27" s="1936" t="n">
        <f aca="false">ROUND(E27*N27/12,0)</f>
        <v>0</v>
      </c>
    </row>
    <row r="28" s="1414" customFormat="true" ht="15" hidden="false" customHeight="false" outlineLevel="0" collapsed="false">
      <c r="A28" s="507"/>
      <c r="B28" s="1312"/>
      <c r="C28" s="1919"/>
      <c r="D28" s="1920"/>
      <c r="E28" s="1921"/>
      <c r="F28" s="1234"/>
      <c r="G28" s="1235"/>
      <c r="H28" s="1236"/>
      <c r="I28" s="1234"/>
      <c r="J28" s="1235"/>
      <c r="K28" s="1236"/>
      <c r="L28" s="1234"/>
      <c r="M28" s="1234"/>
      <c r="N28" s="1922"/>
      <c r="O28" s="1234"/>
      <c r="P28" s="1234"/>
      <c r="Q28" s="1234"/>
      <c r="R28" s="1923"/>
      <c r="S28" s="1924"/>
      <c r="T28" s="78"/>
      <c r="U28" s="900"/>
      <c r="V28" s="1925" t="n">
        <f aca="false">((E28*I28/16*I28/16*10.680159*J28)*IF(H28=0,0,(G28/H28))+(G28/12*L28/16*L28/16*10.680159*M28)*IF(K28=0,0,(E28*12/K28))+(E28*IF(P28=0,0,N28/P28)*Q28/16*Q28/16*10.680159*R28)+(IF(P28=0,0,E28/P28*N28)*Q28/16*Q28/16*10.680159*R28)+((T28*U28*S28*0.03*0.2836*G28)/12+4)*IF(H28=0,0,(G28/H28))*I28/16*I28/16*10.680159)*(1+J$56)</f>
        <v>0</v>
      </c>
      <c r="W28" s="1926" t="n">
        <f aca="false">((E28*F28/12*G28/324)+ROUNDUP(S28*T28*U28*G28/46656,0)+(N28*O28*E28/3888))*(1+J$51)</f>
        <v>0</v>
      </c>
      <c r="AH28" s="1929" t="n">
        <f aca="false">IF($R$8=1,$N28*$O28*$E28/3888*(1+$J$51),0)</f>
        <v>0</v>
      </c>
      <c r="AI28" s="1928" t="n">
        <f aca="false">IF($R$8=2,$N28*$O28*$E28/3888*(1+$J$51),0)</f>
        <v>0</v>
      </c>
      <c r="AJ28" s="1928" t="n">
        <f aca="false">IF($R$8=3,$N28*$O28*$E28/3888*(1+$J$51),0)</f>
        <v>0</v>
      </c>
      <c r="AK28" s="1928" t="n">
        <f aca="false">IF($R$8=4,$N28*$O28*$E28/3888*(1+$J$51),0)</f>
        <v>0</v>
      </c>
      <c r="AL28" s="1928" t="n">
        <f aca="false">IF($R$8=5,$N28*$O28*$E28/3888*(1+$J$51),0)</f>
        <v>0</v>
      </c>
      <c r="AM28" s="1928" t="n">
        <f aca="false">IF($R$8=6,$N28*$O28*$E28/3888*(1+$J$51),0)</f>
        <v>0</v>
      </c>
      <c r="AN28" s="1928" t="n">
        <f aca="false">IF($R$8=7,$N28*$O28*$E28/3888*(1+$J$51),0)</f>
        <v>0</v>
      </c>
      <c r="AO28" s="1928" t="n">
        <f aca="false">IF($R$8=8,$N28*$O28*$E28/3888*(1+$J$51),0)</f>
        <v>0</v>
      </c>
      <c r="AP28" s="1928" t="n">
        <f aca="false">IF($R$8=9,$N28*$O28*$E28/3888*(1+$J$51),0)</f>
        <v>0</v>
      </c>
      <c r="AQ28" s="1928" t="n">
        <f aca="false">IF($R$8=10,$N28*$O28*$E28/3888*(1+$J$51),0)</f>
        <v>0</v>
      </c>
      <c r="AR28" s="1929" t="n">
        <f aca="false">IF($D28=1,$W28-SUM($AH28:$AQ28),0)</f>
        <v>0</v>
      </c>
      <c r="AS28" s="1928" t="n">
        <f aca="false">IF($D28=2,W28-SUM($AH28:$AQ28),0)</f>
        <v>0</v>
      </c>
      <c r="AT28" s="1928" t="n">
        <f aca="false">IF($D28=3,W28-SUM($AH28:$AQ28),0)</f>
        <v>0</v>
      </c>
      <c r="AU28" s="1928" t="n">
        <f aca="false">IF($D28=4,W28-SUM($AH28:$AQ28),0)</f>
        <v>0</v>
      </c>
      <c r="AV28" s="1928" t="n">
        <f aca="false">IF($D28=5,W28-SUM($AH28:$AQ28),0)</f>
        <v>0</v>
      </c>
      <c r="AW28" s="1928" t="n">
        <f aca="false">IF($D28=6,W28-SUM($AH28:$AQ28),0)</f>
        <v>0</v>
      </c>
      <c r="AX28" s="1928" t="n">
        <f aca="false">IF($D28=7,W28-SUM($AH28:$AQ28),0)</f>
        <v>0</v>
      </c>
      <c r="AY28" s="1928" t="n">
        <f aca="false">IF($D28=8,W28-SUM($AH28:$AQ28),0)</f>
        <v>0</v>
      </c>
      <c r="AZ28" s="1928" t="n">
        <f aca="false">IF($D28=9,W28-SUM($AH28:$AQ28),0)</f>
        <v>0</v>
      </c>
      <c r="BA28" s="1930" t="n">
        <f aca="false">IF($D28=10,W28-SUM($AH28:$AQ28),0)</f>
        <v>0</v>
      </c>
      <c r="BB28" s="1928" t="n">
        <f aca="false">SUM(AH28:AM28)</f>
        <v>0</v>
      </c>
      <c r="BC28" s="1928" t="n">
        <f aca="false">SUM(AR28:AW28)</f>
        <v>0</v>
      </c>
      <c r="BD28" s="1928" t="n">
        <f aca="false">V28</f>
        <v>0</v>
      </c>
      <c r="BE28" s="1928" t="n">
        <f aca="false">E28*G28/12*2+(U28*U28*G28/1728*S28)</f>
        <v>0</v>
      </c>
      <c r="BF28" s="1928" t="n">
        <f aca="false">BE28/2</f>
        <v>0</v>
      </c>
      <c r="BG28" s="1928" t="n">
        <f aca="false">N28*E28/12</f>
        <v>0</v>
      </c>
      <c r="BH28" s="1928" t="n">
        <f aca="false">ROUND(IF(C28="Y",BF28*3/27,0),0)</f>
        <v>0</v>
      </c>
      <c r="BJ28" s="1931" t="n">
        <f aca="false">V28*F$56*IF(T$39="N",(1+V$39),1)</f>
        <v>0</v>
      </c>
      <c r="BK28" s="1932" t="n">
        <f aca="false">(AR28*Pricing!F$3+AS28*Pricing!G$3+AT28*Pricing!H$3+AU28*Pricing!I$3+AV28*Pricing!J$3+AW28*Pricing!K$3+AH28*Pricing!F$3+AI28*Pricing!G$3+AJ28*Pricing!H$3+AK28*Pricing!I$3+AL28*Pricing!J$3+AM28*Pricing!K$3)*IF(T$39="N",(1+V$39),1)</f>
        <v>0</v>
      </c>
      <c r="BL28" s="1932" t="n">
        <f aca="false">IF(C28="Y",(N$59+N$60)/DF$36*DF28,0)</f>
        <v>0</v>
      </c>
      <c r="BM28" s="1932" t="n">
        <f aca="false">BF28*(G$67+D$70)</f>
        <v>0</v>
      </c>
      <c r="BN28" s="1932" t="n">
        <f aca="false">BG28*D$66</f>
        <v>0</v>
      </c>
      <c r="BO28" s="1932" t="n">
        <f aca="false">V28/2000*D$71</f>
        <v>0</v>
      </c>
      <c r="BP28" s="1932" t="n">
        <f aca="false">IF(C28="Y",(N$74+N$73+N$72)/DF$36*DF28,0)</f>
        <v>0</v>
      </c>
      <c r="BQ28" s="1932" t="n">
        <f aca="false">IF(SUM(BF$36:BG$36)=0,0,(SUM(N$78:O$81)+SUM(N$83:O$88)+SUM(N$90:O$96)+W$95)/SUM(BF$36:BG$36)*(BF28+BG28))</f>
        <v>0</v>
      </c>
      <c r="BR28" s="1933"/>
      <c r="BS28" s="1934" t="n">
        <f aca="false">IF(SUM(BF$36:BG$36)=0,0,(BQ$36-W$58-N$64-W66-(L$79*0.15))/SUM(BF$36:BG$36)*BG28+BN28)</f>
        <v>0</v>
      </c>
      <c r="BT28" s="1932" t="n">
        <f aca="false">(AH28*Pricing!F$3+AI28*Pricing!G$3+AJ28*Pricing!H$3+AK28*Pricing!I$3+AL28*Pricing!J$3+AM28*Pricing!K$3)*IF(T$39="N",(1+V$39),1)</f>
        <v>0</v>
      </c>
      <c r="BU28" s="1932" t="n">
        <f aca="false">IF(BG28=0,0,(BS28+BT28)/BG28)</f>
        <v>0</v>
      </c>
      <c r="BV28" s="1932" t="n">
        <f aca="false">SUM(BJ28:BQ28)-BS28-BT28</f>
        <v>0</v>
      </c>
      <c r="BW28" s="1933" t="n">
        <f aca="false">IF(BE28=0,0,BV28/BF28)</f>
        <v>0</v>
      </c>
      <c r="DB28" s="1935" t="n">
        <f aca="false">IF(W28=0,0,D$40/SUM(W$10:W$35)*W28)</f>
        <v>0</v>
      </c>
      <c r="DC28" s="1932" t="e">
        <f aca="false">E28*N28/12*(D$40-7980)/H$66</f>
        <v>#DIV/0!</v>
      </c>
      <c r="DD28" s="179" t="n">
        <f aca="false">ROUND(N28*O28/3088*E28,0)</f>
        <v>0</v>
      </c>
      <c r="DE28" s="908" t="n">
        <f aca="false">ROUND(V28,0)</f>
        <v>0</v>
      </c>
      <c r="DF28" s="356" t="n">
        <f aca="false">ROUND(IF(C28="Y",(G28*0.25*E28+G28*G28/144*0.5*E28)/27*1.3,0),0)</f>
        <v>0</v>
      </c>
      <c r="DG28" s="908" t="n">
        <f aca="false">ROUND(E28*G28/12,0)</f>
        <v>0</v>
      </c>
      <c r="DH28" s="908" t="n">
        <f aca="false">IF(C28="y",ROUNDUP(E28*G28/12,0),0)</f>
        <v>0</v>
      </c>
      <c r="DI28" s="908" t="n">
        <f aca="false">IF(C28="Y",IF(E28&gt;0,E28,0),0)</f>
        <v>0</v>
      </c>
      <c r="DJ28" s="1936" t="n">
        <f aca="false">ROUND(E28*N28/12,0)</f>
        <v>0</v>
      </c>
    </row>
    <row r="29" s="1414" customFormat="true" ht="15" hidden="false" customHeight="false" outlineLevel="0" collapsed="false">
      <c r="A29" s="507"/>
      <c r="B29" s="1312"/>
      <c r="C29" s="1919"/>
      <c r="D29" s="1920"/>
      <c r="E29" s="1921"/>
      <c r="F29" s="1234"/>
      <c r="G29" s="1235"/>
      <c r="H29" s="1236"/>
      <c r="I29" s="1234"/>
      <c r="J29" s="1235"/>
      <c r="K29" s="1236"/>
      <c r="L29" s="1234"/>
      <c r="M29" s="1234"/>
      <c r="N29" s="1922"/>
      <c r="O29" s="1234"/>
      <c r="P29" s="1234"/>
      <c r="Q29" s="1234"/>
      <c r="R29" s="1923"/>
      <c r="S29" s="1924"/>
      <c r="T29" s="78"/>
      <c r="U29" s="900"/>
      <c r="V29" s="1925" t="n">
        <f aca="false">((E29*I29/16*I29/16*10.680159*J29)*IF(H29=0,0,(G29/H29))+(G29/12*L29/16*L29/16*10.680159*M29)*IF(K29=0,0,(E29*12/K29))+(E29*IF(P29=0,0,N29/P29)*Q29/16*Q29/16*10.680159*R29)+(IF(P29=0,0,E29/P29*N29)*Q29/16*Q29/16*10.680159*R29)+((T29*U29*S29*0.03*0.2836*G29)/12+4)*IF(H29=0,0,(G29/H29))*I29/16*I29/16*10.680159)*(1+J$56)</f>
        <v>0</v>
      </c>
      <c r="W29" s="1926" t="n">
        <f aca="false">((E29*F29/12*G29/324)+ROUNDUP(S29*T29*U29*G29/46656,0)+(N29*O29*E29/3888))*(1+J$51)</f>
        <v>0</v>
      </c>
      <c r="AH29" s="1929" t="n">
        <f aca="false">IF($R$8=1,$N29*$O29*$E29/3888*(1+$J$51),0)</f>
        <v>0</v>
      </c>
      <c r="AI29" s="1928" t="n">
        <f aca="false">IF($R$8=2,$N29*$O29*$E29/3888*(1+$J$51),0)</f>
        <v>0</v>
      </c>
      <c r="AJ29" s="1928" t="n">
        <f aca="false">IF($R$8=3,$N29*$O29*$E29/3888*(1+$J$51),0)</f>
        <v>0</v>
      </c>
      <c r="AK29" s="1928" t="n">
        <f aca="false">IF($R$8=4,$N29*$O29*$E29/3888*(1+$J$51),0)</f>
        <v>0</v>
      </c>
      <c r="AL29" s="1928" t="n">
        <f aca="false">IF($R$8=5,$N29*$O29*$E29/3888*(1+$J$51),0)</f>
        <v>0</v>
      </c>
      <c r="AM29" s="1928" t="n">
        <f aca="false">IF($R$8=6,$N29*$O29*$E29/3888*(1+$J$51),0)</f>
        <v>0</v>
      </c>
      <c r="AN29" s="1928" t="n">
        <f aca="false">IF($R$8=7,$N29*$O29*$E29/3888*(1+$J$51),0)</f>
        <v>0</v>
      </c>
      <c r="AO29" s="1928" t="n">
        <f aca="false">IF($R$8=8,$N29*$O29*$E29/3888*(1+$J$51),0)</f>
        <v>0</v>
      </c>
      <c r="AP29" s="1928" t="n">
        <f aca="false">IF($R$8=9,$N29*$O29*$E29/3888*(1+$J$51),0)</f>
        <v>0</v>
      </c>
      <c r="AQ29" s="1928" t="n">
        <f aca="false">IF($R$8=10,$N29*$O29*$E29/3888*(1+$J$51),0)</f>
        <v>0</v>
      </c>
      <c r="AR29" s="1929" t="n">
        <f aca="false">IF($D29=1,$W29-SUM($AH29:$AQ29),0)</f>
        <v>0</v>
      </c>
      <c r="AS29" s="1928" t="n">
        <f aca="false">IF($D29=2,W29-SUM($AH29:$AQ29),0)</f>
        <v>0</v>
      </c>
      <c r="AT29" s="1928" t="n">
        <f aca="false">IF($D29=3,W29-SUM($AH29:$AQ29),0)</f>
        <v>0</v>
      </c>
      <c r="AU29" s="1928" t="n">
        <f aca="false">IF($D29=4,W29-SUM($AH29:$AQ29),0)</f>
        <v>0</v>
      </c>
      <c r="AV29" s="1928" t="n">
        <f aca="false">IF($D29=5,W29-SUM($AH29:$AQ29),0)</f>
        <v>0</v>
      </c>
      <c r="AW29" s="1928" t="n">
        <f aca="false">IF($D29=6,W29-SUM($AH29:$AQ29),0)</f>
        <v>0</v>
      </c>
      <c r="AX29" s="1928" t="n">
        <f aca="false">IF($D29=7,W29-SUM($AH29:$AQ29),0)</f>
        <v>0</v>
      </c>
      <c r="AY29" s="1928" t="n">
        <f aca="false">IF($D29=8,W29-SUM($AH29:$AQ29),0)</f>
        <v>0</v>
      </c>
      <c r="AZ29" s="1928" t="n">
        <f aca="false">IF($D29=9,W29-SUM($AH29:$AQ29),0)</f>
        <v>0</v>
      </c>
      <c r="BA29" s="1930" t="n">
        <f aca="false">IF($D29=10,W29-SUM($AH29:$AQ29),0)</f>
        <v>0</v>
      </c>
      <c r="BB29" s="1928" t="n">
        <f aca="false">SUM(AH29:AM29)</f>
        <v>0</v>
      </c>
      <c r="BC29" s="1928" t="n">
        <f aca="false">SUM(AR29:AW29)</f>
        <v>0</v>
      </c>
      <c r="BD29" s="1928" t="n">
        <f aca="false">V29</f>
        <v>0</v>
      </c>
      <c r="BE29" s="1928" t="n">
        <f aca="false">E29*G29/12*2+(U29*U29*G29/1728*S29)</f>
        <v>0</v>
      </c>
      <c r="BF29" s="1928" t="n">
        <f aca="false">BE29/2</f>
        <v>0</v>
      </c>
      <c r="BG29" s="1928" t="n">
        <f aca="false">N29*E29/12</f>
        <v>0</v>
      </c>
      <c r="BH29" s="1928" t="n">
        <f aca="false">ROUND(IF(C29="Y",BF29*3/27,0),0)</f>
        <v>0</v>
      </c>
      <c r="BJ29" s="1931" t="n">
        <f aca="false">V29*F$56*IF(T$39="N",(1+V$39),1)</f>
        <v>0</v>
      </c>
      <c r="BK29" s="1932" t="n">
        <f aca="false">(AR29*Pricing!F$3+AS29*Pricing!G$3+AT29*Pricing!H$3+AU29*Pricing!I$3+AV29*Pricing!J$3+AW29*Pricing!K$3+AH29*Pricing!F$3+AI29*Pricing!G$3+AJ29*Pricing!H$3+AK29*Pricing!I$3+AL29*Pricing!J$3+AM29*Pricing!K$3)*IF(T$39="N",(1+V$39),1)</f>
        <v>0</v>
      </c>
      <c r="BL29" s="1932" t="n">
        <f aca="false">IF(C29="Y",(N$59+N$60)/DF$36*DF29,0)</f>
        <v>0</v>
      </c>
      <c r="BM29" s="1932" t="n">
        <f aca="false">BF29*(G$67+D$70)</f>
        <v>0</v>
      </c>
      <c r="BN29" s="1932" t="n">
        <f aca="false">BG29*D$66</f>
        <v>0</v>
      </c>
      <c r="BO29" s="1932" t="n">
        <f aca="false">V29/2000*D$71</f>
        <v>0</v>
      </c>
      <c r="BP29" s="1932" t="n">
        <f aca="false">IF(C29="Y",(N$74+N$73+N$72)/DF$36*DF29,0)</f>
        <v>0</v>
      </c>
      <c r="BQ29" s="1932" t="n">
        <f aca="false">IF(SUM(BF$36:BG$36)=0,0,(SUM(N$78:O$81)+SUM(N$83:O$88)+SUM(N$90:O$96)+W$95)/SUM(BF$36:BG$36)*(BF29+BG29))</f>
        <v>0</v>
      </c>
      <c r="BR29" s="1933"/>
      <c r="BS29" s="1934" t="n">
        <f aca="false">IF(SUM(BF$36:BG$36)=0,0,(BQ$36-W$58-N$64-W67-(L$79*0.15))/SUM(BF$36:BG$36)*BG29+BN29)</f>
        <v>0</v>
      </c>
      <c r="BT29" s="1932" t="n">
        <f aca="false">(AH29*Pricing!F$3+AI29*Pricing!G$3+AJ29*Pricing!H$3+AK29*Pricing!I$3+AL29*Pricing!J$3+AM29*Pricing!K$3)*IF(T$39="N",(1+V$39),1)</f>
        <v>0</v>
      </c>
      <c r="BU29" s="1932" t="n">
        <f aca="false">IF(BG29=0,0,(BS29+BT29)/BG29)</f>
        <v>0</v>
      </c>
      <c r="BV29" s="1932" t="n">
        <f aca="false">SUM(BJ29:BQ29)-BS29-BT29</f>
        <v>0</v>
      </c>
      <c r="BW29" s="1933" t="n">
        <f aca="false">IF(BE29=0,0,BV29/BF29)</f>
        <v>0</v>
      </c>
      <c r="DB29" s="1935" t="n">
        <f aca="false">IF(W29=0,0,D$40/SUM(W$10:W$35)*W29)</f>
        <v>0</v>
      </c>
      <c r="DC29" s="1932" t="e">
        <f aca="false">E29*N29/12*(D$40-7980)/H$66</f>
        <v>#DIV/0!</v>
      </c>
      <c r="DD29" s="179" t="n">
        <f aca="false">ROUND(N29*O29/3088*E29,0)</f>
        <v>0</v>
      </c>
      <c r="DE29" s="908" t="n">
        <f aca="false">ROUND(V29,0)</f>
        <v>0</v>
      </c>
      <c r="DF29" s="356" t="n">
        <f aca="false">ROUND(IF(C29="Y",(G29*0.25*E29+G29*G29/144*0.5*E29)/27*1.3,0),0)</f>
        <v>0</v>
      </c>
      <c r="DG29" s="908" t="n">
        <f aca="false">ROUND(E29*G29/12,0)</f>
        <v>0</v>
      </c>
      <c r="DH29" s="908" t="n">
        <f aca="false">IF(C29="y",ROUNDUP(E29*G29/12,0),0)</f>
        <v>0</v>
      </c>
      <c r="DI29" s="908" t="n">
        <f aca="false">IF(C29="Y",IF(E29&gt;0,E29,0),0)</f>
        <v>0</v>
      </c>
      <c r="DJ29" s="1936" t="n">
        <f aca="false">ROUND(E29*N29/12,0)</f>
        <v>0</v>
      </c>
    </row>
    <row r="30" s="1414" customFormat="true" ht="15" hidden="false" customHeight="false" outlineLevel="0" collapsed="false">
      <c r="A30" s="507"/>
      <c r="B30" s="1312"/>
      <c r="C30" s="1919"/>
      <c r="D30" s="1920"/>
      <c r="E30" s="1921"/>
      <c r="F30" s="1234"/>
      <c r="G30" s="1235"/>
      <c r="H30" s="1236"/>
      <c r="I30" s="1234"/>
      <c r="J30" s="1235"/>
      <c r="K30" s="1236"/>
      <c r="L30" s="1234"/>
      <c r="M30" s="1234"/>
      <c r="N30" s="1922"/>
      <c r="O30" s="1234"/>
      <c r="P30" s="1234"/>
      <c r="Q30" s="1234"/>
      <c r="R30" s="1923"/>
      <c r="S30" s="1924"/>
      <c r="T30" s="78"/>
      <c r="U30" s="900"/>
      <c r="V30" s="1925" t="n">
        <f aca="false">((E30*I30/16*I30/16*10.680159*J30)*IF(H30=0,0,(G30/H30))+(G30/12*L30/16*L30/16*10.680159*M30)*IF(K30=0,0,(E30*12/K30))+(E30*IF(P30=0,0,N30/P30)*Q30/16*Q30/16*10.680159*R30)+(IF(P30=0,0,E30/P30*N30)*Q30/16*Q30/16*10.680159*R30)+((T30*U30*S30*0.03*0.2836*G30)/12+4)*IF(H30=0,0,(G30/H30))*I30/16*I30/16*10.680159)*(1+J$56)</f>
        <v>0</v>
      </c>
      <c r="W30" s="1926" t="n">
        <f aca="false">((E30*F30/12*G30/324)+ROUNDUP(S30*T30*U30*G30/46656,0)+(N30*O30*E30/3888))*(1+J$51)</f>
        <v>0</v>
      </c>
      <c r="AH30" s="1929" t="n">
        <f aca="false">IF($R$8=1,$N30*$O30*$E30/3888*(1+$J$51),0)</f>
        <v>0</v>
      </c>
      <c r="AI30" s="1928" t="n">
        <f aca="false">IF($R$8=2,$N30*$O30*$E30/3888*(1+$J$51),0)</f>
        <v>0</v>
      </c>
      <c r="AJ30" s="1928" t="n">
        <f aca="false">IF($R$8=3,$N30*$O30*$E30/3888*(1+$J$51),0)</f>
        <v>0</v>
      </c>
      <c r="AK30" s="1928" t="n">
        <f aca="false">IF($R$8=4,$N30*$O30*$E30/3888*(1+$J$51),0)</f>
        <v>0</v>
      </c>
      <c r="AL30" s="1928" t="n">
        <f aca="false">IF($R$8=5,$N30*$O30*$E30/3888*(1+$J$51),0)</f>
        <v>0</v>
      </c>
      <c r="AM30" s="1928" t="n">
        <f aca="false">IF($R$8=6,$N30*$O30*$E30/3888*(1+$J$51),0)</f>
        <v>0</v>
      </c>
      <c r="AN30" s="1928" t="n">
        <f aca="false">IF($R$8=7,$N30*$O30*$E30/3888*(1+$J$51),0)</f>
        <v>0</v>
      </c>
      <c r="AO30" s="1928" t="n">
        <f aca="false">IF($R$8=8,$N30*$O30*$E30/3888*(1+$J$51),0)</f>
        <v>0</v>
      </c>
      <c r="AP30" s="1928" t="n">
        <f aca="false">IF($R$8=9,$N30*$O30*$E30/3888*(1+$J$51),0)</f>
        <v>0</v>
      </c>
      <c r="AQ30" s="1928" t="n">
        <f aca="false">IF($R$8=10,$N30*$O30*$E30/3888*(1+$J$51),0)</f>
        <v>0</v>
      </c>
      <c r="AR30" s="1929" t="n">
        <f aca="false">IF($D30=1,$W30-SUM($AH30:$AQ30),0)</f>
        <v>0</v>
      </c>
      <c r="AS30" s="1928" t="n">
        <f aca="false">IF($D30=2,W30-SUM($AH30:$AQ30),0)</f>
        <v>0</v>
      </c>
      <c r="AT30" s="1928" t="n">
        <f aca="false">IF($D30=3,W30-SUM($AH30:$AQ30),0)</f>
        <v>0</v>
      </c>
      <c r="AU30" s="1928" t="n">
        <f aca="false">IF($D30=4,W30-SUM($AH30:$AQ30),0)</f>
        <v>0</v>
      </c>
      <c r="AV30" s="1928" t="n">
        <f aca="false">IF($D30=5,W30-SUM($AH30:$AQ30),0)</f>
        <v>0</v>
      </c>
      <c r="AW30" s="1928" t="n">
        <f aca="false">IF($D30=6,W30-SUM($AH30:$AQ30),0)</f>
        <v>0</v>
      </c>
      <c r="AX30" s="1928" t="n">
        <f aca="false">IF($D30=7,W30-SUM($AH30:$AQ30),0)</f>
        <v>0</v>
      </c>
      <c r="AY30" s="1928" t="n">
        <f aca="false">IF($D30=8,W30-SUM($AH30:$AQ30),0)</f>
        <v>0</v>
      </c>
      <c r="AZ30" s="1928" t="n">
        <f aca="false">IF($D30=9,W30-SUM($AH30:$AQ30),0)</f>
        <v>0</v>
      </c>
      <c r="BA30" s="1930" t="n">
        <f aca="false">IF($D30=10,W30-SUM($AH30:$AQ30),0)</f>
        <v>0</v>
      </c>
      <c r="BB30" s="1928" t="n">
        <f aca="false">SUM(AH30:AM30)</f>
        <v>0</v>
      </c>
      <c r="BC30" s="1928" t="n">
        <f aca="false">SUM(AR30:AW30)</f>
        <v>0</v>
      </c>
      <c r="BD30" s="1928" t="n">
        <f aca="false">V30</f>
        <v>0</v>
      </c>
      <c r="BE30" s="1928" t="n">
        <f aca="false">E30*G30/12*2+(U30*U30*G30/1728*S30)</f>
        <v>0</v>
      </c>
      <c r="BF30" s="1928" t="n">
        <f aca="false">BE30/2</f>
        <v>0</v>
      </c>
      <c r="BG30" s="1928" t="n">
        <f aca="false">N30*E30/12</f>
        <v>0</v>
      </c>
      <c r="BH30" s="1928" t="n">
        <f aca="false">ROUND(IF(C30="Y",BF30*3/27,0),0)</f>
        <v>0</v>
      </c>
      <c r="BJ30" s="1931" t="n">
        <f aca="false">V30*F$56*IF(T$39="N",(1+V$39),1)</f>
        <v>0</v>
      </c>
      <c r="BK30" s="1932" t="n">
        <f aca="false">(AR30*Pricing!F$3+AS30*Pricing!G$3+AT30*Pricing!H$3+AU30*Pricing!I$3+AV30*Pricing!J$3+AW30*Pricing!K$3+AH30*Pricing!F$3+AI30*Pricing!G$3+AJ30*Pricing!H$3+AK30*Pricing!I$3+AL30*Pricing!J$3+AM30*Pricing!K$3)*IF(T$39="N",(1+V$39),1)</f>
        <v>0</v>
      </c>
      <c r="BL30" s="1932" t="n">
        <f aca="false">IF(C30="Y",(N$59+N$60)/DF$36*DF30,0)</f>
        <v>0</v>
      </c>
      <c r="BM30" s="1932" t="n">
        <f aca="false">BF30*(G$67+D$70)</f>
        <v>0</v>
      </c>
      <c r="BN30" s="1932" t="n">
        <f aca="false">BG30*D$66</f>
        <v>0</v>
      </c>
      <c r="BO30" s="1932" t="n">
        <f aca="false">V30/2000*D$71</f>
        <v>0</v>
      </c>
      <c r="BP30" s="1932" t="n">
        <f aca="false">IF(C30="Y",(N$74+N$73+N$72)/DF$36*DF30,0)</f>
        <v>0</v>
      </c>
      <c r="BQ30" s="1932" t="n">
        <f aca="false">IF(SUM(BF$36:BG$36)=0,0,(SUM(N$78:O$81)+SUM(N$83:O$88)+SUM(N$90:O$96)+W$95)/SUM(BF$36:BG$36)*(BF30+BG30))</f>
        <v>0</v>
      </c>
      <c r="BR30" s="1933"/>
      <c r="BS30" s="1934" t="n">
        <f aca="false">IF(SUM(BF$36:BG$36)=0,0,(BQ$36-W$58-N$64-W68-(L$79*0.15))/SUM(BF$36:BG$36)*BG30+BN30)</f>
        <v>0</v>
      </c>
      <c r="BT30" s="1932" t="n">
        <f aca="false">(AH30*Pricing!F$3+AI30*Pricing!G$3+AJ30*Pricing!H$3+AK30*Pricing!I$3+AL30*Pricing!J$3+AM30*Pricing!K$3)*IF(T$39="N",(1+V$39),1)</f>
        <v>0</v>
      </c>
      <c r="BU30" s="1932" t="n">
        <f aca="false">IF(BG30=0,0,(BS30+BT30)/BG30)</f>
        <v>0</v>
      </c>
      <c r="BV30" s="1932" t="n">
        <f aca="false">SUM(BJ30:BQ30)-BS30-BT30</f>
        <v>0</v>
      </c>
      <c r="BW30" s="1933" t="n">
        <f aca="false">IF(BE30=0,0,BV30/BF30)</f>
        <v>0</v>
      </c>
      <c r="DB30" s="1935" t="n">
        <f aca="false">IF(W30=0,0,D$40/SUM(W$10:W$35)*W30)</f>
        <v>0</v>
      </c>
      <c r="DC30" s="1932" t="e">
        <f aca="false">E30*N30/12*(D$40-7980)/H$66</f>
        <v>#DIV/0!</v>
      </c>
      <c r="DD30" s="179" t="n">
        <f aca="false">ROUND(N30*O30/3088*E30,0)</f>
        <v>0</v>
      </c>
      <c r="DE30" s="908" t="n">
        <f aca="false">ROUND(V30,0)</f>
        <v>0</v>
      </c>
      <c r="DF30" s="356" t="n">
        <f aca="false">ROUND(IF(C30="Y",(G30*0.25*E30+G30*G30/144*0.5*E30)/27*1.3,0),0)</f>
        <v>0</v>
      </c>
      <c r="DG30" s="908" t="n">
        <f aca="false">ROUND(E30*G30/12,0)</f>
        <v>0</v>
      </c>
      <c r="DH30" s="908" t="n">
        <f aca="false">IF(C30="y",ROUNDUP(E30*G30/12,0),0)</f>
        <v>0</v>
      </c>
      <c r="DI30" s="908" t="n">
        <f aca="false">IF(C30="Y",IF(E30&gt;0,E30,0),0)</f>
        <v>0</v>
      </c>
      <c r="DJ30" s="1936" t="n">
        <f aca="false">ROUND(E30*N30/12,0)</f>
        <v>0</v>
      </c>
    </row>
    <row r="31" s="1414" customFormat="true" ht="15" hidden="false" customHeight="false" outlineLevel="0" collapsed="false">
      <c r="A31" s="507"/>
      <c r="B31" s="1312"/>
      <c r="C31" s="1919"/>
      <c r="D31" s="1920"/>
      <c r="E31" s="1921"/>
      <c r="F31" s="1234"/>
      <c r="G31" s="1235"/>
      <c r="H31" s="1236"/>
      <c r="I31" s="1234"/>
      <c r="J31" s="1235"/>
      <c r="K31" s="1236"/>
      <c r="L31" s="1234"/>
      <c r="M31" s="1234"/>
      <c r="N31" s="1922"/>
      <c r="O31" s="1234"/>
      <c r="P31" s="1234"/>
      <c r="Q31" s="1234"/>
      <c r="R31" s="1923"/>
      <c r="S31" s="1924"/>
      <c r="T31" s="78"/>
      <c r="U31" s="900"/>
      <c r="V31" s="1925" t="n">
        <f aca="false">((E31*I31/16*I31/16*10.680159*J31)*IF(H31=0,0,(G31/H31))+(G31/12*L31/16*L31/16*10.680159*M31)*IF(K31=0,0,(E31*12/K31))+(E31*IF(P31=0,0,N31/P31)*Q31/16*Q31/16*10.680159*R31)+(IF(P31=0,0,E31/P31*N31)*Q31/16*Q31/16*10.680159*R31)+((T31*U31*S31*0.03*0.2836*G31)/12+4)*IF(H31=0,0,(G31/H31))*I31/16*I31/16*10.680159)*(1+J$56)</f>
        <v>0</v>
      </c>
      <c r="W31" s="1926" t="n">
        <f aca="false">((E31*F31/12*G31/324)+ROUNDUP(S31*T31*U31*G31/46656,0)+(N31*O31*E31/3888))*(1+J$51)</f>
        <v>0</v>
      </c>
      <c r="AH31" s="1929" t="n">
        <f aca="false">IF($R$8=1,$N31*$O31*$E31/3888*(1+$J$51),0)</f>
        <v>0</v>
      </c>
      <c r="AI31" s="1928" t="n">
        <f aca="false">IF($R$8=2,$N31*$O31*$E31/3888*(1+$J$51),0)</f>
        <v>0</v>
      </c>
      <c r="AJ31" s="1928" t="n">
        <f aca="false">IF($R$8=3,$N31*$O31*$E31/3888*(1+$J$51),0)</f>
        <v>0</v>
      </c>
      <c r="AK31" s="1928" t="n">
        <f aca="false">IF($R$8=4,$N31*$O31*$E31/3888*(1+$J$51),0)</f>
        <v>0</v>
      </c>
      <c r="AL31" s="1928" t="n">
        <f aca="false">IF($R$8=5,$N31*$O31*$E31/3888*(1+$J$51),0)</f>
        <v>0</v>
      </c>
      <c r="AM31" s="1928" t="n">
        <f aca="false">IF($R$8=6,$N31*$O31*$E31/3888*(1+$J$51),0)</f>
        <v>0</v>
      </c>
      <c r="AN31" s="1928" t="n">
        <f aca="false">IF($R$8=7,$N31*$O31*$E31/3888*(1+$J$51),0)</f>
        <v>0</v>
      </c>
      <c r="AO31" s="1928" t="n">
        <f aca="false">IF($R$8=8,$N31*$O31*$E31/3888*(1+$J$51),0)</f>
        <v>0</v>
      </c>
      <c r="AP31" s="1928" t="n">
        <f aca="false">IF($R$8=9,$N31*$O31*$E31/3888*(1+$J$51),0)</f>
        <v>0</v>
      </c>
      <c r="AQ31" s="1928" t="n">
        <f aca="false">IF($R$8=10,$N31*$O31*$E31/3888*(1+$J$51),0)</f>
        <v>0</v>
      </c>
      <c r="AR31" s="1929" t="n">
        <f aca="false">IF($D31=1,$W31-SUM($AH31:$AQ31),0)</f>
        <v>0</v>
      </c>
      <c r="AS31" s="1928" t="n">
        <f aca="false">IF($D31=2,W31-SUM($AH31:$AQ31),0)</f>
        <v>0</v>
      </c>
      <c r="AT31" s="1928" t="n">
        <f aca="false">IF($D31=3,W31-SUM($AH31:$AQ31),0)</f>
        <v>0</v>
      </c>
      <c r="AU31" s="1928" t="n">
        <f aca="false">IF($D31=4,W31-SUM($AH31:$AQ31),0)</f>
        <v>0</v>
      </c>
      <c r="AV31" s="1928" t="n">
        <f aca="false">IF($D31=5,W31-SUM($AH31:$AQ31),0)</f>
        <v>0</v>
      </c>
      <c r="AW31" s="1928" t="n">
        <f aca="false">IF($D31=6,W31-SUM($AH31:$AQ31),0)</f>
        <v>0</v>
      </c>
      <c r="AX31" s="1928" t="n">
        <f aca="false">IF($D31=7,W31-SUM($AH31:$AQ31),0)</f>
        <v>0</v>
      </c>
      <c r="AY31" s="1928" t="n">
        <f aca="false">IF($D31=8,W31-SUM($AH31:$AQ31),0)</f>
        <v>0</v>
      </c>
      <c r="AZ31" s="1928" t="n">
        <f aca="false">IF($D31=9,W31-SUM($AH31:$AQ31),0)</f>
        <v>0</v>
      </c>
      <c r="BA31" s="1930" t="n">
        <f aca="false">IF($D31=10,W31-SUM($AH31:$AQ31),0)</f>
        <v>0</v>
      </c>
      <c r="BB31" s="1928" t="n">
        <f aca="false">SUM(AH31:AM31)</f>
        <v>0</v>
      </c>
      <c r="BC31" s="1928" t="n">
        <f aca="false">SUM(AR31:AW31)</f>
        <v>0</v>
      </c>
      <c r="BD31" s="1928" t="n">
        <f aca="false">V31</f>
        <v>0</v>
      </c>
      <c r="BE31" s="1928" t="n">
        <f aca="false">E31*G31/12*2+(U31*U31*G31/1728*S31)</f>
        <v>0</v>
      </c>
      <c r="BF31" s="1928" t="n">
        <f aca="false">BE31/2</f>
        <v>0</v>
      </c>
      <c r="BG31" s="1928" t="n">
        <f aca="false">N31*E31/12</f>
        <v>0</v>
      </c>
      <c r="BH31" s="1928" t="n">
        <f aca="false">ROUND(IF(C31="Y",BF31*3/27,0),0)</f>
        <v>0</v>
      </c>
      <c r="BJ31" s="1931" t="n">
        <f aca="false">V31*F$56*IF(T$39="N",(1+V$39),1)</f>
        <v>0</v>
      </c>
      <c r="BK31" s="1932" t="n">
        <f aca="false">(AR31*Pricing!F$3+AS31*Pricing!G$3+AT31*Pricing!H$3+AU31*Pricing!I$3+AV31*Pricing!J$3+AW31*Pricing!K$3+AH31*Pricing!F$3+AI31*Pricing!G$3+AJ31*Pricing!H$3+AK31*Pricing!I$3+AL31*Pricing!J$3+AM31*Pricing!K$3)*IF(T$39="N",(1+V$39),1)</f>
        <v>0</v>
      </c>
      <c r="BL31" s="1932" t="n">
        <f aca="false">IF(C31="Y",(N$59+N$60)/DF$36*DF31,0)</f>
        <v>0</v>
      </c>
      <c r="BM31" s="1932" t="n">
        <f aca="false">BF31*(G$67+D$70)</f>
        <v>0</v>
      </c>
      <c r="BN31" s="1932" t="n">
        <f aca="false">BG31*D$66</f>
        <v>0</v>
      </c>
      <c r="BO31" s="1932" t="n">
        <f aca="false">V31/2000*D$71</f>
        <v>0</v>
      </c>
      <c r="BP31" s="1932" t="n">
        <f aca="false">IF(C31="Y",(N$74+N$73+N$72)/DF$36*DF31,0)</f>
        <v>0</v>
      </c>
      <c r="BQ31" s="1932" t="n">
        <f aca="false">IF(SUM(BF$36:BG$36)=0,0,(SUM(N$78:O$81)+SUM(N$83:O$88)+SUM(N$90:O$96)+W$95)/SUM(BF$36:BG$36)*(BF31+BG31))</f>
        <v>0</v>
      </c>
      <c r="BR31" s="1933"/>
      <c r="BS31" s="1934" t="n">
        <f aca="false">IF(SUM(BF$36:BG$36)=0,0,(BQ$36-W$58-N$64-W69-(L$79*0.15))/SUM(BF$36:BG$36)*BG31+BN31)</f>
        <v>0</v>
      </c>
      <c r="BT31" s="1932" t="n">
        <f aca="false">(AH31*Pricing!F$3+AI31*Pricing!G$3+AJ31*Pricing!H$3+AK31*Pricing!I$3+AL31*Pricing!J$3+AM31*Pricing!K$3)*IF(T$39="N",(1+V$39),1)</f>
        <v>0</v>
      </c>
      <c r="BU31" s="1932" t="n">
        <f aca="false">IF(BG31=0,0,(BS31+BT31)/BG31)</f>
        <v>0</v>
      </c>
      <c r="BV31" s="1932" t="n">
        <f aca="false">SUM(BJ31:BQ31)-BS31-BT31</f>
        <v>0</v>
      </c>
      <c r="BW31" s="1933" t="n">
        <f aca="false">IF(BE31=0,0,BV31/BF31)</f>
        <v>0</v>
      </c>
      <c r="DB31" s="1935" t="n">
        <f aca="false">IF(W31=0,0,D$40/SUM(W$10:W$35)*W31)</f>
        <v>0</v>
      </c>
      <c r="DC31" s="1932" t="e">
        <f aca="false">E31*N31/12*(D$40-7980)/H$66</f>
        <v>#DIV/0!</v>
      </c>
      <c r="DD31" s="179" t="n">
        <f aca="false">ROUND(N31*O31/3088*E31,0)</f>
        <v>0</v>
      </c>
      <c r="DE31" s="908" t="n">
        <f aca="false">ROUND(V31,0)</f>
        <v>0</v>
      </c>
      <c r="DF31" s="356" t="n">
        <f aca="false">ROUND(IF(C31="Y",(G31*0.25*E31+G31*G31/144*0.5*E31)/27*1.3,0),0)</f>
        <v>0</v>
      </c>
      <c r="DG31" s="908" t="n">
        <f aca="false">ROUND(E31*G31/12,0)</f>
        <v>0</v>
      </c>
      <c r="DH31" s="908" t="n">
        <f aca="false">IF(C31="y",ROUNDUP(E31*G31/12,0),0)</f>
        <v>0</v>
      </c>
      <c r="DI31" s="908" t="n">
        <f aca="false">IF(C31="Y",IF(E31&gt;0,E31,0),0)</f>
        <v>0</v>
      </c>
      <c r="DJ31" s="1936" t="n">
        <f aca="false">ROUND(E31*N31/12,0)</f>
        <v>0</v>
      </c>
    </row>
    <row r="32" s="1414" customFormat="true" ht="15" hidden="false" customHeight="false" outlineLevel="0" collapsed="false">
      <c r="A32" s="507"/>
      <c r="B32" s="1312"/>
      <c r="C32" s="1919"/>
      <c r="D32" s="1920"/>
      <c r="E32" s="1921"/>
      <c r="F32" s="1234"/>
      <c r="G32" s="1235"/>
      <c r="H32" s="1236"/>
      <c r="I32" s="1234"/>
      <c r="J32" s="1235"/>
      <c r="K32" s="1236"/>
      <c r="L32" s="1234"/>
      <c r="M32" s="1234"/>
      <c r="N32" s="1922"/>
      <c r="O32" s="1234"/>
      <c r="P32" s="1234"/>
      <c r="Q32" s="1234"/>
      <c r="R32" s="1923"/>
      <c r="S32" s="1924"/>
      <c r="T32" s="78"/>
      <c r="U32" s="900"/>
      <c r="V32" s="1925" t="n">
        <f aca="false">((E32*I32/16*I32/16*10.680159*J32)*IF(H32=0,0,(G32/H32))+(G32/12*L32/16*L32/16*10.680159*M32)*IF(K32=0,0,(E32*12/K32))+(E32*IF(P32=0,0,N32/P32)*Q32/16*Q32/16*10.680159*R32)+(IF(P32=0,0,E32/P32*N32)*Q32/16*Q32/16*10.680159*R32)+((T32*U32*S32*0.03*0.2836*G32)/12+4)*IF(H32=0,0,(G32/H32))*I32/16*I32/16*10.680159)*(1+J$56)</f>
        <v>0</v>
      </c>
      <c r="W32" s="1926" t="n">
        <f aca="false">((E32*F32/12*G32/324)+ROUNDUP(S32*T32*U32*G32/46656,0)+(N32*O32*E32/3888))*(1+J$51)</f>
        <v>0</v>
      </c>
      <c r="AH32" s="1929" t="n">
        <f aca="false">IF($R$8=1,$N32*$O32*$E32/3888*(1+$J$51),0)</f>
        <v>0</v>
      </c>
      <c r="AI32" s="1928" t="n">
        <f aca="false">IF($R$8=2,$N32*$O32*$E32/3888*(1+$J$51),0)</f>
        <v>0</v>
      </c>
      <c r="AJ32" s="1928" t="n">
        <f aca="false">IF($R$8=3,$N32*$O32*$E32/3888*(1+$J$51),0)</f>
        <v>0</v>
      </c>
      <c r="AK32" s="1928" t="n">
        <f aca="false">IF($R$8=4,$N32*$O32*$E32/3888*(1+$J$51),0)</f>
        <v>0</v>
      </c>
      <c r="AL32" s="1928" t="n">
        <f aca="false">IF($R$8=5,$N32*$O32*$E32/3888*(1+$J$51),0)</f>
        <v>0</v>
      </c>
      <c r="AM32" s="1928" t="n">
        <f aca="false">IF($R$8=6,$N32*$O32*$E32/3888*(1+$J$51),0)</f>
        <v>0</v>
      </c>
      <c r="AN32" s="1928" t="n">
        <f aca="false">IF($R$8=7,$N32*$O32*$E32/3888*(1+$J$51),0)</f>
        <v>0</v>
      </c>
      <c r="AO32" s="1928" t="n">
        <f aca="false">IF($R$8=8,$N32*$O32*$E32/3888*(1+$J$51),0)</f>
        <v>0</v>
      </c>
      <c r="AP32" s="1928" t="n">
        <f aca="false">IF($R$8=9,$N32*$O32*$E32/3888*(1+$J$51),0)</f>
        <v>0</v>
      </c>
      <c r="AQ32" s="1928" t="n">
        <f aca="false">IF($R$8=10,$N32*$O32*$E32/3888*(1+$J$51),0)</f>
        <v>0</v>
      </c>
      <c r="AR32" s="1929" t="n">
        <f aca="false">IF($D32=1,$W32-SUM($AH32:$AQ32),0)</f>
        <v>0</v>
      </c>
      <c r="AS32" s="1928" t="n">
        <f aca="false">IF($D32=2,W32-SUM($AH32:$AQ32),0)</f>
        <v>0</v>
      </c>
      <c r="AT32" s="1928" t="n">
        <f aca="false">IF($D32=3,W32-SUM($AH32:$AQ32),0)</f>
        <v>0</v>
      </c>
      <c r="AU32" s="1928" t="n">
        <f aca="false">IF($D32=4,W32-SUM($AH32:$AQ32),0)</f>
        <v>0</v>
      </c>
      <c r="AV32" s="1928" t="n">
        <f aca="false">IF($D32=5,W32-SUM($AH32:$AQ32),0)</f>
        <v>0</v>
      </c>
      <c r="AW32" s="1928" t="n">
        <f aca="false">IF($D32=6,W32-SUM($AH32:$AQ32),0)</f>
        <v>0</v>
      </c>
      <c r="AX32" s="1928" t="n">
        <f aca="false">IF($D32=7,W32-SUM($AH32:$AQ32),0)</f>
        <v>0</v>
      </c>
      <c r="AY32" s="1928" t="n">
        <f aca="false">IF($D32=8,W32-SUM($AH32:$AQ32),0)</f>
        <v>0</v>
      </c>
      <c r="AZ32" s="1928" t="n">
        <f aca="false">IF($D32=9,W32-SUM($AH32:$AQ32),0)</f>
        <v>0</v>
      </c>
      <c r="BA32" s="1930" t="n">
        <f aca="false">IF($D32=10,W32-SUM($AH32:$AQ32),0)</f>
        <v>0</v>
      </c>
      <c r="BB32" s="1928" t="n">
        <f aca="false">SUM(AH32:AM32)</f>
        <v>0</v>
      </c>
      <c r="BC32" s="1928" t="n">
        <f aca="false">SUM(AR32:AW32)</f>
        <v>0</v>
      </c>
      <c r="BD32" s="1928" t="n">
        <f aca="false">V32</f>
        <v>0</v>
      </c>
      <c r="BE32" s="1928" t="n">
        <f aca="false">E32*G32/12*2+(U32*U32*G32/1728*S32)</f>
        <v>0</v>
      </c>
      <c r="BF32" s="1928" t="n">
        <f aca="false">BE32/2</f>
        <v>0</v>
      </c>
      <c r="BG32" s="1928" t="n">
        <f aca="false">N32*E32/12</f>
        <v>0</v>
      </c>
      <c r="BH32" s="1928" t="n">
        <f aca="false">ROUND(IF(C32="Y",BF32*3/27,0),0)</f>
        <v>0</v>
      </c>
      <c r="BJ32" s="1931" t="n">
        <f aca="false">V32*F$56*IF(T$39="N",(1+V$39),1)</f>
        <v>0</v>
      </c>
      <c r="BK32" s="1932" t="n">
        <f aca="false">(AR32*Pricing!F$3+AS32*Pricing!G$3+AT32*Pricing!H$3+AU32*Pricing!I$3+AV32*Pricing!J$3+AW32*Pricing!K$3+AH32*Pricing!F$3+AI32*Pricing!G$3+AJ32*Pricing!H$3+AK32*Pricing!I$3+AL32*Pricing!J$3+AM32*Pricing!K$3)*IF(T$39="N",(1+V$39),1)</f>
        <v>0</v>
      </c>
      <c r="BL32" s="1932" t="n">
        <f aca="false">IF(C32="Y",(N$59+N$60)/DF$36*DF32,0)</f>
        <v>0</v>
      </c>
      <c r="BM32" s="1932" t="n">
        <f aca="false">BF32*(G$67+D$70)</f>
        <v>0</v>
      </c>
      <c r="BN32" s="1932" t="n">
        <f aca="false">BG32*D$66</f>
        <v>0</v>
      </c>
      <c r="BO32" s="1932" t="n">
        <f aca="false">V32/2000*D$71</f>
        <v>0</v>
      </c>
      <c r="BP32" s="1932" t="n">
        <f aca="false">IF(C32="Y",(N$74+N$73+N$72)/DF$36*DF32,0)</f>
        <v>0</v>
      </c>
      <c r="BQ32" s="1932" t="n">
        <f aca="false">IF(SUM(BF$36:BG$36)=0,0,(SUM(N$78:O$81)+SUM(N$83:O$88)+SUM(N$90:O$96)+W$95)/SUM(BF$36:BG$36)*(BF32+BG32))</f>
        <v>0</v>
      </c>
      <c r="BR32" s="1933"/>
      <c r="BS32" s="1934" t="n">
        <f aca="false">IF(SUM(BF$36:BG$36)=0,0,(BQ$36-W$58-N$64-W70-(L$79*0.15))/SUM(BF$36:BG$36)*BG32+BN32)</f>
        <v>0</v>
      </c>
      <c r="BT32" s="1932" t="n">
        <f aca="false">(AH32*Pricing!F$3+AI32*Pricing!G$3+AJ32*Pricing!H$3+AK32*Pricing!I$3+AL32*Pricing!J$3+AM32*Pricing!K$3)*IF(T$39="N",(1+V$39),1)</f>
        <v>0</v>
      </c>
      <c r="BU32" s="1932" t="n">
        <f aca="false">IF(BG32=0,0,(BS32+BT32)/BG32)</f>
        <v>0</v>
      </c>
      <c r="BV32" s="1932" t="n">
        <f aca="false">SUM(BJ32:BQ32)-BS32-BT32</f>
        <v>0</v>
      </c>
      <c r="BW32" s="1933" t="n">
        <f aca="false">IF(BE32=0,0,BV32/BF32)</f>
        <v>0</v>
      </c>
      <c r="DB32" s="1935" t="n">
        <f aca="false">IF(W32=0,0,D$40/SUM(W$10:W$35)*W32)</f>
        <v>0</v>
      </c>
      <c r="DC32" s="1932" t="e">
        <f aca="false">E32*N32/12*(D$40-7980)/H$66</f>
        <v>#DIV/0!</v>
      </c>
      <c r="DD32" s="179" t="n">
        <f aca="false">ROUND(N32*O32/3088*E32,0)</f>
        <v>0</v>
      </c>
      <c r="DE32" s="908" t="n">
        <f aca="false">ROUND(V32,0)</f>
        <v>0</v>
      </c>
      <c r="DF32" s="356" t="n">
        <f aca="false">ROUND(IF(C32="Y",(G32*0.25*E32+G32*G32/144*0.5*E32)/27*1.3,0),0)</f>
        <v>0</v>
      </c>
      <c r="DG32" s="908" t="n">
        <f aca="false">ROUND(E32*G32/12,0)</f>
        <v>0</v>
      </c>
      <c r="DH32" s="908" t="n">
        <f aca="false">IF(C32="y",ROUNDUP(E32*G32/12,0),0)</f>
        <v>0</v>
      </c>
      <c r="DI32" s="908" t="n">
        <f aca="false">IF(C32="Y",IF(E32&gt;0,E32,0),0)</f>
        <v>0</v>
      </c>
      <c r="DJ32" s="1936" t="n">
        <f aca="false">ROUND(E32*N32/12,0)</f>
        <v>0</v>
      </c>
    </row>
    <row r="33" s="1414" customFormat="true" ht="15" hidden="false" customHeight="false" outlineLevel="0" collapsed="false">
      <c r="A33" s="507"/>
      <c r="B33" s="1312"/>
      <c r="C33" s="1919"/>
      <c r="D33" s="1920"/>
      <c r="E33" s="1921"/>
      <c r="F33" s="1234"/>
      <c r="G33" s="1235"/>
      <c r="H33" s="1236"/>
      <c r="I33" s="1234"/>
      <c r="J33" s="1235"/>
      <c r="K33" s="1236"/>
      <c r="L33" s="1234"/>
      <c r="M33" s="1234"/>
      <c r="N33" s="1922"/>
      <c r="O33" s="1234"/>
      <c r="P33" s="1234"/>
      <c r="Q33" s="1234"/>
      <c r="R33" s="1923"/>
      <c r="S33" s="1924"/>
      <c r="T33" s="78"/>
      <c r="U33" s="900"/>
      <c r="V33" s="1925" t="n">
        <f aca="false">((E33*I33/16*I33/16*10.680159*J33)*IF(H33=0,0,(G33/H33))+(G33/12*L33/16*L33/16*10.680159*M33)*IF(K33=0,0,(E33*12/K33))+(E33*IF(P33=0,0,N33/P33)*Q33/16*Q33/16*10.680159*R33)+(IF(P33=0,0,E33/P33*N33)*Q33/16*Q33/16*10.680159*R33)+((T33*U33*S33*0.03*0.2836*G33)/12+4)*IF(H33=0,0,(G33/H33))*I33/16*I33/16*10.680159)*(1+J$56)</f>
        <v>0</v>
      </c>
      <c r="W33" s="1926" t="n">
        <f aca="false">((E33*F33/12*G33/324)+ROUNDUP(S33*T33*U33*G33/46656,0)+(N33*O33*E33/3888))*(1+J$51)</f>
        <v>0</v>
      </c>
      <c r="AH33" s="1929" t="n">
        <f aca="false">IF($R$8=1,$N33*$O33*$E33/3888*(1+$J$51),0)</f>
        <v>0</v>
      </c>
      <c r="AI33" s="1928" t="n">
        <f aca="false">IF($R$8=2,$N33*$O33*$E33/3888*(1+$J$51),0)</f>
        <v>0</v>
      </c>
      <c r="AJ33" s="1928" t="n">
        <f aca="false">IF($R$8=3,$N33*$O33*$E33/3888*(1+$J$51),0)</f>
        <v>0</v>
      </c>
      <c r="AK33" s="1928" t="n">
        <f aca="false">IF($R$8=4,$N33*$O33*$E33/3888*(1+$J$51),0)</f>
        <v>0</v>
      </c>
      <c r="AL33" s="1928" t="n">
        <f aca="false">IF($R$8=5,$N33*$O33*$E33/3888*(1+$J$51),0)</f>
        <v>0</v>
      </c>
      <c r="AM33" s="1928" t="n">
        <f aca="false">IF($R$8=6,$N33*$O33*$E33/3888*(1+$J$51),0)</f>
        <v>0</v>
      </c>
      <c r="AN33" s="1928" t="n">
        <f aca="false">IF($R$8=7,$N33*$O33*$E33/3888*(1+$J$51),0)</f>
        <v>0</v>
      </c>
      <c r="AO33" s="1928" t="n">
        <f aca="false">IF($R$8=8,$N33*$O33*$E33/3888*(1+$J$51),0)</f>
        <v>0</v>
      </c>
      <c r="AP33" s="1928" t="n">
        <f aca="false">IF($R$8=9,$N33*$O33*$E33/3888*(1+$J$51),0)</f>
        <v>0</v>
      </c>
      <c r="AQ33" s="1928" t="n">
        <f aca="false">IF($R$8=10,$N33*$O33*$E33/3888*(1+$J$51),0)</f>
        <v>0</v>
      </c>
      <c r="AR33" s="1929" t="n">
        <f aca="false">IF($D33=1,$W33-SUM($AH33:$AQ33),0)</f>
        <v>0</v>
      </c>
      <c r="AS33" s="1928" t="n">
        <f aca="false">IF($D33=2,W33-SUM($AH33:$AQ33),0)</f>
        <v>0</v>
      </c>
      <c r="AT33" s="1928" t="n">
        <f aca="false">IF($D33=3,W33-SUM($AH33:$AQ33),0)</f>
        <v>0</v>
      </c>
      <c r="AU33" s="1928" t="n">
        <f aca="false">IF($D33=4,W33-SUM($AH33:$AQ33),0)</f>
        <v>0</v>
      </c>
      <c r="AV33" s="1928" t="n">
        <f aca="false">IF($D33=5,W33-SUM($AH33:$AQ33),0)</f>
        <v>0</v>
      </c>
      <c r="AW33" s="1928" t="n">
        <f aca="false">IF($D33=6,W33-SUM($AH33:$AQ33),0)</f>
        <v>0</v>
      </c>
      <c r="AX33" s="1928" t="n">
        <f aca="false">IF($D33=7,W33-SUM($AH33:$AQ33),0)</f>
        <v>0</v>
      </c>
      <c r="AY33" s="1928" t="n">
        <f aca="false">IF($D33=8,W33-SUM($AH33:$AQ33),0)</f>
        <v>0</v>
      </c>
      <c r="AZ33" s="1928" t="n">
        <f aca="false">IF($D33=9,W33-SUM($AH33:$AQ33),0)</f>
        <v>0</v>
      </c>
      <c r="BA33" s="1930" t="n">
        <f aca="false">IF($D33=10,W33-SUM($AH33:$AQ33),0)</f>
        <v>0</v>
      </c>
      <c r="BB33" s="1928" t="n">
        <f aca="false">SUM(AH33:AM33)</f>
        <v>0</v>
      </c>
      <c r="BC33" s="1928" t="n">
        <f aca="false">SUM(AR33:AW33)</f>
        <v>0</v>
      </c>
      <c r="BD33" s="1928" t="n">
        <f aca="false">V33</f>
        <v>0</v>
      </c>
      <c r="BE33" s="1928" t="n">
        <f aca="false">E33*G33/12*2+(U33*U33*G33/1728*S33)</f>
        <v>0</v>
      </c>
      <c r="BF33" s="1928" t="n">
        <f aca="false">BE33/2</f>
        <v>0</v>
      </c>
      <c r="BG33" s="1928" t="n">
        <f aca="false">N33*E33/12</f>
        <v>0</v>
      </c>
      <c r="BH33" s="1928" t="n">
        <f aca="false">ROUND(IF(C33="Y",BF33*3/27,0),0)</f>
        <v>0</v>
      </c>
      <c r="BJ33" s="1931" t="n">
        <f aca="false">V33*F$56*IF(T$39="N",(1+V$39),1)</f>
        <v>0</v>
      </c>
      <c r="BK33" s="1932" t="n">
        <f aca="false">(AR33*Pricing!F$3+AS33*Pricing!G$3+AT33*Pricing!H$3+AU33*Pricing!I$3+AV33*Pricing!J$3+AW33*Pricing!K$3+AH33*Pricing!F$3+AI33*Pricing!G$3+AJ33*Pricing!H$3+AK33*Pricing!I$3+AL33*Pricing!J$3+AM33*Pricing!K$3)*IF(T$39="N",(1+V$39),1)</f>
        <v>0</v>
      </c>
      <c r="BL33" s="1932" t="n">
        <f aca="false">IF(C33="Y",(N$59+N$60)/DF$36*DF33,0)</f>
        <v>0</v>
      </c>
      <c r="BM33" s="1932" t="n">
        <f aca="false">BF33*(G$67+D$70)</f>
        <v>0</v>
      </c>
      <c r="BN33" s="1932" t="n">
        <f aca="false">BG33*D$66</f>
        <v>0</v>
      </c>
      <c r="BO33" s="1932" t="n">
        <f aca="false">V33/2000*D$71</f>
        <v>0</v>
      </c>
      <c r="BP33" s="1932" t="n">
        <f aca="false">IF(C33="Y",(N$74+N$73+N$72)/DF$36*DF33,0)</f>
        <v>0</v>
      </c>
      <c r="BQ33" s="1932" t="n">
        <f aca="false">IF(SUM(BF$36:BG$36)=0,0,(SUM(N$78:O$81)+SUM(N$83:O$88)+SUM(N$90:O$96)+W$95)/SUM(BF$36:BG$36)*(BF33+BG33))</f>
        <v>0</v>
      </c>
      <c r="BR33" s="1933"/>
      <c r="BS33" s="1934" t="n">
        <f aca="false">IF(SUM(BF$36:BG$36)=0,0,(BQ$36-W$58-N$64-W81-(L$79*0.15))/SUM(BF$36:BG$36)*BG33+BN33)</f>
        <v>0</v>
      </c>
      <c r="BT33" s="1932" t="n">
        <f aca="false">(AH33*Pricing!F$3+AI33*Pricing!G$3+AJ33*Pricing!H$3+AK33*Pricing!I$3+AL33*Pricing!J$3+AM33*Pricing!K$3)*IF(T$39="N",(1+V$39),1)</f>
        <v>0</v>
      </c>
      <c r="BU33" s="1932" t="n">
        <f aca="false">IF(BG33=0,0,(BS33+BT33)/BG33)</f>
        <v>0</v>
      </c>
      <c r="BV33" s="1932" t="n">
        <f aca="false">SUM(BJ33:BQ33)-BS33-BT33</f>
        <v>0</v>
      </c>
      <c r="BW33" s="1933" t="n">
        <f aca="false">IF(BE33=0,0,BV33/BF33)</f>
        <v>0</v>
      </c>
      <c r="DB33" s="1935" t="n">
        <f aca="false">IF(W33=0,0,D$40/SUM(W$10:W$35)*W33)</f>
        <v>0</v>
      </c>
      <c r="DC33" s="1932" t="e">
        <f aca="false">E33*N33/12*(D$40-7980)/H$66</f>
        <v>#DIV/0!</v>
      </c>
      <c r="DD33" s="179" t="n">
        <f aca="false">ROUND(N33*O33/3088*E33,0)</f>
        <v>0</v>
      </c>
      <c r="DE33" s="908" t="n">
        <f aca="false">ROUND(V33,0)</f>
        <v>0</v>
      </c>
      <c r="DF33" s="356" t="n">
        <f aca="false">ROUND(IF(C33="Y",(G33*0.25*E33+G33*G33/144*0.5*E33)/27*1.3,0),0)</f>
        <v>0</v>
      </c>
      <c r="DG33" s="908" t="n">
        <f aca="false">ROUND(E33*G33/12,0)</f>
        <v>0</v>
      </c>
      <c r="DH33" s="908" t="n">
        <f aca="false">IF(C33="y",ROUNDUP(E33*G33/12,0),0)</f>
        <v>0</v>
      </c>
      <c r="DI33" s="908" t="n">
        <f aca="false">IF(C33="Y",IF(E33&gt;0,E33,0),0)</f>
        <v>0</v>
      </c>
      <c r="DJ33" s="1936" t="n">
        <f aca="false">ROUND(E33*N33/12,0)</f>
        <v>0</v>
      </c>
    </row>
    <row r="34" s="1414" customFormat="true" ht="15" hidden="false" customHeight="false" outlineLevel="0" collapsed="false">
      <c r="A34" s="507"/>
      <c r="B34" s="1312"/>
      <c r="C34" s="1919"/>
      <c r="D34" s="1920"/>
      <c r="E34" s="1921"/>
      <c r="F34" s="1234"/>
      <c r="G34" s="1235"/>
      <c r="H34" s="1236"/>
      <c r="I34" s="1234"/>
      <c r="J34" s="1235"/>
      <c r="K34" s="1236"/>
      <c r="L34" s="1234"/>
      <c r="M34" s="1234"/>
      <c r="N34" s="1922"/>
      <c r="O34" s="1234"/>
      <c r="P34" s="1234"/>
      <c r="Q34" s="1234"/>
      <c r="R34" s="1923"/>
      <c r="S34" s="1924"/>
      <c r="T34" s="78"/>
      <c r="U34" s="900"/>
      <c r="V34" s="1925" t="n">
        <f aca="false">((E34*I34/16*I34/16*10.680159*J34)*IF(H34=0,0,(G34/H34))+(G34/12*L34/16*L34/16*10.680159*M34)*IF(K34=0,0,(E34*12/K34))+(E34*IF(P34=0,0,N34/P34)*Q34/16*Q34/16*10.680159*R34)+(IF(P34=0,0,E34/P34*N34)*Q34/16*Q34/16*10.680159*R34)+((T34*U34*S34*0.03*0.2836*G34)/12+4)*IF(H34=0,0,(G34/H34))*I34/16*I34/16*10.680159)*(1+J$56)</f>
        <v>0</v>
      </c>
      <c r="W34" s="1926" t="n">
        <f aca="false">((E34*F34/12*G34/324)+ROUNDUP(S34*T34*U34*G34/46656,0)+(N34*O34*E34/3888))*(1+J$51)</f>
        <v>0</v>
      </c>
      <c r="AH34" s="1929" t="n">
        <f aca="false">IF($R$8=1,$N34*$O34*$E34/3888*(1+$J$51),0)</f>
        <v>0</v>
      </c>
      <c r="AI34" s="1928" t="n">
        <f aca="false">IF($R$8=2,$N34*$O34*$E34/3888*(1+$J$51),0)</f>
        <v>0</v>
      </c>
      <c r="AJ34" s="1928" t="n">
        <f aca="false">IF($R$8=3,$N34*$O34*$E34/3888*(1+$J$51),0)</f>
        <v>0</v>
      </c>
      <c r="AK34" s="1928" t="n">
        <f aca="false">IF($R$8=4,$N34*$O34*$E34/3888*(1+$J$51),0)</f>
        <v>0</v>
      </c>
      <c r="AL34" s="1928" t="n">
        <f aca="false">IF($R$8=5,$N34*$O34*$E34/3888*(1+$J$51),0)</f>
        <v>0</v>
      </c>
      <c r="AM34" s="1928" t="n">
        <f aca="false">IF($R$8=6,$N34*$O34*$E34/3888*(1+$J$51),0)</f>
        <v>0</v>
      </c>
      <c r="AN34" s="1928" t="n">
        <f aca="false">IF($R$8=7,$N34*$O34*$E34/3888*(1+$J$51),0)</f>
        <v>0</v>
      </c>
      <c r="AO34" s="1928" t="n">
        <f aca="false">IF($R$8=8,$N34*$O34*$E34/3888*(1+$J$51),0)</f>
        <v>0</v>
      </c>
      <c r="AP34" s="1928" t="n">
        <f aca="false">IF($R$8=9,$N34*$O34*$E34/3888*(1+$J$51),0)</f>
        <v>0</v>
      </c>
      <c r="AQ34" s="1928" t="n">
        <f aca="false">IF($R$8=10,$N34*$O34*$E34/3888*(1+$J$51),0)</f>
        <v>0</v>
      </c>
      <c r="AR34" s="1929" t="n">
        <f aca="false">IF($D34=1,$W34-SUM($AH34:$AQ34),0)</f>
        <v>0</v>
      </c>
      <c r="AS34" s="1928" t="n">
        <f aca="false">IF($D34=2,W34-SUM($AH34:$AQ34),0)</f>
        <v>0</v>
      </c>
      <c r="AT34" s="1928" t="n">
        <f aca="false">IF($D34=3,W34-SUM($AH34:$AQ34),0)</f>
        <v>0</v>
      </c>
      <c r="AU34" s="1928" t="n">
        <f aca="false">IF($D34=4,W34-SUM($AH34:$AQ34),0)</f>
        <v>0</v>
      </c>
      <c r="AV34" s="1928" t="n">
        <f aca="false">IF($D34=5,W34-SUM($AH34:$AQ34),0)</f>
        <v>0</v>
      </c>
      <c r="AW34" s="1928" t="n">
        <f aca="false">IF($D34=6,W34-SUM($AH34:$AQ34),0)</f>
        <v>0</v>
      </c>
      <c r="AX34" s="1928" t="n">
        <f aca="false">IF($D34=7,W34-SUM($AH34:$AQ34),0)</f>
        <v>0</v>
      </c>
      <c r="AY34" s="1928" t="n">
        <f aca="false">IF($D34=8,W34-SUM($AH34:$AQ34),0)</f>
        <v>0</v>
      </c>
      <c r="AZ34" s="1928" t="n">
        <f aca="false">IF($D34=9,W34-SUM($AH34:$AQ34),0)</f>
        <v>0</v>
      </c>
      <c r="BA34" s="1930" t="n">
        <f aca="false">IF($D34=10,W34-SUM($AH34:$AQ34),0)</f>
        <v>0</v>
      </c>
      <c r="BB34" s="1928" t="n">
        <f aca="false">SUM(AH34:AM34)</f>
        <v>0</v>
      </c>
      <c r="BC34" s="1928" t="n">
        <f aca="false">SUM(AR34:AW34)</f>
        <v>0</v>
      </c>
      <c r="BD34" s="1928" t="n">
        <f aca="false">V34</f>
        <v>0</v>
      </c>
      <c r="BE34" s="1928" t="n">
        <f aca="false">E34*G34/12*2+(U34*U34*G34/1728*S34)</f>
        <v>0</v>
      </c>
      <c r="BF34" s="1928" t="n">
        <f aca="false">BE34/2</f>
        <v>0</v>
      </c>
      <c r="BG34" s="1928" t="n">
        <f aca="false">N34*E34/12</f>
        <v>0</v>
      </c>
      <c r="BH34" s="1928" t="n">
        <f aca="false">ROUND(IF(C34="Y",BF34*3/27,0),0)</f>
        <v>0</v>
      </c>
      <c r="BJ34" s="1931" t="n">
        <f aca="false">V34*F$56*IF(T$39="N",(1+V$39),1)</f>
        <v>0</v>
      </c>
      <c r="BK34" s="1932" t="n">
        <f aca="false">(AR34*Pricing!F$3+AS34*Pricing!G$3+AT34*Pricing!H$3+AU34*Pricing!I$3+AV34*Pricing!J$3+AW34*Pricing!K$3+AH34*Pricing!F$3+AI34*Pricing!G$3+AJ34*Pricing!H$3+AK34*Pricing!I$3+AL34*Pricing!J$3+AM34*Pricing!K$3)*IF(T$39="N",(1+V$39),1)</f>
        <v>0</v>
      </c>
      <c r="BL34" s="1932" t="n">
        <f aca="false">IF(C34="Y",(N$59+N$60)/DF$36*DF34,0)</f>
        <v>0</v>
      </c>
      <c r="BM34" s="1932" t="n">
        <f aca="false">BF34*(G$67+D$70)</f>
        <v>0</v>
      </c>
      <c r="BN34" s="1932" t="n">
        <f aca="false">BG34*D$66</f>
        <v>0</v>
      </c>
      <c r="BO34" s="1932" t="n">
        <f aca="false">V34/2000*D$71</f>
        <v>0</v>
      </c>
      <c r="BP34" s="1932" t="n">
        <f aca="false">IF(C34="Y",(N$74+N$73+N$72)/DF$36*DF34,0)</f>
        <v>0</v>
      </c>
      <c r="BQ34" s="1932" t="n">
        <f aca="false">IF(SUM(BF$36:BG$36)=0,0,(SUM(N$78:O$81)+SUM(N$83:O$88)+SUM(N$90:O$96)+W$95)/SUM(BF$36:BG$36)*(BF34+BG34))</f>
        <v>0</v>
      </c>
      <c r="BR34" s="1933"/>
      <c r="BS34" s="1934" t="n">
        <f aca="false">IF(SUM(BF$36:BG$36)=0,0,(BQ$36-W$58-N$64-W82-(L$79*0.15))/SUM(BF$36:BG$36)*BG34+BN34)</f>
        <v>0</v>
      </c>
      <c r="BT34" s="1932" t="n">
        <f aca="false">(AH34*Pricing!F$3+AI34*Pricing!G$3+AJ34*Pricing!H$3+AK34*Pricing!I$3+AL34*Pricing!J$3+AM34*Pricing!K$3)*IF(T$39="N",(1+V$39),1)</f>
        <v>0</v>
      </c>
      <c r="BU34" s="1932" t="n">
        <f aca="false">IF(BG34=0,0,(BS34+BT34)/BG34)</f>
        <v>0</v>
      </c>
      <c r="BV34" s="1932" t="n">
        <f aca="false">SUM(BJ34:BQ34)-BS34-BT34</f>
        <v>0</v>
      </c>
      <c r="BW34" s="1933" t="n">
        <f aca="false">IF(BE34=0,0,BV34/BF34)</f>
        <v>0</v>
      </c>
      <c r="DB34" s="1935" t="n">
        <f aca="false">IF(W34=0,0,D$40/SUM(W$10:W$35)*W34)</f>
        <v>0</v>
      </c>
      <c r="DC34" s="1932" t="e">
        <f aca="false">E34*N34/12*(D$40-7980)/H$66</f>
        <v>#DIV/0!</v>
      </c>
      <c r="DD34" s="179" t="n">
        <f aca="false">ROUND(N34*O34/3088*E34,0)</f>
        <v>0</v>
      </c>
      <c r="DE34" s="908" t="n">
        <f aca="false">ROUND(V34,0)</f>
        <v>0</v>
      </c>
      <c r="DF34" s="356" t="n">
        <f aca="false">ROUND(IF(C34="Y",(G34*0.25*E34+G34*G34/144*0.5*E34)/27*1.3,0),0)</f>
        <v>0</v>
      </c>
      <c r="DG34" s="908" t="n">
        <f aca="false">ROUND(E34*G34/12,0)</f>
        <v>0</v>
      </c>
      <c r="DH34" s="908" t="n">
        <f aca="false">IF(C34="y",ROUNDUP(E34*G34/12,0),0)</f>
        <v>0</v>
      </c>
      <c r="DI34" s="908" t="n">
        <f aca="false">IF(C34="Y",IF(E34&gt;0,E34,0),0)</f>
        <v>0</v>
      </c>
      <c r="DJ34" s="1936" t="n">
        <f aca="false">ROUND(E34*N34/12,0)</f>
        <v>0</v>
      </c>
    </row>
    <row r="35" s="1414" customFormat="true" ht="15" hidden="false" customHeight="false" outlineLevel="0" collapsed="false">
      <c r="A35" s="507"/>
      <c r="B35" s="1312"/>
      <c r="C35" s="1938"/>
      <c r="D35" s="1920"/>
      <c r="E35" s="1921"/>
      <c r="F35" s="1234"/>
      <c r="G35" s="1235"/>
      <c r="H35" s="1236"/>
      <c r="I35" s="1234"/>
      <c r="J35" s="1235"/>
      <c r="K35" s="1236"/>
      <c r="L35" s="1234"/>
      <c r="M35" s="1234"/>
      <c r="N35" s="1922"/>
      <c r="O35" s="1234"/>
      <c r="P35" s="1234"/>
      <c r="Q35" s="1234"/>
      <c r="R35" s="1923"/>
      <c r="S35" s="1924"/>
      <c r="T35" s="78"/>
      <c r="U35" s="900"/>
      <c r="V35" s="1925" t="n">
        <f aca="false">((E35*I35/16*I35/16*10.680159*J35)*IF(H35=0,0,(G35/H35))+(G35/12*L35/16*L35/16*10.680159*M35)*IF(K35=0,0,(E35*12/K35))+(E35*IF(P35=0,0,N35/P35)*Q35/16*Q35/16*10.680159*R35)+(IF(P35=0,0,E35/P35*N35)*Q35/16*Q35/16*10.680159*R35)+((T35*U35*S35*0.03*0.2836*G35)/12+4)*IF(H35=0,0,(G35/H35))*I35/16*I35/16*10.680159)*(1+J$56)</f>
        <v>0</v>
      </c>
      <c r="W35" s="1926" t="n">
        <f aca="false">((E35*F35/12*G35/324)+ROUNDUP(S35*T35*U35*G35/46656,0)+(N35*O35*E35/3888))*(1+J$51)</f>
        <v>0</v>
      </c>
      <c r="AH35" s="1939" t="n">
        <f aca="false">IF($R$8=1,$N35*$O35*$E35/3888*(1+$J$51),0)</f>
        <v>0</v>
      </c>
      <c r="AI35" s="1940" t="n">
        <f aca="false">IF($R$8=2,$N35*$O35*$E35/3888*(1+$J$51),0)</f>
        <v>0</v>
      </c>
      <c r="AJ35" s="1940" t="n">
        <f aca="false">IF($R$8=3,$N35*$O35*$E35/3888*(1+$J$51),0)</f>
        <v>0</v>
      </c>
      <c r="AK35" s="1940" t="n">
        <f aca="false">IF($R$8=4,$N35*$O35*$E35/3888*(1+$J$51),0)</f>
        <v>0</v>
      </c>
      <c r="AL35" s="1940" t="n">
        <f aca="false">IF($R$8=5,$N35*$O35*$E35/3888*(1+$J$51),0)</f>
        <v>0</v>
      </c>
      <c r="AM35" s="1940" t="n">
        <f aca="false">IF($R$8=6,$N35*$O35*$E35/3888*(1+$J$51),0)</f>
        <v>0</v>
      </c>
      <c r="AN35" s="1940" t="n">
        <f aca="false">IF($R$8=7,$N35*$O35*$E35/3888*(1+$J$51),0)</f>
        <v>0</v>
      </c>
      <c r="AO35" s="1940" t="n">
        <f aca="false">IF($R$8=8,$N35*$O35*$E35/3888*(1+$J$51),0)</f>
        <v>0</v>
      </c>
      <c r="AP35" s="1940" t="n">
        <f aca="false">IF($R$8=9,$N35*$O35*$E35/3888*(1+$J$51),0)</f>
        <v>0</v>
      </c>
      <c r="AQ35" s="1940" t="n">
        <f aca="false">IF($R$8=10,$N35*$O35*$E35/3888*(1+$J$51),0)</f>
        <v>0</v>
      </c>
      <c r="AR35" s="1939" t="n">
        <f aca="false">IF($D35=1,$W35-SUM($AH35:$AQ35),0)</f>
        <v>0</v>
      </c>
      <c r="AS35" s="1940" t="n">
        <f aca="false">IF($D35=2,W35-SUM($AH35:$AQ35),0)</f>
        <v>0</v>
      </c>
      <c r="AT35" s="1940" t="n">
        <f aca="false">IF($D35=3,W35-SUM($AH35:$AQ35),0)</f>
        <v>0</v>
      </c>
      <c r="AU35" s="1940" t="n">
        <f aca="false">IF($D35=4,W35-SUM($AH35:$AQ35),0)</f>
        <v>0</v>
      </c>
      <c r="AV35" s="1940" t="n">
        <f aca="false">IF($D35=5,W35-SUM($AH35:$AQ35),0)</f>
        <v>0</v>
      </c>
      <c r="AW35" s="1940" t="n">
        <f aca="false">IF($D35=6,W35-SUM($AH35:$AQ35),0)</f>
        <v>0</v>
      </c>
      <c r="AX35" s="1940" t="n">
        <f aca="false">IF($D35=7,W35-SUM($AH35:$AQ35),0)</f>
        <v>0</v>
      </c>
      <c r="AY35" s="1940" t="n">
        <f aca="false">IF($D35=8,W35-SUM($AH35:$AQ35),0)</f>
        <v>0</v>
      </c>
      <c r="AZ35" s="1940" t="n">
        <f aca="false">IF($D35=9,W35-SUM($AH35:$AQ35),0)</f>
        <v>0</v>
      </c>
      <c r="BA35" s="1941" t="n">
        <f aca="false">IF($D35=10,W35-SUM($AH35:$AQ35),0)</f>
        <v>0</v>
      </c>
      <c r="BB35" s="1928" t="n">
        <f aca="false">SUM(AH35:AM35)</f>
        <v>0</v>
      </c>
      <c r="BC35" s="1928" t="n">
        <f aca="false">SUM(AR35:AW35)</f>
        <v>0</v>
      </c>
      <c r="BD35" s="1928" t="n">
        <f aca="false">V35</f>
        <v>0</v>
      </c>
      <c r="BE35" s="1928" t="n">
        <f aca="false">E35*G35/12*2+(U35*U35*G35/1728*S35)</f>
        <v>0</v>
      </c>
      <c r="BF35" s="1928" t="n">
        <f aca="false">BE35/2</f>
        <v>0</v>
      </c>
      <c r="BG35" s="1928" t="n">
        <f aca="false">N35*E35/12</f>
        <v>0</v>
      </c>
      <c r="BH35" s="1928" t="n">
        <f aca="false">ROUND(IF(C35="Y",BF35*3/27,0),0)</f>
        <v>0</v>
      </c>
      <c r="BJ35" s="1942" t="n">
        <f aca="false">V35*F$56*IF(T$39="N",(1+V$39),1)</f>
        <v>0</v>
      </c>
      <c r="BK35" s="1943" t="n">
        <f aca="false">(AR35*Pricing!F$3+AS35*Pricing!G$3+AT35*Pricing!H$3+AU35*Pricing!I$3+AV35*Pricing!J$3+AW35*Pricing!K$3+AH35*Pricing!F$3+AI35*Pricing!G$3+AJ35*Pricing!H$3+AK35*Pricing!I$3+AL35*Pricing!J$3+AM35*Pricing!K$3)*IF(T$39="N",(1+V$39),1)</f>
        <v>0</v>
      </c>
      <c r="BL35" s="1943" t="n">
        <f aca="false">IF(C35="Y",(N$59+N$60)/DF$36*DF35,0)</f>
        <v>0</v>
      </c>
      <c r="BM35" s="1943" t="n">
        <f aca="false">BF35*(G$67+D$70)</f>
        <v>0</v>
      </c>
      <c r="BN35" s="1943" t="n">
        <f aca="false">BG35*D$66</f>
        <v>0</v>
      </c>
      <c r="BO35" s="1943" t="n">
        <f aca="false">V35/2000*D$71</f>
        <v>0</v>
      </c>
      <c r="BP35" s="1943" t="n">
        <f aca="false">IF(C35="Y",(N$74+N$73+N$72)/DF$36*DF35,0)</f>
        <v>0</v>
      </c>
      <c r="BQ35" s="1943" t="n">
        <f aca="false">IF(SUM(BF$36:BG$36)=0,0,(SUM(N$78:O$81)+SUM(N$83:O$88)+SUM(N$90:O$96)+W$95)/SUM(BF$36:BG$36)*(BF35+BG35))</f>
        <v>0</v>
      </c>
      <c r="BR35" s="1944"/>
      <c r="BS35" s="1945" t="n">
        <f aca="false">IF(SUM(BF$36:BG$36)=0,0,(BQ$36-W$58-N$64-W83-(L$79*0.15))/SUM(BF$36:BG$36)*BG35+BN35)</f>
        <v>0</v>
      </c>
      <c r="BT35" s="1943" t="n">
        <f aca="false">(AH35*Pricing!F$3+AI35*Pricing!G$3+AJ35*Pricing!H$3+AK35*Pricing!I$3+AL35*Pricing!J$3+AM35*Pricing!K$3)*IF(T$39="N",(1+V$39),1)</f>
        <v>0</v>
      </c>
      <c r="BU35" s="1943" t="n">
        <f aca="false">IF(BG35=0,0,(BS35+BT35)/BG35)</f>
        <v>0</v>
      </c>
      <c r="BV35" s="1943" t="n">
        <f aca="false">SUM(BJ35:BQ35)-BS35-BT35</f>
        <v>0</v>
      </c>
      <c r="BW35" s="1944" t="n">
        <f aca="false">IF(BE35=0,0,BV35/BF35)</f>
        <v>0</v>
      </c>
      <c r="DB35" s="1935" t="n">
        <f aca="false">IF(W35=0,0,D$40/SUM(W$10:W$35)*W35)</f>
        <v>0</v>
      </c>
      <c r="DC35" s="1932" t="e">
        <f aca="false">E35*N35/12*(D$40-7980)/H$66</f>
        <v>#DIV/0!</v>
      </c>
      <c r="DD35" s="179" t="n">
        <f aca="false">ROUND(N35*O35/3088*E35,0)</f>
        <v>0</v>
      </c>
      <c r="DE35" s="908" t="n">
        <f aca="false">ROUND(V35,0)</f>
        <v>0</v>
      </c>
      <c r="DF35" s="356" t="n">
        <f aca="false">ROUND(IF(C35="Y",(G35*0.25*E35+G35*G35/144*0.5*E35)/27*1.3,0),0)</f>
        <v>0</v>
      </c>
      <c r="DG35" s="908" t="n">
        <f aca="false">ROUND(E35*G35/12,0)</f>
        <v>0</v>
      </c>
      <c r="DH35" s="908" t="n">
        <f aca="false">IF(C35="y",ROUNDUP(E35*G35/12,0),0)</f>
        <v>0</v>
      </c>
      <c r="DI35" s="908" t="n">
        <f aca="false">IF(C35="Y",IF(E35&gt;0,E35,0),0)</f>
        <v>0</v>
      </c>
      <c r="DJ35" s="1936" t="n">
        <f aca="false">ROUND(E35*N35/12,0)</f>
        <v>0</v>
      </c>
    </row>
    <row r="36" s="1414" customFormat="true" ht="15" hidden="false" customHeight="false" outlineLevel="0" collapsed="false">
      <c r="A36" s="406"/>
      <c r="B36" s="614"/>
      <c r="C36" s="614"/>
      <c r="D36" s="1946"/>
      <c r="E36" s="1246" t="n">
        <f aca="false">SUM(E10:E35)</f>
        <v>0</v>
      </c>
      <c r="F36" s="1946" t="s">
        <v>1398</v>
      </c>
      <c r="G36" s="1202"/>
      <c r="H36" s="1202"/>
      <c r="I36" s="614"/>
      <c r="J36" s="614"/>
      <c r="K36" s="614"/>
      <c r="L36" s="614"/>
      <c r="M36" s="614"/>
      <c r="N36" s="614"/>
      <c r="O36" s="1461" t="s">
        <v>1399</v>
      </c>
      <c r="P36" s="1462"/>
      <c r="Q36" s="1462"/>
      <c r="R36" s="1462"/>
      <c r="S36" s="614"/>
      <c r="T36" s="614"/>
      <c r="U36" s="1249" t="n">
        <f aca="false">SUM(V10:V35)</f>
        <v>0</v>
      </c>
      <c r="V36" s="1947"/>
      <c r="W36" s="1250" t="n">
        <f aca="false">ROUND(SUM(W10:W35),0)</f>
        <v>0</v>
      </c>
      <c r="AH36" s="1928" t="n">
        <f aca="false">SUM(AH10:AH35)</f>
        <v>0</v>
      </c>
      <c r="AI36" s="1928" t="n">
        <f aca="false">SUM(AI10:AI35)</f>
        <v>0</v>
      </c>
      <c r="AJ36" s="1928" t="n">
        <f aca="false">SUM(AJ10:AJ35)</f>
        <v>0</v>
      </c>
      <c r="AK36" s="1928" t="n">
        <f aca="false">SUM(AK10:AK35)</f>
        <v>0</v>
      </c>
      <c r="AL36" s="1928" t="n">
        <f aca="false">SUM(AL10:AL35)</f>
        <v>0</v>
      </c>
      <c r="AM36" s="1928" t="n">
        <f aca="false">SUM(AM10:AM35)</f>
        <v>0</v>
      </c>
      <c r="AN36" s="1928" t="n">
        <f aca="false">SUM(AN10:AN35)</f>
        <v>0</v>
      </c>
      <c r="AO36" s="1928" t="n">
        <f aca="false">SUM(AO10:AO35)</f>
        <v>0</v>
      </c>
      <c r="AP36" s="1928" t="n">
        <f aca="false">SUM(AP10:AP35)</f>
        <v>0</v>
      </c>
      <c r="AQ36" s="1928" t="n">
        <f aca="false">SUM(AQ10:AQ35)</f>
        <v>0</v>
      </c>
      <c r="AR36" s="1928" t="n">
        <f aca="false">SUM(AR10:AR35)</f>
        <v>0</v>
      </c>
      <c r="AS36" s="1928" t="n">
        <f aca="false">SUM(AS10:AS35)</f>
        <v>0</v>
      </c>
      <c r="AT36" s="1928" t="n">
        <f aca="false">SUM(AT10:AT35)</f>
        <v>0</v>
      </c>
      <c r="AU36" s="1928" t="n">
        <f aca="false">SUM(AU10:AU35)</f>
        <v>0</v>
      </c>
      <c r="AV36" s="1928" t="n">
        <f aca="false">SUM(AV10:AV35)</f>
        <v>0</v>
      </c>
      <c r="AW36" s="1928" t="n">
        <f aca="false">SUM(AW10:AW35)</f>
        <v>0</v>
      </c>
      <c r="AX36" s="1928" t="n">
        <f aca="false">SUM(AX10:AX35)</f>
        <v>0</v>
      </c>
      <c r="AY36" s="1928" t="n">
        <f aca="false">SUM(AY10:AY35)</f>
        <v>0</v>
      </c>
      <c r="AZ36" s="1928" t="n">
        <f aca="false">SUM(AZ10:AZ35)</f>
        <v>0</v>
      </c>
      <c r="BA36" s="1928" t="n">
        <f aca="false">SUM(BA10:BA35)</f>
        <v>0</v>
      </c>
      <c r="BB36" s="1928" t="n">
        <f aca="false">SUM(BB10:BB35)</f>
        <v>0</v>
      </c>
      <c r="BC36" s="1928" t="n">
        <f aca="false">SUM(BC10:BC35)</f>
        <v>0</v>
      </c>
      <c r="BD36" s="1928" t="n">
        <f aca="false">SUM(BD10:BD35)</f>
        <v>0</v>
      </c>
      <c r="BE36" s="1928" t="n">
        <f aca="false">SUM(BE10:BE35)</f>
        <v>0</v>
      </c>
      <c r="BF36" s="1928" t="n">
        <f aca="false">SUM(BF10:BF35)</f>
        <v>0</v>
      </c>
      <c r="BG36" s="1928" t="n">
        <f aca="false">SUM(BG10:BG35)</f>
        <v>0</v>
      </c>
      <c r="BH36" s="1928" t="n">
        <f aca="false">SUM(BH10:BH35)</f>
        <v>0</v>
      </c>
      <c r="BI36" s="1414" t="n">
        <f aca="false">SUM(BI10:BI35)</f>
        <v>0</v>
      </c>
      <c r="BJ36" s="1932" t="n">
        <f aca="false">SUM(BJ10:BJ35)</f>
        <v>0</v>
      </c>
      <c r="BK36" s="1932" t="n">
        <f aca="false">SUM(BK10:BK35)</f>
        <v>0</v>
      </c>
      <c r="BL36" s="1932" t="n">
        <f aca="false">SUM(BL10:BL35)</f>
        <v>0</v>
      </c>
      <c r="BM36" s="1932" t="n">
        <f aca="false">SUM(BM10:BM35)</f>
        <v>0</v>
      </c>
      <c r="BN36" s="1932" t="n">
        <f aca="false">SUM(BN10:BN35)</f>
        <v>0</v>
      </c>
      <c r="BO36" s="1932" t="n">
        <f aca="false">SUM(BO10:BO35)</f>
        <v>0</v>
      </c>
      <c r="BP36" s="1932" t="n">
        <f aca="false">SUM(BP10:BP35)</f>
        <v>0</v>
      </c>
      <c r="BQ36" s="1932" t="n">
        <f aca="false">SUM(BQ10:BQ35)</f>
        <v>0</v>
      </c>
      <c r="BR36" s="1932" t="n">
        <f aca="false">SUM(BJ36:BQ36)</f>
        <v>0</v>
      </c>
      <c r="BS36" s="1932" t="n">
        <f aca="false">SUM(BS10:BS35)</f>
        <v>0</v>
      </c>
      <c r="BT36" s="1932" t="n">
        <f aca="false">SUM(BT10:BT35)</f>
        <v>0</v>
      </c>
      <c r="BU36" s="1932"/>
      <c r="BV36" s="1932" t="n">
        <f aca="false">SUM(BV10:BV35)</f>
        <v>0</v>
      </c>
      <c r="BW36" s="1932" t="n">
        <f aca="false">SUM(BS36:BV36)</f>
        <v>0</v>
      </c>
      <c r="DB36" s="1948" t="n">
        <f aca="false">SUM(DB10:DB35)</f>
        <v>0</v>
      </c>
      <c r="DC36" s="1948" t="e">
        <f aca="false">SUM(DC10:DC35)</f>
        <v>#DIV/0!</v>
      </c>
      <c r="DD36" s="1254" t="n">
        <f aca="false">SUM(DD10:DD35)</f>
        <v>0</v>
      </c>
      <c r="DE36" s="1254" t="n">
        <f aca="false">SUM(DE10:DE35)</f>
        <v>0</v>
      </c>
      <c r="DF36" s="1254" t="n">
        <f aca="false">SUM(DF10:DF35)</f>
        <v>0</v>
      </c>
      <c r="DG36" s="1254" t="n">
        <f aca="false">SUM(DG10:DG35)</f>
        <v>0</v>
      </c>
      <c r="DH36" s="1949" t="n">
        <f aca="false">SUM(DH10:DH35)</f>
        <v>0</v>
      </c>
      <c r="DI36" s="908" t="n">
        <f aca="false">IF(C36="Y",IF(D36&gt;0,D36,0),0)</f>
        <v>0</v>
      </c>
      <c r="DJ36" s="1254" t="n">
        <f aca="false">SUM(DJ10:DJ35)</f>
        <v>0</v>
      </c>
    </row>
    <row r="37" s="1414" customFormat="true" ht="15" hidden="false" customHeight="false" outlineLevel="0" collapsed="false">
      <c r="A37" s="685"/>
      <c r="B37" s="726"/>
      <c r="C37" s="726"/>
      <c r="D37" s="726"/>
      <c r="E37" s="726"/>
      <c r="F37" s="726"/>
      <c r="G37" s="726"/>
      <c r="H37" s="726"/>
      <c r="I37" s="726"/>
      <c r="J37" s="726"/>
      <c r="K37" s="726"/>
      <c r="L37" s="726"/>
      <c r="M37" s="726"/>
      <c r="N37" s="726"/>
      <c r="O37" s="1950" t="s">
        <v>1400</v>
      </c>
      <c r="P37" s="1951"/>
      <c r="Q37" s="1951"/>
      <c r="R37" s="1951"/>
      <c r="S37" s="726"/>
      <c r="T37" s="726"/>
      <c r="U37" s="1952" t="n">
        <f aca="false">ROUNDUP(U36/2000,0)</f>
        <v>0</v>
      </c>
      <c r="V37" s="1258"/>
      <c r="W37" s="1258"/>
      <c r="BJ37" s="1948" t="n">
        <f aca="false">N56+N57+N58</f>
        <v>0</v>
      </c>
      <c r="BK37" s="1948" t="n">
        <f aca="false">SUM(N51:O55)</f>
        <v>0</v>
      </c>
      <c r="BL37" s="1948" t="n">
        <f aca="false">N59+N60</f>
        <v>0</v>
      </c>
      <c r="BM37" s="1948" t="n">
        <f aca="false">N67+N68+N69+N70</f>
        <v>0</v>
      </c>
      <c r="BN37" s="1948" t="n">
        <f aca="false">N66</f>
        <v>0</v>
      </c>
      <c r="BO37" s="1948" t="n">
        <f aca="false">N71</f>
        <v>0</v>
      </c>
      <c r="BP37" s="1948" t="n">
        <f aca="false">N74+N73+N72</f>
        <v>0</v>
      </c>
      <c r="BQ37" s="1948" t="n">
        <f aca="false">N83+N84+N85+N86+N87+N88+N90+N91+N92+N93+N94+N95+N96+W95+L79+N81</f>
        <v>0</v>
      </c>
      <c r="BR37" s="1948" t="n">
        <f aca="false">S40</f>
        <v>0</v>
      </c>
      <c r="DB37" s="1948" t="n">
        <f aca="false">D40-DB36</f>
        <v>0</v>
      </c>
      <c r="DC37" s="1948" t="e">
        <f aca="false">DC36-D40</f>
        <v>#DIV/0!</v>
      </c>
      <c r="DD37" s="1414" t="n">
        <f aca="false">SUM(DD10:DD36)</f>
        <v>0</v>
      </c>
      <c r="DE37" s="1414" t="n">
        <f aca="false">SUM(DE10:DE36)</f>
        <v>0</v>
      </c>
      <c r="DF37" s="1414" t="n">
        <f aca="false">SUM(DF10:DF36)</f>
        <v>0</v>
      </c>
      <c r="DG37" s="1414" t="n">
        <f aca="false">SUM(DG10:DG36)</f>
        <v>0</v>
      </c>
      <c r="DH37" s="1414" t="n">
        <f aca="false">SUM(DH10:DH36)</f>
        <v>0</v>
      </c>
      <c r="DI37" s="1247" t="n">
        <f aca="false">SUM(DI10:DI36)</f>
        <v>0</v>
      </c>
      <c r="DJ37" s="1414" t="n">
        <f aca="false">SUM(DJ10:DJ36)</f>
        <v>0</v>
      </c>
    </row>
    <row r="38" s="1414" customFormat="true" ht="15" hidden="false" customHeight="false" outlineLevel="0" collapsed="false">
      <c r="A38" s="949"/>
      <c r="B38" s="950"/>
      <c r="C38" s="951" t="s">
        <v>1261</v>
      </c>
      <c r="D38" s="952"/>
      <c r="E38" s="952"/>
      <c r="F38" s="950"/>
      <c r="G38" s="950"/>
      <c r="H38" s="950"/>
      <c r="I38" s="950"/>
      <c r="J38" s="950"/>
      <c r="K38" s="954"/>
      <c r="L38" s="950"/>
      <c r="M38" s="950"/>
      <c r="N38" s="950"/>
      <c r="O38" s="1165"/>
      <c r="P38" s="950"/>
      <c r="Q38" s="950"/>
      <c r="R38" s="950"/>
      <c r="S38" s="950"/>
      <c r="T38" s="950"/>
      <c r="U38" s="950"/>
      <c r="V38" s="950"/>
      <c r="W38" s="957"/>
      <c r="BJ38" s="1948" t="n">
        <f aca="false">BJ36-BJ37</f>
        <v>0</v>
      </c>
      <c r="BK38" s="1948" t="n">
        <f aca="false">BK36-BK37</f>
        <v>0</v>
      </c>
      <c r="BL38" s="1948" t="n">
        <f aca="false">BL36-BL37</f>
        <v>0</v>
      </c>
      <c r="BM38" s="1948" t="n">
        <f aca="false">BM36-BM37</f>
        <v>0</v>
      </c>
      <c r="BN38" s="1948" t="n">
        <f aca="false">BN36-BN37</f>
        <v>0</v>
      </c>
      <c r="BO38" s="1948" t="n">
        <f aca="false">BO36-BO37</f>
        <v>0</v>
      </c>
      <c r="BP38" s="1948" t="n">
        <f aca="false">BP36-BP37</f>
        <v>0</v>
      </c>
      <c r="BQ38" s="1948" t="n">
        <f aca="false">BQ36-BQ37</f>
        <v>0</v>
      </c>
      <c r="BR38" s="1948" t="n">
        <f aca="false">BR36-BR37</f>
        <v>0</v>
      </c>
    </row>
    <row r="39" s="1414" customFormat="true" ht="28.55" hidden="false" customHeight="false" outlineLevel="0" collapsed="false">
      <c r="A39" s="958" t="s">
        <v>1262</v>
      </c>
      <c r="B39" s="958"/>
      <c r="C39" s="958"/>
      <c r="D39" s="1642" t="s">
        <v>982</v>
      </c>
      <c r="E39" s="1644"/>
      <c r="F39" s="1953" t="s">
        <v>1263</v>
      </c>
      <c r="G39" s="1643"/>
      <c r="H39" s="1644"/>
      <c r="I39" s="1167" t="s">
        <v>1264</v>
      </c>
      <c r="J39" s="1168"/>
      <c r="K39" s="1169"/>
      <c r="L39" s="1170" t="s">
        <v>1265</v>
      </c>
      <c r="M39" s="1171"/>
      <c r="N39" s="1171"/>
      <c r="O39" s="1172"/>
      <c r="P39" s="961"/>
      <c r="Q39" s="836" t="s">
        <v>1266</v>
      </c>
      <c r="R39" s="1068"/>
      <c r="S39" s="1068" t="s">
        <v>1267</v>
      </c>
      <c r="T39" s="1954" t="str">
        <f aca="false">Summary!P62</f>
        <v>N</v>
      </c>
      <c r="U39" s="1419" t="s">
        <v>1268</v>
      </c>
      <c r="V39" s="1955" t="n">
        <f aca="false">Summary!R62</f>
        <v>0.0825</v>
      </c>
      <c r="W39" s="964"/>
      <c r="DD39" s="1414" t="s">
        <v>1401</v>
      </c>
      <c r="DF39" s="1414" t="s">
        <v>1402</v>
      </c>
    </row>
    <row r="40" s="1414" customFormat="true" ht="15" hidden="false" customHeight="false" outlineLevel="0" collapsed="false">
      <c r="A40" s="965" t="s">
        <v>1269</v>
      </c>
      <c r="B40" s="966" t="n">
        <f aca="false">IF(BF36=0,0,D40/BF36)</f>
        <v>0</v>
      </c>
      <c r="C40" s="966"/>
      <c r="D40" s="967" t="n">
        <f aca="false">(S40-N96)*(1+L40)</f>
        <v>0</v>
      </c>
      <c r="E40" s="967"/>
      <c r="F40" s="1956" t="n">
        <f aca="false">IF(D40=0,0,G40/D40)</f>
        <v>0</v>
      </c>
      <c r="G40" s="1038" t="n">
        <f aca="false">(D40-S40)</f>
        <v>0</v>
      </c>
      <c r="H40" s="1038"/>
      <c r="I40" s="1957" t="n">
        <f aca="false">IF(BF36=0,0,S40/BF36)</f>
        <v>0</v>
      </c>
      <c r="J40" s="1957"/>
      <c r="K40" s="1958"/>
      <c r="L40" s="1959" t="n">
        <f aca="false">Summary!P59</f>
        <v>0.18</v>
      </c>
      <c r="M40" s="1960"/>
      <c r="N40" s="1960"/>
      <c r="O40" s="1961"/>
      <c r="P40" s="1265"/>
      <c r="Q40" s="970" t="s">
        <v>980</v>
      </c>
      <c r="R40" s="16"/>
      <c r="S40" s="971" t="n">
        <f aca="false">SUM(N51:O63)+SUM(N66:O75)+SUM(N78:O80)+SUM(N83:O88)+SUM(N90:O96)+W95+N64+SUM(K66:L75)+N81</f>
        <v>0</v>
      </c>
      <c r="T40" s="971"/>
      <c r="U40" s="1659"/>
      <c r="V40" s="843"/>
      <c r="W40" s="964"/>
      <c r="DB40" s="175"/>
      <c r="DC40" s="1268" t="s">
        <v>1403</v>
      </c>
      <c r="DD40" s="1269" t="n">
        <v>458</v>
      </c>
      <c r="DE40" s="1270"/>
    </row>
    <row r="41" s="1414" customFormat="true" ht="15" hidden="false" customHeight="false" outlineLevel="0" collapsed="false">
      <c r="A41" s="965"/>
      <c r="B41" s="1649"/>
      <c r="C41" s="1962" t="str">
        <f aca="false">IF(ROUND(D41,0)=0,"BINGO!!",IF(ROUND(D41,0)&lt;0,"To Low","T0 High"))</f>
        <v>BINGO!!</v>
      </c>
      <c r="D41" s="1963" t="n">
        <f aca="false">D40-D38</f>
        <v>0</v>
      </c>
      <c r="E41" s="1963"/>
      <c r="F41" s="1964"/>
      <c r="G41" s="1965"/>
      <c r="H41" s="1965"/>
      <c r="I41" s="1966"/>
      <c r="J41" s="1966"/>
      <c r="K41" s="1966"/>
      <c r="L41" s="1967"/>
      <c r="M41" s="1967"/>
      <c r="N41" s="1967"/>
      <c r="O41" s="1968"/>
      <c r="P41" s="1265"/>
      <c r="Q41" s="1969"/>
      <c r="R41" s="1058"/>
      <c r="S41" s="1970"/>
      <c r="T41" s="1970"/>
      <c r="U41" s="1970"/>
      <c r="V41" s="1971"/>
      <c r="W41" s="964"/>
      <c r="DC41" s="1004" t="s">
        <v>1406</v>
      </c>
      <c r="DD41" s="1278" t="n">
        <v>-5</v>
      </c>
      <c r="DE41" s="1279"/>
      <c r="DF41" s="1280" t="n">
        <f aca="false">DD40+DD41</f>
        <v>453</v>
      </c>
    </row>
    <row r="42" s="1414" customFormat="true" ht="15" hidden="false" customHeight="false" outlineLevel="0" collapsed="false">
      <c r="A42" s="1972" t="s">
        <v>1693</v>
      </c>
      <c r="B42" s="1973" t="n">
        <f aca="false">IF(F42=0,B40,IF(BF36=0,0,BV36/BF36)*(1+L40))</f>
        <v>0</v>
      </c>
      <c r="C42" s="1973"/>
      <c r="D42" s="1974" t="s">
        <v>1694</v>
      </c>
      <c r="E42" s="1974"/>
      <c r="F42" s="1975" t="n">
        <f aca="false">IF(BG36=0,0,(BT36+BS36)/BG36)*(1+L40)</f>
        <v>0</v>
      </c>
      <c r="G42" s="1975"/>
      <c r="H42" s="1976" t="s">
        <v>1270</v>
      </c>
      <c r="I42" s="1977"/>
      <c r="J42" s="1978"/>
      <c r="K42" s="1979"/>
      <c r="L42" s="972"/>
      <c r="M42" s="1980" t="n">
        <f aca="false">IF(J42&gt;0,(J42-D40)/(1+L40),0)</f>
        <v>0</v>
      </c>
      <c r="N42" s="1981"/>
      <c r="O42" s="984"/>
      <c r="P42" s="973"/>
      <c r="Q42" s="973"/>
      <c r="R42" s="973"/>
      <c r="S42" s="983" t="n">
        <f aca="false">AE1</f>
        <v>0</v>
      </c>
      <c r="T42" s="983"/>
      <c r="U42" s="1982"/>
      <c r="V42" s="973"/>
      <c r="W42" s="984"/>
      <c r="DC42" s="1004" t="s">
        <v>1409</v>
      </c>
      <c r="DD42" s="1278" t="n">
        <v>460</v>
      </c>
      <c r="DE42" s="1279"/>
      <c r="DF42" s="1284" t="n">
        <f aca="false">DD42-DD40</f>
        <v>2</v>
      </c>
    </row>
    <row r="43" s="1414" customFormat="true" ht="15" hidden="false" customHeight="false" outlineLevel="0" collapsed="false">
      <c r="A43" s="654"/>
      <c r="B43" s="654"/>
      <c r="C43" s="654"/>
      <c r="D43" s="654"/>
      <c r="E43" s="654"/>
      <c r="F43" s="654"/>
      <c r="G43" s="654"/>
      <c r="H43" s="654"/>
      <c r="I43" s="654" t="s">
        <v>1061</v>
      </c>
      <c r="J43" s="654" t="s">
        <v>1083</v>
      </c>
      <c r="K43" s="654"/>
      <c r="L43" s="654"/>
      <c r="M43" s="654"/>
      <c r="N43" s="654"/>
      <c r="O43" s="654"/>
      <c r="P43" s="654"/>
      <c r="Q43" s="654"/>
      <c r="R43" s="654" t="s">
        <v>1695</v>
      </c>
      <c r="S43" s="654"/>
      <c r="T43" s="664" t="n">
        <f aca="false">IF(SUM(W77:W82)=0,0,SUM(W77:W82)/H67)</f>
        <v>0</v>
      </c>
      <c r="U43" s="654" t="s">
        <v>1696</v>
      </c>
      <c r="V43" s="654"/>
      <c r="W43" s="654"/>
      <c r="DB43" s="246"/>
      <c r="DC43" s="246"/>
      <c r="DD43" s="1288"/>
      <c r="DE43" s="749"/>
      <c r="DF43" s="1288"/>
    </row>
    <row r="44" s="1414" customFormat="true" ht="15" hidden="false" customHeight="false" outlineLevel="0" collapsed="false">
      <c r="A44" s="16" t="s">
        <v>1697</v>
      </c>
      <c r="B44" s="1983"/>
      <c r="C44" s="1983"/>
      <c r="D44" s="1984"/>
      <c r="E44" s="1985"/>
      <c r="F44" s="1986"/>
      <c r="G44" s="1987"/>
      <c r="H44" s="1984"/>
      <c r="I44" s="1706"/>
      <c r="J44" s="1271"/>
      <c r="K44" s="1271"/>
      <c r="L44" s="1271"/>
      <c r="M44" s="1271"/>
      <c r="N44" s="990" t="s">
        <v>721</v>
      </c>
      <c r="O44" s="990"/>
      <c r="P44" s="1274" t="s">
        <v>1272</v>
      </c>
      <c r="Q44" s="654"/>
      <c r="R44" s="783" t="s">
        <v>1698</v>
      </c>
      <c r="S44" s="1988"/>
      <c r="T44" s="1989" t="n">
        <f aca="false">IF(H67=0,0,(N64+W95-W77-W78-W79-W81-W82-W72-W71-W70-W69-W68-W67)/H67)</f>
        <v>0</v>
      </c>
      <c r="U44" s="1990" t="s">
        <v>1699</v>
      </c>
      <c r="V44" s="1991"/>
      <c r="W44" s="654"/>
    </row>
    <row r="45" s="1414" customFormat="true" ht="15" hidden="false" customHeight="false" outlineLevel="0" collapsed="false">
      <c r="A45" s="654"/>
      <c r="B45" s="1983"/>
      <c r="C45" s="1983"/>
      <c r="D45" s="1984"/>
      <c r="E45" s="1986"/>
      <c r="F45" s="1986"/>
      <c r="G45" s="1984"/>
      <c r="H45" s="1984"/>
      <c r="I45" s="1983"/>
      <c r="J45" s="1716"/>
      <c r="K45" s="1271"/>
      <c r="L45" s="1271"/>
      <c r="M45" s="1271"/>
      <c r="N45" s="1000" t="s">
        <v>1274</v>
      </c>
      <c r="O45" s="1001"/>
      <c r="P45" s="1002"/>
      <c r="Q45" s="1547"/>
      <c r="R45" s="1547" t="s">
        <v>1146</v>
      </c>
      <c r="S45" s="1547" t="s">
        <v>1268</v>
      </c>
      <c r="T45" s="1547" t="s">
        <v>1700</v>
      </c>
      <c r="U45" s="1547" t="s">
        <v>1701</v>
      </c>
      <c r="V45" s="1547"/>
      <c r="W45" s="1994"/>
    </row>
    <row r="46" s="1414" customFormat="true" ht="15" hidden="false" customHeight="false" outlineLevel="0" collapsed="false">
      <c r="A46" s="654"/>
      <c r="B46" s="1983"/>
      <c r="C46" s="1983"/>
      <c r="D46" s="1272"/>
      <c r="E46" s="1271"/>
      <c r="F46" s="1710"/>
      <c r="G46" s="1271"/>
      <c r="H46" s="1271"/>
      <c r="I46" s="1716"/>
      <c r="J46" s="1271"/>
      <c r="K46" s="1271"/>
      <c r="L46" s="1271"/>
      <c r="M46" s="1271"/>
      <c r="N46" s="1008" t="s">
        <v>1276</v>
      </c>
      <c r="O46" s="1009" t="n">
        <f aca="false">K56</f>
        <v>0</v>
      </c>
      <c r="P46" s="1285" t="n">
        <f aca="false">N56</f>
        <v>0</v>
      </c>
      <c r="Q46" s="654" t="s">
        <v>1702</v>
      </c>
      <c r="R46" s="656" t="n">
        <f aca="false">N67</f>
        <v>0</v>
      </c>
      <c r="S46" s="1996" t="n">
        <v>17.5</v>
      </c>
      <c r="T46" s="664" t="n">
        <f aca="false">S46*1.3</f>
        <v>22.75</v>
      </c>
      <c r="U46" s="1997" t="n">
        <f aca="false">R46/T46</f>
        <v>0</v>
      </c>
      <c r="V46" s="1998" t="e">
        <f aca="false">H67/U46</f>
        <v>#DIV/0!</v>
      </c>
      <c r="W46" s="1998"/>
    </row>
    <row r="47" s="1414" customFormat="true" ht="15" hidden="false" customHeight="false" outlineLevel="0" collapsed="false">
      <c r="A47" s="654"/>
      <c r="B47" s="1983"/>
      <c r="C47" s="1983"/>
      <c r="D47" s="1271"/>
      <c r="E47" s="1271"/>
      <c r="F47" s="1271"/>
      <c r="G47" s="1271"/>
      <c r="H47" s="1271"/>
      <c r="I47" s="1716"/>
      <c r="J47" s="1271"/>
      <c r="K47" s="1271"/>
      <c r="L47" s="1271"/>
      <c r="M47" s="1271"/>
      <c r="N47" s="1271"/>
      <c r="O47" s="1271"/>
      <c r="P47" s="654"/>
      <c r="Q47" s="859" t="s">
        <v>1703</v>
      </c>
      <c r="R47" s="656" t="n">
        <f aca="false">N68</f>
        <v>0</v>
      </c>
      <c r="S47" s="1996" t="n">
        <v>17.5</v>
      </c>
      <c r="T47" s="664" t="n">
        <f aca="false">S47*1.3</f>
        <v>22.75</v>
      </c>
      <c r="U47" s="1997" t="n">
        <f aca="false">R47/T47</f>
        <v>0</v>
      </c>
      <c r="V47" s="2001" t="e">
        <f aca="false">(K52+K55)/U47</f>
        <v>#DIV/0!</v>
      </c>
      <c r="W47" s="2001"/>
    </row>
    <row r="48" s="1414" customFormat="true" ht="15" hidden="false" customHeight="false" outlineLevel="0" collapsed="false">
      <c r="A48" s="16"/>
      <c r="B48" s="1983"/>
      <c r="C48" s="1983"/>
      <c r="D48" s="1271"/>
      <c r="E48" s="1271"/>
      <c r="F48" s="1271"/>
      <c r="G48" s="1271"/>
      <c r="H48" s="1271"/>
      <c r="I48" s="1716"/>
      <c r="J48" s="1271"/>
      <c r="K48" s="1271"/>
      <c r="L48" s="1271"/>
      <c r="M48" s="1271"/>
      <c r="N48" s="1271"/>
      <c r="O48" s="1271"/>
      <c r="Q48" s="785"/>
      <c r="R48" s="784"/>
      <c r="S48" s="784"/>
      <c r="T48" s="784"/>
      <c r="U48" s="2002"/>
      <c r="V48" s="2002"/>
      <c r="W48" s="2003"/>
      <c r="DD48" s="1414" t="n">
        <f aca="false">2.52/7.53</f>
        <v>0.334661354581673</v>
      </c>
    </row>
    <row r="49" s="1414"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726"/>
      <c r="U49" s="726"/>
      <c r="V49" s="726"/>
      <c r="W49" s="726"/>
      <c r="DB49" s="1414" t="n">
        <f aca="false">SUM(DE51:DE62)*(1+J56)</f>
        <v>38.861320265625</v>
      </c>
      <c r="DC49" s="427" t="s">
        <v>612</v>
      </c>
    </row>
    <row r="50" s="1414" customFormat="true" ht="42.1" hidden="false" customHeight="false" outlineLevel="0" collapsed="false">
      <c r="A50" s="1017" t="s">
        <v>1280</v>
      </c>
      <c r="B50" s="1296" t="s">
        <v>1281</v>
      </c>
      <c r="C50" s="1297"/>
      <c r="D50" s="1297"/>
      <c r="E50" s="1297"/>
      <c r="F50" s="1297"/>
      <c r="G50" s="1297"/>
      <c r="H50" s="1297"/>
      <c r="I50" s="1297"/>
      <c r="J50" s="1019" t="s">
        <v>1282</v>
      </c>
      <c r="K50" s="1020" t="str">
        <f aca="false">IF(ROUND(SUM(K51:K55),0)=W36,"Good","Missing Concrete!!!")</f>
        <v>Good</v>
      </c>
      <c r="L50" s="1020"/>
      <c r="M50" s="1297"/>
      <c r="N50" s="1297"/>
      <c r="O50" s="1298"/>
      <c r="P50" s="1299" t="s">
        <v>1284</v>
      </c>
      <c r="Q50" s="1022" t="s">
        <v>1283</v>
      </c>
      <c r="R50" s="1223"/>
      <c r="S50" s="879" t="s">
        <v>835</v>
      </c>
      <c r="T50" s="1023"/>
      <c r="U50" s="1024" t="s">
        <v>518</v>
      </c>
      <c r="V50" s="1023"/>
      <c r="W50" s="1025"/>
      <c r="DB50" s="1301" t="s">
        <v>1259</v>
      </c>
      <c r="DC50" s="1302" t="s">
        <v>1215</v>
      </c>
      <c r="DD50" s="1303" t="s">
        <v>1369</v>
      </c>
      <c r="DE50" s="1304" t="s">
        <v>1414</v>
      </c>
    </row>
    <row r="51" s="1414" customFormat="true" ht="18" hidden="false" customHeight="true" outlineLevel="0" collapsed="false">
      <c r="A51" s="2004" t="n">
        <v>1</v>
      </c>
      <c r="B51" s="1028" t="str">
        <f aca="false">IF(A51=1,Pricing!F$2,IF(A51=2,Pricing!G$2,IF(A51=3,Pricing!H$2,IF(A51=4,Pricing!I$2,IF(A51=5,Pricing!J$2,IF(A51=6,Pricing!K$2,IF(A51=7,Pricing!L$2,IF(A51=8,Pricing!M$2,IF(A51=9,Pricing!N$2,IF(A51=10,Pricing!O$2,0))))))))))</f>
        <v>3,000 PSI 5sk /Ash and Air</v>
      </c>
      <c r="C51" s="1726"/>
      <c r="D51" s="1726"/>
      <c r="E51" s="1726"/>
      <c r="F51" s="1048" t="n">
        <f aca="false">IF(A51=1,Pricing!F$3,IF(A51=2,Pricing!G$3,IF(A51=3,Pricing!H$3,IF(A51=4,Pricing!I$3,IF(A51=5,Pricing!J$3,IF(A51=6,Pricing!K$3,IF(A51=7,Pricing!L$3,IF(A51=8,Pricing!M$3,IF(A51=9,Pricing!N$3,IF(A51=10,Pricing!O$3))))))))))</f>
        <v>134</v>
      </c>
      <c r="G51" s="16" t="s">
        <v>1285</v>
      </c>
      <c r="H51" s="2005"/>
      <c r="I51" s="2005"/>
      <c r="J51" s="1334" t="n">
        <v>0.06</v>
      </c>
      <c r="K51" s="1051" t="n">
        <f aca="false">IF(A51=1,AR$36,IF(A51=2,AS$36,IF(A51=3,AT$36,IF(A51=4,AU$36,IF(A51=5,AV$36,IF(A51=6,AW$36,IF(A51=7,AX$36,IF(A51=8,AY$36,IF(A51=9,AZ$36,IF(A51=10,BA$36))))))))))+IF(A51=1,AH$36,IF(A51=2,AI$36,IF(A51=3,AJ$36,IF(A51=4,AK$36,IF(A51=5,AL$36,IF(A51=6,AM$36,IF(A51=7,AN$36,IF(A51=8,AOJ$36,IF(A51=9,AP$36,IF(A51=10,AQ$36))))))))))</f>
        <v>0</v>
      </c>
      <c r="L51" s="1051"/>
      <c r="M51" s="15" t="s">
        <v>1286</v>
      </c>
      <c r="N51" s="1318" t="n">
        <f aca="false">K51*F51*(IF(T$39="N",1+V$39,1))</f>
        <v>0</v>
      </c>
      <c r="O51" s="1318"/>
      <c r="P51" s="1306"/>
      <c r="Q51" s="920" t="s">
        <v>1415</v>
      </c>
      <c r="R51" s="78"/>
      <c r="S51" s="1307" t="n">
        <v>0.4</v>
      </c>
      <c r="T51" s="78"/>
      <c r="U51" s="1308" t="n">
        <f aca="false">BJ71</f>
        <v>0</v>
      </c>
      <c r="V51" s="78"/>
      <c r="W51" s="1309"/>
      <c r="DB51" s="149" t="n">
        <v>20</v>
      </c>
      <c r="DC51" s="150" t="n">
        <v>4</v>
      </c>
      <c r="DD51" s="151" t="n">
        <v>1</v>
      </c>
      <c r="DE51" s="152" t="n">
        <f aca="false">DB51*(DC51*DC51*0.04180884375)*DD51</f>
        <v>13.37883</v>
      </c>
    </row>
    <row r="52" s="1414" customFormat="true" ht="18" hidden="false" customHeight="true" outlineLevel="0" collapsed="false">
      <c r="A52" s="2006" t="n">
        <v>2</v>
      </c>
      <c r="B52" s="599" t="str">
        <f aca="false">IF(A52=1,Pricing!F$2,IF(A52=2,Pricing!G$2,IF(A52=3,Pricing!H$2,IF(A52=4,Pricing!I$2,IF(A52=5,Pricing!J$2,IF(A52=6,Pricing!K$2,IF(A52=7,Pricing!L$2,IF(A52=8,Pricing!M$2,IF(A52=9,Pricing!N$2,IF(A52=10,Pricing!O$2,0))))))))))</f>
        <v>3,000 PSI / Ash no Air</v>
      </c>
      <c r="C52" s="16"/>
      <c r="D52" s="16"/>
      <c r="E52" s="16"/>
      <c r="F52" s="1048" t="n">
        <f aca="false">IF(A52=1,Pricing!F$3,IF(A52=2,Pricing!G$3,IF(A52=3,Pricing!H$3,IF(A52=4,Pricing!I$3,IF(A52=5,Pricing!J$3,IF(A52=6,Pricing!K$3,IF(A52=7,Pricing!L$3,IF(A52=8,Pricing!M$3,IF(A52=9,Pricing!N$3,IF(A52=10,Pricing!O$3))))))))))</f>
        <v>145</v>
      </c>
      <c r="G52" s="16" t="s">
        <v>1285</v>
      </c>
      <c r="H52" s="2005"/>
      <c r="I52" s="2005"/>
      <c r="J52" s="1334"/>
      <c r="K52" s="1310" t="n">
        <f aca="false">IF(A52=1,AR$36,IF(A52=2,AS$36,IF(A52=3,AT$36,IF(A52=4,AU$36,IF(A52=5,AV$36,IF(A52=6,AW$36))))))+IF(A52=1,AH$36,IF(A52=2,AI$36,IF(A52=3,AJ$36,IF(A52=4,AK$36,IF(A52=5,AL$36,IF(A52=6,AM$36))))))</f>
        <v>0</v>
      </c>
      <c r="L52" s="1310"/>
      <c r="M52" s="15" t="s">
        <v>1286</v>
      </c>
      <c r="N52" s="1305" t="n">
        <f aca="false">K52*F52*(IF(T$39="N",1+V$39,1))</f>
        <v>0</v>
      </c>
      <c r="O52" s="1305"/>
      <c r="P52" s="1306" t="s">
        <v>1069</v>
      </c>
      <c r="Q52" s="920" t="s">
        <v>526</v>
      </c>
      <c r="R52" s="78"/>
      <c r="S52" s="1311" t="n">
        <f aca="false">H67*3.6*S51</f>
        <v>0</v>
      </c>
      <c r="T52" s="1312" t="s">
        <v>1704</v>
      </c>
      <c r="U52" s="1308" t="n">
        <f aca="false">Pricing!Q4</f>
        <v>0.859375</v>
      </c>
      <c r="V52" s="78" t="s">
        <v>527</v>
      </c>
      <c r="W52" s="1309" t="n">
        <f aca="false">IF(T$39="Y",S52*U52,S52*U52*(1+V$39))</f>
        <v>0</v>
      </c>
      <c r="DB52" s="149" t="n">
        <v>3</v>
      </c>
      <c r="DC52" s="150" t="n">
        <v>5</v>
      </c>
      <c r="DD52" s="151" t="n">
        <v>3</v>
      </c>
      <c r="DE52" s="152" t="n">
        <f aca="false">DB52*(DC52*DC52*0.04180884375)*DD52</f>
        <v>9.40698984375</v>
      </c>
    </row>
    <row r="53" s="1414" customFormat="true" ht="18" hidden="false" customHeight="true" outlineLevel="0" collapsed="false">
      <c r="A53" s="2007" t="n">
        <v>3</v>
      </c>
      <c r="B53" s="599" t="str">
        <f aca="false">IF(A53=1,Pricing!F$2,IF(A53=2,Pricing!G$2,IF(A53=3,Pricing!H$2,IF(A53=4,Pricing!I$2,IF(A53=5,Pricing!J$2,IF(A53=6,Pricing!K$2,IF(A53=7,Pricing!L$2,IF(A53=8,Pricing!M$2,IF(A53=9,Pricing!N$2,IF(A53=10,Pricing!O$2,0))))))))))</f>
        <v>3,500 PSI 5.5sk /Ash and Air</v>
      </c>
      <c r="C53" s="16"/>
      <c r="D53" s="16"/>
      <c r="E53" s="16"/>
      <c r="F53" s="1048" t="n">
        <f aca="false">IF(A53=1,Pricing!F$3,IF(A53=2,Pricing!G$3,IF(A53=3,Pricing!H$3,IF(A53=4,Pricing!I$3,IF(A53=5,Pricing!J$3,IF(A53=6,Pricing!K$3,IF(A53=7,Pricing!L$3,IF(A53=8,Pricing!M$3,IF(A53=9,Pricing!N$3,IF(A53=10,Pricing!O$3))))))))))</f>
        <v>140</v>
      </c>
      <c r="G53" s="16" t="s">
        <v>1285</v>
      </c>
      <c r="H53" s="2005"/>
      <c r="I53" s="2005"/>
      <c r="J53" s="1334"/>
      <c r="K53" s="1310" t="n">
        <f aca="false">IF(A53=1,AR$36,IF(A53=2,AS$36,IF(A53=3,AT$36,IF(A53=4,AU$36,IF(A53=5,AV$36,IF(A53=6,AW$36))))))+IF(A53=1,AH$36,IF(A53=2,AI$36,IF(A53=3,AJ$36,IF(A53=4,AK$36,IF(A53=5,AL$36,IF(A53=6,AM$36))))))</f>
        <v>0</v>
      </c>
      <c r="L53" s="1310"/>
      <c r="M53" s="15" t="s">
        <v>1286</v>
      </c>
      <c r="N53" s="1305" t="n">
        <f aca="false">K53*F53*(IF(T$39="N",1+V$39,1))</f>
        <v>0</v>
      </c>
      <c r="O53" s="1305"/>
      <c r="P53" s="1306"/>
      <c r="Q53" s="920"/>
      <c r="R53" s="78"/>
      <c r="S53" s="1311"/>
      <c r="T53" s="1312"/>
      <c r="U53" s="1308"/>
      <c r="V53" s="78"/>
      <c r="W53" s="1309" t="n">
        <f aca="false">IF(T$39="Y",S53*U53,S53*U53*(1+V$39))</f>
        <v>0</v>
      </c>
      <c r="DB53" s="149"/>
      <c r="DC53" s="150"/>
      <c r="DD53" s="151"/>
      <c r="DE53" s="152"/>
    </row>
    <row r="54" s="1414" customFormat="true" ht="18" hidden="false" customHeight="true" outlineLevel="0" collapsed="false">
      <c r="A54" s="2007" t="n">
        <v>4</v>
      </c>
      <c r="B54" s="599" t="str">
        <f aca="false">IF(A54=1,Pricing!F$2,IF(A54=2,Pricing!G$2,IF(A54=3,Pricing!H$2,IF(A54=4,Pricing!I$2,IF(A54=5,Pricing!J$2,IF(A54=6,Pricing!K$2,IF(A54=7,Pricing!L$2,IF(A54=8,Pricing!M$2,IF(A54=9,Pricing!N$2,IF(A54=10,Pricing!O$2,0))))))))))</f>
        <v>3,500 PSI /Ash No Air</v>
      </c>
      <c r="C54" s="16"/>
      <c r="D54" s="16"/>
      <c r="E54" s="16"/>
      <c r="F54" s="1048" t="n">
        <f aca="false">IF(A54=1,Pricing!F$3,IF(A54=2,Pricing!G$3,IF(A54=3,Pricing!H$3,IF(A54=4,Pricing!I$3,IF(A54=5,Pricing!J$3,IF(A54=6,Pricing!K$3,IF(A54=7,Pricing!L$3,IF(A54=8,Pricing!M$3,IF(A54=9,Pricing!N$3,IF(A54=10,Pricing!O$3))))))))))</f>
        <v>140</v>
      </c>
      <c r="G54" s="16" t="s">
        <v>1285</v>
      </c>
      <c r="H54" s="2005"/>
      <c r="I54" s="2005"/>
      <c r="J54" s="1334"/>
      <c r="K54" s="1310" t="n">
        <f aca="false">IF(A54=1,AR$36,IF(A54=2,AS$36,IF(A54=3,AT$36,IF(A54=4,AU$36,IF(A54=5,AV$36,IF(A54=6,AW$36))))))+IF(A54=1,AH$36,IF(A54=2,AI$36,IF(A54=3,AJ$36,IF(A54=4,AK$36,IF(A54=5,AL$36,IF(A54=6,AM$36))))))</f>
        <v>0</v>
      </c>
      <c r="L54" s="1310"/>
      <c r="M54" s="15" t="s">
        <v>1286</v>
      </c>
      <c r="N54" s="1305" t="n">
        <f aca="false">K54*F54*(IF(T$39="N",1+V$39,1))</f>
        <v>0</v>
      </c>
      <c r="O54" s="1305"/>
      <c r="P54" s="1306"/>
      <c r="Q54" s="920"/>
      <c r="R54" s="78"/>
      <c r="S54" s="1311"/>
      <c r="T54" s="1312"/>
      <c r="U54" s="1308"/>
      <c r="V54" s="78"/>
      <c r="W54" s="1309" t="n">
        <f aca="false">IF(T$39="Y",S54*U54,S54*U54*(1+V$39))</f>
        <v>0</v>
      </c>
      <c r="DB54" s="149"/>
      <c r="DC54" s="150"/>
      <c r="DD54" s="151"/>
      <c r="DE54" s="152"/>
    </row>
    <row r="55" s="1414" customFormat="true" ht="18" hidden="false" customHeight="true" outlineLevel="0" collapsed="false">
      <c r="A55" s="2008" t="n">
        <v>5</v>
      </c>
      <c r="B55" s="1044" t="str">
        <f aca="false">IF(A55=1,Pricing!F$2,IF(A55=2,Pricing!G$2,IF(A55=3,Pricing!H$2,IF(A55=4,Pricing!I$2,IF(A55=5,Pricing!J$2,IF(A55=6,Pricing!K$2,IF(A55=7,Pricing!L$2,IF(A55=8,Pricing!M$2,IF(A55=9,Pricing!N$2,IF(A55=10,Pricing!O$2,0))))))))))</f>
        <v>4,000 PSI /Ash and Air</v>
      </c>
      <c r="C55" s="397"/>
      <c r="D55" s="397"/>
      <c r="E55" s="397"/>
      <c r="F55" s="1315" t="n">
        <f aca="false">IF(A55=1,Pricing!F$3,IF(A55=2,Pricing!G$3,IF(A55=3,Pricing!H$3,IF(A55=4,Pricing!I$3,IF(A55=5,Pricing!J$3,IF(A55=6,Pricing!K$3,IF(A55=7,Pricing!L$3,IF(A55=8,Pricing!M$3,IF(A55=9,Pricing!N$3,IF(A55=10,Pricing!O$3))))))))))</f>
        <v>145</v>
      </c>
      <c r="G55" s="397" t="s">
        <v>1285</v>
      </c>
      <c r="H55" s="2005"/>
      <c r="I55" s="2005"/>
      <c r="J55" s="1334"/>
      <c r="K55" s="1316" t="n">
        <f aca="false">IF(A55=1,AR$36,IF(A55=2,AS$36,IF(A55=3,AT$36,IF(A55=4,AU$36,IF(A55=5,AV$36,IF(A55=6,AW$36))))))+IF(A55=1,AH$36,IF(A55=2,AI$36,IF(A55=3,AJ$36,IF(A55=4,AK$36,IF(A55=5,AL$36,IF(A55=6,AM$36))))))</f>
        <v>0</v>
      </c>
      <c r="L55" s="1316"/>
      <c r="M55" s="1046" t="s">
        <v>1286</v>
      </c>
      <c r="N55" s="1332" t="n">
        <f aca="false">K55*F55*(IF(T$39="N",1+V$39,1))</f>
        <v>0</v>
      </c>
      <c r="O55" s="1332"/>
      <c r="P55" s="1306" t="s">
        <v>1069</v>
      </c>
      <c r="Q55" s="920" t="s">
        <v>534</v>
      </c>
      <c r="R55" s="78"/>
      <c r="S55" s="1311" t="n">
        <f aca="false">S52*0.2</f>
        <v>0</v>
      </c>
      <c r="T55" s="1312" t="s">
        <v>1704</v>
      </c>
      <c r="U55" s="1308" t="n">
        <f aca="false">Pricing!Q5</f>
        <v>1.4453125</v>
      </c>
      <c r="V55" s="78" t="s">
        <v>527</v>
      </c>
      <c r="W55" s="1309" t="n">
        <f aca="false">IF(T$39="Y",S55*U55,S55*U55*(1+V$39))</f>
        <v>0</v>
      </c>
      <c r="DB55" s="149" t="n">
        <v>6</v>
      </c>
      <c r="DC55" s="150" t="n">
        <v>5</v>
      </c>
      <c r="DD55" s="151" t="n">
        <v>2</v>
      </c>
      <c r="DE55" s="152" t="n">
        <f aca="false">DB55*(DC55*DC55*0.04180884375)*DD55</f>
        <v>12.542653125</v>
      </c>
    </row>
    <row r="56" s="1414" customFormat="true" ht="18" hidden="false" customHeight="true" outlineLevel="0" collapsed="false">
      <c r="A56" s="2009" t="str">
        <f aca="false">Summary!V60</f>
        <v>Import</v>
      </c>
      <c r="B56" s="1041" t="s">
        <v>1287</v>
      </c>
      <c r="C56" s="16"/>
      <c r="D56" s="16"/>
      <c r="E56" s="16"/>
      <c r="F56" s="1048" t="n">
        <f aca="false">Pricing!D23</f>
        <v>0.55</v>
      </c>
      <c r="G56" s="16" t="s">
        <v>555</v>
      </c>
      <c r="H56" s="1867"/>
      <c r="I56" s="1867"/>
      <c r="J56" s="1050" t="n">
        <v>0.1</v>
      </c>
      <c r="K56" s="1051" t="n">
        <f aca="false">U36</f>
        <v>0</v>
      </c>
      <c r="L56" s="1051"/>
      <c r="M56" s="16" t="s">
        <v>1288</v>
      </c>
      <c r="N56" s="1318" t="n">
        <f aca="false">F56*K56*(IF(T39="N",1+V39,1))</f>
        <v>0</v>
      </c>
      <c r="O56" s="1318"/>
      <c r="P56" s="1306" t="s">
        <v>1069</v>
      </c>
      <c r="Q56" s="920" t="s">
        <v>536</v>
      </c>
      <c r="R56" s="78"/>
      <c r="S56" s="1311" t="n">
        <v>0</v>
      </c>
      <c r="T56" s="1312" t="s">
        <v>1704</v>
      </c>
      <c r="U56" s="1308" t="n">
        <f aca="false">Pricing!Q6</f>
        <v>1.171875</v>
      </c>
      <c r="V56" s="78" t="s">
        <v>527</v>
      </c>
      <c r="W56" s="1309" t="n">
        <f aca="false">IF(T$39="Y",S56*U56,S56*U56*(1+V$39))</f>
        <v>0</v>
      </c>
      <c r="DB56" s="149"/>
      <c r="DC56" s="150"/>
      <c r="DD56" s="151"/>
      <c r="DE56" s="152" t="n">
        <f aca="false">DB56*(DC56*DC56*0.04180884375)*DD56</f>
        <v>0</v>
      </c>
    </row>
    <row r="57" s="1414" customFormat="true" ht="18" hidden="false" customHeight="true" outlineLevel="0" collapsed="false">
      <c r="A57" s="599"/>
      <c r="B57" s="1041"/>
      <c r="C57" s="16"/>
      <c r="D57" s="16"/>
      <c r="E57" s="16"/>
      <c r="F57" s="1319" t="n">
        <f aca="false">Pricing!F6</f>
        <v>0</v>
      </c>
      <c r="G57" s="16" t="s">
        <v>600</v>
      </c>
      <c r="H57" s="895"/>
      <c r="I57" s="895"/>
      <c r="J57" s="1321" t="n">
        <v>0.05</v>
      </c>
      <c r="K57" s="1310"/>
      <c r="L57" s="1310"/>
      <c r="M57" s="16" t="s">
        <v>1418</v>
      </c>
      <c r="N57" s="1305" t="n">
        <f aca="false">K57*F57*(IF(T39="N",1+V39,1))*(J57+1)</f>
        <v>0</v>
      </c>
      <c r="O57" s="1305"/>
      <c r="P57" s="1306" t="s">
        <v>1069</v>
      </c>
      <c r="Q57" s="920" t="s">
        <v>538</v>
      </c>
      <c r="R57" s="78"/>
      <c r="S57" s="1311" t="n">
        <f aca="false">E36*2*S51</f>
        <v>0</v>
      </c>
      <c r="T57" s="1312" t="s">
        <v>1704</v>
      </c>
      <c r="U57" s="1308" t="n">
        <f aca="false">Pricing!Q7</f>
        <v>1.09375</v>
      </c>
      <c r="V57" s="78" t="s">
        <v>527</v>
      </c>
      <c r="W57" s="1309" t="n">
        <f aca="false">IF(T$39="Y",S57*U57,S57*U57*(1+V$39))</f>
        <v>0</v>
      </c>
      <c r="DB57" s="1322"/>
      <c r="DC57" s="1323"/>
      <c r="DD57" s="1324"/>
      <c r="DE57" s="1325" t="n">
        <f aca="false">DB57*(DC57*DC57*0.04180884375)*DD57</f>
        <v>0</v>
      </c>
    </row>
    <row r="58" s="1414" customFormat="true" ht="18" hidden="false" customHeight="true" outlineLevel="0" collapsed="false">
      <c r="A58" s="599"/>
      <c r="B58" s="1044" t="s">
        <v>1419</v>
      </c>
      <c r="C58" s="397"/>
      <c r="D58" s="397"/>
      <c r="E58" s="397"/>
      <c r="F58" s="1315" t="n">
        <v>0.35</v>
      </c>
      <c r="G58" s="397" t="s">
        <v>600</v>
      </c>
      <c r="H58" s="1358" t="s">
        <v>1291</v>
      </c>
      <c r="I58" s="1054" t="n">
        <v>0</v>
      </c>
      <c r="J58" s="1054"/>
      <c r="K58" s="1316"/>
      <c r="L58" s="1316"/>
      <c r="M58" s="397" t="s">
        <v>1418</v>
      </c>
      <c r="N58" s="1326" t="n">
        <f aca="false">IF(L35="y",IF(I58=0,K58*F58,I58),0)*(IF(S$65="N",1+U$65,1))</f>
        <v>0</v>
      </c>
      <c r="O58" s="1326"/>
      <c r="P58" s="1306" t="s">
        <v>1069</v>
      </c>
      <c r="Q58" s="920" t="s">
        <v>540</v>
      </c>
      <c r="R58" s="78"/>
      <c r="S58" s="1311" t="n">
        <f aca="false">ROUNDUP(H67*2/32*S51*1.1,0)</f>
        <v>0</v>
      </c>
      <c r="T58" s="78" t="s">
        <v>1420</v>
      </c>
      <c r="U58" s="1308" t="n">
        <f aca="false">Pricing!Q8</f>
        <v>74.75</v>
      </c>
      <c r="V58" s="78" t="s">
        <v>541</v>
      </c>
      <c r="W58" s="1309" t="n">
        <f aca="false">IF(T$39="Y",S58*U58,S58*U58*(1+V$39))</f>
        <v>0</v>
      </c>
      <c r="DB58" s="149"/>
      <c r="DC58" s="150"/>
      <c r="DD58" s="151"/>
      <c r="DE58" s="152" t="n">
        <f aca="false">DB58*(DC58*DC58*0.04180884375)*DD58</f>
        <v>0</v>
      </c>
    </row>
    <row r="59" s="1414" customFormat="true" ht="18" hidden="false" customHeight="true" outlineLevel="0" collapsed="false">
      <c r="A59" s="1205"/>
      <c r="B59" s="15" t="s">
        <v>1421</v>
      </c>
      <c r="C59" s="16"/>
      <c r="D59" s="16"/>
      <c r="E59" s="16"/>
      <c r="F59" s="1328" t="n">
        <v>20</v>
      </c>
      <c r="G59" s="16" t="s">
        <v>1459</v>
      </c>
      <c r="H59" s="1329"/>
      <c r="I59" s="1329"/>
      <c r="J59" s="1334" t="n">
        <v>0.05</v>
      </c>
      <c r="K59" s="1051" t="n">
        <f aca="false">SUM(BH36)</f>
        <v>0</v>
      </c>
      <c r="L59" s="1051"/>
      <c r="M59" s="16" t="s">
        <v>1286</v>
      </c>
      <c r="N59" s="1318" t="n">
        <f aca="false">K59*F59*IF(Q29="N",1+T29,1)</f>
        <v>0</v>
      </c>
      <c r="O59" s="1318"/>
      <c r="P59" s="1306" t="s">
        <v>1069</v>
      </c>
      <c r="Q59" s="920" t="s">
        <v>1298</v>
      </c>
      <c r="R59" s="78"/>
      <c r="S59" s="1311" t="n">
        <f aca="false">ROUNDUP(E36*2/25,0)*S51</f>
        <v>0</v>
      </c>
      <c r="T59" s="78" t="s">
        <v>1705</v>
      </c>
      <c r="U59" s="1308" t="n">
        <f aca="false">Pricing!Q15</f>
        <v>24</v>
      </c>
      <c r="V59" s="78" t="s">
        <v>1300</v>
      </c>
      <c r="W59" s="1309" t="n">
        <f aca="false">IF(T$39="Y",S59*U59,S59*U59*(1+V$39))</f>
        <v>0</v>
      </c>
      <c r="DB59" s="149"/>
      <c r="DC59" s="150"/>
      <c r="DD59" s="151"/>
      <c r="DE59" s="152" t="n">
        <f aca="false">DB59*(DC59*DC59*0.04180884375)*DD59</f>
        <v>0</v>
      </c>
    </row>
    <row r="60" s="1414" customFormat="true" ht="18" hidden="false" customHeight="true" outlineLevel="0" collapsed="false">
      <c r="A60" s="599"/>
      <c r="B60" s="1081" t="s">
        <v>1424</v>
      </c>
      <c r="C60" s="397"/>
      <c r="D60" s="1330"/>
      <c r="E60" s="397"/>
      <c r="F60" s="1331" t="n">
        <v>38</v>
      </c>
      <c r="G60" s="397" t="s">
        <v>1285</v>
      </c>
      <c r="H60" s="1329"/>
      <c r="I60" s="1329"/>
      <c r="J60" s="1334"/>
      <c r="K60" s="1316"/>
      <c r="L60" s="1316"/>
      <c r="M60" s="397" t="s">
        <v>1418</v>
      </c>
      <c r="N60" s="1332" t="n">
        <f aca="false">K60*F60</f>
        <v>0</v>
      </c>
      <c r="O60" s="1332"/>
      <c r="P60" s="1306" t="s">
        <v>1069</v>
      </c>
      <c r="Q60" s="920" t="s">
        <v>561</v>
      </c>
      <c r="R60" s="78"/>
      <c r="S60" s="1311" t="n">
        <f aca="false">ROUNDUP(H67/1800,0)</f>
        <v>0</v>
      </c>
      <c r="T60" s="78" t="s">
        <v>1303</v>
      </c>
      <c r="U60" s="1308" t="n">
        <f aca="false">Pricing!Q16</f>
        <v>68.2</v>
      </c>
      <c r="V60" s="78" t="s">
        <v>562</v>
      </c>
      <c r="W60" s="1309" t="n">
        <f aca="false">IF(T$39="Y",S60*U60,S60*U60*(1+V$39))</f>
        <v>0</v>
      </c>
      <c r="DB60" s="149"/>
      <c r="DC60" s="150"/>
      <c r="DD60" s="151"/>
      <c r="DE60" s="152" t="n">
        <f aca="false">DB60*(DC60*DC60*0.04180884375)*DD60</f>
        <v>0</v>
      </c>
    </row>
    <row r="61" s="1414" customFormat="true" ht="18" hidden="false" customHeight="true" outlineLevel="0" collapsed="false">
      <c r="A61" s="599"/>
      <c r="B61" s="1041"/>
      <c r="C61" s="16"/>
      <c r="D61" s="833"/>
      <c r="E61" s="16"/>
      <c r="F61" s="2010" t="n">
        <v>0.17</v>
      </c>
      <c r="G61" s="16" t="s">
        <v>1426</v>
      </c>
      <c r="H61" s="1329"/>
      <c r="I61" s="1329"/>
      <c r="J61" s="1334" t="n">
        <v>0.1</v>
      </c>
      <c r="K61" s="1051"/>
      <c r="L61" s="1051"/>
      <c r="M61" s="16" t="s">
        <v>1418</v>
      </c>
      <c r="N61" s="2011" t="n">
        <f aca="false">F61*K61</f>
        <v>0</v>
      </c>
      <c r="O61" s="2011"/>
      <c r="P61" s="1306" t="s">
        <v>1069</v>
      </c>
      <c r="Q61" s="920" t="s">
        <v>563</v>
      </c>
      <c r="R61" s="78"/>
      <c r="S61" s="1311" t="n">
        <f aca="false">ROUNDUP(H67/1000,0)</f>
        <v>0</v>
      </c>
      <c r="T61" s="78" t="s">
        <v>1303</v>
      </c>
      <c r="U61" s="1308" t="n">
        <f aca="false">Pricing!Q17</f>
        <v>68.2</v>
      </c>
      <c r="V61" s="78" t="s">
        <v>562</v>
      </c>
      <c r="W61" s="1309" t="n">
        <f aca="false">IF(T$39="Y",S61*U61,S61*U61*(1+V$39))</f>
        <v>0</v>
      </c>
      <c r="DB61" s="1335"/>
      <c r="DC61" s="150"/>
      <c r="DD61" s="151"/>
      <c r="DE61" s="152" t="n">
        <f aca="false">DB61*(DC61*DC61*0.04180884375)*DD61</f>
        <v>0</v>
      </c>
    </row>
    <row r="62" s="1414" customFormat="true" ht="18" hidden="false" customHeight="true" outlineLevel="0" collapsed="false">
      <c r="A62" s="1041" t="s">
        <v>1706</v>
      </c>
      <c r="B62" s="15"/>
      <c r="C62" s="15"/>
      <c r="D62" s="833" t="s">
        <v>1428</v>
      </c>
      <c r="E62" s="1336" t="s">
        <v>1029</v>
      </c>
      <c r="F62" s="1337" t="n">
        <v>1.25</v>
      </c>
      <c r="G62" s="16" t="s">
        <v>600</v>
      </c>
      <c r="H62" s="1329"/>
      <c r="I62" s="1329"/>
      <c r="J62" s="1334"/>
      <c r="K62" s="1310" t="n">
        <f aca="false">IF(E62="Y",E36,0)*(1+J60)</f>
        <v>0</v>
      </c>
      <c r="L62" s="1310"/>
      <c r="M62" s="16" t="s">
        <v>1259</v>
      </c>
      <c r="N62" s="1309" t="n">
        <f aca="false">K62*F62</f>
        <v>0</v>
      </c>
      <c r="O62" s="1309"/>
      <c r="P62" s="1306" t="s">
        <v>1069</v>
      </c>
      <c r="Q62" s="920" t="s">
        <v>564</v>
      </c>
      <c r="R62" s="78"/>
      <c r="S62" s="1311" t="n">
        <f aca="false">S61</f>
        <v>0</v>
      </c>
      <c r="T62" s="78" t="s">
        <v>1303</v>
      </c>
      <c r="U62" s="1308" t="n">
        <f aca="false">Pricing!Q18</f>
        <v>68.2</v>
      </c>
      <c r="V62" s="78" t="s">
        <v>562</v>
      </c>
      <c r="W62" s="1309" t="n">
        <f aca="false">IF(T$39="Y",S62*U62,S62*U62*(1+V$39))</f>
        <v>0</v>
      </c>
      <c r="DB62" s="1322"/>
      <c r="DC62" s="1323"/>
      <c r="DD62" s="1324"/>
      <c r="DE62" s="1325" t="n">
        <f aca="false">DB62*(DC62*DC62*0.04180884375)*DD62</f>
        <v>0</v>
      </c>
    </row>
    <row r="63" s="1414" customFormat="true" ht="18" hidden="false" customHeight="true" outlineLevel="0" collapsed="false">
      <c r="A63" s="1081" t="s">
        <v>1707</v>
      </c>
      <c r="B63" s="1046"/>
      <c r="C63" s="1046"/>
      <c r="D63" s="1330" t="s">
        <v>1428</v>
      </c>
      <c r="E63" s="1338" t="s">
        <v>1029</v>
      </c>
      <c r="F63" s="1339" t="n">
        <v>1.8</v>
      </c>
      <c r="G63" s="397" t="s">
        <v>1430</v>
      </c>
      <c r="H63" s="1329"/>
      <c r="I63" s="1329"/>
      <c r="J63" s="1334"/>
      <c r="K63" s="1316" t="n">
        <f aca="false">IF(E63="Y",E36*2,0)*(1+J61)</f>
        <v>0</v>
      </c>
      <c r="L63" s="1316"/>
      <c r="M63" s="397" t="s">
        <v>1259</v>
      </c>
      <c r="N63" s="1326" t="n">
        <f aca="false">K63*F63</f>
        <v>0</v>
      </c>
      <c r="O63" s="1326"/>
      <c r="P63" s="1306" t="s">
        <v>1069</v>
      </c>
      <c r="Q63" s="920" t="s">
        <v>1310</v>
      </c>
      <c r="R63" s="78"/>
      <c r="S63" s="1311" t="n">
        <f aca="false">AL23*12/48/50</f>
        <v>0</v>
      </c>
      <c r="T63" s="78" t="s">
        <v>1303</v>
      </c>
      <c r="U63" s="1308" t="n">
        <f aca="false">Pricing!Q34</f>
        <v>45.24</v>
      </c>
      <c r="V63" s="78" t="s">
        <v>562</v>
      </c>
      <c r="W63" s="1309" t="n">
        <f aca="false">IF(T$39="Y",S63*U63,S63*U63*(1+V$39))</f>
        <v>0</v>
      </c>
    </row>
    <row r="64" s="1414" customFormat="true" ht="18" hidden="false" customHeight="true" outlineLevel="0" collapsed="false">
      <c r="A64" s="602"/>
      <c r="B64" s="602" t="s">
        <v>1431</v>
      </c>
      <c r="C64" s="1058"/>
      <c r="D64" s="1058"/>
      <c r="E64" s="1058"/>
      <c r="F64" s="2012" t="n">
        <v>3.75</v>
      </c>
      <c r="G64" s="1058" t="s">
        <v>1432</v>
      </c>
      <c r="H64" s="1341" t="s">
        <v>1708</v>
      </c>
      <c r="I64" s="1341"/>
      <c r="J64" s="1060"/>
      <c r="K64" s="1342" t="n">
        <f aca="false">H67</f>
        <v>0</v>
      </c>
      <c r="L64" s="2013"/>
      <c r="M64" s="1058" t="s">
        <v>1418</v>
      </c>
      <c r="N64" s="1343" t="n">
        <f aca="false">F64*J64*K64</f>
        <v>0</v>
      </c>
      <c r="O64" s="1343"/>
      <c r="P64" s="1306" t="s">
        <v>1069</v>
      </c>
      <c r="Q64" s="920" t="s">
        <v>571</v>
      </c>
      <c r="R64" s="78"/>
      <c r="S64" s="1311" t="n">
        <f aca="false">BN51+AD122</f>
        <v>0</v>
      </c>
      <c r="T64" s="1312" t="s">
        <v>1704</v>
      </c>
      <c r="U64" s="1308" t="n">
        <f aca="false">Pricing!Q19</f>
        <v>0.95</v>
      </c>
      <c r="V64" s="78" t="s">
        <v>527</v>
      </c>
      <c r="W64" s="1309" t="n">
        <f aca="false">IF(T$39="Y",S64*U64,S64*U64*(1+V$39))</f>
        <v>0</v>
      </c>
    </row>
    <row r="65" s="1414" customFormat="true" ht="18" hidden="false" customHeight="true" outlineLevel="0" collapsed="false">
      <c r="A65" s="1344" t="s">
        <v>1434</v>
      </c>
      <c r="B65" s="1345"/>
      <c r="C65" s="1345" t="s">
        <v>1296</v>
      </c>
      <c r="D65" s="1345"/>
      <c r="E65" s="1345"/>
      <c r="F65" s="2014"/>
      <c r="G65" s="1345"/>
      <c r="H65" s="1345"/>
      <c r="I65" s="1345"/>
      <c r="J65" s="1345"/>
      <c r="K65" s="1345" t="s">
        <v>973</v>
      </c>
      <c r="L65" s="1345"/>
      <c r="M65" s="1345" t="s">
        <v>1297</v>
      </c>
      <c r="N65" s="2015"/>
      <c r="O65" s="1203"/>
      <c r="P65" s="1306" t="s">
        <v>1069</v>
      </c>
      <c r="Q65" s="920" t="s">
        <v>576</v>
      </c>
      <c r="R65" s="78"/>
      <c r="S65" s="1311" t="n">
        <f aca="false">E36*2</f>
        <v>0</v>
      </c>
      <c r="T65" s="1312" t="s">
        <v>1704</v>
      </c>
      <c r="U65" s="1308" t="n">
        <f aca="false">Pricing!Q20</f>
        <v>0.25</v>
      </c>
      <c r="V65" s="78" t="s">
        <v>527</v>
      </c>
      <c r="W65" s="1309" t="n">
        <f aca="false">IF(T$39="Y",S65*U65,S65*U65*(1+V$39))</f>
        <v>0</v>
      </c>
    </row>
    <row r="66" s="1414" customFormat="true" ht="18" hidden="false" customHeight="true" outlineLevel="0" collapsed="false">
      <c r="A66" s="1794" t="s">
        <v>1709</v>
      </c>
      <c r="B66" s="1068"/>
      <c r="C66" s="1066" t="s">
        <v>1306</v>
      </c>
      <c r="D66" s="1067" t="n">
        <v>8</v>
      </c>
      <c r="E66" s="1067"/>
      <c r="F66" s="2016" t="s">
        <v>1618</v>
      </c>
      <c r="G66" s="1068"/>
      <c r="H66" s="1350" t="n">
        <f aca="false">BG36</f>
        <v>0</v>
      </c>
      <c r="I66" s="1350"/>
      <c r="J66" s="1068" t="s">
        <v>1418</v>
      </c>
      <c r="K66" s="1770" t="n">
        <f aca="false">IF(C66="N",D66*H66,0)</f>
        <v>0</v>
      </c>
      <c r="L66" s="1770"/>
      <c r="M66" s="175"/>
      <c r="N66" s="1369" t="n">
        <f aca="false">IF(C66="y",D66*H66,0)</f>
        <v>0</v>
      </c>
      <c r="O66" s="1369"/>
      <c r="P66" s="1306" t="s">
        <v>1069</v>
      </c>
      <c r="Q66" s="920" t="s">
        <v>583</v>
      </c>
      <c r="R66" s="78"/>
      <c r="S66" s="1311" t="n">
        <f aca="false">H67/2.25/50</f>
        <v>0</v>
      </c>
      <c r="T66" s="78" t="s">
        <v>584</v>
      </c>
      <c r="U66" s="1308" t="n">
        <f aca="false">Pricing!Q21</f>
        <v>45</v>
      </c>
      <c r="V66" s="78" t="s">
        <v>562</v>
      </c>
      <c r="W66" s="1309" t="n">
        <f aca="false">IF(T$39="Y",S66*U66,S66*U66*(1+V$39))</f>
        <v>0</v>
      </c>
    </row>
    <row r="67" s="1414" customFormat="true" ht="18" hidden="false" customHeight="true" outlineLevel="0" collapsed="false">
      <c r="A67" s="507" t="s">
        <v>1437</v>
      </c>
      <c r="B67" s="405"/>
      <c r="C67" s="1352" t="s">
        <v>1306</v>
      </c>
      <c r="D67" s="1075" t="n">
        <v>3.5</v>
      </c>
      <c r="E67" s="1075"/>
      <c r="F67" s="78" t="s">
        <v>1618</v>
      </c>
      <c r="G67" s="1353" t="n">
        <f aca="false">SUM(D67:E69)</f>
        <v>8</v>
      </c>
      <c r="H67" s="2017" t="n">
        <f aca="false">BF36</f>
        <v>0</v>
      </c>
      <c r="I67" s="2017"/>
      <c r="J67" s="16" t="s">
        <v>1439</v>
      </c>
      <c r="K67" s="1773" t="n">
        <f aca="false">IF(C67="N",D67*H$67,0)</f>
        <v>0</v>
      </c>
      <c r="L67" s="1773"/>
      <c r="N67" s="2018" t="n">
        <f aca="false">IF(C67="y",H$67*D67,0)</f>
        <v>0</v>
      </c>
      <c r="O67" s="2018"/>
      <c r="P67" s="1306" t="s">
        <v>1069</v>
      </c>
      <c r="Q67" s="920" t="s">
        <v>1710</v>
      </c>
      <c r="R67" s="78"/>
      <c r="S67" s="1311" t="n">
        <f aca="false">E36</f>
        <v>0</v>
      </c>
      <c r="T67" s="78" t="s">
        <v>1259</v>
      </c>
      <c r="U67" s="1308" t="n">
        <v>1</v>
      </c>
      <c r="V67" s="78" t="s">
        <v>1511</v>
      </c>
      <c r="W67" s="1309" t="n">
        <f aca="false">IF(T$39="Y",S67*U67,S67*U67*(1+V$39))</f>
        <v>0</v>
      </c>
    </row>
    <row r="68" s="1414" customFormat="true" ht="18" hidden="false" customHeight="true" outlineLevel="0" collapsed="false">
      <c r="A68" s="507" t="s">
        <v>1442</v>
      </c>
      <c r="B68" s="405"/>
      <c r="C68" s="1074" t="s">
        <v>1306</v>
      </c>
      <c r="D68" s="1075" t="n">
        <v>3.5</v>
      </c>
      <c r="E68" s="1075"/>
      <c r="F68" s="78" t="s">
        <v>1618</v>
      </c>
      <c r="G68" s="1353"/>
      <c r="H68" s="2017"/>
      <c r="I68" s="2017"/>
      <c r="J68" s="16" t="s">
        <v>1439</v>
      </c>
      <c r="K68" s="1773" t="n">
        <f aca="false">IF(C68="N",D68*H$67,0)</f>
        <v>0</v>
      </c>
      <c r="L68" s="1773"/>
      <c r="N68" s="1309" t="n">
        <f aca="false">IF(C68="y",H$67*D68,0)</f>
        <v>0</v>
      </c>
      <c r="O68" s="1309"/>
      <c r="P68" s="1306" t="s">
        <v>1069</v>
      </c>
      <c r="Q68" s="920" t="s">
        <v>1453</v>
      </c>
      <c r="R68" s="78"/>
      <c r="S68" s="1311" t="n">
        <v>0</v>
      </c>
      <c r="T68" s="78" t="s">
        <v>1711</v>
      </c>
      <c r="U68" s="1308" t="n">
        <f aca="false">Pricing!Q43</f>
        <v>105</v>
      </c>
      <c r="V68" s="78" t="s">
        <v>630</v>
      </c>
      <c r="W68" s="1309" t="n">
        <f aca="false">U68*S68</f>
        <v>0</v>
      </c>
    </row>
    <row r="69" s="1414" customFormat="true" ht="18" hidden="false" customHeight="true" outlineLevel="0" collapsed="false">
      <c r="A69" s="507" t="s">
        <v>1443</v>
      </c>
      <c r="B69" s="405"/>
      <c r="C69" s="1074" t="s">
        <v>1306</v>
      </c>
      <c r="D69" s="1075" t="n">
        <v>1</v>
      </c>
      <c r="E69" s="1075"/>
      <c r="F69" s="78" t="s">
        <v>1618</v>
      </c>
      <c r="G69" s="1353"/>
      <c r="H69" s="2017"/>
      <c r="I69" s="2017"/>
      <c r="J69" s="16" t="s">
        <v>1439</v>
      </c>
      <c r="K69" s="1773" t="n">
        <f aca="false">IF(C69="N",D69*H$67,0)</f>
        <v>0</v>
      </c>
      <c r="L69" s="1773"/>
      <c r="N69" s="2018" t="n">
        <f aca="false">IF(C69="y",H$67*D69,0)</f>
        <v>0</v>
      </c>
      <c r="O69" s="2018"/>
      <c r="P69" s="1306" t="s">
        <v>1069</v>
      </c>
      <c r="Q69" s="920" t="s">
        <v>1712</v>
      </c>
      <c r="R69" s="78"/>
      <c r="S69" s="1311" t="n">
        <f aca="false">I72</f>
        <v>0</v>
      </c>
      <c r="T69" s="78" t="s">
        <v>836</v>
      </c>
      <c r="U69" s="1308" t="n">
        <v>8.5</v>
      </c>
      <c r="V69" s="78"/>
      <c r="W69" s="1309" t="n">
        <f aca="false">U69*S69</f>
        <v>0</v>
      </c>
    </row>
    <row r="70" s="1414" customFormat="true" ht="18" hidden="false" customHeight="true" outlineLevel="0" collapsed="false">
      <c r="A70" s="507" t="s">
        <v>1444</v>
      </c>
      <c r="B70" s="405"/>
      <c r="C70" s="1074" t="s">
        <v>1306</v>
      </c>
      <c r="D70" s="1075" t="n">
        <v>0.25</v>
      </c>
      <c r="E70" s="1075"/>
      <c r="F70" s="78" t="s">
        <v>1618</v>
      </c>
      <c r="G70" s="16"/>
      <c r="H70" s="2017"/>
      <c r="I70" s="2017"/>
      <c r="J70" s="16" t="s">
        <v>1439</v>
      </c>
      <c r="K70" s="1773" t="n">
        <f aca="false">IF(C70="N",D70*H$67,0)</f>
        <v>0</v>
      </c>
      <c r="L70" s="1773"/>
      <c r="N70" s="1309" t="n">
        <f aca="false">IF(C70="y",H$67*D70,0)</f>
        <v>0</v>
      </c>
      <c r="O70" s="1309"/>
      <c r="P70" s="1306" t="s">
        <v>1713</v>
      </c>
      <c r="Q70" s="920" t="s">
        <v>1714</v>
      </c>
      <c r="R70" s="78"/>
      <c r="S70" s="1311"/>
      <c r="T70" s="78" t="s">
        <v>1454</v>
      </c>
      <c r="U70" s="1308" t="n">
        <v>500</v>
      </c>
      <c r="V70" s="78"/>
      <c r="W70" s="1309" t="n">
        <f aca="false">U70*S70</f>
        <v>0</v>
      </c>
    </row>
    <row r="71" s="1414" customFormat="true" ht="18" hidden="false" customHeight="true" outlineLevel="0" collapsed="false">
      <c r="A71" s="507" t="s">
        <v>1307</v>
      </c>
      <c r="B71" s="405"/>
      <c r="C71" s="1074" t="s">
        <v>1306</v>
      </c>
      <c r="D71" s="2019" t="n">
        <v>450</v>
      </c>
      <c r="E71" s="2019"/>
      <c r="F71" s="78" t="s">
        <v>1308</v>
      </c>
      <c r="G71" s="16"/>
      <c r="H71" s="1042"/>
      <c r="I71" s="1042" t="n">
        <f aca="false">(K56/2000)</f>
        <v>0</v>
      </c>
      <c r="J71" s="16" t="s">
        <v>1309</v>
      </c>
      <c r="K71" s="1773" t="n">
        <f aca="false">IF(C71="N",D71*I71,0)</f>
        <v>0</v>
      </c>
      <c r="L71" s="1773"/>
      <c r="N71" s="1309" t="n">
        <f aca="false">IF(C71="y",I71*D71,0)</f>
        <v>0</v>
      </c>
      <c r="O71" s="1309"/>
      <c r="P71" s="1306" t="s">
        <v>1069</v>
      </c>
      <c r="Q71" s="920"/>
      <c r="R71" s="78"/>
      <c r="S71" s="1311"/>
      <c r="T71" s="78" t="s">
        <v>1018</v>
      </c>
      <c r="U71" s="1308"/>
      <c r="V71" s="78"/>
      <c r="W71" s="1309" t="n">
        <f aca="false">U71*S71</f>
        <v>0</v>
      </c>
    </row>
    <row r="72" s="1414" customFormat="true" ht="18" hidden="false" customHeight="true" outlineLevel="0" collapsed="false">
      <c r="A72" s="507" t="s">
        <v>1715</v>
      </c>
      <c r="B72" s="405"/>
      <c r="C72" s="1074" t="s">
        <v>1306</v>
      </c>
      <c r="D72" s="1075" t="n">
        <v>10</v>
      </c>
      <c r="E72" s="1075"/>
      <c r="F72" s="78" t="s">
        <v>1338</v>
      </c>
      <c r="G72" s="16"/>
      <c r="H72" s="1042"/>
      <c r="I72" s="1042" t="n">
        <f aca="false">DI37</f>
        <v>0</v>
      </c>
      <c r="J72" s="16" t="s">
        <v>1259</v>
      </c>
      <c r="K72" s="1773" t="n">
        <f aca="false">IF(C72="N",D72*I72,0)</f>
        <v>0</v>
      </c>
      <c r="L72" s="1773"/>
      <c r="N72" s="1309" t="n">
        <f aca="false">IF(C72="y",I72*D72,0)</f>
        <v>0</v>
      </c>
      <c r="O72" s="1309"/>
      <c r="P72" s="1306" t="s">
        <v>1069</v>
      </c>
      <c r="Q72" s="920"/>
      <c r="R72" s="78"/>
      <c r="S72" s="1311"/>
      <c r="T72" s="78" t="s">
        <v>1018</v>
      </c>
      <c r="U72" s="1308"/>
      <c r="V72" s="78"/>
      <c r="W72" s="1309" t="n">
        <f aca="false">U72*S72</f>
        <v>0</v>
      </c>
    </row>
    <row r="73" s="1414" customFormat="true" ht="18" hidden="false" customHeight="true" outlineLevel="0" collapsed="false">
      <c r="A73" s="507" t="s">
        <v>1716</v>
      </c>
      <c r="B73" s="405"/>
      <c r="C73" s="1074" t="s">
        <v>1306</v>
      </c>
      <c r="D73" s="1075" t="n">
        <v>12</v>
      </c>
      <c r="E73" s="1075"/>
      <c r="F73" s="78" t="s">
        <v>1285</v>
      </c>
      <c r="G73" s="16"/>
      <c r="H73" s="1042"/>
      <c r="I73" s="1042" t="n">
        <f aca="false">SUM(DD10:DD35)</f>
        <v>0</v>
      </c>
      <c r="J73" s="16" t="s">
        <v>998</v>
      </c>
      <c r="K73" s="1773" t="n">
        <f aca="false">IF(C73="N",D73*I73,0)</f>
        <v>0</v>
      </c>
      <c r="L73" s="1773"/>
      <c r="N73" s="1309" t="n">
        <f aca="false">IF(C73="y",I73*D73,0)</f>
        <v>0</v>
      </c>
      <c r="O73" s="1309"/>
      <c r="P73" s="1306" t="s">
        <v>1069</v>
      </c>
      <c r="Q73" s="920"/>
      <c r="R73" s="78"/>
      <c r="S73" s="1311"/>
      <c r="T73" s="78"/>
      <c r="U73" s="1308"/>
      <c r="V73" s="78"/>
      <c r="W73" s="1309" t="n">
        <f aca="false">U73*S73</f>
        <v>0</v>
      </c>
    </row>
    <row r="74" s="1414" customFormat="true" ht="18" hidden="false" customHeight="true" outlineLevel="0" collapsed="false">
      <c r="A74" s="507" t="s">
        <v>1660</v>
      </c>
      <c r="B74" s="405"/>
      <c r="C74" s="1074" t="s">
        <v>1306</v>
      </c>
      <c r="D74" s="1075" t="n">
        <v>8</v>
      </c>
      <c r="E74" s="1075"/>
      <c r="F74" s="78" t="s">
        <v>1285</v>
      </c>
      <c r="G74" s="16"/>
      <c r="H74" s="1042"/>
      <c r="I74" s="1042" t="n">
        <f aca="false">SUM(DF10:DF35)</f>
        <v>0</v>
      </c>
      <c r="J74" s="16" t="s">
        <v>998</v>
      </c>
      <c r="K74" s="1773" t="n">
        <f aca="false">IF(C74="N",D74*I74,0)</f>
        <v>0</v>
      </c>
      <c r="L74" s="1773"/>
      <c r="N74" s="1309" t="n">
        <f aca="false">IF(C74="y",I74*D74,0)</f>
        <v>0</v>
      </c>
      <c r="O74" s="1309"/>
      <c r="P74" s="1306" t="s">
        <v>1069</v>
      </c>
      <c r="Q74" s="920"/>
      <c r="R74" s="78"/>
      <c r="S74" s="1311"/>
      <c r="T74" s="78"/>
      <c r="U74" s="1308"/>
      <c r="V74" s="78"/>
      <c r="W74" s="1309" t="n">
        <f aca="false">U74*S74</f>
        <v>0</v>
      </c>
    </row>
    <row r="75" s="1414" customFormat="true" ht="18" hidden="false" customHeight="true" outlineLevel="0" collapsed="false">
      <c r="A75" s="1747" t="s">
        <v>1313</v>
      </c>
      <c r="B75" s="1082"/>
      <c r="C75" s="1083" t="s">
        <v>1306</v>
      </c>
      <c r="D75" s="1084" t="n">
        <v>0</v>
      </c>
      <c r="E75" s="1084"/>
      <c r="F75" s="1358"/>
      <c r="G75" s="397"/>
      <c r="H75" s="1055"/>
      <c r="I75" s="1055"/>
      <c r="J75" s="397"/>
      <c r="K75" s="1789" t="n">
        <f aca="false">IF(C75="N",D75*I75,0)</f>
        <v>0</v>
      </c>
      <c r="L75" s="1789"/>
      <c r="M75" s="397"/>
      <c r="N75" s="1326" t="n">
        <f aca="false">IF(C75="y",D75,0)</f>
        <v>0</v>
      </c>
      <c r="O75" s="1326"/>
      <c r="P75" s="1306" t="s">
        <v>1069</v>
      </c>
      <c r="Q75" s="920"/>
      <c r="R75" s="78"/>
      <c r="S75" s="1311"/>
      <c r="T75" s="78"/>
      <c r="U75" s="1308"/>
      <c r="V75" s="78"/>
      <c r="W75" s="1309" t="n">
        <f aca="false">U75*S75</f>
        <v>0</v>
      </c>
    </row>
    <row r="76" s="1414" customFormat="true" ht="18" hidden="false" customHeight="true" outlineLevel="0" collapsed="false">
      <c r="A76" s="1087" t="s">
        <v>1447</v>
      </c>
      <c r="B76" s="1088"/>
      <c r="C76" s="1089"/>
      <c r="D76" s="1090" t="n">
        <f aca="false">IF(H67=0,0,(N76-N75+K76)/H67)</f>
        <v>0</v>
      </c>
      <c r="E76" s="2020"/>
      <c r="F76" s="855"/>
      <c r="G76" s="1058"/>
      <c r="H76" s="1088" t="s">
        <v>980</v>
      </c>
      <c r="I76" s="1088"/>
      <c r="J76" s="1088"/>
      <c r="K76" s="1791" t="n">
        <f aca="false">SUM(K66:L75)</f>
        <v>0</v>
      </c>
      <c r="L76" s="1791"/>
      <c r="M76" s="246"/>
      <c r="N76" s="736" t="n">
        <f aca="false">SUM(N66:O75)</f>
        <v>0</v>
      </c>
      <c r="O76" s="736"/>
      <c r="P76" s="1306" t="s">
        <v>1069</v>
      </c>
      <c r="Q76" s="1357"/>
      <c r="R76" s="1358"/>
      <c r="S76" s="1359"/>
      <c r="T76" s="2021"/>
      <c r="U76" s="1360"/>
      <c r="V76" s="1358"/>
      <c r="W76" s="1326" t="n">
        <f aca="false">U76*S76</f>
        <v>0</v>
      </c>
    </row>
    <row r="77" s="1414" customFormat="true" ht="18" hidden="false" customHeight="true" outlineLevel="0" collapsed="false">
      <c r="A77" s="2022" t="s">
        <v>1449</v>
      </c>
      <c r="B77" s="2022"/>
      <c r="C77" s="2022"/>
      <c r="D77" s="2022"/>
      <c r="E77" s="2022"/>
      <c r="F77" s="2022"/>
      <c r="G77" s="2022"/>
      <c r="H77" s="2022"/>
      <c r="I77" s="2022"/>
      <c r="J77" s="2022"/>
      <c r="K77" s="2022"/>
      <c r="L77" s="2022"/>
      <c r="M77" s="2022"/>
      <c r="N77" s="2022"/>
      <c r="O77" s="2022"/>
      <c r="P77" s="1306" t="s">
        <v>1448</v>
      </c>
      <c r="Q77" s="920" t="s">
        <v>601</v>
      </c>
      <c r="R77" s="78"/>
      <c r="S77" s="1311" t="n">
        <f aca="false">ROUNDUP(K64*0.55*S51,0)</f>
        <v>0</v>
      </c>
      <c r="T77" s="78" t="s">
        <v>1312</v>
      </c>
      <c r="U77" s="1308" t="n">
        <f aca="false">Pricing!Q26</f>
        <v>0.45</v>
      </c>
      <c r="V77" s="78" t="s">
        <v>595</v>
      </c>
      <c r="W77" s="1309" t="n">
        <f aca="false">S77*U77</f>
        <v>0</v>
      </c>
    </row>
    <row r="78" s="1414" customFormat="true" ht="18" hidden="false" customHeight="true" outlineLevel="0" collapsed="false">
      <c r="A78" s="1794" t="s">
        <v>1316</v>
      </c>
      <c r="B78" s="2016"/>
      <c r="C78" s="1097"/>
      <c r="D78" s="1098"/>
      <c r="E78" s="2016" t="s">
        <v>1317</v>
      </c>
      <c r="F78" s="2023" t="n">
        <v>425</v>
      </c>
      <c r="G78" s="2024" t="s">
        <v>1450</v>
      </c>
      <c r="H78" s="1068"/>
      <c r="I78" s="1068"/>
      <c r="J78" s="1068"/>
      <c r="K78" s="1068"/>
      <c r="L78" s="1101" t="n">
        <f aca="false">IF(D40=0,0,(SUM(N78:O81))/D40)</f>
        <v>0</v>
      </c>
      <c r="M78" s="1101"/>
      <c r="N78" s="2025" t="n">
        <f aca="false">D78*F78</f>
        <v>0</v>
      </c>
      <c r="O78" s="2025"/>
      <c r="P78" s="1306" t="n">
        <v>39</v>
      </c>
      <c r="Q78" s="920" t="s">
        <v>604</v>
      </c>
      <c r="R78" s="78"/>
      <c r="S78" s="1311" t="n">
        <f aca="false">E36/4</f>
        <v>0</v>
      </c>
      <c r="T78" s="78" t="s">
        <v>1312</v>
      </c>
      <c r="U78" s="1308" t="n">
        <f aca="false">Pricing!Q27</f>
        <v>0.75</v>
      </c>
      <c r="V78" s="78" t="s">
        <v>1312</v>
      </c>
      <c r="W78" s="1309" t="n">
        <f aca="false">S78*U78</f>
        <v>0</v>
      </c>
    </row>
    <row r="79" s="1414" customFormat="true" ht="18" hidden="false" customHeight="true" outlineLevel="0" collapsed="false">
      <c r="A79" s="507" t="s">
        <v>1318</v>
      </c>
      <c r="B79" s="78"/>
      <c r="C79" s="78"/>
      <c r="D79" s="1103" t="n">
        <f aca="false">D78</f>
        <v>0</v>
      </c>
      <c r="E79" s="2026" t="s">
        <v>1317</v>
      </c>
      <c r="F79" s="2027" t="n">
        <v>250</v>
      </c>
      <c r="G79" s="2028" t="s">
        <v>1450</v>
      </c>
      <c r="H79" s="16"/>
      <c r="I79" s="16"/>
      <c r="J79" s="16"/>
      <c r="K79" s="16"/>
      <c r="L79" s="2029" t="n">
        <f aca="false">SUM(N78:O80)</f>
        <v>0</v>
      </c>
      <c r="M79" s="2029"/>
      <c r="N79" s="2030" t="n">
        <f aca="false">D79*F79</f>
        <v>0</v>
      </c>
      <c r="O79" s="2030"/>
      <c r="P79" s="1306" t="s">
        <v>1451</v>
      </c>
      <c r="Q79" s="920" t="s">
        <v>1657</v>
      </c>
      <c r="R79" s="78"/>
      <c r="S79" s="1311" t="n">
        <f aca="false">H67/350</f>
        <v>0</v>
      </c>
      <c r="T79" s="78" t="s">
        <v>1452</v>
      </c>
      <c r="U79" s="1308" t="n">
        <f aca="false">Pricing!Q28</f>
        <v>45</v>
      </c>
      <c r="V79" s="78" t="s">
        <v>607</v>
      </c>
      <c r="W79" s="1309" t="n">
        <f aca="false">S79*U79</f>
        <v>0</v>
      </c>
    </row>
    <row r="80" s="1414" customFormat="true" ht="18" hidden="false" customHeight="true" outlineLevel="0" collapsed="false">
      <c r="A80" s="78" t="s">
        <v>1320</v>
      </c>
      <c r="B80" s="78"/>
      <c r="C80" s="78"/>
      <c r="D80" s="2031" t="n">
        <f aca="false">IF(D77=0,D78,D77)</f>
        <v>0</v>
      </c>
      <c r="E80" s="78"/>
      <c r="F80" s="2032" t="n">
        <v>100</v>
      </c>
      <c r="G80" s="78"/>
      <c r="H80" s="16"/>
      <c r="I80" s="16"/>
      <c r="J80" s="16"/>
      <c r="K80" s="16"/>
      <c r="L80" s="2033"/>
      <c r="M80" s="2033"/>
      <c r="N80" s="2030" t="n">
        <f aca="false">D80*F80</f>
        <v>0</v>
      </c>
      <c r="O80" s="2030"/>
      <c r="P80" s="1306"/>
      <c r="Q80" s="920"/>
      <c r="R80" s="78"/>
      <c r="S80" s="1311"/>
      <c r="T80" s="78"/>
      <c r="U80" s="1308"/>
      <c r="V80" s="78"/>
      <c r="W80" s="1309" t="n">
        <f aca="false">S80*U80</f>
        <v>0</v>
      </c>
    </row>
    <row r="81" s="1414" customFormat="true" ht="18" hidden="false" customHeight="true" outlineLevel="0" collapsed="false">
      <c r="A81" s="1798" t="s">
        <v>1320</v>
      </c>
      <c r="B81" s="1826"/>
      <c r="C81" s="1826"/>
      <c r="D81" s="1110" t="n">
        <f aca="false">IF(D78=0,D79,D78)</f>
        <v>0</v>
      </c>
      <c r="E81" s="1826" t="s">
        <v>1317</v>
      </c>
      <c r="F81" s="2034" t="n">
        <v>200</v>
      </c>
      <c r="G81" s="1826" t="s">
        <v>1450</v>
      </c>
      <c r="H81" s="1058"/>
      <c r="I81" s="1058"/>
      <c r="J81" s="1058"/>
      <c r="K81" s="1058"/>
      <c r="L81" s="1372" t="n">
        <f aca="false">IF(D40=0,0,N81/D40)</f>
        <v>0</v>
      </c>
      <c r="M81" s="1372"/>
      <c r="N81" s="730" t="n">
        <f aca="false">D81*F81</f>
        <v>0</v>
      </c>
      <c r="O81" s="730"/>
      <c r="P81" s="1306" t="s">
        <v>1069</v>
      </c>
      <c r="Q81" s="920" t="s">
        <v>1717</v>
      </c>
      <c r="R81" s="78"/>
      <c r="S81" s="1311" t="n">
        <f aca="false">H67/30</f>
        <v>0</v>
      </c>
      <c r="T81" s="78" t="s">
        <v>1312</v>
      </c>
      <c r="U81" s="1308" t="n">
        <v>15</v>
      </c>
      <c r="V81" s="78" t="s">
        <v>595</v>
      </c>
      <c r="W81" s="1309" t="n">
        <f aca="false">S81*U81</f>
        <v>0</v>
      </c>
    </row>
    <row r="82" s="1414" customFormat="true" ht="18" hidden="false" customHeight="true" outlineLevel="0" collapsed="false">
      <c r="A82" s="2022" t="s">
        <v>1325</v>
      </c>
      <c r="B82" s="2022"/>
      <c r="C82" s="2022"/>
      <c r="D82" s="2022"/>
      <c r="E82" s="2022"/>
      <c r="F82" s="2022"/>
      <c r="G82" s="2022"/>
      <c r="H82" s="2022"/>
      <c r="I82" s="2022"/>
      <c r="J82" s="2022"/>
      <c r="K82" s="2022"/>
      <c r="L82" s="2022"/>
      <c r="M82" s="2022"/>
      <c r="N82" s="2022"/>
      <c r="O82" s="2022"/>
      <c r="P82" s="1306" t="s">
        <v>1069</v>
      </c>
      <c r="Q82" s="1044" t="s">
        <v>1643</v>
      </c>
      <c r="R82" s="397"/>
      <c r="S82" s="2035" t="n">
        <f aca="false">SUM(K51:L55)/300</f>
        <v>0</v>
      </c>
      <c r="T82" s="397" t="s">
        <v>1323</v>
      </c>
      <c r="U82" s="1108" t="n">
        <v>250</v>
      </c>
      <c r="V82" s="397" t="s">
        <v>1324</v>
      </c>
      <c r="W82" s="1326" t="n">
        <f aca="false">S82*U82</f>
        <v>0</v>
      </c>
    </row>
    <row r="83" s="1414" customFormat="true" ht="18" hidden="false" customHeight="true" outlineLevel="0" collapsed="false">
      <c r="A83" s="1794" t="s">
        <v>1326</v>
      </c>
      <c r="B83" s="1799"/>
      <c r="C83" s="1800"/>
      <c r="D83" s="1098" t="n">
        <f aca="false">D84</f>
        <v>0</v>
      </c>
      <c r="E83" s="2016" t="s">
        <v>1327</v>
      </c>
      <c r="F83" s="2023" t="n">
        <f aca="false">Pricing!D32</f>
        <v>425</v>
      </c>
      <c r="G83" s="2016" t="s">
        <v>1450</v>
      </c>
      <c r="H83" s="1068"/>
      <c r="I83" s="1068"/>
      <c r="J83" s="1068"/>
      <c r="K83" s="1068"/>
      <c r="L83" s="1068"/>
      <c r="M83" s="1068"/>
      <c r="N83" s="1369" t="n">
        <f aca="false">(IF(AND(D83&gt;0,D83&lt;4),D83*F83,0)+IF(AND(D83&gt;3,D83&lt;8),F83*3,0)+IF(AND(D83&gt;7,D83&lt;21),D83/7*F83*3,0)+IF(AND(D83&gt;20,D83&lt;30),F83*9,0)+IF(D83&gt;29,D83/30*F83*9,0))*(1+V$39+I$85)</f>
        <v>0</v>
      </c>
      <c r="O83" s="1369"/>
      <c r="P83" s="1306" t="s">
        <v>1073</v>
      </c>
      <c r="Q83" s="920" t="s">
        <v>618</v>
      </c>
      <c r="R83" s="78"/>
      <c r="S83" s="1311"/>
      <c r="T83" s="78" t="s">
        <v>1452</v>
      </c>
      <c r="U83" s="1308" t="n">
        <f aca="false">Pricing!Q31</f>
        <v>27</v>
      </c>
      <c r="V83" s="78" t="s">
        <v>607</v>
      </c>
      <c r="W83" s="1309" t="n">
        <f aca="false">S83*U83</f>
        <v>0</v>
      </c>
    </row>
    <row r="84" s="1414" customFormat="true" ht="18" hidden="false" customHeight="true" outlineLevel="0" collapsed="false">
      <c r="A84" s="507" t="s">
        <v>622</v>
      </c>
      <c r="B84" s="1312"/>
      <c r="C84" s="1801"/>
      <c r="D84"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1327</v>
      </c>
      <c r="F84" s="2023" t="n">
        <f aca="false">Pricing!D33</f>
        <v>475</v>
      </c>
      <c r="G84" s="78" t="s">
        <v>1450</v>
      </c>
      <c r="H84" s="16"/>
      <c r="I84" s="1118" t="s">
        <v>1329</v>
      </c>
      <c r="J84" s="1118"/>
      <c r="K84" s="16"/>
      <c r="L84" s="1119" t="n">
        <f aca="false">IF(D40=0,0,(SUM(N83:O88))/D40)</f>
        <v>0</v>
      </c>
      <c r="M84" s="1119"/>
      <c r="N84" s="2030" t="n">
        <f aca="false">(IF(AND(D84&gt;0,D84&lt;4),D84*F84,0)+IF(AND(D84&gt;3,D84&lt;8),F84*3,0)+IF(AND(D84&gt;7,D84&lt;21),D84/7*F84*3,0)+IF(AND(D84&gt;20,D84&lt;30),F84*9,0)+IF(D84&gt;29,D84/30*F84*9,0))*(1+V$39+I$85)</f>
        <v>0</v>
      </c>
      <c r="O84" s="2030"/>
      <c r="P84" s="1306" t="s">
        <v>1073</v>
      </c>
      <c r="Q84" s="920" t="s">
        <v>1457</v>
      </c>
      <c r="R84" s="78"/>
      <c r="S84" s="1311" t="n">
        <v>0</v>
      </c>
      <c r="T84" s="78" t="s">
        <v>1511</v>
      </c>
      <c r="U84" s="1308" t="n">
        <f aca="false">Pricing!Q32</f>
        <v>1.25</v>
      </c>
      <c r="V84" s="78" t="s">
        <v>1417</v>
      </c>
      <c r="W84" s="1309" t="n">
        <f aca="false">U84*S84</f>
        <v>0</v>
      </c>
    </row>
    <row r="85" s="1414" customFormat="true" ht="18" hidden="false" customHeight="true" outlineLevel="0" collapsed="false">
      <c r="A85" s="507" t="s">
        <v>626</v>
      </c>
      <c r="B85" s="1312"/>
      <c r="C85" s="1801"/>
      <c r="D85"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1327</v>
      </c>
      <c r="F85" s="2027" t="n">
        <v>275</v>
      </c>
      <c r="G85" s="78" t="s">
        <v>1450</v>
      </c>
      <c r="H85" s="16"/>
      <c r="I85" s="2036" t="n">
        <v>0.5</v>
      </c>
      <c r="J85" s="2036"/>
      <c r="K85" s="16"/>
      <c r="L85" s="2029" t="n">
        <f aca="false">SUM(N83:O88)</f>
        <v>0</v>
      </c>
      <c r="M85" s="2029"/>
      <c r="N85" s="2030" t="n">
        <f aca="false">(IF(AND(D85&gt;0,D85&lt;4),D85*F85,0)+IF(AND(D85&gt;3,D85&lt;8),F85*3,0)+IF(AND(D85&gt;7,D85&lt;21),D85/7*F85*3,0)+IF(AND(D85&gt;20,D85&lt;30),F85*9,0)+IF(D85&gt;29,D85/30*F85*9,0))*(1+V$39+I$85)</f>
        <v>0</v>
      </c>
      <c r="O85" s="2030"/>
      <c r="P85" s="1306" t="s">
        <v>1073</v>
      </c>
      <c r="Q85" s="1357" t="s">
        <v>554</v>
      </c>
      <c r="R85" s="1358"/>
      <c r="S85" s="1359" t="n">
        <f aca="false">K56</f>
        <v>0</v>
      </c>
      <c r="T85" s="1358" t="s">
        <v>1288</v>
      </c>
      <c r="U85" s="1360" t="n">
        <v>0.04</v>
      </c>
      <c r="V85" s="1358" t="s">
        <v>555</v>
      </c>
      <c r="W85" s="1326" t="n">
        <f aca="false">U85*S85</f>
        <v>0</v>
      </c>
    </row>
    <row r="86" s="1414" customFormat="true" ht="18" hidden="false" customHeight="true" outlineLevel="0" collapsed="false">
      <c r="A86" s="507" t="s">
        <v>1332</v>
      </c>
      <c r="B86" s="1312"/>
      <c r="C86" s="1801"/>
      <c r="D86"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1327</v>
      </c>
      <c r="F86" s="2027" t="n">
        <f aca="false">Pricing!D39</f>
        <v>100</v>
      </c>
      <c r="G86" s="78" t="s">
        <v>1450</v>
      </c>
      <c r="H86" s="16"/>
      <c r="I86" s="2036"/>
      <c r="J86" s="2036"/>
      <c r="K86" s="16"/>
      <c r="L86" s="16"/>
      <c r="M86" s="16"/>
      <c r="N86" s="1309" t="n">
        <f aca="false">(IF(AND(D86&gt;0,D86&lt;4),D86*F86,0)+IF(AND(D86&gt;3,D86&lt;8),F86*3,0)+IF(AND(D86&gt;7,D86&lt;21),D86/7*F86*3,0)+IF(AND(D86&gt;20,D86&lt;30),F86*9,0)+IF(D86&gt;29,D86/30*F86*9,0))*(1+V$39+I$85)</f>
        <v>0</v>
      </c>
      <c r="O86" s="1309"/>
      <c r="P86" s="1306" t="s">
        <v>1078</v>
      </c>
      <c r="Q86" s="920" t="s">
        <v>1105</v>
      </c>
      <c r="R86" s="78"/>
      <c r="S86" s="1311"/>
      <c r="T86" s="78"/>
      <c r="U86" s="1308"/>
      <c r="V86" s="78"/>
      <c r="W86" s="1309" t="n">
        <v>0</v>
      </c>
    </row>
    <row r="87" s="1414" customFormat="true" ht="18" hidden="false" customHeight="true" outlineLevel="0" collapsed="false">
      <c r="A87" s="507" t="s">
        <v>1333</v>
      </c>
      <c r="B87" s="1312"/>
      <c r="C87" s="1801"/>
      <c r="D87"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1327</v>
      </c>
      <c r="F87" s="2027" t="n">
        <v>50</v>
      </c>
      <c r="G87" s="78" t="s">
        <v>1450</v>
      </c>
      <c r="H87" s="16"/>
      <c r="I87" s="16"/>
      <c r="J87" s="16"/>
      <c r="K87" s="16"/>
      <c r="L87" s="16"/>
      <c r="M87" s="16"/>
      <c r="N87" s="1309" t="n">
        <f aca="false">(IF(AND(D87&gt;0,D87&lt;4),D87*F87,0)+IF(AND(D87&gt;3,D87&lt;8),F87*3,0)+IF(AND(D87&gt;7,D87&lt;21),D87/7*F87*3,0)+IF(AND(D87&gt;20,D87&lt;30),F87*9,0)+IF(D87&gt;29,D87/30*F87*9,0))*(1+V$39+I$85)</f>
        <v>0</v>
      </c>
      <c r="O87" s="1309"/>
      <c r="P87" s="1306" t="s">
        <v>1328</v>
      </c>
      <c r="Q87" s="920" t="s">
        <v>1105</v>
      </c>
      <c r="R87" s="78"/>
      <c r="S87" s="1311"/>
      <c r="T87" s="78"/>
      <c r="U87" s="1308"/>
      <c r="V87" s="78"/>
      <c r="W87" s="1309" t="n">
        <v>0</v>
      </c>
    </row>
    <row r="88" s="1414" customFormat="true" ht="18" hidden="false" customHeight="true" outlineLevel="0" collapsed="false">
      <c r="A88" s="1798" t="s">
        <v>1067</v>
      </c>
      <c r="B88" s="1804"/>
      <c r="C88" s="1805"/>
      <c r="D88" s="2037"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826" t="s">
        <v>1327</v>
      </c>
      <c r="F88" s="2034" t="n">
        <v>35</v>
      </c>
      <c r="G88" s="1826" t="s">
        <v>1450</v>
      </c>
      <c r="H88" s="1058"/>
      <c r="I88" s="1058"/>
      <c r="J88" s="1058"/>
      <c r="K88" s="1058"/>
      <c r="L88" s="1127"/>
      <c r="M88" s="1058"/>
      <c r="N88" s="730" t="n">
        <f aca="false">(IF(AND(D88&gt;0,D88&lt;4),D88*F88,0)+IF(AND(D88&gt;3,D88&lt;8),F88*3,0)+IF(AND(D88&gt;7,D88&lt;21),D88/7*F88*3,0)+IF(AND(D88&gt;20,D88&lt;30),F88*9,0)+IF(D88&gt;29,D88/30*F88*9,0))</f>
        <v>0</v>
      </c>
      <c r="O88" s="730"/>
      <c r="P88" s="1306" t="s">
        <v>1330</v>
      </c>
      <c r="Q88" s="1357" t="s">
        <v>1108</v>
      </c>
      <c r="R88" s="1358"/>
      <c r="S88" s="1359"/>
      <c r="T88" s="1358"/>
      <c r="U88" s="1360"/>
      <c r="V88" s="1358"/>
      <c r="W88" s="1326" t="n">
        <v>0</v>
      </c>
    </row>
    <row r="89" s="1414" customFormat="true" ht="18" hidden="false" customHeight="true" outlineLevel="0" collapsed="false">
      <c r="A89" s="2022" t="s">
        <v>1336</v>
      </c>
      <c r="B89" s="2022"/>
      <c r="C89" s="2022"/>
      <c r="D89" s="2022"/>
      <c r="E89" s="2022"/>
      <c r="F89" s="2022"/>
      <c r="G89" s="2022"/>
      <c r="H89" s="2022"/>
      <c r="I89" s="2022"/>
      <c r="J89" s="2022"/>
      <c r="K89" s="2022"/>
      <c r="L89" s="2022"/>
      <c r="M89" s="2022"/>
      <c r="N89" s="2022"/>
      <c r="O89" s="2022"/>
      <c r="P89" s="1306" t="s">
        <v>1342</v>
      </c>
      <c r="Q89" s="599"/>
      <c r="R89" s="16"/>
      <c r="S89" s="1037"/>
      <c r="T89" s="16"/>
      <c r="U89" s="922"/>
      <c r="V89" s="16"/>
      <c r="W89" s="2011"/>
    </row>
    <row r="90" s="1414" customFormat="true" ht="18" hidden="false" customHeight="true" outlineLevel="0" collapsed="false">
      <c r="A90" s="1794" t="s">
        <v>1458</v>
      </c>
      <c r="B90" s="2038"/>
      <c r="C90" s="2039"/>
      <c r="D90" s="2040" t="n">
        <f aca="false">W36</f>
        <v>0</v>
      </c>
      <c r="E90" s="1800" t="s">
        <v>998</v>
      </c>
      <c r="F90" s="1383" t="n">
        <v>10</v>
      </c>
      <c r="G90" s="2016" t="s">
        <v>1285</v>
      </c>
      <c r="H90" s="1068"/>
      <c r="I90" s="1068"/>
      <c r="J90" s="1068"/>
      <c r="K90" s="1068"/>
      <c r="L90" s="1068"/>
      <c r="M90" s="1068"/>
      <c r="N90" s="1369" t="n">
        <f aca="false">D90*F90</f>
        <v>0</v>
      </c>
      <c r="O90" s="1369"/>
      <c r="P90" s="1306" t="s">
        <v>1342</v>
      </c>
      <c r="Q90" s="599" t="s">
        <v>646</v>
      </c>
      <c r="R90" s="16"/>
      <c r="S90" s="1037" t="n">
        <f aca="false">ROUNDUP(H67/300/55,0)</f>
        <v>0</v>
      </c>
      <c r="T90" s="16" t="s">
        <v>1720</v>
      </c>
      <c r="U90" s="922" t="n">
        <f aca="false">Pricing!Q44</f>
        <v>567.5</v>
      </c>
      <c r="V90" s="16" t="s">
        <v>647</v>
      </c>
      <c r="W90" s="1309" t="n">
        <f aca="false">U90*S90</f>
        <v>0</v>
      </c>
    </row>
    <row r="91" s="1414" customFormat="true" ht="18" hidden="false" customHeight="true" outlineLevel="0" collapsed="false">
      <c r="A91" s="507" t="s">
        <v>1721</v>
      </c>
      <c r="B91" s="528"/>
      <c r="C91" s="895"/>
      <c r="D91" s="2041" t="n">
        <f aca="false">DH36</f>
        <v>0</v>
      </c>
      <c r="E91" s="78" t="s">
        <v>1418</v>
      </c>
      <c r="F91" s="1337" t="n">
        <v>5.25</v>
      </c>
      <c r="G91" s="78" t="s">
        <v>600</v>
      </c>
      <c r="H91" s="16"/>
      <c r="I91" s="16"/>
      <c r="J91" s="16"/>
      <c r="K91" s="16"/>
      <c r="L91" s="16"/>
      <c r="M91" s="16"/>
      <c r="N91" s="1309" t="n">
        <f aca="false">D91*F91</f>
        <v>0</v>
      </c>
      <c r="O91" s="1309"/>
      <c r="P91" s="1306" t="s">
        <v>1342</v>
      </c>
      <c r="Q91" s="1044" t="s">
        <v>649</v>
      </c>
      <c r="R91" s="397"/>
      <c r="S91" s="1107" t="n">
        <f aca="false">BN66</f>
        <v>0</v>
      </c>
      <c r="T91" s="397" t="s">
        <v>1720</v>
      </c>
      <c r="U91" s="1108" t="n">
        <f aca="false">Pricing!Q45</f>
        <v>542</v>
      </c>
      <c r="V91" s="397" t="s">
        <v>647</v>
      </c>
      <c r="W91" s="1326" t="n">
        <f aca="false">U91*S91</f>
        <v>0</v>
      </c>
    </row>
    <row r="92" s="1414" customFormat="true" ht="18" hidden="false" customHeight="true" outlineLevel="0" collapsed="false">
      <c r="A92" s="507" t="s">
        <v>1462</v>
      </c>
      <c r="B92" s="528"/>
      <c r="C92" s="895"/>
      <c r="D92" s="2041"/>
      <c r="E92" s="2026" t="s">
        <v>1341</v>
      </c>
      <c r="F92" s="1337" t="n">
        <v>0.25</v>
      </c>
      <c r="G92" s="78" t="s">
        <v>1341</v>
      </c>
      <c r="H92" s="16"/>
      <c r="I92" s="16"/>
      <c r="J92" s="16"/>
      <c r="K92" s="16"/>
      <c r="L92" s="16"/>
      <c r="M92" s="16"/>
      <c r="N92" s="1309" t="n">
        <f aca="false">D92*F92</f>
        <v>0</v>
      </c>
      <c r="O92" s="1309"/>
      <c r="P92" s="1306"/>
      <c r="Q92" s="599"/>
      <c r="R92" s="16"/>
      <c r="S92" s="16"/>
      <c r="T92" s="16"/>
      <c r="U92" s="905"/>
      <c r="V92" s="16"/>
      <c r="W92" s="1146"/>
    </row>
    <row r="93" s="1414" customFormat="true" ht="18" hidden="false" customHeight="true" outlineLevel="0" collapsed="false">
      <c r="A93" s="2042" t="s">
        <v>1067</v>
      </c>
      <c r="B93" s="2043"/>
      <c r="C93" s="2044"/>
      <c r="D93" s="2045"/>
      <c r="E93" s="2046" t="s">
        <v>1000</v>
      </c>
      <c r="F93" s="2047" t="n">
        <v>1000</v>
      </c>
      <c r="G93" s="2048" t="s">
        <v>1624</v>
      </c>
      <c r="H93" s="16"/>
      <c r="I93" s="16"/>
      <c r="J93" s="16"/>
      <c r="K93" s="16"/>
      <c r="L93" s="16"/>
      <c r="M93" s="170"/>
      <c r="N93" s="1309" t="n">
        <f aca="false">D93*F93</f>
        <v>0</v>
      </c>
      <c r="O93" s="1309"/>
      <c r="P93" s="1306"/>
      <c r="Q93" s="1151" t="s">
        <v>1349</v>
      </c>
      <c r="R93" s="5"/>
      <c r="S93" s="994" t="n">
        <v>18</v>
      </c>
      <c r="T93" s="994" t="s">
        <v>1350</v>
      </c>
      <c r="U93" s="16"/>
      <c r="V93" s="16"/>
      <c r="W93" s="1152"/>
    </row>
    <row r="94" s="1414" customFormat="true" ht="18" hidden="false" customHeight="true" outlineLevel="0" collapsed="false">
      <c r="A94" s="507" t="s">
        <v>1234</v>
      </c>
      <c r="B94" s="528"/>
      <c r="C94" s="895"/>
      <c r="D94" s="2041"/>
      <c r="E94" s="1308" t="s">
        <v>1285</v>
      </c>
      <c r="F94" s="1337" t="n">
        <v>6</v>
      </c>
      <c r="G94" s="78" t="s">
        <v>1285</v>
      </c>
      <c r="H94" s="16"/>
      <c r="I94" s="16"/>
      <c r="J94" s="16"/>
      <c r="K94" s="16"/>
      <c r="L94" s="16"/>
      <c r="M94" s="170"/>
      <c r="N94" s="1309" t="n">
        <f aca="false">D94*F94</f>
        <v>0</v>
      </c>
      <c r="O94" s="1309"/>
      <c r="P94" s="1306" t="s">
        <v>1072</v>
      </c>
      <c r="Q94" s="602" t="s">
        <v>1353</v>
      </c>
      <c r="R94" s="1058"/>
      <c r="S94" s="1058" t="n">
        <f aca="false">S64*12/S93</f>
        <v>0</v>
      </c>
      <c r="T94" s="1058" t="s">
        <v>1354</v>
      </c>
      <c r="U94" s="1162" t="n">
        <f aca="false">Pricing!D30</f>
        <v>1</v>
      </c>
      <c r="V94" s="1162"/>
      <c r="W94" s="2049" t="n">
        <f aca="false">U94*S94</f>
        <v>0</v>
      </c>
    </row>
    <row r="95" s="1414" customFormat="true" ht="18" hidden="false" customHeight="true" outlineLevel="0" collapsed="false">
      <c r="A95" s="1798" t="s">
        <v>1346</v>
      </c>
      <c r="B95" s="1605"/>
      <c r="C95" s="1609"/>
      <c r="D95" s="2050"/>
      <c r="E95" s="2051" t="s">
        <v>1347</v>
      </c>
      <c r="F95" s="2052" t="n">
        <v>200</v>
      </c>
      <c r="G95" s="1826" t="s">
        <v>620</v>
      </c>
      <c r="H95" s="1058"/>
      <c r="I95" s="1058"/>
      <c r="J95" s="1058"/>
      <c r="K95" s="1058"/>
      <c r="L95" s="1058"/>
      <c r="M95" s="1058"/>
      <c r="N95" s="730" t="n">
        <f aca="false">D95*F95</f>
        <v>0</v>
      </c>
      <c r="O95" s="730"/>
      <c r="P95" s="654"/>
      <c r="Q95" s="654"/>
      <c r="R95" s="654"/>
      <c r="S95" s="654"/>
      <c r="T95" s="654"/>
      <c r="U95" s="654"/>
      <c r="V95" s="654"/>
      <c r="W95" s="1393" t="n">
        <f aca="false">SUM(W52:W94)</f>
        <v>0</v>
      </c>
    </row>
    <row r="96" s="1414" customFormat="true" ht="18" hidden="false" customHeight="true" outlineLevel="0" collapsed="false">
      <c r="A96" s="1394" t="s">
        <v>1191</v>
      </c>
      <c r="B96" s="1394"/>
      <c r="C96" s="1394"/>
      <c r="D96" s="1395" t="n">
        <f aca="false">Summary!P60</f>
        <v>0</v>
      </c>
      <c r="E96" s="1396" t="s">
        <v>1465</v>
      </c>
      <c r="F96" s="2053" t="n">
        <f aca="false">(SUM(N51:O64)+SUM(N66:O75)+SUM(K66:L75)+SUM(N78:O81)+SUM(N83:O88)+SUM(N90:O95))*D96</f>
        <v>0</v>
      </c>
      <c r="G96" s="1398" t="s">
        <v>1039</v>
      </c>
      <c r="H96" s="1398"/>
      <c r="I96" s="1398"/>
      <c r="J96" s="1398"/>
      <c r="K96" s="1398"/>
      <c r="L96" s="1398"/>
      <c r="M96" s="1398"/>
      <c r="N96" s="1399" t="n">
        <f aca="false">F96</f>
        <v>0</v>
      </c>
      <c r="O96" s="1399"/>
      <c r="P96" s="654"/>
      <c r="Q96" s="654"/>
      <c r="R96" s="654"/>
      <c r="S96" s="654"/>
      <c r="T96" s="654"/>
      <c r="U96" s="654"/>
      <c r="V96" s="654"/>
      <c r="W96" s="654"/>
    </row>
    <row r="97" s="1414" customFormat="true" ht="18" hidden="false" customHeight="true" outlineLevel="0" collapsed="false">
      <c r="A97" s="949"/>
      <c r="B97" s="950"/>
      <c r="C97" s="950"/>
      <c r="D97" s="950"/>
      <c r="E97" s="950"/>
      <c r="F97" s="950"/>
      <c r="G97" s="950"/>
      <c r="H97" s="950"/>
      <c r="I97" s="950"/>
      <c r="J97" s="950"/>
      <c r="K97" s="954"/>
      <c r="L97" s="950"/>
      <c r="M97" s="950"/>
      <c r="N97" s="950"/>
      <c r="O97" s="950"/>
      <c r="P97" s="950"/>
      <c r="Q97" s="950"/>
      <c r="R97" s="950"/>
      <c r="S97" s="950"/>
      <c r="T97" s="950"/>
      <c r="U97" s="950"/>
      <c r="V97" s="950"/>
      <c r="W97" s="957"/>
    </row>
    <row r="98" s="1414" customFormat="true" ht="18" hidden="false" customHeight="true" outlineLevel="0" collapsed="false">
      <c r="A98" s="1642" t="s">
        <v>1262</v>
      </c>
      <c r="B98" s="1643"/>
      <c r="C98" s="1644"/>
      <c r="D98" s="1642" t="s">
        <v>982</v>
      </c>
      <c r="E98" s="1644"/>
      <c r="F98" s="1642" t="s">
        <v>1263</v>
      </c>
      <c r="G98" s="1643"/>
      <c r="H98" s="1644"/>
      <c r="I98" s="1167" t="s">
        <v>1264</v>
      </c>
      <c r="J98" s="1168"/>
      <c r="K98" s="1169"/>
      <c r="L98" s="1170" t="s">
        <v>1265</v>
      </c>
      <c r="M98" s="1171"/>
      <c r="N98" s="1171"/>
      <c r="O98" s="1172"/>
      <c r="P98" s="961"/>
      <c r="Q98" s="599" t="s">
        <v>1266</v>
      </c>
      <c r="R98" s="16"/>
      <c r="S98" s="16" t="s">
        <v>1267</v>
      </c>
      <c r="T98" s="1173" t="str">
        <f aca="false">T39</f>
        <v>N</v>
      </c>
      <c r="U98" s="833" t="s">
        <v>1268</v>
      </c>
      <c r="V98" s="1401" t="n">
        <f aca="false">V39</f>
        <v>0.0825</v>
      </c>
      <c r="W98" s="964"/>
    </row>
    <row r="99" s="1414" customFormat="true" ht="18" hidden="false" customHeight="true" outlineLevel="0" collapsed="false">
      <c r="A99" s="965" t="s">
        <v>1269</v>
      </c>
      <c r="B99" s="966" t="n">
        <f aca="false">B40</f>
        <v>0</v>
      </c>
      <c r="C99" s="966"/>
      <c r="D99" s="967" t="n">
        <f aca="false">D40</f>
        <v>0</v>
      </c>
      <c r="E99" s="967"/>
      <c r="F99" s="968" t="n">
        <f aca="false">F40</f>
        <v>0</v>
      </c>
      <c r="G99" s="736" t="n">
        <f aca="false">G40</f>
        <v>0</v>
      </c>
      <c r="H99" s="736"/>
      <c r="I99" s="1651" t="n">
        <f aca="false">I40</f>
        <v>0</v>
      </c>
      <c r="J99" s="1652"/>
      <c r="K99" s="1653"/>
      <c r="L99" s="1402" t="n">
        <f aca="false">L40</f>
        <v>0.18</v>
      </c>
      <c r="M99" s="1402"/>
      <c r="N99" s="1402"/>
      <c r="O99" s="1402"/>
      <c r="P99" s="1265"/>
      <c r="Q99" s="970" t="s">
        <v>980</v>
      </c>
      <c r="R99" s="16"/>
      <c r="S99" s="16"/>
      <c r="T99" s="971" t="n">
        <f aca="false">S40</f>
        <v>0</v>
      </c>
      <c r="U99" s="971"/>
      <c r="V99" s="16"/>
      <c r="W99" s="964"/>
    </row>
    <row r="100" s="1414" customFormat="true" ht="18" hidden="false" customHeight="true" outlineLevel="0" collapsed="false">
      <c r="A100" s="979"/>
      <c r="B100" s="973"/>
      <c r="C100" s="973"/>
      <c r="D100" s="973"/>
      <c r="E100" s="973"/>
      <c r="F100" s="973"/>
      <c r="G100" s="973"/>
      <c r="H100" s="973"/>
      <c r="I100" s="973"/>
      <c r="J100" s="973"/>
      <c r="K100" s="973"/>
      <c r="L100" s="973"/>
      <c r="M100" s="973"/>
      <c r="N100" s="973"/>
      <c r="O100" s="973"/>
      <c r="P100" s="973"/>
      <c r="Q100" s="973"/>
      <c r="R100" s="973"/>
      <c r="S100" s="973"/>
      <c r="T100" s="973"/>
      <c r="U100" s="973"/>
      <c r="V100" s="973"/>
      <c r="W100" s="984"/>
    </row>
    <row r="101" s="1414"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14"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14" customFormat="true" ht="15" hidden="false" customHeight="false" outlineLevel="0" collapsed="false">
      <c r="A103" s="717" t="s">
        <v>1055</v>
      </c>
      <c r="B103" s="1403" t="s">
        <v>853</v>
      </c>
      <c r="C103" s="719"/>
      <c r="D103" s="722" t="n">
        <f aca="false">D104-T99</f>
        <v>0</v>
      </c>
      <c r="E103" s="654"/>
      <c r="F103" s="654"/>
      <c r="G103" s="654"/>
      <c r="H103" s="654"/>
      <c r="I103" s="654"/>
      <c r="J103" s="654"/>
      <c r="K103" s="654"/>
      <c r="L103" s="654"/>
      <c r="M103" s="654"/>
      <c r="N103" s="654"/>
      <c r="O103" s="654"/>
      <c r="P103" s="654"/>
      <c r="Q103" s="654"/>
      <c r="R103" s="654"/>
      <c r="S103" s="654"/>
    </row>
    <row r="104" s="1414" customFormat="true" ht="15" hidden="false" customHeight="false" outlineLevel="0" collapsed="false">
      <c r="A104" s="733" t="s">
        <v>1070</v>
      </c>
      <c r="B104" s="735"/>
      <c r="C104" s="735"/>
      <c r="D104" s="736"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04" t="n">
        <f aca="false">Summary!P74</f>
        <v>40001</v>
      </c>
      <c r="B105" s="741" t="str">
        <f aca="false">Summary!Q74</f>
        <v>General Requirements</v>
      </c>
      <c r="C105" s="318"/>
      <c r="D105" s="742" t="n">
        <f aca="false">SUM(L100:M102)</f>
        <v>0</v>
      </c>
    </row>
    <row r="106" customFormat="false" ht="15" hidden="false" customHeight="false" outlineLevel="0" collapsed="false">
      <c r="A106" s="1404" t="n">
        <f aca="false">Summary!P75</f>
        <v>40002</v>
      </c>
      <c r="B106" s="741" t="str">
        <f aca="false">Summary!Q75</f>
        <v>Lumber</v>
      </c>
      <c r="C106" s="318"/>
      <c r="D106" s="751" t="n">
        <f aca="false">SUM(W51:W76)+W77+W78+W79+W81+W82</f>
        <v>0</v>
      </c>
    </row>
    <row r="107" customFormat="false" ht="15" hidden="false" customHeight="false" outlineLevel="0" collapsed="false">
      <c r="A107" s="1404" t="n">
        <f aca="false">Summary!P76</f>
        <v>40003</v>
      </c>
      <c r="B107" s="741" t="str">
        <f aca="false">Summary!Q76</f>
        <v>Sand Material</v>
      </c>
      <c r="C107" s="318"/>
      <c r="D107" s="751" t="n">
        <f aca="false">N59</f>
        <v>0</v>
      </c>
    </row>
    <row r="108" customFormat="false" ht="15" hidden="false" customHeight="false" outlineLevel="0" collapsed="false">
      <c r="A108" s="1404" t="n">
        <f aca="false">Summary!P77</f>
        <v>40004</v>
      </c>
      <c r="B108" s="741" t="str">
        <f aca="false">Summary!Q77</f>
        <v>Rock Material</v>
      </c>
      <c r="C108" s="318"/>
      <c r="D108" s="751" t="n">
        <f aca="false">N60</f>
        <v>0</v>
      </c>
    </row>
    <row r="109" customFormat="false" ht="15" hidden="false" customHeight="false" outlineLevel="0" collapsed="false">
      <c r="A109" s="1404" t="n">
        <f aca="false">Summary!P78</f>
        <v>40005</v>
      </c>
      <c r="B109" s="741" t="str">
        <f aca="false">Summary!Q78</f>
        <v>Reinforcement Material</v>
      </c>
      <c r="C109" s="318"/>
      <c r="D109" s="751" t="n">
        <f aca="false">N56+N57</f>
        <v>0</v>
      </c>
    </row>
    <row r="110" customFormat="false" ht="15" hidden="false" customHeight="false" outlineLevel="0" collapsed="false">
      <c r="A110" s="1404" t="n">
        <f aca="false">Summary!P79</f>
        <v>40006</v>
      </c>
      <c r="B110" s="741" t="str">
        <f aca="false">Summary!Q79</f>
        <v>Reinforcement Accessories</v>
      </c>
      <c r="C110" s="318"/>
      <c r="D110" s="751" t="n">
        <f aca="false">SUM(W83:DA85)+W94</f>
        <v>0</v>
      </c>
    </row>
    <row r="111" customFormat="false" ht="15" hidden="false" customHeight="false" outlineLevel="0" collapsed="false">
      <c r="A111" s="1404" t="n">
        <f aca="false">Summary!P80</f>
        <v>40007</v>
      </c>
      <c r="B111" s="741" t="str">
        <f aca="false">Summary!Q80</f>
        <v>PT Cables</v>
      </c>
      <c r="C111" s="318"/>
      <c r="D111" s="751" t="n">
        <f aca="false">N58</f>
        <v>0</v>
      </c>
    </row>
    <row r="112" customFormat="false" ht="15" hidden="false" customHeight="false" outlineLevel="0" collapsed="false">
      <c r="A112" s="1404" t="n">
        <f aca="false">Summary!P81</f>
        <v>40008</v>
      </c>
      <c r="B112" s="741" t="str">
        <f aca="false">Summary!Q81</f>
        <v>Concrete Material</v>
      </c>
      <c r="C112" s="318"/>
      <c r="D112" s="751" t="n">
        <f aca="false">SUM(N51:O55)</f>
        <v>0</v>
      </c>
    </row>
    <row r="113" customFormat="false" ht="15" hidden="false" customHeight="false" outlineLevel="0" collapsed="false">
      <c r="A113" s="1404" t="n">
        <f aca="false">Summary!P82</f>
        <v>40009</v>
      </c>
      <c r="B113" s="741" t="str">
        <f aca="false">Summary!Q82</f>
        <v>Carton Forms</v>
      </c>
      <c r="C113" s="318"/>
      <c r="D113" s="751" t="n">
        <f aca="false">SUM(N61:O63)</f>
        <v>0</v>
      </c>
    </row>
    <row r="114" customFormat="false" ht="15" hidden="false" customHeight="false" outlineLevel="0" collapsed="false">
      <c r="A114" s="1404" t="n">
        <f aca="false">Summary!P83</f>
        <v>40010</v>
      </c>
      <c r="B114" s="741" t="str">
        <f aca="false">Summary!Q83</f>
        <v>Cure/Sealers</v>
      </c>
      <c r="C114" s="318"/>
      <c r="D114" s="751" t="n">
        <f aca="false">SUM(W89:W91)</f>
        <v>0</v>
      </c>
    </row>
    <row r="115" customFormat="false" ht="15" hidden="false" customHeight="false" outlineLevel="0" collapsed="false">
      <c r="A115" s="1404" t="n">
        <f aca="false">Summary!P84</f>
        <v>40011</v>
      </c>
      <c r="B115" s="741" t="str">
        <f aca="false">Summary!Q84</f>
        <v>Patch/Grout</v>
      </c>
      <c r="C115" s="318"/>
      <c r="D115" s="751"/>
    </row>
    <row r="116" customFormat="false" ht="15" hidden="false" customHeight="false" outlineLevel="0" collapsed="false">
      <c r="A116" s="1404" t="n">
        <f aca="false">Summary!P85</f>
        <v>40012</v>
      </c>
      <c r="B116" s="741" t="str">
        <f aca="false">Summary!Q85</f>
        <v>Poly/Vapor Barrier</v>
      </c>
      <c r="C116" s="318"/>
      <c r="D116" s="751"/>
    </row>
    <row r="117" customFormat="false" ht="15" hidden="false" customHeight="false" outlineLevel="0" collapsed="false">
      <c r="A117" s="1404" t="n">
        <f aca="false">Summary!P86</f>
        <v>40013</v>
      </c>
      <c r="B117" s="741" t="s">
        <v>1105</v>
      </c>
      <c r="C117" s="318"/>
      <c r="D117" s="751" t="n">
        <f aca="false">W86</f>
        <v>0</v>
      </c>
    </row>
    <row r="118" customFormat="false" ht="15" hidden="false" customHeight="false" outlineLevel="0" collapsed="false">
      <c r="A118" s="1404" t="n">
        <f aca="false">Summary!P87</f>
        <v>40014</v>
      </c>
      <c r="B118" s="741" t="s">
        <v>1105</v>
      </c>
      <c r="C118" s="318"/>
      <c r="D118" s="751" t="n">
        <f aca="false">W87</f>
        <v>0</v>
      </c>
    </row>
    <row r="119" customFormat="false" ht="15" hidden="false" customHeight="false" outlineLevel="0" collapsed="false">
      <c r="A119" s="1404" t="n">
        <f aca="false">Summary!P88</f>
        <v>40015</v>
      </c>
      <c r="B119" s="741" t="s">
        <v>1108</v>
      </c>
      <c r="C119" s="318"/>
      <c r="D119" s="751" t="n">
        <f aca="false">W88</f>
        <v>0</v>
      </c>
    </row>
    <row r="120" customFormat="false" ht="15" hidden="false" customHeight="false" outlineLevel="0" collapsed="false">
      <c r="A120" s="1404" t="n">
        <f aca="false">Summary!P89</f>
        <v>40020</v>
      </c>
      <c r="B120" s="741" t="str">
        <f aca="false">Summary!Q89</f>
        <v>Supervision</v>
      </c>
      <c r="C120" s="318"/>
      <c r="D120" s="751" t="n">
        <f aca="false">SUM(N78:O79)</f>
        <v>0</v>
      </c>
    </row>
    <row r="121" customFormat="false" ht="15" hidden="false" customHeight="false" outlineLevel="0" collapsed="false">
      <c r="A121" s="1404" t="n">
        <f aca="false">Summary!P90</f>
        <v>40021</v>
      </c>
      <c r="B121" s="741" t="str">
        <f aca="false">Summary!Q90</f>
        <v>Supervision Expense</v>
      </c>
      <c r="C121" s="318"/>
      <c r="D121" s="751" t="n">
        <f aca="false">SUM(N80)</f>
        <v>0</v>
      </c>
    </row>
    <row r="122" customFormat="false" ht="15" hidden="false" customHeight="false" outlineLevel="0" collapsed="false">
      <c r="A122" s="1404" t="n">
        <f aca="false">Summary!P91</f>
        <v>40022</v>
      </c>
      <c r="B122" s="741" t="str">
        <f aca="false">Summary!Q91</f>
        <v>Project Management</v>
      </c>
      <c r="C122" s="318"/>
      <c r="D122" s="751" t="n">
        <f aca="false">N81</f>
        <v>0</v>
      </c>
    </row>
    <row r="123" customFormat="false" ht="15" hidden="false" customHeight="false" outlineLevel="0" collapsed="false">
      <c r="A123" s="1404" t="n">
        <f aca="false">Summary!P92</f>
        <v>40023</v>
      </c>
      <c r="B123" s="741" t="str">
        <f aca="false">Summary!Q92</f>
        <v>Labor Grade, Poly, Reinf.</v>
      </c>
      <c r="C123" s="318"/>
      <c r="D123" s="751" t="n">
        <f aca="false">K66</f>
        <v>0</v>
      </c>
    </row>
    <row r="124" customFormat="false" ht="15" hidden="false" customHeight="false" outlineLevel="0" collapsed="false">
      <c r="A124" s="1404" t="n">
        <f aca="false">Summary!P93</f>
        <v>40024</v>
      </c>
      <c r="B124" s="741" t="str">
        <f aca="false">Summary!Q93</f>
        <v>Labor Place &amp; Finish</v>
      </c>
      <c r="C124" s="318"/>
      <c r="D124" s="1405" t="n">
        <f aca="false">K68</f>
        <v>0</v>
      </c>
    </row>
    <row r="125" customFormat="false" ht="15" hidden="false" customHeight="false" outlineLevel="0" collapsed="false">
      <c r="A125" s="1404" t="n">
        <f aca="false">Summary!P94</f>
        <v>40025</v>
      </c>
      <c r="B125" s="741" t="str">
        <f aca="false">Summary!Q94</f>
        <v>Labor Drops</v>
      </c>
      <c r="C125" s="318"/>
      <c r="D125" s="751" t="n">
        <f aca="false">K70</f>
        <v>0</v>
      </c>
    </row>
    <row r="126" customFormat="false" ht="15" hidden="false" customHeight="false" outlineLevel="0" collapsed="false">
      <c r="A126" s="1404" t="n">
        <f aca="false">Summary!P95</f>
        <v>40026</v>
      </c>
      <c r="B126" s="741" t="str">
        <f aca="false">Summary!Q95</f>
        <v>Labor Strip Forms</v>
      </c>
      <c r="C126" s="318"/>
      <c r="D126" s="751" t="n">
        <f aca="false">K69</f>
        <v>0</v>
      </c>
    </row>
    <row r="127" customFormat="false" ht="15" hidden="false" customHeight="false" outlineLevel="0" collapsed="false">
      <c r="A127" s="1404" t="n">
        <f aca="false">Summary!P96</f>
        <v>40027</v>
      </c>
      <c r="B127" s="741" t="str">
        <f aca="false">Summary!Q96</f>
        <v>Labor Burden</v>
      </c>
      <c r="C127" s="318"/>
      <c r="D127" s="751"/>
    </row>
    <row r="128" customFormat="false" ht="15" hidden="false" customHeight="false" outlineLevel="0" collapsed="false">
      <c r="A128" s="1404" t="n">
        <f aca="false">Summary!P98</f>
        <v>40030</v>
      </c>
      <c r="B128" s="741" t="str">
        <f aca="false">Summary!Q98</f>
        <v>Pumping</v>
      </c>
      <c r="C128" s="318"/>
      <c r="D128" s="751" t="n">
        <f aca="false">N90</f>
        <v>0</v>
      </c>
    </row>
    <row r="129" customFormat="false" ht="15" hidden="false" customHeight="false" outlineLevel="0" collapsed="false">
      <c r="A129" s="1404" t="n">
        <f aca="false">Summary!P99</f>
        <v>40031</v>
      </c>
      <c r="B129" s="741" t="str">
        <f aca="false">Summary!Q99</f>
        <v>Earth Work/Excavation</v>
      </c>
      <c r="C129" s="318"/>
      <c r="D129" s="751"/>
    </row>
    <row r="130" customFormat="false" ht="15" hidden="false" customHeight="false" outlineLevel="0" collapsed="false">
      <c r="A130" s="1404" t="n">
        <f aca="false">Summary!P100</f>
        <v>40032</v>
      </c>
      <c r="B130" s="741" t="str">
        <f aca="false">Summary!Q100</f>
        <v>Drilling</v>
      </c>
      <c r="C130" s="318"/>
      <c r="D130" s="751"/>
    </row>
    <row r="131" customFormat="false" ht="15" hidden="false" customHeight="false" outlineLevel="0" collapsed="false">
      <c r="A131" s="1404" t="n">
        <f aca="false">Summary!P101</f>
        <v>40033</v>
      </c>
      <c r="B131" s="741" t="str">
        <f aca="false">Summary!Q101</f>
        <v>Haul off</v>
      </c>
      <c r="C131" s="318"/>
      <c r="D131" s="751" t="n">
        <f aca="false">N94</f>
        <v>0</v>
      </c>
    </row>
    <row r="132" customFormat="false" ht="15" hidden="false" customHeight="false" outlineLevel="0" collapsed="false">
      <c r="A132" s="1404" t="n">
        <f aca="false">Summary!P102</f>
        <v>40034</v>
      </c>
      <c r="B132" s="741" t="str">
        <f aca="false">Summary!Q102</f>
        <v>Saw Cutting/Sealing</v>
      </c>
      <c r="C132" s="318"/>
      <c r="D132" s="751" t="n">
        <f aca="false">N92</f>
        <v>0</v>
      </c>
    </row>
    <row r="133" customFormat="false" ht="15" hidden="false" customHeight="false" outlineLevel="0" collapsed="false">
      <c r="A133" s="1404" t="n">
        <f aca="false">Summary!P103</f>
        <v>40035</v>
      </c>
      <c r="B133" s="741" t="str">
        <f aca="false">Summary!Q103</f>
        <v>Demolition</v>
      </c>
      <c r="C133" s="318"/>
      <c r="D133" s="751"/>
    </row>
    <row r="134" customFormat="false" ht="15" hidden="false" customHeight="false" outlineLevel="0" collapsed="false">
      <c r="A134" s="1404" t="n">
        <f aca="false">Summary!P104</f>
        <v>40037</v>
      </c>
      <c r="B134" s="741" t="str">
        <f aca="false">Summary!Q104</f>
        <v>Waterproofing</v>
      </c>
      <c r="C134" s="318"/>
      <c r="D134" s="751" t="n">
        <f aca="false">N91</f>
        <v>0</v>
      </c>
    </row>
    <row r="135" customFormat="false" ht="15" hidden="false" customHeight="false" outlineLevel="0" collapsed="false">
      <c r="A135" s="1404" t="n">
        <f aca="false">Summary!P105</f>
        <v>40038</v>
      </c>
      <c r="B135" s="741" t="str">
        <f aca="false">Summary!Q105</f>
        <v>Crain/Hoisting</v>
      </c>
      <c r="C135" s="318"/>
      <c r="D135" s="751"/>
    </row>
    <row r="136" customFormat="false" ht="15" hidden="false" customHeight="false" outlineLevel="0" collapsed="false">
      <c r="A136" s="1406" t="n">
        <f aca="false">Summary!P106</f>
        <v>40039</v>
      </c>
      <c r="B136" s="788" t="str">
        <f aca="false">Summary!Q106</f>
        <v>Forming Systems</v>
      </c>
      <c r="C136" s="800"/>
      <c r="D136" s="2054" t="n">
        <f aca="false">N64</f>
        <v>0</v>
      </c>
    </row>
    <row r="137" customFormat="false" ht="15" hidden="false" customHeight="false" outlineLevel="0" collapsed="false">
      <c r="A137" s="2055" t="n">
        <f aca="false">Summary!P107</f>
        <v>40040</v>
      </c>
      <c r="B137" s="2056" t="str">
        <f aca="false">Summary!Q107</f>
        <v>Total Sub Labor</v>
      </c>
      <c r="C137" s="2057"/>
      <c r="D137" s="2058" t="n">
        <f aca="false">SUM(D138:D145)</f>
        <v>0</v>
      </c>
    </row>
    <row r="138" customFormat="false" ht="15" hidden="false" customHeight="false" outlineLevel="0" collapsed="false">
      <c r="A138" s="1404" t="n">
        <f aca="false">Summary!P108</f>
        <v>40041</v>
      </c>
      <c r="B138" s="741" t="str">
        <f aca="false">Summary!Q108</f>
        <v>Labor Forming</v>
      </c>
      <c r="C138" s="318"/>
      <c r="D138" s="742" t="n">
        <f aca="false">N67</f>
        <v>0</v>
      </c>
    </row>
    <row r="139" customFormat="false" ht="15" hidden="false" customHeight="false" outlineLevel="0" collapsed="false">
      <c r="A139" s="1404" t="n">
        <f aca="false">Summary!P109</f>
        <v>40042</v>
      </c>
      <c r="B139" s="741" t="str">
        <f aca="false">Summary!Q109</f>
        <v>Labor Grade, Poly, Reinf.</v>
      </c>
      <c r="C139" s="749"/>
      <c r="D139" s="742" t="n">
        <f aca="false">N66+N74+N73</f>
        <v>0</v>
      </c>
    </row>
    <row r="140" customFormat="false" ht="15" hidden="false" customHeight="false" outlineLevel="0" collapsed="false">
      <c r="A140" s="1404" t="n">
        <f aca="false">Summary!P110</f>
        <v>40043</v>
      </c>
      <c r="B140" s="741" t="str">
        <f aca="false">Summary!Q110</f>
        <v>Labor Place &amp; Finish</v>
      </c>
      <c r="C140" s="749"/>
      <c r="D140" s="742" t="n">
        <f aca="false">N68</f>
        <v>0</v>
      </c>
    </row>
    <row r="141" customFormat="false" ht="15" hidden="false" customHeight="false" outlineLevel="0" collapsed="false">
      <c r="A141" s="1404" t="n">
        <f aca="false">Summary!P111</f>
        <v>40044</v>
      </c>
      <c r="B141" s="741" t="str">
        <f aca="false">Summary!Q111</f>
        <v>Labor Drops</v>
      </c>
      <c r="C141" s="749"/>
      <c r="D141" s="742"/>
    </row>
    <row r="142" customFormat="false" ht="15" hidden="false" customHeight="false" outlineLevel="0" collapsed="false">
      <c r="A142" s="1404" t="n">
        <f aca="false">Summary!P112</f>
        <v>40045</v>
      </c>
      <c r="B142" s="741" t="str">
        <f aca="false">Summary!Q112</f>
        <v>Labor Strip Forms</v>
      </c>
      <c r="C142" s="749"/>
      <c r="D142" s="742" t="n">
        <f aca="false">N69</f>
        <v>0</v>
      </c>
    </row>
    <row r="143" customFormat="false" ht="15" hidden="false" customHeight="false" outlineLevel="0" collapsed="false">
      <c r="A143" s="1404" t="n">
        <f aca="false">Summary!P113</f>
        <v>40046</v>
      </c>
      <c r="B143" s="741" t="str">
        <f aca="false">Summary!Q113</f>
        <v>Labor Burden</v>
      </c>
      <c r="C143" s="318"/>
      <c r="D143" s="751" t="n">
        <f aca="false">N70+N72</f>
        <v>0</v>
      </c>
    </row>
    <row r="144" customFormat="false" ht="15" hidden="false" customHeight="false" outlineLevel="0" collapsed="false">
      <c r="A144" s="1404" t="n">
        <f aca="false">Summary!P114</f>
        <v>40047</v>
      </c>
      <c r="B144" s="741" t="str">
        <f aca="false">Summary!Q114</f>
        <v>Rebar</v>
      </c>
      <c r="C144" s="749"/>
      <c r="D144" s="742" t="n">
        <f aca="false">N71</f>
        <v>0</v>
      </c>
    </row>
    <row r="145" customFormat="false" ht="15" hidden="false" customHeight="false" outlineLevel="0" collapsed="false">
      <c r="A145" s="1406" t="n">
        <f aca="false">Summary!P115</f>
        <v>40048</v>
      </c>
      <c r="B145" s="788" t="str">
        <f aca="false">Summary!Q115</f>
        <v>PT Installation</v>
      </c>
      <c r="C145" s="800"/>
      <c r="D145" s="2054"/>
    </row>
    <row r="146" customFormat="false" ht="15" hidden="false" customHeight="false" outlineLevel="0" collapsed="false">
      <c r="A146" s="1406" t="n">
        <f aca="false">Summary!P116</f>
        <v>40049</v>
      </c>
      <c r="B146" s="788" t="str">
        <f aca="false">Summary!Q116</f>
        <v>Extra Hours</v>
      </c>
      <c r="C146" s="800"/>
      <c r="D146" s="756" t="n">
        <f aca="false">N75</f>
        <v>0</v>
      </c>
    </row>
    <row r="147" customFormat="false" ht="15" hidden="false" customHeight="false" outlineLevel="0" collapsed="false">
      <c r="A147" s="2055" t="n">
        <f aca="false">Summary!P117</f>
        <v>40060</v>
      </c>
      <c r="B147" s="2056" t="str">
        <f aca="false">Summary!Q117</f>
        <v>Total Equipment Rental</v>
      </c>
      <c r="C147" s="2057"/>
      <c r="D147" s="2058" t="n">
        <f aca="false">SUM(D148:D153)</f>
        <v>0</v>
      </c>
    </row>
    <row r="148" customFormat="false" ht="15" hidden="false" customHeight="false" outlineLevel="0" collapsed="false">
      <c r="A148" s="1404" t="n">
        <f aca="false">Summary!P118</f>
        <v>40061</v>
      </c>
      <c r="B148" s="741" t="str">
        <f aca="false">Summary!Q118</f>
        <v>SkyTrack</v>
      </c>
      <c r="C148" s="318"/>
      <c r="D148" s="742" t="n">
        <f aca="false">N83/(1+V$39+I$85)</f>
        <v>0</v>
      </c>
    </row>
    <row r="149" customFormat="false" ht="15" hidden="false" customHeight="false" outlineLevel="0" collapsed="false">
      <c r="A149" s="1404" t="n">
        <f aca="false">Summary!P119</f>
        <v>40062</v>
      </c>
      <c r="B149" s="741" t="str">
        <f aca="false">Summary!Q119</f>
        <v>Mini Excavator</v>
      </c>
      <c r="C149" s="318"/>
      <c r="D149" s="742" t="n">
        <f aca="false">N84/(1+V$39+I$85)</f>
        <v>0</v>
      </c>
    </row>
    <row r="150" customFormat="false" ht="15" hidden="false" customHeight="false" outlineLevel="0" collapsed="false">
      <c r="A150" s="1404" t="n">
        <f aca="false">Summary!P120</f>
        <v>40063</v>
      </c>
      <c r="B150" s="741" t="str">
        <f aca="false">Summary!Q120</f>
        <v>Trencher</v>
      </c>
      <c r="C150" s="318"/>
      <c r="D150" s="742" t="n">
        <f aca="false">N85/(1+V$39+I$85)</f>
        <v>0</v>
      </c>
    </row>
    <row r="151" customFormat="false" ht="15" hidden="false" customHeight="false" outlineLevel="0" collapsed="false">
      <c r="A151" s="1404" t="n">
        <f aca="false">Summary!P121</f>
        <v>40064</v>
      </c>
      <c r="B151" s="741" t="str">
        <f aca="false">Summary!Q121</f>
        <v>Skid Steer</v>
      </c>
      <c r="C151" s="318"/>
      <c r="D151" s="742" t="n">
        <f aca="false">N86/(1+V$39+I$85)</f>
        <v>0</v>
      </c>
    </row>
    <row r="152" customFormat="false" ht="15" hidden="false" customHeight="false" outlineLevel="0" collapsed="false">
      <c r="A152" s="1404" t="n">
        <f aca="false">Summary!P122</f>
        <v>40065</v>
      </c>
      <c r="B152" s="741" t="str">
        <f aca="false">Summary!Q122</f>
        <v>General Equipment Rental</v>
      </c>
      <c r="C152" s="318"/>
      <c r="D152" s="742" t="n">
        <f aca="false">(N87+N88)/(1+V$39+I$85)</f>
        <v>0</v>
      </c>
    </row>
    <row r="153" customFormat="false" ht="15" hidden="false" customHeight="false" outlineLevel="0" collapsed="false">
      <c r="A153" s="1404" t="n">
        <f aca="false">Summary!P123</f>
        <v>40066</v>
      </c>
      <c r="B153" s="741" t="str">
        <f aca="false">Summary!Q123</f>
        <v>Fuel</v>
      </c>
      <c r="C153" s="318"/>
      <c r="D153" s="742" t="n">
        <f aca="false">L85-SUM(D148:D152)</f>
        <v>0</v>
      </c>
    </row>
    <row r="154" customFormat="false" ht="15" hidden="false" customHeight="false" outlineLevel="0" collapsed="false">
      <c r="A154" s="1404" t="n">
        <f aca="false">Summary!P124</f>
        <v>40067</v>
      </c>
      <c r="B154" s="741" t="str">
        <f aca="false">Summary!Q124</f>
        <v>Purchased Tools</v>
      </c>
      <c r="C154" s="318"/>
      <c r="D154" s="742"/>
    </row>
    <row r="155" customFormat="false" ht="15" hidden="false" customHeight="false" outlineLevel="0" collapsed="false">
      <c r="A155" s="1404" t="n">
        <f aca="false">Summary!P125</f>
        <v>40068</v>
      </c>
      <c r="B155" s="741" t="str">
        <f aca="false">Summary!Q125</f>
        <v>Stolen/Damaged</v>
      </c>
      <c r="C155" s="318"/>
      <c r="D155" s="742"/>
    </row>
    <row r="156" customFormat="false" ht="15" hidden="false" customHeight="false" outlineLevel="0" collapsed="false">
      <c r="A156" s="1404" t="n">
        <f aca="false">Summary!P126</f>
        <v>40070</v>
      </c>
      <c r="B156" s="741" t="str">
        <f aca="false">Summary!Q126</f>
        <v>Out of Town Expense</v>
      </c>
      <c r="C156" s="318"/>
      <c r="D156" s="742" t="n">
        <f aca="false">N95</f>
        <v>0</v>
      </c>
    </row>
    <row r="157" customFormat="false" ht="15" hidden="false" customHeight="false" outlineLevel="0" collapsed="false">
      <c r="A157" s="1404" t="n">
        <f aca="false">Summary!P127</f>
        <v>40071</v>
      </c>
      <c r="B157" s="741" t="str">
        <f aca="false">Summary!Q127</f>
        <v>Miscellaneous</v>
      </c>
      <c r="C157" s="318"/>
      <c r="D157" s="751" t="n">
        <f aca="false">N93</f>
        <v>0</v>
      </c>
    </row>
    <row r="158" customFormat="false" ht="15" hidden="false" customHeight="false" outlineLevel="0" collapsed="false">
      <c r="A158" s="1404" t="n">
        <f aca="false">Summary!P128</f>
        <v>40072</v>
      </c>
      <c r="B158" s="741" t="str">
        <f aca="false">Summary!Q128</f>
        <v>Repairs</v>
      </c>
      <c r="C158" s="318"/>
      <c r="D158" s="751"/>
    </row>
    <row r="159" customFormat="false" ht="15" hidden="false" customHeight="false" outlineLevel="0" collapsed="false">
      <c r="A159" s="1404" t="n">
        <f aca="false">Summary!P129</f>
        <v>40073</v>
      </c>
      <c r="B159" s="741" t="str">
        <f aca="false">Summary!Q129</f>
        <v>Engineering</v>
      </c>
      <c r="C159" s="318"/>
      <c r="D159" s="751"/>
    </row>
    <row r="160" customFormat="false" ht="15" hidden="false" customHeight="false" outlineLevel="0" collapsed="false">
      <c r="A160" s="1404" t="n">
        <f aca="false">Summary!P130</f>
        <v>40090</v>
      </c>
      <c r="B160" s="741" t="str">
        <f aca="false">Summary!Q130</f>
        <v>Not Used</v>
      </c>
      <c r="C160" s="318"/>
      <c r="D160" s="751"/>
    </row>
    <row r="161" customFormat="false" ht="15" hidden="false" customHeight="false" outlineLevel="0" collapsed="false">
      <c r="A161" s="1404" t="n">
        <f aca="false">Summary!P131</f>
        <v>40091</v>
      </c>
      <c r="B161" s="741" t="str">
        <f aca="false">Summary!Q131</f>
        <v>Margin Contingency</v>
      </c>
      <c r="C161" s="318"/>
      <c r="D161" s="751" t="n">
        <f aca="false">N96</f>
        <v>0</v>
      </c>
    </row>
  </sheetData>
  <mergeCells count="123">
    <mergeCell ref="C6:D6"/>
    <mergeCell ref="C7:D7"/>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1:D27">
    <cfRule type="expression" priority="2" aboveAverage="0" equalAverage="0" bottom="0" percent="0" rank="0" text="" dxfId="11">
      <formula>AND(E11&lt;&gt;"",ISERROR(MATCH(D11,$A$51:$A$55,0)))</formula>
    </cfRule>
  </conditionalFormatting>
  <conditionalFormatting sqref="K50:L50">
    <cfRule type="containsText" priority="3" operator="containsText" aboveAverage="0" equalAverage="0" bottom="0" percent="0" rank="0" text="Missing Concrete" dxfId="12">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J161"/>
  <sheetViews>
    <sheetView showFormulas="false" showGridLines="true" showRowColHeaders="true" showZeros="true" rightToLeft="false" tabSelected="false" showOutlineSymbols="true" defaultGridColor="true" view="normal" topLeftCell="A9" colorId="64" zoomScale="65" zoomScaleNormal="65" zoomScalePageLayoutView="70" workbookViewId="0">
      <selection pane="topLeft" activeCell="E28" activeCellId="0" sqref="E28"/>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6.18"/>
    <col collapsed="false" customWidth="true" hidden="false" outlineLevel="0" max="3" min="3" style="16" width="16.82"/>
    <col collapsed="false" customWidth="true" hidden="false" outlineLevel="0" max="4" min="4" style="16" width="14.18"/>
    <col collapsed="false" customWidth="true" hidden="false" outlineLevel="0" max="5" min="5" style="16" width="10.82"/>
    <col collapsed="false" customWidth="true" hidden="false" outlineLevel="0" max="6" min="6" style="16" width="14.45"/>
    <col collapsed="false" customWidth="true" hidden="false" outlineLevel="0" max="8" min="7" style="16" width="10.82"/>
    <col collapsed="false" customWidth="true" hidden="false" outlineLevel="0" max="9" min="9" style="16" width="12.18"/>
    <col collapsed="false" customWidth="true" hidden="false" outlineLevel="0" max="10" min="10" style="16" width="13.45"/>
    <col collapsed="false" customWidth="true" hidden="false" outlineLevel="0" max="13" min="11" style="16" width="10.82"/>
    <col collapsed="false" customWidth="true" hidden="false" outlineLevel="0" max="14" min="14" style="16" width="13.45"/>
    <col collapsed="false" customWidth="true" hidden="false" outlineLevel="0" max="15" min="15" style="16" width="12.54"/>
    <col collapsed="false" customWidth="true" hidden="false" outlineLevel="0" max="16" min="16" style="16" width="14.18"/>
    <col collapsed="false" customWidth="true" hidden="false" outlineLevel="0" max="17" min="17" style="16" width="12.18"/>
    <col collapsed="false" customWidth="true" hidden="false" outlineLevel="0" max="20" min="18" style="16" width="10.82"/>
    <col collapsed="false" customWidth="true" hidden="false" outlineLevel="0" max="21" min="21" style="16" width="12.54"/>
    <col collapsed="false" customWidth="true" hidden="false" outlineLevel="0" max="23" min="22" style="16" width="17.82"/>
    <col collapsed="false" customWidth="true" hidden="false" outlineLevel="0" max="24" min="24" style="0" width="4.82"/>
    <col collapsed="false" customWidth="true" hidden="false" outlineLevel="0" max="30" min="25" style="0" width="9.18"/>
    <col collapsed="false" customWidth="true" hidden="false" outlineLevel="0" max="31" min="31" style="0" width="14.18"/>
    <col collapsed="false" customWidth="true" hidden="false" outlineLevel="0" max="54" min="32" style="0" width="9.18"/>
    <col collapsed="false" customWidth="true" hidden="false" outlineLevel="0" max="55" min="55" style="0" width="11.18"/>
    <col collapsed="false" customWidth="true" hidden="false" outlineLevel="0" max="56" min="56" style="0" width="14.18"/>
    <col collapsed="false" customWidth="true" hidden="false" outlineLevel="0" max="58" min="57" style="0" width="10.18"/>
    <col collapsed="false" customWidth="true" hidden="false" outlineLevel="0" max="59" min="59" style="0" width="11.82"/>
    <col collapsed="false" customWidth="true" hidden="false" outlineLevel="0" max="61" min="60" style="0" width="9.18"/>
    <col collapsed="false" customWidth="true" hidden="false" outlineLevel="0" max="62" min="62" style="0" width="11.54"/>
    <col collapsed="false" customWidth="true" hidden="false" outlineLevel="0" max="63" min="63" style="0" width="20.82"/>
    <col collapsed="false" customWidth="true" hidden="false" outlineLevel="0" max="64" min="64" style="0" width="19.18"/>
    <col collapsed="false" customWidth="true" hidden="false" outlineLevel="0" max="65" min="65" style="0" width="19"/>
    <col collapsed="false" customWidth="true" hidden="false" outlineLevel="0" max="66" min="66" style="0" width="20.82"/>
    <col collapsed="false" customWidth="true" hidden="false" outlineLevel="0" max="67" min="67" style="0" width="16.82"/>
    <col collapsed="false" customWidth="true" hidden="false" outlineLevel="0" max="68" min="68" style="0" width="16"/>
    <col collapsed="false" customWidth="true" hidden="false" outlineLevel="0" max="69" min="69" style="0" width="26.54"/>
    <col collapsed="false" customWidth="true" hidden="false" outlineLevel="0" max="70" min="70" style="0" width="10.82"/>
    <col collapsed="false" customWidth="true" hidden="false" outlineLevel="0" max="72" min="71" style="0" width="12.54"/>
    <col collapsed="false" customWidth="true" hidden="false" outlineLevel="0" max="73" min="73" style="0" width="9.18"/>
    <col collapsed="false" customWidth="true" hidden="false" outlineLevel="0" max="74" min="74" style="0" width="11.82"/>
    <col collapsed="false" customWidth="true" hidden="false" outlineLevel="0" max="75" min="75" style="0" width="9.82"/>
    <col collapsed="false" customWidth="true" hidden="false" outlineLevel="0" max="105" min="76" style="0" width="9.18"/>
    <col collapsed="false" customWidth="true" hidden="false" outlineLevel="0" max="106" min="106" style="0" width="13"/>
    <col collapsed="false" customWidth="true" hidden="false" outlineLevel="0" max="114" min="107" style="0" width="10.82"/>
    <col collapsed="false" customWidth="true" hidden="false" outlineLevel="0" max="266" min="115" style="0" width="9.18"/>
  </cols>
  <sheetData>
    <row r="1" s="1414" customFormat="true" ht="15" hidden="false" customHeight="false" outlineLevel="0" collapsed="false">
      <c r="A1" s="710"/>
      <c r="B1" s="614"/>
      <c r="C1" s="614"/>
      <c r="D1" s="614"/>
      <c r="E1" s="614"/>
      <c r="F1" s="614"/>
      <c r="G1" s="614"/>
      <c r="H1" s="614"/>
      <c r="I1" s="614"/>
      <c r="J1" s="614"/>
      <c r="K1" s="614"/>
      <c r="L1" s="614"/>
      <c r="M1" s="614"/>
      <c r="N1" s="614"/>
      <c r="O1" s="614"/>
      <c r="P1" s="614"/>
      <c r="Q1" s="614"/>
      <c r="R1" s="614"/>
      <c r="S1" s="1068"/>
      <c r="T1" s="1197" t="s">
        <v>1193</v>
      </c>
      <c r="U1" s="1197"/>
      <c r="V1" s="1875" t="n">
        <v>37456</v>
      </c>
      <c r="W1" s="1198"/>
      <c r="AE1" s="1414" t="n">
        <f aca="false">SUM(AE67:AE127)</f>
        <v>0</v>
      </c>
    </row>
    <row r="2" s="1414" customFormat="true" ht="15" hidden="false" customHeight="false" outlineLevel="0" collapsed="false">
      <c r="A2" s="1415" t="str">
        <f aca="false">Summary!C1</f>
        <v>Trammell Crow – LBJ</v>
      </c>
      <c r="B2" s="1416"/>
      <c r="C2" s="1416"/>
      <c r="D2" s="1417"/>
      <c r="E2" s="654"/>
      <c r="F2" s="654"/>
      <c r="G2" s="406"/>
      <c r="H2" s="1268" t="s">
        <v>56</v>
      </c>
      <c r="I2" s="1068"/>
      <c r="J2" s="1202" t="s">
        <v>57</v>
      </c>
      <c r="K2" s="614"/>
      <c r="L2" s="614"/>
      <c r="M2" s="614"/>
      <c r="N2" s="1202" t="s">
        <v>1</v>
      </c>
      <c r="O2" s="1202"/>
      <c r="P2" s="1202" t="s">
        <v>1194</v>
      </c>
      <c r="Q2" s="865"/>
      <c r="R2" s="654"/>
      <c r="S2" s="654"/>
      <c r="T2" s="836" t="s">
        <v>957</v>
      </c>
      <c r="U2" s="695"/>
      <c r="V2" s="837" t="n">
        <f aca="false">Information!C7</f>
        <v>0</v>
      </c>
      <c r="W2" s="838"/>
    </row>
    <row r="3" s="1414" customFormat="true" ht="15" hidden="false" customHeight="false" outlineLevel="0" collapsed="false">
      <c r="A3" s="1420" t="n">
        <f aca="false">Summary!C2</f>
        <v>0</v>
      </c>
      <c r="B3" s="1421"/>
      <c r="C3" s="1421"/>
      <c r="D3" s="1422"/>
      <c r="E3" s="654"/>
      <c r="F3" s="654"/>
      <c r="G3" s="421"/>
      <c r="H3" s="1004" t="s">
        <v>955</v>
      </c>
      <c r="I3" s="1876" t="n">
        <f aca="false">Summary!K2</f>
        <v>0</v>
      </c>
      <c r="J3" s="1877"/>
      <c r="K3" s="1877"/>
      <c r="L3" s="1877"/>
      <c r="M3" s="1877"/>
      <c r="N3" s="1878" t="n">
        <f aca="false">Summary!O2</f>
        <v>0</v>
      </c>
      <c r="O3" s="1878"/>
      <c r="P3" s="1423" t="n">
        <f aca="false">Summary!P2</f>
        <v>0</v>
      </c>
      <c r="Q3" s="1424"/>
      <c r="R3" s="654"/>
      <c r="S3" s="654"/>
      <c r="T3" s="599"/>
      <c r="U3" s="16"/>
      <c r="V3" s="16"/>
      <c r="W3" s="843"/>
    </row>
    <row r="4" s="1414" customFormat="true" ht="15" hidden="false" customHeight="false" outlineLevel="0" collapsed="false">
      <c r="A4" s="1425" t="str">
        <f aca="false">Summary!C3</f>
        <v>Dallas, TX</v>
      </c>
      <c r="B4" s="1426"/>
      <c r="C4" s="1426"/>
      <c r="D4" s="1427"/>
      <c r="E4" s="654"/>
      <c r="F4" s="654"/>
      <c r="G4" s="421"/>
      <c r="H4" s="1004" t="s">
        <v>71</v>
      </c>
      <c r="I4" s="1879" t="n">
        <f aca="false">Summary!K3</f>
        <v>0</v>
      </c>
      <c r="J4" s="1880"/>
      <c r="K4" s="1880"/>
      <c r="L4" s="1880"/>
      <c r="M4" s="1880"/>
      <c r="N4" s="1881" t="n">
        <f aca="false">Summary!O3</f>
        <v>0</v>
      </c>
      <c r="O4" s="1881"/>
      <c r="P4" s="1428" t="n">
        <f aca="false">Summary!P3</f>
        <v>0</v>
      </c>
      <c r="Q4" s="1429"/>
      <c r="R4" s="654"/>
      <c r="S4" s="654"/>
      <c r="T4" s="599" t="s">
        <v>958</v>
      </c>
      <c r="U4" s="16"/>
      <c r="V4" s="848"/>
      <c r="W4" s="849"/>
    </row>
    <row r="5" s="1414" customFormat="true" ht="15" hidden="false" customHeight="false" outlineLevel="0" collapsed="false">
      <c r="A5" s="1041" t="s">
        <v>0</v>
      </c>
      <c r="B5" s="654"/>
      <c r="C5" s="405" t="s">
        <v>1</v>
      </c>
      <c r="D5" s="16"/>
      <c r="E5" s="654"/>
      <c r="F5" s="654"/>
      <c r="G5" s="421"/>
      <c r="H5" s="1004" t="s">
        <v>79</v>
      </c>
      <c r="I5" s="1882" t="n">
        <f aca="false">Summary!K4</f>
        <v>0</v>
      </c>
      <c r="J5" s="1883"/>
      <c r="K5" s="1883"/>
      <c r="L5" s="1883"/>
      <c r="M5" s="1883"/>
      <c r="N5" s="1432" t="n">
        <f aca="false">Summary!O4</f>
        <v>0</v>
      </c>
      <c r="O5" s="1432"/>
      <c r="P5" s="1884" t="n">
        <f aca="false">Summary!P4</f>
        <v>0</v>
      </c>
      <c r="Q5" s="1885"/>
      <c r="R5" s="654"/>
      <c r="S5" s="654"/>
      <c r="T5" s="599"/>
      <c r="U5" s="16"/>
      <c r="V5" s="16"/>
      <c r="W5" s="843"/>
    </row>
    <row r="6" s="1414" customFormat="true" ht="15" hidden="false" customHeight="false" outlineLevel="0" collapsed="false">
      <c r="A6" s="1211" t="n">
        <v>0</v>
      </c>
      <c r="B6" s="654"/>
      <c r="C6" s="851" t="n">
        <v>0</v>
      </c>
      <c r="D6" s="851"/>
      <c r="E6" s="654"/>
      <c r="F6" s="654"/>
      <c r="G6" s="685"/>
      <c r="H6" s="1212" t="s">
        <v>87</v>
      </c>
      <c r="I6" s="1886" t="n">
        <f aca="false">Summary!K5</f>
        <v>0</v>
      </c>
      <c r="J6" s="1887"/>
      <c r="K6" s="1887"/>
      <c r="L6" s="1887"/>
      <c r="M6" s="1887"/>
      <c r="N6" s="1888" t="n">
        <f aca="false">Summary!O5</f>
        <v>0</v>
      </c>
      <c r="O6" s="1888"/>
      <c r="P6" s="1889" t="n">
        <f aca="false">Summary!P5</f>
        <v>0</v>
      </c>
      <c r="Q6" s="1890"/>
      <c r="R6" s="654"/>
      <c r="S6" s="654"/>
      <c r="T6" s="602" t="s">
        <v>958</v>
      </c>
      <c r="U6" s="855"/>
      <c r="V6" s="855"/>
      <c r="W6" s="856"/>
    </row>
    <row r="7" s="1414" customFormat="true" ht="15" hidden="false" customHeight="false" outlineLevel="0" collapsed="false">
      <c r="A7" s="1214" t="n">
        <v>0</v>
      </c>
      <c r="B7" s="654"/>
      <c r="C7" s="1215" t="n">
        <v>0</v>
      </c>
      <c r="D7" s="1215"/>
      <c r="E7" s="654"/>
      <c r="F7" s="1212" t="s">
        <v>1196</v>
      </c>
      <c r="G7" s="1212"/>
      <c r="H7" s="1212"/>
      <c r="I7" s="860" t="str">
        <f aca="false">Pricing!A3</f>
        <v>SRM</v>
      </c>
      <c r="J7" s="860"/>
      <c r="K7" s="860"/>
      <c r="L7" s="860"/>
      <c r="M7" s="860"/>
      <c r="N7" s="726"/>
      <c r="O7" s="726"/>
      <c r="P7" s="726"/>
      <c r="Q7" s="726"/>
      <c r="R7" s="726"/>
      <c r="S7" s="654"/>
      <c r="T7" s="654"/>
      <c r="U7" s="654"/>
      <c r="V7" s="654"/>
      <c r="W7" s="1218"/>
    </row>
    <row r="8" s="1414" customFormat="true" ht="28.55" hidden="false" customHeight="false" outlineLevel="0" collapsed="false">
      <c r="A8" s="1219"/>
      <c r="B8" s="1891"/>
      <c r="C8" s="1892" t="s">
        <v>1660</v>
      </c>
      <c r="D8" s="1893" t="s">
        <v>1661</v>
      </c>
      <c r="E8" s="1894" t="s">
        <v>1662</v>
      </c>
      <c r="F8" s="1895"/>
      <c r="G8" s="1896"/>
      <c r="H8" s="1897" t="s">
        <v>1663</v>
      </c>
      <c r="I8" s="1895"/>
      <c r="J8" s="1896"/>
      <c r="K8" s="1897" t="s">
        <v>1664</v>
      </c>
      <c r="L8" s="1895"/>
      <c r="M8" s="1895"/>
      <c r="N8" s="1898" t="s">
        <v>1665</v>
      </c>
      <c r="O8" s="1457"/>
      <c r="P8" s="1457"/>
      <c r="Q8" s="1457" t="s">
        <v>785</v>
      </c>
      <c r="R8" s="1899" t="n">
        <v>3</v>
      </c>
      <c r="S8" s="1894" t="s">
        <v>1362</v>
      </c>
      <c r="T8" s="1457"/>
      <c r="U8" s="863"/>
      <c r="V8" s="1452" t="s">
        <v>1363</v>
      </c>
      <c r="W8" s="1673" t="s">
        <v>1219</v>
      </c>
      <c r="AI8" s="1414" t="s">
        <v>1666</v>
      </c>
      <c r="AS8" s="1414" t="s">
        <v>1667</v>
      </c>
      <c r="BJ8" s="1900" t="s">
        <v>1507</v>
      </c>
      <c r="BK8" s="1900"/>
      <c r="BL8" s="1900"/>
      <c r="BM8" s="1900"/>
      <c r="BN8" s="1900"/>
      <c r="BO8" s="1900"/>
      <c r="BP8" s="1900"/>
      <c r="BQ8" s="1900"/>
      <c r="BR8" s="1900"/>
      <c r="BS8" s="1901"/>
      <c r="BT8" s="1901"/>
      <c r="BU8" s="1901"/>
      <c r="BV8" s="1901"/>
      <c r="BW8" s="1902"/>
      <c r="DD8" s="1903" t="s">
        <v>1021</v>
      </c>
      <c r="DE8" s="1903"/>
      <c r="DF8" s="1903"/>
      <c r="DG8" s="1903"/>
      <c r="DH8" s="1904"/>
      <c r="DI8" s="1904"/>
      <c r="DJ8" s="1905"/>
    </row>
    <row r="9" s="1414" customFormat="true" ht="28.55" hidden="false" customHeight="true" outlineLevel="0" collapsed="false">
      <c r="A9" s="1906" t="s">
        <v>1668</v>
      </c>
      <c r="B9" s="1906"/>
      <c r="C9" s="1227" t="s">
        <v>1428</v>
      </c>
      <c r="D9" s="1907" t="s">
        <v>1669</v>
      </c>
      <c r="E9" s="1477" t="s">
        <v>1366</v>
      </c>
      <c r="F9" s="1226" t="s">
        <v>1670</v>
      </c>
      <c r="G9" s="1225" t="s">
        <v>1596</v>
      </c>
      <c r="H9" s="1226" t="s">
        <v>1216</v>
      </c>
      <c r="I9" s="1226" t="s">
        <v>1215</v>
      </c>
      <c r="J9" s="1477" t="s">
        <v>1671</v>
      </c>
      <c r="K9" s="1226" t="s">
        <v>1216</v>
      </c>
      <c r="L9" s="1227" t="s">
        <v>1215</v>
      </c>
      <c r="M9" s="1226" t="s">
        <v>1672</v>
      </c>
      <c r="N9" s="1908" t="s">
        <v>1673</v>
      </c>
      <c r="O9" s="1227" t="s">
        <v>1674</v>
      </c>
      <c r="P9" s="1227" t="s">
        <v>1216</v>
      </c>
      <c r="Q9" s="1227" t="s">
        <v>1215</v>
      </c>
      <c r="R9" s="1680" t="s">
        <v>1672</v>
      </c>
      <c r="S9" s="1230" t="s">
        <v>835</v>
      </c>
      <c r="T9" s="1227" t="s">
        <v>1675</v>
      </c>
      <c r="U9" s="1477" t="s">
        <v>1676</v>
      </c>
      <c r="V9" s="1480"/>
      <c r="W9" s="1682"/>
      <c r="AH9" s="1909" t="s">
        <v>1374</v>
      </c>
      <c r="AI9" s="1910" t="s">
        <v>1375</v>
      </c>
      <c r="AJ9" s="1910" t="s">
        <v>1376</v>
      </c>
      <c r="AK9" s="1910" t="s">
        <v>1377</v>
      </c>
      <c r="AL9" s="1910" t="s">
        <v>1378</v>
      </c>
      <c r="AM9" s="1910" t="s">
        <v>1522</v>
      </c>
      <c r="AN9" s="1910" t="s">
        <v>1523</v>
      </c>
      <c r="AO9" s="1910" t="s">
        <v>1524</v>
      </c>
      <c r="AP9" s="1910" t="s">
        <v>1525</v>
      </c>
      <c r="AQ9" s="1911" t="s">
        <v>1526</v>
      </c>
      <c r="AR9" s="1909" t="s">
        <v>1374</v>
      </c>
      <c r="AS9" s="1910" t="s">
        <v>1375</v>
      </c>
      <c r="AT9" s="1910" t="s">
        <v>1376</v>
      </c>
      <c r="AU9" s="1910" t="s">
        <v>1377</v>
      </c>
      <c r="AV9" s="1910" t="s">
        <v>1378</v>
      </c>
      <c r="AW9" s="1910" t="s">
        <v>1522</v>
      </c>
      <c r="AX9" s="1910" t="s">
        <v>1523</v>
      </c>
      <c r="AY9" s="1910" t="s">
        <v>1524</v>
      </c>
      <c r="AZ9" s="1910" t="s">
        <v>1525</v>
      </c>
      <c r="BA9" s="1911" t="s">
        <v>1526</v>
      </c>
      <c r="BB9" s="1414" t="s">
        <v>1677</v>
      </c>
      <c r="BC9" s="1414" t="s">
        <v>1678</v>
      </c>
      <c r="BD9" s="1414" t="s">
        <v>1385</v>
      </c>
      <c r="BE9" s="1414" t="s">
        <v>1386</v>
      </c>
      <c r="BF9" s="1414" t="s">
        <v>1387</v>
      </c>
      <c r="BG9" s="1414" t="s">
        <v>1679</v>
      </c>
      <c r="BH9" s="427" t="s">
        <v>1680</v>
      </c>
      <c r="BJ9" s="1912" t="s">
        <v>577</v>
      </c>
      <c r="BK9" s="1913" t="s">
        <v>1388</v>
      </c>
      <c r="BL9" s="1914" t="s">
        <v>1681</v>
      </c>
      <c r="BM9" s="1913" t="s">
        <v>1389</v>
      </c>
      <c r="BN9" s="1913" t="s">
        <v>1682</v>
      </c>
      <c r="BO9" s="1913" t="s">
        <v>1391</v>
      </c>
      <c r="BP9" s="1914" t="s">
        <v>1683</v>
      </c>
      <c r="BQ9" s="1913" t="s">
        <v>1393</v>
      </c>
      <c r="BR9" s="1915"/>
      <c r="BS9" s="1913" t="s">
        <v>1684</v>
      </c>
      <c r="BT9" s="1913"/>
      <c r="BU9" s="1913" t="s">
        <v>1685</v>
      </c>
      <c r="BV9" s="1913" t="s">
        <v>1686</v>
      </c>
      <c r="BW9" s="1915" t="s">
        <v>1687</v>
      </c>
      <c r="DB9" s="427" t="s">
        <v>1688</v>
      </c>
      <c r="DC9" s="427" t="s">
        <v>1689</v>
      </c>
      <c r="DD9" s="1916" t="s">
        <v>1250</v>
      </c>
      <c r="DE9" s="1917" t="s">
        <v>1396</v>
      </c>
      <c r="DF9" s="1917" t="s">
        <v>1397</v>
      </c>
      <c r="DG9" s="1917" t="s">
        <v>1690</v>
      </c>
      <c r="DH9" s="1917" t="s">
        <v>1141</v>
      </c>
      <c r="DI9" s="1917" t="s">
        <v>1691</v>
      </c>
      <c r="DJ9" s="1918" t="s">
        <v>1692</v>
      </c>
    </row>
    <row r="10" s="1414" customFormat="true" ht="15" hidden="false" customHeight="false" outlineLevel="0" collapsed="false">
      <c r="A10" s="507"/>
      <c r="B10" s="1312"/>
      <c r="C10" s="1919"/>
      <c r="D10" s="1920"/>
      <c r="E10" s="1921"/>
      <c r="F10" s="1234"/>
      <c r="G10" s="1235"/>
      <c r="H10" s="1236"/>
      <c r="I10" s="1234"/>
      <c r="J10" s="1235"/>
      <c r="K10" s="1236"/>
      <c r="L10" s="1234"/>
      <c r="M10" s="1234"/>
      <c r="N10" s="1922"/>
      <c r="O10" s="1234"/>
      <c r="P10" s="1234"/>
      <c r="Q10" s="1234"/>
      <c r="R10" s="1923"/>
      <c r="S10" s="1924"/>
      <c r="T10" s="78"/>
      <c r="U10" s="900"/>
      <c r="V10" s="1925" t="n">
        <f aca="false">((E10*I10/16*I10/16*10.680159*J10)*IF(H10=0,0,(G10/H10))+(G10/12*L10/16*L10/16*10.680159*M10)*IF(K10=0,0,(E10*12/K10))+(E10*IF(P10=0,0,N10/P10)*Q10/16*Q10/16*10.680159*R10)+(IF(P10=0,0,E10/P10*N10)*Q10/16*Q10/16*10.680159*R10)+((T10*U10*S10*0.03*0.2836*G10)/12+4)*IF(H10=0,0,(G10/H10))*I10/16*I10/16*10.680159)*(1+J$56)</f>
        <v>0</v>
      </c>
      <c r="W10" s="1926" t="n">
        <f aca="false">((E10*F10/12*G10/324)+ROUNDUP(S10*T10*U10*G10/46656,0)+(N10*O10*E10/3888))*(1+J$51)</f>
        <v>0</v>
      </c>
      <c r="AH10" s="1927" t="n">
        <f aca="false">IF($R$8=1,$N10*$O10*$E10/3888*(1+$J$51),0)</f>
        <v>0</v>
      </c>
      <c r="AI10" s="1928" t="n">
        <f aca="false">IF($R$8=2,$N10*$O10*$E10/3888*(1+$J$51),0)</f>
        <v>0</v>
      </c>
      <c r="AJ10" s="1928" t="n">
        <f aca="false">IF($R$8=3,$N10*$O10*$E10/3888*(1+$J$51),0)</f>
        <v>0</v>
      </c>
      <c r="AK10" s="1928" t="n">
        <f aca="false">IF($R$8=4,$N10*$O10*$E10/3888*(1+$J$51),0)</f>
        <v>0</v>
      </c>
      <c r="AL10" s="1928" t="n">
        <f aca="false">IF($R$8=5,$N10*$O10*$E10/3888*(1+$J$51),0)</f>
        <v>0</v>
      </c>
      <c r="AM10" s="1928" t="n">
        <f aca="false">IF($R$8=6,$N10*$O10*$E10/3888*(1+$J$51),0)</f>
        <v>0</v>
      </c>
      <c r="AN10" s="1928" t="n">
        <f aca="false">IF($R$8=7,$N10*$O10*$E10/3888*(1+$J$51),0)</f>
        <v>0</v>
      </c>
      <c r="AO10" s="1928" t="n">
        <f aca="false">IF($R$8=8,$N10*$O10*$E10/3888*(1+$J$51),0)</f>
        <v>0</v>
      </c>
      <c r="AP10" s="1928" t="n">
        <f aca="false">IF($R$8=9,$N10*$O10*$E10/3888*(1+$J$51),0)</f>
        <v>0</v>
      </c>
      <c r="AQ10" s="1928" t="n">
        <f aca="false">IF($R$8=10,$N10*$O10*$E10/3888*(1+$J$51),0)</f>
        <v>0</v>
      </c>
      <c r="AR10" s="1929" t="n">
        <f aca="false">IF($D10=1,$W10-SUM($AH10:$AQ10),0)</f>
        <v>0</v>
      </c>
      <c r="AS10" s="1928" t="n">
        <f aca="false">IF($D10=2,W10-SUM($AH10:$AQ10),0)</f>
        <v>0</v>
      </c>
      <c r="AT10" s="1928" t="n">
        <f aca="false">IF($D10=3,W10-SUM($AH10:$AQ10),0)</f>
        <v>0</v>
      </c>
      <c r="AU10" s="1928" t="n">
        <f aca="false">IF($D10=4,W10-SUM($AH10:$AQ10),0)</f>
        <v>0</v>
      </c>
      <c r="AV10" s="1928" t="n">
        <f aca="false">IF($D10=5,W10-SUM($AH10:$AQ10),0)</f>
        <v>0</v>
      </c>
      <c r="AW10" s="1928" t="n">
        <f aca="false">IF($D10=6,W10-SUM($AH10:$AQ10),0)</f>
        <v>0</v>
      </c>
      <c r="AX10" s="1928" t="n">
        <f aca="false">IF($D10=7,W10-SUM($AH10:$AQ10),0)</f>
        <v>0</v>
      </c>
      <c r="AY10" s="1928" t="n">
        <f aca="false">IF($D10=8,W10-SUM($AH10:$AQ10),0)</f>
        <v>0</v>
      </c>
      <c r="AZ10" s="1928" t="n">
        <f aca="false">IF($D10=9,W10-SUM($AH10:$AQ10),0)</f>
        <v>0</v>
      </c>
      <c r="BA10" s="1930" t="n">
        <f aca="false">IF($D10=10,W10-SUM($AH10:$AQ10),0)</f>
        <v>0</v>
      </c>
      <c r="BB10" s="1928" t="n">
        <f aca="false">SUM(AH10:AM10)</f>
        <v>0</v>
      </c>
      <c r="BC10" s="1928" t="n">
        <f aca="false">SUM(AR10:AW10)</f>
        <v>0</v>
      </c>
      <c r="BD10" s="1928" t="n">
        <f aca="false">V10</f>
        <v>0</v>
      </c>
      <c r="BE10" s="1928" t="n">
        <f aca="false">E10*G10/12*2+(U10*U10*G10/1728*S10)</f>
        <v>0</v>
      </c>
      <c r="BF10" s="1928" t="n">
        <f aca="false">BE10/2</f>
        <v>0</v>
      </c>
      <c r="BG10" s="1928" t="n">
        <f aca="false">N10*E10/12</f>
        <v>0</v>
      </c>
      <c r="BH10" s="1928" t="n">
        <f aca="false">ROUND(IF(C10="Y",BF10*3/27,0),0)</f>
        <v>0</v>
      </c>
      <c r="BJ10" s="1931" t="n">
        <f aca="false">V10*F$56*IF(T$39="N",(1+V$39),1)</f>
        <v>0</v>
      </c>
      <c r="BK10" s="1932" t="n">
        <f aca="false">(AR10*Pricing!F$3+AS10*Pricing!G$3+AT10*Pricing!H$3+AU10*Pricing!I$3+AV10*Pricing!J$3+AW10*Pricing!K$3+AH10*Pricing!F$3+AI10*Pricing!G$3+AJ10*Pricing!H$3+AK10*Pricing!I$3+AL10*Pricing!J$3+AM10*Pricing!K$3)*IF(T$39="N",(1+V$39),1)</f>
        <v>0</v>
      </c>
      <c r="BL10" s="1932" t="n">
        <f aca="false">IF(C10="Y",(N$59+N$60)/DF$36*DF10,0)</f>
        <v>0</v>
      </c>
      <c r="BM10" s="1932" t="n">
        <f aca="false">BF10*(G$67+D$70)</f>
        <v>0</v>
      </c>
      <c r="BN10" s="1932" t="n">
        <f aca="false">BG10*D$66</f>
        <v>0</v>
      </c>
      <c r="BO10" s="1932" t="n">
        <f aca="false">V10/2000*D$71</f>
        <v>0</v>
      </c>
      <c r="BP10" s="1932" t="n">
        <f aca="false">IF(C10="Y",(N$74+N$73+N$72)/DF$36*DF10,0)</f>
        <v>0</v>
      </c>
      <c r="BQ10" s="1932" t="n">
        <f aca="false">IF(SUM(BF$36:BG$36)=0,0,(SUM(N$78:O$81)+SUM(N$83:O$88)+SUM(N$90:O$96)+W$95)/SUM(BF$36:BG$36)*(BF10+BG10))</f>
        <v>0</v>
      </c>
      <c r="BR10" s="1933"/>
      <c r="BS10" s="1934" t="n">
        <f aca="false">IF(SUM(BF$36:BG$36)=0,0,(BQ$36-W$58-N$64-W77-(L$79*0.15))/SUM(BF$36:BG$36)*BG10+BN10)</f>
        <v>0</v>
      </c>
      <c r="BT10" s="1932" t="n">
        <f aca="false">(AH10*Pricing!F$3+AI10*Pricing!G$3+AJ10*Pricing!H$3+AK10*Pricing!I$3+AL10*Pricing!J$3+AM10*Pricing!K$3)*IF(T$39="N",(1+V$39),1)</f>
        <v>0</v>
      </c>
      <c r="BU10" s="1932" t="n">
        <f aca="false">IF(BG10=0,0,(BS10+BT10)/BG10)</f>
        <v>0</v>
      </c>
      <c r="BV10" s="1932" t="n">
        <f aca="false">SUM(BJ10:BQ10)-BS10-BT10</f>
        <v>0</v>
      </c>
      <c r="BW10" s="1933" t="n">
        <f aca="false">IF(BE10=0,0,BV10/BF10)</f>
        <v>0</v>
      </c>
      <c r="DB10" s="1935" t="n">
        <f aca="false">IF(W10=0,0,D$40/SUM(W$10:W$35)*W10)</f>
        <v>0</v>
      </c>
      <c r="DC10" s="1932" t="e">
        <f aca="false">E10*N10/12*(D$40-7980)/H$66</f>
        <v>#DIV/0!</v>
      </c>
      <c r="DD10" s="179" t="n">
        <f aca="false">ROUND(N10*O10/3088*E10,0)</f>
        <v>0</v>
      </c>
      <c r="DE10" s="908" t="n">
        <f aca="false">ROUND(V10,0)</f>
        <v>0</v>
      </c>
      <c r="DF10" s="356" t="n">
        <f aca="false">ROUND(IF(C10="Y",(G10*0.25*E10+G10*G10/144*0.5*E10)/27*1.3,0),0)</f>
        <v>0</v>
      </c>
      <c r="DG10" s="908" t="n">
        <f aca="false">ROUND(E10*G10/12,0)</f>
        <v>0</v>
      </c>
      <c r="DH10" s="908" t="n">
        <f aca="false">IF(C10="y",ROUNDUP(E10*G10/12,0),0)</f>
        <v>0</v>
      </c>
      <c r="DI10" s="908" t="n">
        <f aca="false">IF(C10="Y",IF(E10&gt;0,E10,0),0)</f>
        <v>0</v>
      </c>
      <c r="DJ10" s="1936" t="n">
        <f aca="false">ROUND(E10*N10/12,0)</f>
        <v>0</v>
      </c>
    </row>
    <row r="11" s="1414" customFormat="true" ht="15" hidden="false" customHeight="false" outlineLevel="0" collapsed="false">
      <c r="A11" s="507"/>
      <c r="B11" s="1312"/>
      <c r="C11" s="1919"/>
      <c r="D11" s="1920"/>
      <c r="E11" s="1921"/>
      <c r="F11" s="1234"/>
      <c r="G11" s="1235"/>
      <c r="H11" s="1236"/>
      <c r="I11" s="1234"/>
      <c r="J11" s="1235"/>
      <c r="K11" s="1236"/>
      <c r="L11" s="1234"/>
      <c r="M11" s="1234"/>
      <c r="N11" s="1922"/>
      <c r="O11" s="1234"/>
      <c r="P11" s="1234"/>
      <c r="Q11" s="1237"/>
      <c r="R11" s="1923"/>
      <c r="S11" s="1924"/>
      <c r="T11" s="78"/>
      <c r="U11" s="900"/>
      <c r="V11" s="1925" t="n">
        <f aca="false">((E11*I11/16*I11/16*10.680159*J11)*IF(H11=0,0,(G11/H11))+(G11/12*L11/16*L11/16*10.680159*M11)*IF(K11=0,0,(E11*12/K11))+(E11*IF(P11=0,0,N11/P11)*Q11/16*Q11/16*10.680159*R11)+(IF(P11=0,0,E11/P11*N11)*Q11/16*Q11/16*10.680159*R11)+((T11*U11*S11*0.03*0.2836*G11)/12+4)*IF(H11=0,0,(G11/H11))*I11/16*I11/16*10.680159)*(1+J$56)</f>
        <v>0</v>
      </c>
      <c r="W11" s="1926" t="n">
        <f aca="false">((E11*F11/12*G11/324)+ROUNDUP(S11*T11*U11*G11/46656,0)+(N11*O11*E11/3888))*(1+J$51)</f>
        <v>0</v>
      </c>
      <c r="AH11" s="1929" t="n">
        <f aca="false">IF($R$8=1,$N11*$O11*$E11/3888*(1+$J$51),0)</f>
        <v>0</v>
      </c>
      <c r="AI11" s="1928" t="n">
        <f aca="false">IF($R$8=2,$N11*$O11*$E11/3888*(1+$J$51),0)</f>
        <v>0</v>
      </c>
      <c r="AJ11" s="1928" t="n">
        <f aca="false">IF($R$8=3,$N11*$O11*$E11/3888*(1+$J$51),0)</f>
        <v>0</v>
      </c>
      <c r="AK11" s="1928" t="n">
        <f aca="false">IF($R$8=4,$N11*$O11*$E11/3888*(1+$J$51),0)</f>
        <v>0</v>
      </c>
      <c r="AL11" s="1928" t="n">
        <f aca="false">IF($R$8=5,$N11*$O11*$E11/3888*(1+$J$51),0)</f>
        <v>0</v>
      </c>
      <c r="AM11" s="1928" t="n">
        <f aca="false">IF($R$8=6,$N11*$O11*$E11/3888*(1+$J$51),0)</f>
        <v>0</v>
      </c>
      <c r="AN11" s="1928" t="n">
        <f aca="false">IF($R$8=7,$N11*$O11*$E11/3888*(1+$J$51),0)</f>
        <v>0</v>
      </c>
      <c r="AO11" s="1928" t="n">
        <f aca="false">IF($R$8=8,$N11*$O11*$E11/3888*(1+$J$51),0)</f>
        <v>0</v>
      </c>
      <c r="AP11" s="1928" t="n">
        <f aca="false">IF($R$8=9,$N11*$O11*$E11/3888*(1+$J$51),0)</f>
        <v>0</v>
      </c>
      <c r="AQ11" s="1928" t="n">
        <f aca="false">IF($R$8=10,$N11*$O11*$E11/3888*(1+$J$51),0)</f>
        <v>0</v>
      </c>
      <c r="AR11" s="1929" t="n">
        <f aca="false">IF($D11=1,$W11-SUM($AH11:$AQ11),0)</f>
        <v>0</v>
      </c>
      <c r="AS11" s="1928" t="n">
        <f aca="false">IF($D11=2,W11-SUM($AH11:$AQ11),0)</f>
        <v>0</v>
      </c>
      <c r="AT11" s="1928" t="n">
        <f aca="false">IF($D11=3,W11-SUM($AH11:$AQ11),0)</f>
        <v>0</v>
      </c>
      <c r="AU11" s="1928" t="n">
        <f aca="false">IF($D11=4,W11-SUM($AH11:$AQ11),0)</f>
        <v>0</v>
      </c>
      <c r="AV11" s="1928" t="n">
        <f aca="false">IF($D11=5,W11-SUM($AH11:$AQ11),0)</f>
        <v>0</v>
      </c>
      <c r="AW11" s="1928" t="n">
        <f aca="false">IF($D11=6,W11-SUM($AH11:$AQ11),0)</f>
        <v>0</v>
      </c>
      <c r="AX11" s="1928" t="n">
        <f aca="false">IF($D11=7,W11-SUM($AH11:$AQ11),0)</f>
        <v>0</v>
      </c>
      <c r="AY11" s="1928" t="n">
        <f aca="false">IF($D11=8,W11-SUM($AH11:$AQ11),0)</f>
        <v>0</v>
      </c>
      <c r="AZ11" s="1928" t="n">
        <f aca="false">IF($D11=9,W11-SUM($AH11:$AQ11),0)</f>
        <v>0</v>
      </c>
      <c r="BA11" s="1930" t="n">
        <f aca="false">IF($D11=10,W11-SUM($AH11:$AQ11),0)</f>
        <v>0</v>
      </c>
      <c r="BB11" s="1928" t="n">
        <f aca="false">SUM(AH11:AM11)</f>
        <v>0</v>
      </c>
      <c r="BC11" s="1928" t="n">
        <f aca="false">SUM(AR11:AW11)</f>
        <v>0</v>
      </c>
      <c r="BD11" s="1928" t="n">
        <f aca="false">V11</f>
        <v>0</v>
      </c>
      <c r="BE11" s="1928" t="n">
        <f aca="false">E11*G11/12*2+(U11*U11*G11/1728*S11)</f>
        <v>0</v>
      </c>
      <c r="BF11" s="1928" t="n">
        <f aca="false">BE11/2</f>
        <v>0</v>
      </c>
      <c r="BG11" s="1928" t="n">
        <f aca="false">N11*E11/12</f>
        <v>0</v>
      </c>
      <c r="BH11" s="1928" t="n">
        <f aca="false">ROUND(IF(C11="Y",BF11*3/27,0),0)</f>
        <v>0</v>
      </c>
      <c r="BJ11" s="1931" t="n">
        <f aca="false">V11*F$56*IF(T$39="N",(1+V$39),1)</f>
        <v>0</v>
      </c>
      <c r="BK11" s="1932" t="n">
        <f aca="false">(AR11*Pricing!F$3+AS11*Pricing!G$3+AT11*Pricing!H$3+AU11*Pricing!I$3+AV11*Pricing!J$3+AW11*Pricing!K$3+AH11*Pricing!F$3+AI11*Pricing!G$3+AJ11*Pricing!H$3+AK11*Pricing!I$3+AL11*Pricing!J$3+AM11*Pricing!K$3)*IF(T$39="N",(1+V$39),1)</f>
        <v>0</v>
      </c>
      <c r="BL11" s="1932" t="n">
        <f aca="false">IF(C11="Y",(N$59+N$60)/DF$36*DF11,0)</f>
        <v>0</v>
      </c>
      <c r="BM11" s="1932" t="n">
        <f aca="false">BF11*(G$67+D$70)</f>
        <v>0</v>
      </c>
      <c r="BN11" s="1932" t="n">
        <f aca="false">BG11*D$66</f>
        <v>0</v>
      </c>
      <c r="BO11" s="1932" t="n">
        <f aca="false">V11/2000*D$71</f>
        <v>0</v>
      </c>
      <c r="BP11" s="1932" t="n">
        <f aca="false">IF(C11="Y",(N$74+N$73+N$72)/DF$36*DF11,0)</f>
        <v>0</v>
      </c>
      <c r="BQ11" s="1932" t="n">
        <f aca="false">IF(SUM(BF$36:BG$36)=0,0,(SUM(N$78:O$81)+SUM(N$83:O$88)+SUM(N$90:O$96)+W$95)/SUM(BF$36:BG$36)*(BF11+BG11))</f>
        <v>0</v>
      </c>
      <c r="BR11" s="1933"/>
      <c r="BS11" s="1934" t="n">
        <f aca="false">IF(SUM(BF$36:BG$36)=0,0,(BQ$36-W$58-N$64-W59-(L$79*0.15))/SUM(BF$36:BG$36)*BG11+BN11)</f>
        <v>0</v>
      </c>
      <c r="BT11" s="1932" t="n">
        <f aca="false">(AH11*Pricing!F$3+AI11*Pricing!G$3+AJ11*Pricing!H$3+AK11*Pricing!I$3+AL11*Pricing!J$3+AM11*Pricing!K$3)*IF(T$39="N",(1+V$39),1)</f>
        <v>0</v>
      </c>
      <c r="BU11" s="1932" t="n">
        <f aca="false">IF(BG11=0,0,(BS11+BT11)/BG11)</f>
        <v>0</v>
      </c>
      <c r="BV11" s="1932" t="n">
        <f aca="false">SUM(BJ11:BQ11)-BS11-BT11</f>
        <v>0</v>
      </c>
      <c r="BW11" s="1933" t="n">
        <f aca="false">IF(BE11=0,0,BV11/BF11)</f>
        <v>0</v>
      </c>
      <c r="DB11" s="1935" t="n">
        <f aca="false">IF(W11=0,0,D$40/SUM(W$10:W$35)*W11)</f>
        <v>0</v>
      </c>
      <c r="DC11" s="1932" t="e">
        <f aca="false">E11*N11/12*(D$40-7980)/H$66</f>
        <v>#DIV/0!</v>
      </c>
      <c r="DD11" s="179" t="n">
        <f aca="false">ROUND(N11*O11/3088*E11,0)</f>
        <v>0</v>
      </c>
      <c r="DE11" s="908" t="n">
        <f aca="false">ROUND(V11,0)</f>
        <v>0</v>
      </c>
      <c r="DF11" s="356" t="n">
        <f aca="false">ROUND(IF(C11="Y",(G11*0.25*E11+G11*G11/144*0.5*E11)/27*1.3,0),0)</f>
        <v>0</v>
      </c>
      <c r="DG11" s="908" t="n">
        <f aca="false">ROUND(E11*G11/12,0)</f>
        <v>0</v>
      </c>
      <c r="DH11" s="908" t="n">
        <f aca="false">IF(C11="y",ROUNDUP(E11*G11/12,0),0)</f>
        <v>0</v>
      </c>
      <c r="DI11" s="908" t="n">
        <f aca="false">IF(C11="Y",IF(E11&gt;0,E11,0),0)</f>
        <v>0</v>
      </c>
      <c r="DJ11" s="1936" t="n">
        <f aca="false">ROUND(E11*N11/12,0)</f>
        <v>0</v>
      </c>
    </row>
    <row r="12" s="1414" customFormat="true" ht="15" hidden="false" customHeight="false" outlineLevel="0" collapsed="false">
      <c r="A12" s="507"/>
      <c r="B12" s="1312"/>
      <c r="C12" s="1919"/>
      <c r="D12" s="1920"/>
      <c r="E12" s="1921"/>
      <c r="F12" s="1234"/>
      <c r="G12" s="1235"/>
      <c r="H12" s="1236"/>
      <c r="I12" s="1234"/>
      <c r="J12" s="1235"/>
      <c r="K12" s="1236"/>
      <c r="L12" s="1234"/>
      <c r="M12" s="1234"/>
      <c r="N12" s="1922"/>
      <c r="O12" s="1234"/>
      <c r="P12" s="1234"/>
      <c r="Q12" s="1237"/>
      <c r="R12" s="1923"/>
      <c r="S12" s="1924"/>
      <c r="T12" s="78"/>
      <c r="U12" s="900"/>
      <c r="V12" s="1925" t="n">
        <f aca="false">((E12*I12/16*I12/16*10.680159*J12)*IF(H12=0,0,(G12/H12))+(G12/12*L12/16*L12/16*10.680159*M12)*IF(K12=0,0,(E12*12/K12))+(E12*IF(P12=0,0,N12/P12)*Q12/16*Q12/16*10.680159*R12)+(IF(P12=0,0,E12/P12*N12)*Q12/16*Q12/16*10.680159*R12)+((T12*U12*S12*0.03*0.2836*G12)/12+4)*IF(H12=0,0,(G12/H12))*I12/16*I12/16*10.680159)*(1+J$56)</f>
        <v>0</v>
      </c>
      <c r="W12" s="1926" t="n">
        <f aca="false">((E12*F12/12*G12/324)+ROUNDUP(S12*T12*U12*G12/46656,0)+(N12*O12*E12/3888))*(1+J$51)</f>
        <v>0</v>
      </c>
      <c r="AH12" s="1929" t="n">
        <f aca="false">IF($R$8=1,$N12*$O12*$E12/3888*(1+$J$51),0)</f>
        <v>0</v>
      </c>
      <c r="AI12" s="1928" t="n">
        <f aca="false">IF($R$8=2,$N12*$O12*$E12/3888*(1+$J$51),0)</f>
        <v>0</v>
      </c>
      <c r="AJ12" s="1928" t="n">
        <f aca="false">IF($R$8=3,$N12*$O12*$E12/3888*(1+$J$51),0)</f>
        <v>0</v>
      </c>
      <c r="AK12" s="1928" t="n">
        <f aca="false">IF($R$8=4,$N12*$O12*$E12/3888*(1+$J$51),0)</f>
        <v>0</v>
      </c>
      <c r="AL12" s="1928" t="n">
        <f aca="false">IF($R$8=5,$N12*$O12*$E12/3888*(1+$J$51),0)</f>
        <v>0</v>
      </c>
      <c r="AM12" s="1928" t="n">
        <f aca="false">IF($R$8=6,$N12*$O12*$E12/3888*(1+$J$51),0)</f>
        <v>0</v>
      </c>
      <c r="AN12" s="1928" t="n">
        <f aca="false">IF($R$8=7,$N12*$O12*$E12/3888*(1+$J$51),0)</f>
        <v>0</v>
      </c>
      <c r="AO12" s="1928" t="n">
        <f aca="false">IF($R$8=8,$N12*$O12*$E12/3888*(1+$J$51),0)</f>
        <v>0</v>
      </c>
      <c r="AP12" s="1928" t="n">
        <f aca="false">IF($R$8=9,$N12*$O12*$E12/3888*(1+$J$51),0)</f>
        <v>0</v>
      </c>
      <c r="AQ12" s="1928" t="n">
        <f aca="false">IF($R$8=10,$N12*$O12*$E12/3888*(1+$J$51),0)</f>
        <v>0</v>
      </c>
      <c r="AR12" s="1929" t="n">
        <f aca="false">IF($D12=1,$W12-SUM($AH12:$AQ12),0)</f>
        <v>0</v>
      </c>
      <c r="AS12" s="1928" t="n">
        <f aca="false">IF($D12=2,W12-SUM($AH12:$AQ12),0)</f>
        <v>0</v>
      </c>
      <c r="AT12" s="1928" t="n">
        <f aca="false">IF($D12=3,W12-SUM($AH12:$AQ12),0)</f>
        <v>0</v>
      </c>
      <c r="AU12" s="1928" t="n">
        <f aca="false">IF($D12=4,W12-SUM($AH12:$AQ12),0)</f>
        <v>0</v>
      </c>
      <c r="AV12" s="1928" t="n">
        <f aca="false">IF($D12=5,W12-SUM($AH12:$AQ12),0)</f>
        <v>0</v>
      </c>
      <c r="AW12" s="1928" t="n">
        <f aca="false">IF($D12=6,W12-SUM($AH12:$AQ12),0)</f>
        <v>0</v>
      </c>
      <c r="AX12" s="1928" t="n">
        <f aca="false">IF($D12=7,W12-SUM($AH12:$AQ12),0)</f>
        <v>0</v>
      </c>
      <c r="AY12" s="1928" t="n">
        <f aca="false">IF($D12=8,W12-SUM($AH12:$AQ12),0)</f>
        <v>0</v>
      </c>
      <c r="AZ12" s="1928" t="n">
        <f aca="false">IF($D12=9,W12-SUM($AH12:$AQ12),0)</f>
        <v>0</v>
      </c>
      <c r="BA12" s="1930" t="n">
        <f aca="false">IF($D12=10,W12-SUM($AH12:$AQ12),0)</f>
        <v>0</v>
      </c>
      <c r="BB12" s="1928" t="n">
        <f aca="false">SUM(AH12:AM12)</f>
        <v>0</v>
      </c>
      <c r="BC12" s="1928" t="n">
        <f aca="false">SUM(AR12:AW12)</f>
        <v>0</v>
      </c>
      <c r="BD12" s="1928" t="n">
        <f aca="false">V12</f>
        <v>0</v>
      </c>
      <c r="BE12" s="1928" t="n">
        <f aca="false">E12*G12/12*2+(U12*U12*G12/1728*S12)</f>
        <v>0</v>
      </c>
      <c r="BF12" s="1928" t="n">
        <f aca="false">BE12/2</f>
        <v>0</v>
      </c>
      <c r="BG12" s="1928" t="n">
        <f aca="false">N12*E12/12</f>
        <v>0</v>
      </c>
      <c r="BH12" s="1928" t="n">
        <f aca="false">ROUND(IF(C12="Y",BF12*3/27,0),0)</f>
        <v>0</v>
      </c>
      <c r="BJ12" s="1931" t="n">
        <f aca="false">V12*F$56*IF(T$39="N",(1+V$39),1)</f>
        <v>0</v>
      </c>
      <c r="BK12" s="1932" t="n">
        <f aca="false">(AR12*Pricing!F$3+AS12*Pricing!G$3+AT12*Pricing!H$3+AU12*Pricing!I$3+AV12*Pricing!J$3+AW12*Pricing!K$3+AH12*Pricing!F$3+AI12*Pricing!G$3+AJ12*Pricing!H$3+AK12*Pricing!I$3+AL12*Pricing!J$3+AM12*Pricing!K$3)*IF(T$39="N",(1+V$39),1)</f>
        <v>0</v>
      </c>
      <c r="BL12" s="1932" t="n">
        <f aca="false">IF(C12="Y",(N$59+N$60)/DF$36*DF12,0)</f>
        <v>0</v>
      </c>
      <c r="BM12" s="1932" t="n">
        <f aca="false">BF12*(G$67+D$70)</f>
        <v>0</v>
      </c>
      <c r="BN12" s="1932" t="n">
        <f aca="false">BG12*D$66</f>
        <v>0</v>
      </c>
      <c r="BO12" s="1932" t="n">
        <f aca="false">V12/2000*D$71</f>
        <v>0</v>
      </c>
      <c r="BP12" s="1932" t="n">
        <f aca="false">IF(C12="Y",(N$74+N$73+N$72)/DF$36*DF12,0)</f>
        <v>0</v>
      </c>
      <c r="BQ12" s="1932" t="n">
        <f aca="false">IF(SUM(BF$36:BG$36)=0,0,(SUM(N$78:O$81)+SUM(N$83:O$88)+SUM(N$90:O$96)+W$95)/SUM(BF$36:BG$36)*(BF12+BG12))</f>
        <v>0</v>
      </c>
      <c r="BR12" s="1933"/>
      <c r="BS12" s="1934" t="n">
        <f aca="false">IF(SUM(BF$36:BG$36)=0,0,(BQ$36-W$58-N$64-W56-(L$79*0.15))/SUM(BF$36:BG$36)*BG12+BN12)</f>
        <v>0</v>
      </c>
      <c r="BT12" s="1932" t="n">
        <f aca="false">(AH12*Pricing!F$3+AI12*Pricing!G$3+AJ12*Pricing!H$3+AK12*Pricing!I$3+AL12*Pricing!J$3+AM12*Pricing!K$3)*IF(T$39="N",(1+V$39),1)</f>
        <v>0</v>
      </c>
      <c r="BU12" s="1932" t="n">
        <f aca="false">IF(BG12=0,0,(BS12+BT12)/BG12)</f>
        <v>0</v>
      </c>
      <c r="BV12" s="1932" t="n">
        <f aca="false">SUM(BJ12:BQ12)-BS12-BT12</f>
        <v>0</v>
      </c>
      <c r="BW12" s="1933" t="n">
        <f aca="false">IF(BE12=0,0,BV12/BF12)</f>
        <v>0</v>
      </c>
      <c r="DB12" s="1935" t="n">
        <f aca="false">IF(W12=0,0,D$40/SUM(W$10:W$35)*W12)</f>
        <v>0</v>
      </c>
      <c r="DC12" s="1932" t="e">
        <f aca="false">E12*N12/12*(D$40-7980)/H$66</f>
        <v>#DIV/0!</v>
      </c>
      <c r="DD12" s="179" t="n">
        <f aca="false">ROUND(N12*O12/3088*E12,0)</f>
        <v>0</v>
      </c>
      <c r="DE12" s="908" t="n">
        <f aca="false">ROUND(V12,0)</f>
        <v>0</v>
      </c>
      <c r="DF12" s="356" t="n">
        <f aca="false">ROUND(IF(C12="Y",(G12*0.25*E12+G12*G12/144*0.5*E12)/27*1.3,0),0)</f>
        <v>0</v>
      </c>
      <c r="DG12" s="908" t="n">
        <f aca="false">ROUND(E12*G12/12,0)</f>
        <v>0</v>
      </c>
      <c r="DH12" s="908" t="n">
        <f aca="false">IF(C12="y",ROUNDUP(E12*G12/12,0),0)</f>
        <v>0</v>
      </c>
      <c r="DI12" s="908" t="n">
        <f aca="false">IF(C12="Y",IF(E12&gt;0,E12,0),0)</f>
        <v>0</v>
      </c>
      <c r="DJ12" s="1936" t="n">
        <f aca="false">ROUND(E12*N12/12,0)</f>
        <v>0</v>
      </c>
    </row>
    <row r="13" s="1414" customFormat="true" ht="15" hidden="false" customHeight="false" outlineLevel="0" collapsed="false">
      <c r="A13" s="507"/>
      <c r="B13" s="1312"/>
      <c r="C13" s="1919"/>
      <c r="D13" s="1920"/>
      <c r="E13" s="1921"/>
      <c r="F13" s="1234"/>
      <c r="G13" s="1235"/>
      <c r="H13" s="1236"/>
      <c r="I13" s="1234"/>
      <c r="J13" s="1235"/>
      <c r="K13" s="1236"/>
      <c r="L13" s="1234"/>
      <c r="M13" s="1234"/>
      <c r="N13" s="1922"/>
      <c r="O13" s="1234"/>
      <c r="P13" s="1234"/>
      <c r="Q13" s="1237"/>
      <c r="R13" s="1923"/>
      <c r="S13" s="1924"/>
      <c r="T13" s="78"/>
      <c r="U13" s="900"/>
      <c r="V13" s="1925" t="n">
        <f aca="false">((E13*I13/16*I13/16*10.680159*J13)*IF(H13=0,0,(G13/H13))+(G13/12*L13/16*L13/16*10.680159*M13)*IF(K13=0,0,(E13*12/K13))+(E13*IF(P13=0,0,N13/P13)*Q13/16*Q13/16*10.680159*R13)+(IF(P13=0,0,E13/P13*N13)*Q13/16*Q13/16*10.680159*R13)+((T13*U13*S13*0.03*0.2836*G13)/12+4)*IF(H13=0,0,(G13/H13))*I13/16*I13/16*10.680159)*(1+J$56)</f>
        <v>0</v>
      </c>
      <c r="W13" s="1926" t="n">
        <f aca="false">((E13*F13/12*G13/324)+ROUNDUP(S13*T13*U13*G13/46656,0)+(N13*O13*E13/3888))*(1+J$51)</f>
        <v>0</v>
      </c>
      <c r="AH13" s="1929" t="n">
        <f aca="false">IF($R$8=1,$N13*$O13*$E13/3888*(1+$J$51),0)</f>
        <v>0</v>
      </c>
      <c r="AI13" s="1928" t="n">
        <f aca="false">IF($R$8=2,$N13*$O13*$E13/3888*(1+$J$51),0)</f>
        <v>0</v>
      </c>
      <c r="AJ13" s="1928" t="n">
        <f aca="false">IF($R$8=3,$N13*$O13*$E13/3888*(1+$J$51),0)</f>
        <v>0</v>
      </c>
      <c r="AK13" s="1928" t="n">
        <f aca="false">IF($R$8=4,$N13*$O13*$E13/3888*(1+$J$51),0)</f>
        <v>0</v>
      </c>
      <c r="AL13" s="1928" t="n">
        <f aca="false">IF($R$8=5,$N13*$O13*$E13/3888*(1+$J$51),0)</f>
        <v>0</v>
      </c>
      <c r="AM13" s="1928" t="n">
        <f aca="false">IF($R$8=6,$N13*$O13*$E13/3888*(1+$J$51),0)</f>
        <v>0</v>
      </c>
      <c r="AN13" s="1928" t="n">
        <f aca="false">IF($R$8=7,$N13*$O13*$E13/3888*(1+$J$51),0)</f>
        <v>0</v>
      </c>
      <c r="AO13" s="1928" t="n">
        <f aca="false">IF($R$8=8,$N13*$O13*$E13/3888*(1+$J$51),0)</f>
        <v>0</v>
      </c>
      <c r="AP13" s="1928" t="n">
        <f aca="false">IF($R$8=9,$N13*$O13*$E13/3888*(1+$J$51),0)</f>
        <v>0</v>
      </c>
      <c r="AQ13" s="1928" t="n">
        <f aca="false">IF($R$8=10,$N13*$O13*$E13/3888*(1+$J$51),0)</f>
        <v>0</v>
      </c>
      <c r="AR13" s="1929" t="n">
        <f aca="false">IF($D13=1,$W13-SUM($AH13:$AQ13),0)</f>
        <v>0</v>
      </c>
      <c r="AS13" s="1928" t="n">
        <f aca="false">IF($D13=2,W13-SUM($AH13:$AQ13),0)</f>
        <v>0</v>
      </c>
      <c r="AT13" s="1928" t="n">
        <f aca="false">IF($D13=3,W13-SUM($AH13:$AQ13),0)</f>
        <v>0</v>
      </c>
      <c r="AU13" s="1928" t="n">
        <f aca="false">IF($D13=4,W13-SUM($AH13:$AQ13),0)</f>
        <v>0</v>
      </c>
      <c r="AV13" s="1928" t="n">
        <f aca="false">IF($D13=5,W13-SUM($AH13:$AQ13),0)</f>
        <v>0</v>
      </c>
      <c r="AW13" s="1928" t="n">
        <f aca="false">IF($D13=6,W13-SUM($AH13:$AQ13),0)</f>
        <v>0</v>
      </c>
      <c r="AX13" s="1928" t="n">
        <f aca="false">IF($D13=7,W13-SUM($AH13:$AQ13),0)</f>
        <v>0</v>
      </c>
      <c r="AY13" s="1928" t="n">
        <f aca="false">IF($D13=8,W13-SUM($AH13:$AQ13),0)</f>
        <v>0</v>
      </c>
      <c r="AZ13" s="1928" t="n">
        <f aca="false">IF($D13=9,W13-SUM($AH13:$AQ13),0)</f>
        <v>0</v>
      </c>
      <c r="BA13" s="1930" t="n">
        <f aca="false">IF($D13=10,W13-SUM($AH13:$AQ13),0)</f>
        <v>0</v>
      </c>
      <c r="BB13" s="1928" t="n">
        <f aca="false">SUM(AH13:AM13)</f>
        <v>0</v>
      </c>
      <c r="BC13" s="1928" t="n">
        <f aca="false">SUM(AR13:AW13)</f>
        <v>0</v>
      </c>
      <c r="BD13" s="1928" t="n">
        <f aca="false">V13</f>
        <v>0</v>
      </c>
      <c r="BE13" s="1928" t="n">
        <f aca="false">E13*G13/12*2+(U13*U13*G13/1728*S13)</f>
        <v>0</v>
      </c>
      <c r="BF13" s="1928" t="n">
        <f aca="false">BE13/2</f>
        <v>0</v>
      </c>
      <c r="BG13" s="1928" t="n">
        <f aca="false">N13*E13/12</f>
        <v>0</v>
      </c>
      <c r="BH13" s="1928" t="n">
        <f aca="false">ROUND(IF(C13="Y",BF13*3/27,0),0)</f>
        <v>0</v>
      </c>
      <c r="BJ13" s="1931" t="n">
        <f aca="false">V13*F$56*IF(T$39="N",(1+V$39),1)</f>
        <v>0</v>
      </c>
      <c r="BK13" s="1932" t="n">
        <f aca="false">(AR13*Pricing!F$3+AS13*Pricing!G$3+AT13*Pricing!H$3+AU13*Pricing!I$3+AV13*Pricing!J$3+AW13*Pricing!K$3+AH13*Pricing!F$3+AI13*Pricing!G$3+AJ13*Pricing!H$3+AK13*Pricing!I$3+AL13*Pricing!J$3+AM13*Pricing!K$3)*IF(T$39="N",(1+V$39),1)</f>
        <v>0</v>
      </c>
      <c r="BL13" s="1932" t="n">
        <f aca="false">IF(C13="Y",(N$59+N$60)/DF$36*DF13,0)</f>
        <v>0</v>
      </c>
      <c r="BM13" s="1932" t="n">
        <f aca="false">BF13*(G$67+D$70)</f>
        <v>0</v>
      </c>
      <c r="BN13" s="1932" t="n">
        <f aca="false">BG13*D$66</f>
        <v>0</v>
      </c>
      <c r="BO13" s="1932" t="n">
        <f aca="false">V13/2000*D$71</f>
        <v>0</v>
      </c>
      <c r="BP13" s="1932" t="n">
        <f aca="false">IF(C13="Y",(N$74+N$73+N$72)/DF$36*DF13,0)</f>
        <v>0</v>
      </c>
      <c r="BQ13" s="1932" t="n">
        <f aca="false">IF(SUM(BF$36:BG$36)=0,0,(SUM(N$78:O$81)+SUM(N$83:O$88)+SUM(N$90:O$96)+W$95)/SUM(BF$36:BG$36)*(BF13+BG13))</f>
        <v>0</v>
      </c>
      <c r="BR13" s="1933"/>
      <c r="BS13" s="1934" t="n">
        <f aca="false">IF(SUM(BF$36:BG$36)=0,0,(BQ$36-W$58-N$64-W58-(L$79*0.15))/SUM(BF$36:BG$36)*BG13+BN13)</f>
        <v>0</v>
      </c>
      <c r="BT13" s="1932" t="n">
        <f aca="false">(AH13*Pricing!F$3+AI13*Pricing!G$3+AJ13*Pricing!H$3+AK13*Pricing!I$3+AL13*Pricing!J$3+AM13*Pricing!K$3)*IF(T$39="N",(1+V$39),1)</f>
        <v>0</v>
      </c>
      <c r="BU13" s="1932" t="n">
        <f aca="false">IF(BG13=0,0,(BS13+BT13)/BG13)</f>
        <v>0</v>
      </c>
      <c r="BV13" s="1932" t="n">
        <f aca="false">SUM(BJ13:BQ13)-BS13-BT13</f>
        <v>0</v>
      </c>
      <c r="BW13" s="1933" t="n">
        <f aca="false">IF(BE13=0,0,BV13/BF13)</f>
        <v>0</v>
      </c>
      <c r="DB13" s="1935" t="n">
        <f aca="false">IF(W13=0,0,D$40/SUM(W$10:W$35)*W13)</f>
        <v>0</v>
      </c>
      <c r="DC13" s="1932" t="e">
        <f aca="false">E13*N13/12*(D$40-7980)/H$66</f>
        <v>#DIV/0!</v>
      </c>
      <c r="DD13" s="179" t="n">
        <f aca="false">ROUND(N13*O13/3088*E13,0)</f>
        <v>0</v>
      </c>
      <c r="DE13" s="908" t="n">
        <f aca="false">ROUND(V13,0)</f>
        <v>0</v>
      </c>
      <c r="DF13" s="356" t="n">
        <f aca="false">ROUND(IF(C13="Y",(G13*0.25*E13+G13*G13/144*0.5*E13)/27*1.3,0),0)</f>
        <v>0</v>
      </c>
      <c r="DG13" s="908" t="n">
        <f aca="false">ROUND(E13*G13/12,0)</f>
        <v>0</v>
      </c>
      <c r="DH13" s="908" t="n">
        <f aca="false">IF(C13="y",ROUNDUP(E13*G13/12,0),0)</f>
        <v>0</v>
      </c>
      <c r="DI13" s="908" t="n">
        <f aca="false">IF(C13="Y",IF(E13&gt;0,E13,0),0)</f>
        <v>0</v>
      </c>
      <c r="DJ13" s="1936" t="n">
        <f aca="false">ROUND(E13*N13/12,0)</f>
        <v>0</v>
      </c>
    </row>
    <row r="14" s="1414" customFormat="true" ht="15" hidden="false" customHeight="false" outlineLevel="0" collapsed="false">
      <c r="A14" s="507"/>
      <c r="B14" s="1312"/>
      <c r="C14" s="1919"/>
      <c r="D14" s="1920"/>
      <c r="E14" s="1921"/>
      <c r="F14" s="1234"/>
      <c r="G14" s="1235"/>
      <c r="H14" s="1236"/>
      <c r="I14" s="1234"/>
      <c r="J14" s="1235"/>
      <c r="K14" s="1236"/>
      <c r="L14" s="1234"/>
      <c r="M14" s="1234"/>
      <c r="N14" s="1922"/>
      <c r="O14" s="1234"/>
      <c r="P14" s="1234"/>
      <c r="Q14" s="1237"/>
      <c r="R14" s="1923"/>
      <c r="S14" s="1924"/>
      <c r="T14" s="78"/>
      <c r="U14" s="900"/>
      <c r="V14" s="1925" t="n">
        <f aca="false">((E14*I14/16*I14/16*10.680159*J14)*IF(H14=0,0,(G14/H14))+(G14/12*L14/16*L14/16*10.680159*M14)*IF(K14=0,0,(E14*12/K14))+(E14*IF(P14=0,0,N14/P14)*Q14/16*Q14/16*10.680159*R14)+(IF(P14=0,0,E14/P14*N14)*Q14/16*Q14/16*10.680159*R14)+((T14*U14*S14*0.03*0.2836*G14)/12+4)*IF(H14=0,0,(G14/H14))*I14/16*I14/16*10.680159)*(1+J$56)</f>
        <v>0</v>
      </c>
      <c r="W14" s="1926" t="n">
        <f aca="false">((E14*F14/12*G14/324)+ROUNDUP(S14*T14*U14*G14/46656,0)+(N14*O14*E14/3888))*(1+J$51)</f>
        <v>0</v>
      </c>
      <c r="AH14" s="1929" t="n">
        <f aca="false">IF($R$8=1,$N14*$O14*$E14/3888*(1+$J$51),0)</f>
        <v>0</v>
      </c>
      <c r="AI14" s="1928" t="n">
        <f aca="false">IF($R$8=2,$N14*$O14*$E14/3888*(1+$J$51),0)</f>
        <v>0</v>
      </c>
      <c r="AJ14" s="1928" t="n">
        <f aca="false">IF($R$8=3,$N14*$O14*$E14/3888*(1+$J$51),0)</f>
        <v>0</v>
      </c>
      <c r="AK14" s="1928" t="n">
        <f aca="false">IF($R$8=4,$N14*$O14*$E14/3888*(1+$J$51),0)</f>
        <v>0</v>
      </c>
      <c r="AL14" s="1928" t="n">
        <f aca="false">IF($R$8=5,$N14*$O14*$E14/3888*(1+$J$51),0)</f>
        <v>0</v>
      </c>
      <c r="AM14" s="1928" t="n">
        <f aca="false">IF($R$8=6,$N14*$O14*$E14/3888*(1+$J$51),0)</f>
        <v>0</v>
      </c>
      <c r="AN14" s="1928" t="n">
        <f aca="false">IF($R$8=7,$N14*$O14*$E14/3888*(1+$J$51),0)</f>
        <v>0</v>
      </c>
      <c r="AO14" s="1928" t="n">
        <f aca="false">IF($R$8=8,$N14*$O14*$E14/3888*(1+$J$51),0)</f>
        <v>0</v>
      </c>
      <c r="AP14" s="1928" t="n">
        <f aca="false">IF($R$8=9,$N14*$O14*$E14/3888*(1+$J$51),0)</f>
        <v>0</v>
      </c>
      <c r="AQ14" s="1928" t="n">
        <f aca="false">IF($R$8=10,$N14*$O14*$E14/3888*(1+$J$51),0)</f>
        <v>0</v>
      </c>
      <c r="AR14" s="1929" t="n">
        <f aca="false">IF($D14=1,$W14-SUM($AH14:$AQ14),0)</f>
        <v>0</v>
      </c>
      <c r="AS14" s="1928" t="n">
        <f aca="false">IF($D14=2,W14-SUM($AH14:$AQ14),0)</f>
        <v>0</v>
      </c>
      <c r="AT14" s="1928" t="n">
        <f aca="false">IF($D14=3,W14-SUM($AH14:$AQ14),0)</f>
        <v>0</v>
      </c>
      <c r="AU14" s="1928" t="n">
        <f aca="false">IF($D14=4,W14-SUM($AH14:$AQ14),0)</f>
        <v>0</v>
      </c>
      <c r="AV14" s="1928" t="n">
        <f aca="false">IF($D14=5,W14-SUM($AH14:$AQ14),0)</f>
        <v>0</v>
      </c>
      <c r="AW14" s="1928" t="n">
        <f aca="false">IF($D14=6,W14-SUM($AH14:$AQ14),0)</f>
        <v>0</v>
      </c>
      <c r="AX14" s="1928" t="n">
        <f aca="false">IF($D14=7,W14-SUM($AH14:$AQ14),0)</f>
        <v>0</v>
      </c>
      <c r="AY14" s="1928" t="n">
        <f aca="false">IF($D14=8,W14-SUM($AH14:$AQ14),0)</f>
        <v>0</v>
      </c>
      <c r="AZ14" s="1928" t="n">
        <f aca="false">IF($D14=9,W14-SUM($AH14:$AQ14),0)</f>
        <v>0</v>
      </c>
      <c r="BA14" s="1930" t="n">
        <f aca="false">IF($D14=10,W14-SUM($AH14:$AQ14),0)</f>
        <v>0</v>
      </c>
      <c r="BB14" s="1928" t="n">
        <f aca="false">SUM(AH14:AM14)</f>
        <v>0</v>
      </c>
      <c r="BC14" s="1928" t="n">
        <f aca="false">SUM(AR14:AW14)</f>
        <v>0</v>
      </c>
      <c r="BD14" s="1928" t="n">
        <f aca="false">V14</f>
        <v>0</v>
      </c>
      <c r="BE14" s="1928" t="n">
        <f aca="false">E14*G14/12*2+(U14*U14*G14/1728*S14)</f>
        <v>0</v>
      </c>
      <c r="BF14" s="1928" t="n">
        <f aca="false">BE14/2</f>
        <v>0</v>
      </c>
      <c r="BG14" s="1928" t="n">
        <f aca="false">N14*E14/12</f>
        <v>0</v>
      </c>
      <c r="BH14" s="1928" t="n">
        <f aca="false">ROUND(IF(C14="Y",BF14*3/27,0),0)</f>
        <v>0</v>
      </c>
      <c r="BJ14" s="1931" t="n">
        <f aca="false">V14*F$56*IF(T$39="N",(1+V$39),1)</f>
        <v>0</v>
      </c>
      <c r="BK14" s="1932" t="n">
        <f aca="false">(AR14*Pricing!F$3+AS14*Pricing!G$3+AT14*Pricing!H$3+AU14*Pricing!I$3+AV14*Pricing!J$3+AW14*Pricing!K$3+AH14*Pricing!F$3+AI14*Pricing!G$3+AJ14*Pricing!H$3+AK14*Pricing!I$3+AL14*Pricing!J$3+AM14*Pricing!K$3)*IF(T$39="N",(1+V$39),1)</f>
        <v>0</v>
      </c>
      <c r="BL14" s="1932" t="n">
        <f aca="false">IF(C14="Y",(N$59+N$60)/DF$36*DF14,0)</f>
        <v>0</v>
      </c>
      <c r="BM14" s="1932" t="n">
        <f aca="false">BF14*(G$67+D$70)</f>
        <v>0</v>
      </c>
      <c r="BN14" s="1932" t="n">
        <f aca="false">BG14*D$66</f>
        <v>0</v>
      </c>
      <c r="BO14" s="1932" t="n">
        <f aca="false">V14/2000*D$71</f>
        <v>0</v>
      </c>
      <c r="BP14" s="1932" t="n">
        <f aca="false">IF(C14="Y",(N$74+N$73+N$72)/DF$36*DF14,0)</f>
        <v>0</v>
      </c>
      <c r="BQ14" s="1932" t="n">
        <f aca="false">IF(SUM(BF$36:BG$36)=0,0,(SUM(N$78:O$81)+SUM(N$83:O$88)+SUM(N$90:O$96)+W$95)/SUM(BF$36:BG$36)*(BF14+BG14))</f>
        <v>0</v>
      </c>
      <c r="BR14" s="1933"/>
      <c r="BS14" s="1934" t="n">
        <f aca="false">IF(SUM(BF$36:BG$36)=0,0,(BQ$36-W$58-N$64-W78-(L$79*0.15))/SUM(BF$36:BG$36)*BG14+BN14)</f>
        <v>0</v>
      </c>
      <c r="BT14" s="1932" t="n">
        <f aca="false">(AH14*Pricing!F$3+AI14*Pricing!G$3+AJ14*Pricing!H$3+AK14*Pricing!I$3+AL14*Pricing!J$3+AM14*Pricing!K$3)*IF(T$39="N",(1+V$39),1)</f>
        <v>0</v>
      </c>
      <c r="BU14" s="1932" t="n">
        <f aca="false">IF(BG14=0,0,(BS14+BT14)/BG14)</f>
        <v>0</v>
      </c>
      <c r="BV14" s="1932" t="n">
        <f aca="false">SUM(BJ14:BQ14)-BS14-BT14</f>
        <v>0</v>
      </c>
      <c r="BW14" s="1933" t="n">
        <f aca="false">IF(BE14=0,0,BV14/BF14)</f>
        <v>0</v>
      </c>
      <c r="DB14" s="1935" t="n">
        <f aca="false">IF(W14=0,0,D$40/SUM(W$10:W$35)*W14)</f>
        <v>0</v>
      </c>
      <c r="DC14" s="1932" t="e">
        <f aca="false">E14*N14/12*(D$40-7980)/H$66</f>
        <v>#DIV/0!</v>
      </c>
      <c r="DD14" s="179" t="n">
        <f aca="false">ROUND(N14*O14/3088*E14,0)</f>
        <v>0</v>
      </c>
      <c r="DE14" s="908" t="n">
        <f aca="false">ROUND(V14,0)</f>
        <v>0</v>
      </c>
      <c r="DF14" s="356" t="n">
        <f aca="false">ROUND(IF(C14="Y",(G14*0.25*E14+G14*G14/144*0.5*E14)/27*1.3,0),0)</f>
        <v>0</v>
      </c>
      <c r="DG14" s="908" t="n">
        <f aca="false">ROUND(E14*G14/12,0)</f>
        <v>0</v>
      </c>
      <c r="DH14" s="908" t="n">
        <f aca="false">IF(C14="y",ROUNDUP(E14*G14/12,0),0)</f>
        <v>0</v>
      </c>
      <c r="DI14" s="908" t="n">
        <f aca="false">IF(C14="Y",IF(E14&gt;0,E14,0),0)</f>
        <v>0</v>
      </c>
      <c r="DJ14" s="1936" t="n">
        <f aca="false">ROUND(E14*N14/12,0)</f>
        <v>0</v>
      </c>
    </row>
    <row r="15" s="1414" customFormat="true" ht="15" hidden="false" customHeight="false" outlineLevel="0" collapsed="false">
      <c r="A15" s="507"/>
      <c r="B15" s="1312"/>
      <c r="C15" s="1919"/>
      <c r="D15" s="1920"/>
      <c r="E15" s="1921"/>
      <c r="F15" s="1234"/>
      <c r="G15" s="1235"/>
      <c r="H15" s="1236"/>
      <c r="I15" s="1234"/>
      <c r="J15" s="1235"/>
      <c r="K15" s="1236"/>
      <c r="L15" s="1234"/>
      <c r="M15" s="1234"/>
      <c r="N15" s="1922"/>
      <c r="O15" s="1234"/>
      <c r="P15" s="1234"/>
      <c r="Q15" s="1237"/>
      <c r="R15" s="1923"/>
      <c r="S15" s="1924"/>
      <c r="T15" s="78"/>
      <c r="U15" s="900"/>
      <c r="V15" s="1925" t="n">
        <f aca="false">((E15*I15/16*I15/16*10.680159*J15)*IF(H15=0,0,(G15/H15))+(G15/12*L15/16*L15/16*10.680159*M15)*IF(K15=0,0,(E15*12/K15))+(E15*IF(P15=0,0,N15/P15)*Q15/16*Q15/16*10.680159*R15)+(IF(P15=0,0,E15/P15*N15)*Q15/16*Q15/16*10.680159*R15)+((T15*U15*S15*0.03*0.2836*G15)/12+4)*IF(H15=0,0,(G15/H15))*I15/16*I15/16*10.680159)*(1+J$56)</f>
        <v>0</v>
      </c>
      <c r="W15" s="1926" t="n">
        <f aca="false">((E15*F15/12*G15/324)+ROUNDUP(S15*T15*U15*G15/46656,0)+(N15*O15*E15/3888))*(1+J$51)</f>
        <v>0</v>
      </c>
      <c r="AH15" s="1929" t="n">
        <f aca="false">IF($R$8=1,$N15*$O15*$E15/3888*(1+$J$51),0)</f>
        <v>0</v>
      </c>
      <c r="AI15" s="1928" t="n">
        <f aca="false">IF($R$8=2,$N15*$O15*$E15/3888*(1+$J$51),0)</f>
        <v>0</v>
      </c>
      <c r="AJ15" s="1928" t="n">
        <f aca="false">IF($R$8=3,$N15*$O15*$E15/3888*(1+$J$51),0)</f>
        <v>0</v>
      </c>
      <c r="AK15" s="1928" t="n">
        <f aca="false">IF($R$8=4,$N15*$O15*$E15/3888*(1+$J$51),0)</f>
        <v>0</v>
      </c>
      <c r="AL15" s="1928" t="n">
        <f aca="false">IF($R$8=5,$N15*$O15*$E15/3888*(1+$J$51),0)</f>
        <v>0</v>
      </c>
      <c r="AM15" s="1928" t="n">
        <f aca="false">IF($R$8=6,$N15*$O15*$E15/3888*(1+$J$51),0)</f>
        <v>0</v>
      </c>
      <c r="AN15" s="1928" t="n">
        <f aca="false">IF($R$8=7,$N15*$O15*$E15/3888*(1+$J$51),0)</f>
        <v>0</v>
      </c>
      <c r="AO15" s="1928" t="n">
        <f aca="false">IF($R$8=8,$N15*$O15*$E15/3888*(1+$J$51),0)</f>
        <v>0</v>
      </c>
      <c r="AP15" s="1928" t="n">
        <f aca="false">IF($R$8=9,$N15*$O15*$E15/3888*(1+$J$51),0)</f>
        <v>0</v>
      </c>
      <c r="AQ15" s="1928" t="n">
        <f aca="false">IF($R$8=10,$N15*$O15*$E15/3888*(1+$J$51),0)</f>
        <v>0</v>
      </c>
      <c r="AR15" s="1929" t="n">
        <f aca="false">IF($D15=1,$W15-SUM($AH15:$AQ15),0)</f>
        <v>0</v>
      </c>
      <c r="AS15" s="1928" t="n">
        <f aca="false">IF($D15=2,W15-SUM($AH15:$AQ15),0)</f>
        <v>0</v>
      </c>
      <c r="AT15" s="1928" t="n">
        <f aca="false">IF($D15=3,W15-SUM($AH15:$AQ15),0)</f>
        <v>0</v>
      </c>
      <c r="AU15" s="1928" t="n">
        <f aca="false">IF($D15=4,W15-SUM($AH15:$AQ15),0)</f>
        <v>0</v>
      </c>
      <c r="AV15" s="1928" t="n">
        <f aca="false">IF($D15=5,W15-SUM($AH15:$AQ15),0)</f>
        <v>0</v>
      </c>
      <c r="AW15" s="1928" t="n">
        <f aca="false">IF($D15=6,W15-SUM($AH15:$AQ15),0)</f>
        <v>0</v>
      </c>
      <c r="AX15" s="1928" t="n">
        <f aca="false">IF($D15=7,W15-SUM($AH15:$AQ15),0)</f>
        <v>0</v>
      </c>
      <c r="AY15" s="1928" t="n">
        <f aca="false">IF($D15=8,W15-SUM($AH15:$AQ15),0)</f>
        <v>0</v>
      </c>
      <c r="AZ15" s="1928" t="n">
        <f aca="false">IF($D15=9,W15-SUM($AH15:$AQ15),0)</f>
        <v>0</v>
      </c>
      <c r="BA15" s="1930" t="n">
        <f aca="false">IF($D15=10,W15-SUM($AH15:$AQ15),0)</f>
        <v>0</v>
      </c>
      <c r="BB15" s="1928" t="n">
        <f aca="false">SUM(AH15:AM15)</f>
        <v>0</v>
      </c>
      <c r="BC15" s="1928" t="n">
        <f aca="false">SUM(AR15:AW15)</f>
        <v>0</v>
      </c>
      <c r="BD15" s="1928" t="n">
        <f aca="false">V15</f>
        <v>0</v>
      </c>
      <c r="BE15" s="1928" t="n">
        <f aca="false">E15*G15/12*2+(U15*U15*G15/1728*S15)</f>
        <v>0</v>
      </c>
      <c r="BF15" s="1928" t="n">
        <f aca="false">BE15/2</f>
        <v>0</v>
      </c>
      <c r="BG15" s="1928" t="n">
        <f aca="false">N15*E15/12</f>
        <v>0</v>
      </c>
      <c r="BH15" s="1928" t="n">
        <f aca="false">ROUND(IF(C15="Y",BF15*3/27,0),0)</f>
        <v>0</v>
      </c>
      <c r="BJ15" s="1931" t="n">
        <f aca="false">V15*F$56*IF(T$39="N",(1+V$39),1)</f>
        <v>0</v>
      </c>
      <c r="BK15" s="1932" t="n">
        <f aca="false">(AR15*Pricing!F$3+AS15*Pricing!G$3+AT15*Pricing!H$3+AU15*Pricing!I$3+AV15*Pricing!J$3+AW15*Pricing!K$3+AH15*Pricing!F$3+AI15*Pricing!G$3+AJ15*Pricing!H$3+AK15*Pricing!I$3+AL15*Pricing!J$3+AM15*Pricing!K$3)*IF(T$39="N",(1+V$39),1)</f>
        <v>0</v>
      </c>
      <c r="BL15" s="1932" t="n">
        <f aca="false">IF(C15="Y",(N$59+N$60)/DF$36*DF15,0)</f>
        <v>0</v>
      </c>
      <c r="BM15" s="1932" t="n">
        <f aca="false">BF15*(G$67+D$70)</f>
        <v>0</v>
      </c>
      <c r="BN15" s="1932" t="n">
        <f aca="false">BG15*D$66</f>
        <v>0</v>
      </c>
      <c r="BO15" s="1932" t="n">
        <f aca="false">V15/2000*D$71</f>
        <v>0</v>
      </c>
      <c r="BP15" s="1932" t="n">
        <f aca="false">IF(C15="Y",(N$74+N$73+N$72)/DF$36*DF15,0)</f>
        <v>0</v>
      </c>
      <c r="BQ15" s="1932" t="n">
        <f aca="false">IF(SUM(BF$36:BG$36)=0,0,(SUM(N$78:O$81)+SUM(N$83:O$88)+SUM(N$90:O$96)+W$95)/SUM(BF$36:BG$36)*(BF15+BG15))</f>
        <v>0</v>
      </c>
      <c r="BR15" s="1933"/>
      <c r="BS15" s="1934" t="n">
        <f aca="false">IF(SUM(BF$36:BG$36)=0,0,(BQ$36-W$58-N$64-W79-(L$79*0.15))/SUM(BF$36:BG$36)*BG15+BN15)</f>
        <v>0</v>
      </c>
      <c r="BT15" s="1932" t="n">
        <f aca="false">(AH15*Pricing!F$3+AI15*Pricing!G$3+AJ15*Pricing!H$3+AK15*Pricing!I$3+AL15*Pricing!J$3+AM15*Pricing!K$3)*IF(T$39="N",(1+V$39),1)</f>
        <v>0</v>
      </c>
      <c r="BU15" s="1932" t="n">
        <f aca="false">IF(BG15=0,0,(BS15+BT15)/BG15)</f>
        <v>0</v>
      </c>
      <c r="BV15" s="1932" t="n">
        <f aca="false">SUM(BJ15:BQ15)-BS15-BT15</f>
        <v>0</v>
      </c>
      <c r="BW15" s="1933" t="n">
        <f aca="false">IF(BE15=0,0,BV15/BF15)</f>
        <v>0</v>
      </c>
      <c r="DB15" s="1935" t="n">
        <f aca="false">IF(W15=0,0,D$40/SUM(W$10:W$35)*W15)</f>
        <v>0</v>
      </c>
      <c r="DC15" s="1932" t="e">
        <f aca="false">E15*N15/12*(D$40-7980)/H$66</f>
        <v>#DIV/0!</v>
      </c>
      <c r="DD15" s="179" t="n">
        <f aca="false">ROUND(N15*O15/3088*E15,0)</f>
        <v>0</v>
      </c>
      <c r="DE15" s="908" t="n">
        <f aca="false">ROUND(V15,0)</f>
        <v>0</v>
      </c>
      <c r="DF15" s="356" t="n">
        <f aca="false">ROUND(IF(C15="Y",(G15*0.25*E15+G15*G15/144*0.5*E15)/27*1.3,0),0)</f>
        <v>0</v>
      </c>
      <c r="DG15" s="908" t="n">
        <f aca="false">ROUND(E15*G15/12,0)</f>
        <v>0</v>
      </c>
      <c r="DH15" s="908" t="n">
        <f aca="false">IF(C15="y",ROUNDUP(E15*G15/12,0),0)</f>
        <v>0</v>
      </c>
      <c r="DI15" s="908" t="n">
        <f aca="false">IF(C15="Y",IF(E15&gt;0,E15,0),0)</f>
        <v>0</v>
      </c>
      <c r="DJ15" s="1936" t="n">
        <f aca="false">ROUND(E15*N15/12,0)</f>
        <v>0</v>
      </c>
    </row>
    <row r="16" s="1414" customFormat="true" ht="15" hidden="false" customHeight="false" outlineLevel="0" collapsed="false">
      <c r="A16" s="507"/>
      <c r="B16" s="1312"/>
      <c r="C16" s="1919"/>
      <c r="D16" s="1920"/>
      <c r="E16" s="1921"/>
      <c r="F16" s="1234"/>
      <c r="G16" s="1235"/>
      <c r="H16" s="1236"/>
      <c r="I16" s="1234"/>
      <c r="J16" s="1235"/>
      <c r="K16" s="1236"/>
      <c r="L16" s="1234"/>
      <c r="M16" s="1234"/>
      <c r="N16" s="1922"/>
      <c r="O16" s="1234"/>
      <c r="P16" s="1234"/>
      <c r="Q16" s="1237"/>
      <c r="R16" s="1923"/>
      <c r="S16" s="1924"/>
      <c r="T16" s="78"/>
      <c r="U16" s="900"/>
      <c r="V16" s="1925" t="n">
        <f aca="false">((E16*I16/16*I16/16*10.680159*J16)*IF(H16=0,0,(G16/H16))+(G16/12*L16/16*L16/16*10.680159*M16)*IF(K16=0,0,(E16*12/K16))+(E16*IF(P16=0,0,N16/P16)*Q16/16*Q16/16*10.680159*R16)+(IF(P16=0,0,E16/P16*N16)*Q16/16*Q16/16*10.680159*R16)+((T16*U16*S16*0.03*0.2836*G16)/12+4)*IF(H16=0,0,(G16/H16))*I16/16*I16/16*10.680159)*(1+J$56)</f>
        <v>0</v>
      </c>
      <c r="W16" s="1926" t="n">
        <f aca="false">((E16*F16/12*G16/324)+ROUNDUP(S16*T16*U16*G16/46656,0)+(N16*O16*E16/3888))*(1+J$51)</f>
        <v>0</v>
      </c>
      <c r="AH16" s="1929" t="n">
        <f aca="false">IF($R$8=1,$N16*$O16*$E16/3888*(1+$J$51),0)</f>
        <v>0</v>
      </c>
      <c r="AI16" s="1928" t="n">
        <f aca="false">IF($R$8=2,$N16*$O16*$E16/3888*(1+$J$51),0)</f>
        <v>0</v>
      </c>
      <c r="AJ16" s="1928" t="n">
        <f aca="false">IF($R$8=3,$N16*$O16*$E16/3888*(1+$J$51),0)</f>
        <v>0</v>
      </c>
      <c r="AK16" s="1928" t="n">
        <f aca="false">IF($R$8=4,$N16*$O16*$E16/3888*(1+$J$51),0)</f>
        <v>0</v>
      </c>
      <c r="AL16" s="1928" t="n">
        <f aca="false">IF($R$8=5,$N16*$O16*$E16/3888*(1+$J$51),0)</f>
        <v>0</v>
      </c>
      <c r="AM16" s="1928" t="n">
        <f aca="false">IF($R$8=6,$N16*$O16*$E16/3888*(1+$J$51),0)</f>
        <v>0</v>
      </c>
      <c r="AN16" s="1928" t="n">
        <f aca="false">IF($R$8=7,$N16*$O16*$E16/3888*(1+$J$51),0)</f>
        <v>0</v>
      </c>
      <c r="AO16" s="1928" t="n">
        <f aca="false">IF($R$8=8,$N16*$O16*$E16/3888*(1+$J$51),0)</f>
        <v>0</v>
      </c>
      <c r="AP16" s="1928" t="n">
        <f aca="false">IF($R$8=9,$N16*$O16*$E16/3888*(1+$J$51),0)</f>
        <v>0</v>
      </c>
      <c r="AQ16" s="1928" t="n">
        <f aca="false">IF($R$8=10,$N16*$O16*$E16/3888*(1+$J$51),0)</f>
        <v>0</v>
      </c>
      <c r="AR16" s="1929" t="n">
        <f aca="false">IF($D16=1,$W16-SUM($AH16:$AQ16),0)</f>
        <v>0</v>
      </c>
      <c r="AS16" s="1928" t="n">
        <f aca="false">IF($D16=2,W16-SUM($AH16:$AQ16),0)</f>
        <v>0</v>
      </c>
      <c r="AT16" s="1928" t="n">
        <f aca="false">IF($D16=3,W16-SUM($AH16:$AQ16),0)</f>
        <v>0</v>
      </c>
      <c r="AU16" s="1928" t="n">
        <f aca="false">IF($D16=4,W16-SUM($AH16:$AQ16),0)</f>
        <v>0</v>
      </c>
      <c r="AV16" s="1928" t="n">
        <f aca="false">IF($D16=5,W16-SUM($AH16:$AQ16),0)</f>
        <v>0</v>
      </c>
      <c r="AW16" s="1928" t="n">
        <f aca="false">IF($D16=6,W16-SUM($AH16:$AQ16),0)</f>
        <v>0</v>
      </c>
      <c r="AX16" s="1928" t="n">
        <f aca="false">IF($D16=7,W16-SUM($AH16:$AQ16),0)</f>
        <v>0</v>
      </c>
      <c r="AY16" s="1928" t="n">
        <f aca="false">IF($D16=8,W16-SUM($AH16:$AQ16),0)</f>
        <v>0</v>
      </c>
      <c r="AZ16" s="1928" t="n">
        <f aca="false">IF($D16=9,W16-SUM($AH16:$AQ16),0)</f>
        <v>0</v>
      </c>
      <c r="BA16" s="1930" t="n">
        <f aca="false">IF($D16=10,W16-SUM($AH16:$AQ16),0)</f>
        <v>0</v>
      </c>
      <c r="BB16" s="1928" t="n">
        <f aca="false">SUM(AH16:AM16)</f>
        <v>0</v>
      </c>
      <c r="BC16" s="1928" t="n">
        <f aca="false">SUM(AR16:AW16)</f>
        <v>0</v>
      </c>
      <c r="BD16" s="1928" t="n">
        <f aca="false">V16</f>
        <v>0</v>
      </c>
      <c r="BE16" s="1928" t="n">
        <f aca="false">E16*G16/12*2+(U16*U16*G16/1728*S16)</f>
        <v>0</v>
      </c>
      <c r="BF16" s="1928" t="n">
        <f aca="false">BE16/2</f>
        <v>0</v>
      </c>
      <c r="BG16" s="1928" t="n">
        <f aca="false">N16*E16/12</f>
        <v>0</v>
      </c>
      <c r="BH16" s="1928" t="n">
        <f aca="false">ROUND(IF(C16="Y",BF16*3/27,0),0)</f>
        <v>0</v>
      </c>
      <c r="BJ16" s="1931" t="n">
        <f aca="false">V16*F$56*IF(T$39="N",(1+V$39),1)</f>
        <v>0</v>
      </c>
      <c r="BK16" s="1932" t="n">
        <f aca="false">(AR16*Pricing!F$3+AS16*Pricing!G$3+AT16*Pricing!H$3+AU16*Pricing!I$3+AV16*Pricing!J$3+AW16*Pricing!K$3+AH16*Pricing!F$3+AI16*Pricing!G$3+AJ16*Pricing!H$3+AK16*Pricing!I$3+AL16*Pricing!J$3+AM16*Pricing!K$3)*IF(T$39="N",(1+V$39),1)</f>
        <v>0</v>
      </c>
      <c r="BL16" s="1932" t="n">
        <f aca="false">IF(C16="Y",(N$59+N$60)/DF$36*DF16,0)</f>
        <v>0</v>
      </c>
      <c r="BM16" s="1932" t="n">
        <f aca="false">BF16*(G$67+D$70)</f>
        <v>0</v>
      </c>
      <c r="BN16" s="1932" t="n">
        <f aca="false">BG16*D$66</f>
        <v>0</v>
      </c>
      <c r="BO16" s="1932" t="n">
        <f aca="false">V16/2000*D$71</f>
        <v>0</v>
      </c>
      <c r="BP16" s="1932" t="n">
        <f aca="false">IF(C16="Y",(N$74+N$73+N$72)/DF$36*DF16,0)</f>
        <v>0</v>
      </c>
      <c r="BQ16" s="1932" t="n">
        <f aca="false">IF(SUM(BF$36:BG$36)=0,0,(SUM(N$78:O$81)+SUM(N$83:O$88)+SUM(N$90:O$96)+W$95)/SUM(BF$36:BG$36)*(BF16+BG16))</f>
        <v>0</v>
      </c>
      <c r="BR16" s="1933"/>
      <c r="BS16" s="1934" t="n">
        <f aca="false">IF(SUM(BF$36:BG$36)=0,0,(BQ$36-W$58-N$64-W71-(L$79*0.15))/SUM(BF$36:BG$36)*BG16+BN16)</f>
        <v>0</v>
      </c>
      <c r="BT16" s="1932" t="n">
        <f aca="false">(AH16*Pricing!F$3+AI16*Pricing!G$3+AJ16*Pricing!H$3+AK16*Pricing!I$3+AL16*Pricing!J$3+AM16*Pricing!K$3)*IF(T$39="N",(1+V$39),1)</f>
        <v>0</v>
      </c>
      <c r="BU16" s="1932" t="n">
        <f aca="false">IF(BG16=0,0,(BS16+BT16)/BG16)</f>
        <v>0</v>
      </c>
      <c r="BV16" s="1932" t="n">
        <f aca="false">SUM(BJ16:BQ16)-BS16-BT16</f>
        <v>0</v>
      </c>
      <c r="BW16" s="1933" t="n">
        <f aca="false">IF(BE16=0,0,BV16/BF16)</f>
        <v>0</v>
      </c>
      <c r="DB16" s="1935" t="n">
        <f aca="false">IF(W16=0,0,D$40/SUM(W$10:W$35)*W16)</f>
        <v>0</v>
      </c>
      <c r="DC16" s="1932" t="e">
        <f aca="false">E16*N16/12*(D$40-7980)/H$66</f>
        <v>#DIV/0!</v>
      </c>
      <c r="DD16" s="179" t="n">
        <f aca="false">ROUND(N16*O16/3088*E16,0)</f>
        <v>0</v>
      </c>
      <c r="DE16" s="908" t="n">
        <f aca="false">ROUND(V16,0)</f>
        <v>0</v>
      </c>
      <c r="DF16" s="356" t="n">
        <f aca="false">ROUND(IF(C16="Y",(G16*0.25*E16+G16*G16/144*0.5*E16)/27*1.3,0),0)</f>
        <v>0</v>
      </c>
      <c r="DG16" s="908" t="n">
        <f aca="false">ROUND(E16*G16/12,0)</f>
        <v>0</v>
      </c>
      <c r="DH16" s="908" t="n">
        <f aca="false">IF(C16="y",ROUNDUP(E16*G16/12,0),0)</f>
        <v>0</v>
      </c>
      <c r="DI16" s="908" t="n">
        <f aca="false">IF(C16="Y",IF(E16&gt;0,E16,0),0)</f>
        <v>0</v>
      </c>
      <c r="DJ16" s="1936" t="n">
        <f aca="false">ROUND(E16*N16/12,0)</f>
        <v>0</v>
      </c>
    </row>
    <row r="17" s="1414" customFormat="true" ht="15" hidden="false" customHeight="false" outlineLevel="0" collapsed="false">
      <c r="A17" s="507"/>
      <c r="B17" s="1312"/>
      <c r="C17" s="1919"/>
      <c r="D17" s="1920"/>
      <c r="E17" s="1921"/>
      <c r="F17" s="1234"/>
      <c r="G17" s="1235"/>
      <c r="H17" s="1236"/>
      <c r="I17" s="1234"/>
      <c r="J17" s="1235"/>
      <c r="K17" s="1236"/>
      <c r="L17" s="1234"/>
      <c r="M17" s="1234"/>
      <c r="N17" s="1922"/>
      <c r="O17" s="1234"/>
      <c r="P17" s="1234"/>
      <c r="Q17" s="1237"/>
      <c r="R17" s="1923"/>
      <c r="S17" s="1924"/>
      <c r="T17" s="78"/>
      <c r="U17" s="900"/>
      <c r="V17" s="1925" t="n">
        <f aca="false">((E17*I17/16*I17/16*10.680159*J17)*IF(H17=0,0,(G17/H17))+(G17/12*L17/16*L17/16*10.680159*M17)*IF(K17=0,0,(E17*12/K17))+(E17*IF(P17=0,0,N17/P17)*Q17/16*Q17/16*10.680159*R17)+(IF(P17=0,0,E17/P17*N17)*Q17/16*Q17/16*10.680159*R17)+((T17*U17*S17*0.03*0.2836*G17)/12+4)*IF(H17=0,0,(G17/H17))*I17/16*I17/16*10.680159)*(1+J$56)</f>
        <v>0</v>
      </c>
      <c r="W17" s="1926" t="n">
        <f aca="false">((E17*F17/12*G17/324)+ROUNDUP(S17*T17*U17*G17/46656,0)+(N17*O17*E17/3888))*(1+J$51)</f>
        <v>0</v>
      </c>
      <c r="AH17" s="1929" t="n">
        <f aca="false">IF($R$8=1,$N17*$O17*$E17/3888*(1+$J$51),0)</f>
        <v>0</v>
      </c>
      <c r="AI17" s="1928" t="n">
        <f aca="false">IF($R$8=2,$N17*$O17*$E17/3888*(1+$J$51),0)</f>
        <v>0</v>
      </c>
      <c r="AJ17" s="1928" t="n">
        <f aca="false">IF($R$8=3,$N17*$O17*$E17/3888*(1+$J$51),0)</f>
        <v>0</v>
      </c>
      <c r="AK17" s="1928" t="n">
        <f aca="false">IF($R$8=4,$N17*$O17*$E17/3888*(1+$J$51),0)</f>
        <v>0</v>
      </c>
      <c r="AL17" s="1928" t="n">
        <f aca="false">IF($R$8=5,$N17*$O17*$E17/3888*(1+$J$51),0)</f>
        <v>0</v>
      </c>
      <c r="AM17" s="1928" t="n">
        <f aca="false">IF($R$8=6,$N17*$O17*$E17/3888*(1+$J$51),0)</f>
        <v>0</v>
      </c>
      <c r="AN17" s="1928" t="n">
        <f aca="false">IF($R$8=7,$N17*$O17*$E17/3888*(1+$J$51),0)</f>
        <v>0</v>
      </c>
      <c r="AO17" s="1928" t="n">
        <f aca="false">IF($R$8=8,$N17*$O17*$E17/3888*(1+$J$51),0)</f>
        <v>0</v>
      </c>
      <c r="AP17" s="1928" t="n">
        <f aca="false">IF($R$8=9,$N17*$O17*$E17/3888*(1+$J$51),0)</f>
        <v>0</v>
      </c>
      <c r="AQ17" s="1928" t="n">
        <f aca="false">IF($R$8=10,$N17*$O17*$E17/3888*(1+$J$51),0)</f>
        <v>0</v>
      </c>
      <c r="AR17" s="1929" t="n">
        <f aca="false">IF($D17=1,$W17-SUM($AH17:$AQ17),0)</f>
        <v>0</v>
      </c>
      <c r="AS17" s="1928" t="n">
        <f aca="false">IF($D17=2,W17-SUM($AH17:$AQ17),0)</f>
        <v>0</v>
      </c>
      <c r="AT17" s="1928" t="n">
        <f aca="false">IF($D17=3,W17-SUM($AH17:$AQ17),0)</f>
        <v>0</v>
      </c>
      <c r="AU17" s="1928" t="n">
        <f aca="false">IF($D17=4,W17-SUM($AH17:$AQ17),0)</f>
        <v>0</v>
      </c>
      <c r="AV17" s="1928" t="n">
        <f aca="false">IF($D17=5,W17-SUM($AH17:$AQ17),0)</f>
        <v>0</v>
      </c>
      <c r="AW17" s="1928" t="n">
        <f aca="false">IF($D17=6,W17-SUM($AH17:$AQ17),0)</f>
        <v>0</v>
      </c>
      <c r="AX17" s="1928" t="n">
        <f aca="false">IF($D17=7,W17-SUM($AH17:$AQ17),0)</f>
        <v>0</v>
      </c>
      <c r="AY17" s="1928" t="n">
        <f aca="false">IF($D17=8,W17-SUM($AH17:$AQ17),0)</f>
        <v>0</v>
      </c>
      <c r="AZ17" s="1928" t="n">
        <f aca="false">IF($D17=9,W17-SUM($AH17:$AQ17),0)</f>
        <v>0</v>
      </c>
      <c r="BA17" s="1930" t="n">
        <f aca="false">IF($D17=10,W17-SUM($AH17:$AQ17),0)</f>
        <v>0</v>
      </c>
      <c r="BB17" s="1928" t="n">
        <f aca="false">SUM(AH17:AM17)</f>
        <v>0</v>
      </c>
      <c r="BC17" s="1928" t="n">
        <f aca="false">SUM(AR17:AW17)</f>
        <v>0</v>
      </c>
      <c r="BD17" s="1928" t="n">
        <f aca="false">V17</f>
        <v>0</v>
      </c>
      <c r="BE17" s="1928" t="n">
        <f aca="false">E17*G17/12*2+(U17*U17*G17/1728*S17)</f>
        <v>0</v>
      </c>
      <c r="BF17" s="1928" t="n">
        <f aca="false">BE17/2</f>
        <v>0</v>
      </c>
      <c r="BG17" s="1928" t="n">
        <f aca="false">N17*E17/12</f>
        <v>0</v>
      </c>
      <c r="BH17" s="1928" t="n">
        <f aca="false">ROUND(IF(C17="Y",BF17*3/27,0),0)</f>
        <v>0</v>
      </c>
      <c r="BJ17" s="1931" t="n">
        <f aca="false">V17*F$56*IF(T$39="N",(1+V$39),1)</f>
        <v>0</v>
      </c>
      <c r="BK17" s="1932" t="n">
        <f aca="false">(AR17*Pricing!F$3+AS17*Pricing!G$3+AT17*Pricing!H$3+AU17*Pricing!I$3+AV17*Pricing!J$3+AW17*Pricing!K$3+AH17*Pricing!F$3+AI17*Pricing!G$3+AJ17*Pricing!H$3+AK17*Pricing!I$3+AL17*Pricing!J$3+AM17*Pricing!K$3)*IF(T$39="N",(1+V$39),1)</f>
        <v>0</v>
      </c>
      <c r="BL17" s="1932" t="n">
        <f aca="false">IF(C17="Y",(N$59+N$60)/DF$36*DF17,0)</f>
        <v>0</v>
      </c>
      <c r="BM17" s="1932" t="n">
        <f aca="false">BF17*(G$67+D$70)</f>
        <v>0</v>
      </c>
      <c r="BN17" s="1932" t="n">
        <f aca="false">BG17*D$66</f>
        <v>0</v>
      </c>
      <c r="BO17" s="1932" t="n">
        <f aca="false">V17/2000*D$71</f>
        <v>0</v>
      </c>
      <c r="BP17" s="1932" t="n">
        <f aca="false">IF(C17="Y",(N$74+N$73+N$72)/DF$36*DF17,0)</f>
        <v>0</v>
      </c>
      <c r="BQ17" s="1932" t="n">
        <f aca="false">IF(SUM(BF$36:BG$36)=0,0,(SUM(N$78:O$81)+SUM(N$83:O$88)+SUM(N$90:O$96)+W$95)/SUM(BF$36:BG$36)*(BF17+BG17))</f>
        <v>0</v>
      </c>
      <c r="BR17" s="1933"/>
      <c r="BS17" s="1934" t="n">
        <f aca="false">IF(SUM(BF$36:BG$36)=0,0,(BQ$36-W$58-N$64-W64-(L$79*0.15))/SUM(BF$36:BG$36)*BG17+BN17)</f>
        <v>0</v>
      </c>
      <c r="BT17" s="1932" t="n">
        <f aca="false">(AH17*Pricing!F$3+AI17*Pricing!G$3+AJ17*Pricing!H$3+AK17*Pricing!I$3+AL17*Pricing!J$3+AM17*Pricing!K$3)*IF(T$39="N",(1+V$39),1)</f>
        <v>0</v>
      </c>
      <c r="BU17" s="1932" t="n">
        <f aca="false">IF(BG17=0,0,(BS17+BT17)/BG17)</f>
        <v>0</v>
      </c>
      <c r="BV17" s="1932" t="n">
        <f aca="false">SUM(BJ17:BQ17)-BS17-BT17</f>
        <v>0</v>
      </c>
      <c r="BW17" s="1933" t="n">
        <f aca="false">IF(BE17=0,0,BV17/BF17)</f>
        <v>0</v>
      </c>
      <c r="DB17" s="1935" t="n">
        <f aca="false">IF(W17=0,0,D$40/SUM(W$10:W$35)*W17)</f>
        <v>0</v>
      </c>
      <c r="DC17" s="1932" t="e">
        <f aca="false">E17*N17/12*(D$40-7980)/H$66</f>
        <v>#DIV/0!</v>
      </c>
      <c r="DD17" s="179" t="n">
        <f aca="false">ROUND(N17*O17/3088*E17,0)</f>
        <v>0</v>
      </c>
      <c r="DE17" s="908" t="n">
        <f aca="false">ROUND(V17,0)</f>
        <v>0</v>
      </c>
      <c r="DF17" s="356" t="n">
        <f aca="false">ROUND(IF(C17="Y",(G17*0.25*E17+G17*G17/144*0.5*E17)/27*1.3,0),0)</f>
        <v>0</v>
      </c>
      <c r="DG17" s="908" t="n">
        <f aca="false">ROUND(E17*G17/12,0)</f>
        <v>0</v>
      </c>
      <c r="DH17" s="908" t="n">
        <f aca="false">IF(C17="y",ROUNDUP(E17*G17/12,0),0)</f>
        <v>0</v>
      </c>
      <c r="DI17" s="908" t="n">
        <f aca="false">IF(C17="Y",IF(E17&gt;0,E17,0),0)</f>
        <v>0</v>
      </c>
      <c r="DJ17" s="1936" t="n">
        <f aca="false">ROUND(E17*N17/12,0)</f>
        <v>0</v>
      </c>
    </row>
    <row r="18" s="1414" customFormat="true" ht="15" hidden="false" customHeight="false" outlineLevel="0" collapsed="false">
      <c r="A18" s="507"/>
      <c r="B18" s="1312"/>
      <c r="C18" s="1919"/>
      <c r="D18" s="1920"/>
      <c r="E18" s="1921"/>
      <c r="F18" s="1234"/>
      <c r="G18" s="1235"/>
      <c r="H18" s="1236"/>
      <c r="I18" s="1234"/>
      <c r="J18" s="1235"/>
      <c r="K18" s="1236"/>
      <c r="L18" s="1234"/>
      <c r="M18" s="1234"/>
      <c r="N18" s="1922"/>
      <c r="O18" s="1234"/>
      <c r="P18" s="1234"/>
      <c r="Q18" s="1237"/>
      <c r="R18" s="1923"/>
      <c r="S18" s="1924"/>
      <c r="T18" s="78"/>
      <c r="U18" s="900"/>
      <c r="V18" s="1925" t="n">
        <f aca="false">((E18*I18/16*I18/16*10.680159*J18)*IF(H18=0,0,(G18/H18))+(G18/12*L18/16*L18/16*10.680159*M18)*IF(K18=0,0,(E18*12/K18))+(E18*IF(P18=0,0,N18/P18)*Q18/16*Q18/16*10.680159*R18)+(IF(P18=0,0,E18/P18*N18)*Q18/16*Q18/16*10.680159*R18)+((T18*U18*S18*0.03*0.2836*G18)/12+4)*IF(H18=0,0,(G18/H18))*I18/16*I18/16*10.680159)*(1+J$56)</f>
        <v>0</v>
      </c>
      <c r="W18" s="1926" t="n">
        <f aca="false">((E18*F18/12*G18/324)+ROUNDUP(S18*T18*U18*G18/46656,0)+(N18*O18*E18/3888))*(1+J$51)</f>
        <v>0</v>
      </c>
      <c r="AH18" s="1929" t="n">
        <f aca="false">IF($R$8=1,$N18*$O18*$E18/3888*(1+$J$51),0)</f>
        <v>0</v>
      </c>
      <c r="AI18" s="1928" t="n">
        <f aca="false">IF($R$8=2,$N18*$O18*$E18/3888*(1+$J$51),0)</f>
        <v>0</v>
      </c>
      <c r="AJ18" s="1928" t="n">
        <f aca="false">IF($R$8=3,$N18*$O18*$E18/3888*(1+$J$51),0)</f>
        <v>0</v>
      </c>
      <c r="AK18" s="1928" t="n">
        <f aca="false">IF($R$8=4,$N18*$O18*$E18/3888*(1+$J$51),0)</f>
        <v>0</v>
      </c>
      <c r="AL18" s="1928" t="n">
        <f aca="false">IF($R$8=5,$N18*$O18*$E18/3888*(1+$J$51),0)</f>
        <v>0</v>
      </c>
      <c r="AM18" s="1928" t="n">
        <f aca="false">IF($R$8=6,$N18*$O18*$E18/3888*(1+$J$51),0)</f>
        <v>0</v>
      </c>
      <c r="AN18" s="1928" t="n">
        <f aca="false">IF($R$8=7,$N18*$O18*$E18/3888*(1+$J$51),0)</f>
        <v>0</v>
      </c>
      <c r="AO18" s="1928" t="n">
        <f aca="false">IF($R$8=8,$N18*$O18*$E18/3888*(1+$J$51),0)</f>
        <v>0</v>
      </c>
      <c r="AP18" s="1928" t="n">
        <f aca="false">IF($R$8=9,$N18*$O18*$E18/3888*(1+$J$51),0)</f>
        <v>0</v>
      </c>
      <c r="AQ18" s="1928" t="n">
        <f aca="false">IF($R$8=10,$N18*$O18*$E18/3888*(1+$J$51),0)</f>
        <v>0</v>
      </c>
      <c r="AR18" s="1929" t="n">
        <f aca="false">IF($D18=1,$W18-SUM($AH18:$AQ18),0)</f>
        <v>0</v>
      </c>
      <c r="AS18" s="1928" t="n">
        <f aca="false">IF($D18=2,W18-SUM($AH18:$AQ18),0)</f>
        <v>0</v>
      </c>
      <c r="AT18" s="1928" t="n">
        <f aca="false">IF($D18=3,W18-SUM($AH18:$AQ18),0)</f>
        <v>0</v>
      </c>
      <c r="AU18" s="1928" t="n">
        <f aca="false">IF($D18=4,W18-SUM($AH18:$AQ18),0)</f>
        <v>0</v>
      </c>
      <c r="AV18" s="1928" t="n">
        <f aca="false">IF($D18=5,W18-SUM($AH18:$AQ18),0)</f>
        <v>0</v>
      </c>
      <c r="AW18" s="1928" t="n">
        <f aca="false">IF($D18=6,W18-SUM($AH18:$AQ18),0)</f>
        <v>0</v>
      </c>
      <c r="AX18" s="1928" t="n">
        <f aca="false">IF($D18=7,W18-SUM($AH18:$AQ18),0)</f>
        <v>0</v>
      </c>
      <c r="AY18" s="1928" t="n">
        <f aca="false">IF($D18=8,W18-SUM($AH18:$AQ18),0)</f>
        <v>0</v>
      </c>
      <c r="AZ18" s="1928" t="n">
        <f aca="false">IF($D18=9,W18-SUM($AH18:$AQ18),0)</f>
        <v>0</v>
      </c>
      <c r="BA18" s="1930" t="n">
        <f aca="false">IF($D18=10,W18-SUM($AH18:$AQ18),0)</f>
        <v>0</v>
      </c>
      <c r="BB18" s="1928" t="n">
        <f aca="false">SUM(AH18:AM18)</f>
        <v>0</v>
      </c>
      <c r="BC18" s="1928" t="n">
        <f aca="false">SUM(AR18:AW18)</f>
        <v>0</v>
      </c>
      <c r="BD18" s="1928" t="n">
        <f aca="false">V18</f>
        <v>0</v>
      </c>
      <c r="BE18" s="1928" t="n">
        <f aca="false">E18*G18/12*2+(U18*U18*G18/1728*S18)</f>
        <v>0</v>
      </c>
      <c r="BF18" s="1928" t="n">
        <f aca="false">BE18/2</f>
        <v>0</v>
      </c>
      <c r="BG18" s="1928" t="n">
        <f aca="false">N18*E18/12</f>
        <v>0</v>
      </c>
      <c r="BH18" s="1928" t="n">
        <f aca="false">ROUND(IF(C18="Y",BF18*3/27,0),0)</f>
        <v>0</v>
      </c>
      <c r="BJ18" s="1931" t="n">
        <f aca="false">V18*F$56*IF(T$39="N",(1+V$39),1)</f>
        <v>0</v>
      </c>
      <c r="BK18" s="1932" t="n">
        <f aca="false">(AR18*Pricing!F$3+AS18*Pricing!G$3+AT18*Pricing!H$3+AU18*Pricing!I$3+AV18*Pricing!J$3+AW18*Pricing!K$3+AH18*Pricing!F$3+AI18*Pricing!G$3+AJ18*Pricing!H$3+AK18*Pricing!I$3+AL18*Pricing!J$3+AM18*Pricing!K$3)*IF(T$39="N",(1+V$39),1)</f>
        <v>0</v>
      </c>
      <c r="BL18" s="1932" t="n">
        <f aca="false">IF(C18="Y",(N$59+N$60)/DF$36*DF18,0)</f>
        <v>0</v>
      </c>
      <c r="BM18" s="1932" t="n">
        <f aca="false">BF18*(G$67+D$70)</f>
        <v>0</v>
      </c>
      <c r="BN18" s="1932" t="n">
        <f aca="false">BG18*D$66</f>
        <v>0</v>
      </c>
      <c r="BO18" s="1932" t="n">
        <f aca="false">V18/2000*D$71</f>
        <v>0</v>
      </c>
      <c r="BP18" s="1932" t="n">
        <f aca="false">IF(C18="Y",(N$74+N$73+N$72)/DF$36*DF18,0)</f>
        <v>0</v>
      </c>
      <c r="BQ18" s="1932" t="n">
        <f aca="false">IF(SUM(BF$36:BG$36)=0,0,(SUM(N$78:O$81)+SUM(N$83:O$88)+SUM(N$90:O$96)+W$95)/SUM(BF$36:BG$36)*(BF18+BG18))</f>
        <v>0</v>
      </c>
      <c r="BR18" s="1933"/>
      <c r="BS18" s="1934" t="n">
        <f aca="false">IF(SUM(BF$36:BG$36)=0,0,(BQ$36-W$58-N$64-W60-(L$79*0.15))/SUM(BF$36:BG$36)*BG18+BN18)</f>
        <v>0</v>
      </c>
      <c r="BT18" s="1932" t="n">
        <f aca="false">(AH18*Pricing!F$3+AI18*Pricing!G$3+AJ18*Pricing!H$3+AK18*Pricing!I$3+AL18*Pricing!J$3+AM18*Pricing!K$3)*IF(T$39="N",(1+V$39),1)</f>
        <v>0</v>
      </c>
      <c r="BU18" s="1932" t="n">
        <f aca="false">IF(BG18=0,0,(BS18+BT18)/BG18)</f>
        <v>0</v>
      </c>
      <c r="BV18" s="1932" t="n">
        <f aca="false">SUM(BJ18:BQ18)-BS18-BT18</f>
        <v>0</v>
      </c>
      <c r="BW18" s="1933" t="n">
        <f aca="false">IF(BE18=0,0,BV18/BF18)</f>
        <v>0</v>
      </c>
      <c r="DB18" s="1935" t="n">
        <f aca="false">IF(W18=0,0,D$40/SUM(W$10:W$35)*W18)</f>
        <v>0</v>
      </c>
      <c r="DC18" s="1932" t="e">
        <f aca="false">E18*N18/12*(D$40-7980)/H$66</f>
        <v>#DIV/0!</v>
      </c>
      <c r="DD18" s="179" t="n">
        <f aca="false">ROUND(N18*O18/3088*E18,0)</f>
        <v>0</v>
      </c>
      <c r="DE18" s="908" t="n">
        <f aca="false">ROUND(V18,0)</f>
        <v>0</v>
      </c>
      <c r="DF18" s="356" t="n">
        <f aca="false">ROUND(IF(C18="Y",(G18*0.25*E18+G18*G18/144*0.5*E18)/27*1.3,0),0)</f>
        <v>0</v>
      </c>
      <c r="DG18" s="908" t="n">
        <f aca="false">ROUND(E18*G18/12,0)</f>
        <v>0</v>
      </c>
      <c r="DH18" s="908" t="n">
        <f aca="false">IF(C18="y",ROUNDUP(E18*G18/12,0),0)</f>
        <v>0</v>
      </c>
      <c r="DI18" s="908" t="n">
        <f aca="false">IF(C18="Y",IF(E18&gt;0,E18,0),0)</f>
        <v>0</v>
      </c>
      <c r="DJ18" s="1936" t="n">
        <f aca="false">ROUND(E18*N18/12,0)</f>
        <v>0</v>
      </c>
    </row>
    <row r="19" s="1414" customFormat="true" ht="15" hidden="false" customHeight="false" outlineLevel="0" collapsed="false">
      <c r="A19" s="507"/>
      <c r="B19" s="1312"/>
      <c r="C19" s="1919"/>
      <c r="D19" s="1920"/>
      <c r="E19" s="1921"/>
      <c r="F19" s="1234"/>
      <c r="G19" s="1235"/>
      <c r="H19" s="1236"/>
      <c r="I19" s="1234"/>
      <c r="J19" s="1235"/>
      <c r="K19" s="1236"/>
      <c r="L19" s="1234"/>
      <c r="M19" s="1234"/>
      <c r="N19" s="1922"/>
      <c r="O19" s="1234"/>
      <c r="P19" s="1234"/>
      <c r="Q19" s="1237"/>
      <c r="R19" s="1923"/>
      <c r="S19" s="1924"/>
      <c r="T19" s="78"/>
      <c r="U19" s="900"/>
      <c r="V19" s="1925" t="n">
        <f aca="false">((E19*I19/16*I19/16*10.680159*J19)*IF(H19=0,0,(G19/H19))+(G19/12*L19/16*L19/16*10.680159*M19)*IF(K19=0,0,(E19*12/K19))+(E19*IF(P19=0,0,N19/P19)*Q19/16*Q19/16*10.680159*R19)+(IF(P19=0,0,E19/P19*N19)*Q19/16*Q19/16*10.680159*R19)+((T19*U19*S19*0.03*0.2836*G19)/12+4)*IF(H19=0,0,(G19/H19))*I19/16*I19/16*10.680159)*(1+J$56)</f>
        <v>0</v>
      </c>
      <c r="W19" s="1926" t="n">
        <f aca="false">((E19*F19/12*G19/324)+ROUNDUP(S19*T19*U19*G19/46656,0)+(N19*O19*E19/3888))*(1+J$51)</f>
        <v>0</v>
      </c>
      <c r="AH19" s="1929" t="n">
        <f aca="false">IF($R$8=1,$N19*$O19*$E19/3888*(1+$J$51),0)</f>
        <v>0</v>
      </c>
      <c r="AI19" s="1928" t="n">
        <f aca="false">IF($R$8=2,$N19*$O19*$E19/3888*(1+$J$51),0)</f>
        <v>0</v>
      </c>
      <c r="AJ19" s="1928" t="n">
        <f aca="false">IF($R$8=3,$N19*$O19*$E19/3888*(1+$J$51),0)</f>
        <v>0</v>
      </c>
      <c r="AK19" s="1928" t="n">
        <f aca="false">IF($R$8=4,$N19*$O19*$E19/3888*(1+$J$51),0)</f>
        <v>0</v>
      </c>
      <c r="AL19" s="1928" t="n">
        <f aca="false">IF($R$8=5,$N19*$O19*$E19/3888*(1+$J$51),0)</f>
        <v>0</v>
      </c>
      <c r="AM19" s="1928" t="n">
        <f aca="false">IF($R$8=6,$N19*$O19*$E19/3888*(1+$J$51),0)</f>
        <v>0</v>
      </c>
      <c r="AN19" s="1928" t="n">
        <f aca="false">IF($R$8=7,$N19*$O19*$E19/3888*(1+$J$51),0)</f>
        <v>0</v>
      </c>
      <c r="AO19" s="1928" t="n">
        <f aca="false">IF($R$8=8,$N19*$O19*$E19/3888*(1+$J$51),0)</f>
        <v>0</v>
      </c>
      <c r="AP19" s="1928" t="n">
        <f aca="false">IF($R$8=9,$N19*$O19*$E19/3888*(1+$J$51),0)</f>
        <v>0</v>
      </c>
      <c r="AQ19" s="1928" t="n">
        <f aca="false">IF($R$8=10,$N19*$O19*$E19/3888*(1+$J$51),0)</f>
        <v>0</v>
      </c>
      <c r="AR19" s="1929" t="n">
        <f aca="false">IF($D19=1,$W19-SUM($AH19:$AQ19),0)</f>
        <v>0</v>
      </c>
      <c r="AS19" s="1928" t="n">
        <f aca="false">IF($D19=2,W19-SUM($AH19:$AQ19),0)</f>
        <v>0</v>
      </c>
      <c r="AT19" s="1928" t="n">
        <f aca="false">IF($D19=3,W19-SUM($AH19:$AQ19),0)</f>
        <v>0</v>
      </c>
      <c r="AU19" s="1928" t="n">
        <f aca="false">IF($D19=4,W19-SUM($AH19:$AQ19),0)</f>
        <v>0</v>
      </c>
      <c r="AV19" s="1928" t="n">
        <f aca="false">IF($D19=5,W19-SUM($AH19:$AQ19),0)</f>
        <v>0</v>
      </c>
      <c r="AW19" s="1928" t="n">
        <f aca="false">IF($D19=6,W19-SUM($AH19:$AQ19),0)</f>
        <v>0</v>
      </c>
      <c r="AX19" s="1928" t="n">
        <f aca="false">IF($D19=7,W19-SUM($AH19:$AQ19),0)</f>
        <v>0</v>
      </c>
      <c r="AY19" s="1928" t="n">
        <f aca="false">IF($D19=8,W19-SUM($AH19:$AQ19),0)</f>
        <v>0</v>
      </c>
      <c r="AZ19" s="1928" t="n">
        <f aca="false">IF($D19=9,W19-SUM($AH19:$AQ19),0)</f>
        <v>0</v>
      </c>
      <c r="BA19" s="1930" t="n">
        <f aca="false">IF($D19=10,W19-SUM($AH19:$AQ19),0)</f>
        <v>0</v>
      </c>
      <c r="BB19" s="1928" t="n">
        <f aca="false">SUM(AH19:AM19)</f>
        <v>0</v>
      </c>
      <c r="BC19" s="1928" t="n">
        <f aca="false">SUM(AR19:AW19)</f>
        <v>0</v>
      </c>
      <c r="BD19" s="1928" t="n">
        <f aca="false">V19</f>
        <v>0</v>
      </c>
      <c r="BE19" s="1928" t="n">
        <f aca="false">E19*G19/12*2+(U19*U19*G19/1728*S19)</f>
        <v>0</v>
      </c>
      <c r="BF19" s="1928" t="n">
        <f aca="false">BE19/2</f>
        <v>0</v>
      </c>
      <c r="BG19" s="1928" t="n">
        <f aca="false">N19*E19/12</f>
        <v>0</v>
      </c>
      <c r="BH19" s="1928" t="n">
        <f aca="false">ROUND(IF(C19="Y",BF19*3/27,0),0)</f>
        <v>0</v>
      </c>
      <c r="BJ19" s="1931" t="n">
        <f aca="false">V19*F$56*IF(T$39="N",(1+V$39),1)</f>
        <v>0</v>
      </c>
      <c r="BK19" s="1932" t="n">
        <f aca="false">(AR19*Pricing!F$3+AS19*Pricing!G$3+AT19*Pricing!H$3+AU19*Pricing!I$3+AV19*Pricing!J$3+AW19*Pricing!K$3+AH19*Pricing!F$3+AI19*Pricing!G$3+AJ19*Pricing!H$3+AK19*Pricing!I$3+AL19*Pricing!J$3+AM19*Pricing!K$3)*IF(T$39="N",(1+V$39),1)</f>
        <v>0</v>
      </c>
      <c r="BL19" s="1932" t="n">
        <f aca="false">IF(C19="Y",(N$59+N$60)/DF$36*DF19,0)</f>
        <v>0</v>
      </c>
      <c r="BM19" s="1932" t="n">
        <f aca="false">BF19*(G$67+D$70)</f>
        <v>0</v>
      </c>
      <c r="BN19" s="1932" t="n">
        <f aca="false">BG19*D$66</f>
        <v>0</v>
      </c>
      <c r="BO19" s="1932" t="n">
        <f aca="false">V19/2000*D$71</f>
        <v>0</v>
      </c>
      <c r="BP19" s="1932" t="n">
        <f aca="false">IF(C19="Y",(N$74+N$73+N$72)/DF$36*DF19,0)</f>
        <v>0</v>
      </c>
      <c r="BQ19" s="1932" t="n">
        <f aca="false">IF(SUM(BF$36:BG$36)=0,0,(SUM(N$78:O$81)+SUM(N$83:O$88)+SUM(N$90:O$96)+W$95)/SUM(BF$36:BG$36)*(BF19+BG19))</f>
        <v>0</v>
      </c>
      <c r="BR19" s="1933"/>
      <c r="BS19" s="1934" t="n">
        <f aca="false">IF(SUM(BF$36:BG$36)=0,0,(BQ$36-W$58-N$64-W61-(L$79*0.15))/SUM(BF$36:BG$36)*BG19+BN19)</f>
        <v>0</v>
      </c>
      <c r="BT19" s="1932" t="n">
        <f aca="false">(AH19*Pricing!F$3+AI19*Pricing!G$3+AJ19*Pricing!H$3+AK19*Pricing!I$3+AL19*Pricing!J$3+AM19*Pricing!K$3)*IF(T$39="N",(1+V$39),1)</f>
        <v>0</v>
      </c>
      <c r="BU19" s="1932" t="n">
        <f aca="false">IF(BG19=0,0,(BS19+BT19)/BG19)</f>
        <v>0</v>
      </c>
      <c r="BV19" s="1932" t="n">
        <f aca="false">SUM(BJ19:BQ19)-BS19-BT19</f>
        <v>0</v>
      </c>
      <c r="BW19" s="1933" t="n">
        <f aca="false">IF(BE19=0,0,BV19/BF19)</f>
        <v>0</v>
      </c>
      <c r="DB19" s="1935" t="n">
        <f aca="false">IF(W19=0,0,D$40/SUM(W$10:W$35)*W19)</f>
        <v>0</v>
      </c>
      <c r="DC19" s="1932" t="e">
        <f aca="false">E19*N19/12*(D$40-7980)/H$66</f>
        <v>#DIV/0!</v>
      </c>
      <c r="DD19" s="179" t="n">
        <f aca="false">ROUND(N19*O19/3088*E19,0)</f>
        <v>0</v>
      </c>
      <c r="DE19" s="908" t="n">
        <f aca="false">ROUND(V19,0)</f>
        <v>0</v>
      </c>
      <c r="DF19" s="356" t="n">
        <f aca="false">ROUND(IF(C19="Y",(G19*0.25*E19+G19*G19/144*0.5*E19)/27*1.3,0),0)</f>
        <v>0</v>
      </c>
      <c r="DG19" s="908" t="n">
        <f aca="false">ROUND(E19*G19/12,0)</f>
        <v>0</v>
      </c>
      <c r="DH19" s="908" t="n">
        <f aca="false">IF(C19="y",ROUNDUP(E19*G19/12,0),0)</f>
        <v>0</v>
      </c>
      <c r="DI19" s="908" t="n">
        <f aca="false">IF(C19="Y",IF(E19&gt;0,E19,0),0)</f>
        <v>0</v>
      </c>
      <c r="DJ19" s="1936" t="n">
        <f aca="false">ROUND(E19*N19/12,0)</f>
        <v>0</v>
      </c>
    </row>
    <row r="20" s="1414" customFormat="true" ht="15" hidden="false" customHeight="false" outlineLevel="0" collapsed="false">
      <c r="A20" s="507"/>
      <c r="B20" s="1312"/>
      <c r="C20" s="1919"/>
      <c r="D20" s="1920"/>
      <c r="E20" s="1921"/>
      <c r="F20" s="1234"/>
      <c r="G20" s="1235"/>
      <c r="H20" s="1236"/>
      <c r="I20" s="1234"/>
      <c r="J20" s="1235"/>
      <c r="K20" s="1236"/>
      <c r="L20" s="1234"/>
      <c r="M20" s="1234"/>
      <c r="N20" s="1922"/>
      <c r="O20" s="1234"/>
      <c r="P20" s="1234"/>
      <c r="Q20" s="1237"/>
      <c r="R20" s="1923"/>
      <c r="S20" s="1924"/>
      <c r="T20" s="78"/>
      <c r="U20" s="900"/>
      <c r="V20" s="1925" t="n">
        <f aca="false">((E20*I20/16*I20/16*10.680159*J20)*IF(H20=0,0,(G20/H20))+(G20/12*L20/16*L20/16*10.680159*M20)*IF(K20=0,0,(E20*12/K20))+(E20*IF(P20=0,0,N20/P20)*Q20/16*Q20/16*10.680159*R20)+(IF(P20=0,0,E20/P20*N20)*Q20/16*Q20/16*10.680159*R20)+((T20*U20*S20*0.03*0.2836*G20)/12+4)*IF(H20=0,0,(G20/H20))*I20/16*I20/16*10.680159)*(1+J$56)</f>
        <v>0</v>
      </c>
      <c r="W20" s="1926" t="n">
        <f aca="false">((E20*F20/12*G20/324)+ROUNDUP(S20*T20*U20*G20/46656,0)+(N20*O20*E20/3888))*(1+J$51)</f>
        <v>0</v>
      </c>
      <c r="AH20" s="1929" t="n">
        <f aca="false">IF($R$8=1,$N20*$O20*$E20/3888*(1+$J$51),0)</f>
        <v>0</v>
      </c>
      <c r="AI20" s="1928" t="n">
        <f aca="false">IF($R$8=2,$N20*$O20*$E20/3888*(1+$J$51),0)</f>
        <v>0</v>
      </c>
      <c r="AJ20" s="1928" t="n">
        <f aca="false">IF($R$8=3,$N20*$O20*$E20/3888*(1+$J$51),0)</f>
        <v>0</v>
      </c>
      <c r="AK20" s="1928" t="n">
        <f aca="false">IF($R$8=4,$N20*$O20*$E20/3888*(1+$J$51),0)</f>
        <v>0</v>
      </c>
      <c r="AL20" s="1928" t="n">
        <f aca="false">IF($R$8=5,$N20*$O20*$E20/3888*(1+$J$51),0)</f>
        <v>0</v>
      </c>
      <c r="AM20" s="1928" t="n">
        <f aca="false">IF($R$8=6,$N20*$O20*$E20/3888*(1+$J$51),0)</f>
        <v>0</v>
      </c>
      <c r="AN20" s="1928" t="n">
        <f aca="false">IF($R$8=7,$N20*$O20*$E20/3888*(1+$J$51),0)</f>
        <v>0</v>
      </c>
      <c r="AO20" s="1928" t="n">
        <f aca="false">IF($R$8=8,$N20*$O20*$E20/3888*(1+$J$51),0)</f>
        <v>0</v>
      </c>
      <c r="AP20" s="1928" t="n">
        <f aca="false">IF($R$8=9,$N20*$O20*$E20/3888*(1+$J$51),0)</f>
        <v>0</v>
      </c>
      <c r="AQ20" s="1928" t="n">
        <f aca="false">IF($R$8=10,$N20*$O20*$E20/3888*(1+$J$51),0)</f>
        <v>0</v>
      </c>
      <c r="AR20" s="1929" t="n">
        <f aca="false">IF($D20=1,$W20-SUM($AH20:$AQ20),0)</f>
        <v>0</v>
      </c>
      <c r="AS20" s="1928" t="n">
        <f aca="false">IF($D20=2,W20-SUM($AH20:$AQ20),0)</f>
        <v>0</v>
      </c>
      <c r="AT20" s="1928" t="n">
        <f aca="false">IF($D20=3,W20-SUM($AH20:$AQ20),0)</f>
        <v>0</v>
      </c>
      <c r="AU20" s="1928" t="n">
        <f aca="false">IF($D20=4,W20-SUM($AH20:$AQ20),0)</f>
        <v>0</v>
      </c>
      <c r="AV20" s="1928" t="n">
        <f aca="false">IF($D20=5,W20-SUM($AH20:$AQ20),0)</f>
        <v>0</v>
      </c>
      <c r="AW20" s="1928" t="n">
        <f aca="false">IF($D20=6,W20-SUM($AH20:$AQ20),0)</f>
        <v>0</v>
      </c>
      <c r="AX20" s="1928" t="n">
        <f aca="false">IF($D20=7,W20-SUM($AH20:$AQ20),0)</f>
        <v>0</v>
      </c>
      <c r="AY20" s="1928" t="n">
        <f aca="false">IF($D20=8,W20-SUM($AH20:$AQ20),0)</f>
        <v>0</v>
      </c>
      <c r="AZ20" s="1928" t="n">
        <f aca="false">IF($D20=9,W20-SUM($AH20:$AQ20),0)</f>
        <v>0</v>
      </c>
      <c r="BA20" s="1930" t="n">
        <f aca="false">IF($D20=10,W20-SUM($AH20:$AQ20),0)</f>
        <v>0</v>
      </c>
      <c r="BB20" s="1928" t="n">
        <f aca="false">SUM(AH20:AM20)</f>
        <v>0</v>
      </c>
      <c r="BC20" s="1928" t="n">
        <f aca="false">SUM(AR20:AW20)</f>
        <v>0</v>
      </c>
      <c r="BD20" s="1928" t="n">
        <f aca="false">V20</f>
        <v>0</v>
      </c>
      <c r="BE20" s="1928" t="n">
        <f aca="false">E20*G20/12*2+(U20*U20*G20/1728*S20)</f>
        <v>0</v>
      </c>
      <c r="BF20" s="1928" t="n">
        <f aca="false">BE20/2</f>
        <v>0</v>
      </c>
      <c r="BG20" s="1928" t="n">
        <f aca="false">N20*E20/12</f>
        <v>0</v>
      </c>
      <c r="BH20" s="1928" t="n">
        <f aca="false">ROUND(IF(C20="Y",BF20*3/27,0),0)</f>
        <v>0</v>
      </c>
      <c r="BJ20" s="1931" t="n">
        <f aca="false">V20*F$56*IF(T$39="N",(1+V$39),1)</f>
        <v>0</v>
      </c>
      <c r="BK20" s="1932" t="n">
        <f aca="false">(AR20*Pricing!F$3+AS20*Pricing!G$3+AT20*Pricing!H$3+AU20*Pricing!I$3+AV20*Pricing!J$3+AW20*Pricing!K$3+AH20*Pricing!F$3+AI20*Pricing!G$3+AJ20*Pricing!H$3+AK20*Pricing!I$3+AL20*Pricing!J$3+AM20*Pricing!K$3)*IF(T$39="N",(1+V$39),1)</f>
        <v>0</v>
      </c>
      <c r="BL20" s="1932" t="n">
        <f aca="false">IF(C20="Y",(N$59+N$60)/DF$36*DF20,0)</f>
        <v>0</v>
      </c>
      <c r="BM20" s="1932" t="n">
        <f aca="false">BF20*(G$67+D$70)</f>
        <v>0</v>
      </c>
      <c r="BN20" s="1932" t="n">
        <f aca="false">BG20*D$66</f>
        <v>0</v>
      </c>
      <c r="BO20" s="1932" t="n">
        <f aca="false">V20/2000*D$71</f>
        <v>0</v>
      </c>
      <c r="BP20" s="1932" t="n">
        <f aca="false">IF(C20="Y",(N$74+N$73+N$72)/DF$36*DF20,0)</f>
        <v>0</v>
      </c>
      <c r="BQ20" s="1932" t="n">
        <f aca="false">IF(SUM(BF$36:BG$36)=0,0,(SUM(N$78:O$81)+SUM(N$83:O$88)+SUM(N$90:O$96)+W$95)/SUM(BF$36:BG$36)*(BF20+BG20))</f>
        <v>0</v>
      </c>
      <c r="BR20" s="1933"/>
      <c r="BS20" s="1934" t="n">
        <f aca="false">IF(SUM(BF$36:BG$36)=0,0,(BQ$36-W$58-N$64-W62-(L$79*0.15))/SUM(BF$36:BG$36)*BG20+BN20)</f>
        <v>0</v>
      </c>
      <c r="BT20" s="1932" t="n">
        <f aca="false">(AH20*Pricing!F$3+AI20*Pricing!G$3+AJ20*Pricing!H$3+AK20*Pricing!I$3+AL20*Pricing!J$3+AM20*Pricing!K$3)*IF(T$39="N",(1+V$39),1)</f>
        <v>0</v>
      </c>
      <c r="BU20" s="1932" t="n">
        <f aca="false">IF(BG20=0,0,(BS20+BT20)/BG20)</f>
        <v>0</v>
      </c>
      <c r="BV20" s="1932" t="n">
        <f aca="false">SUM(BJ20:BQ20)-BS20-BT20</f>
        <v>0</v>
      </c>
      <c r="BW20" s="1933" t="n">
        <f aca="false">IF(BE20=0,0,BV20/BF20)</f>
        <v>0</v>
      </c>
      <c r="DB20" s="1935" t="n">
        <f aca="false">IF(W20=0,0,D$40/SUM(W$10:W$35)*W20)</f>
        <v>0</v>
      </c>
      <c r="DC20" s="1932" t="e">
        <f aca="false">E20*N20/12*(D$40-7980)/H$66</f>
        <v>#DIV/0!</v>
      </c>
      <c r="DD20" s="179" t="n">
        <f aca="false">ROUND(N20*O20/3088*E20,0)</f>
        <v>0</v>
      </c>
      <c r="DE20" s="908" t="n">
        <f aca="false">ROUND(V20,0)</f>
        <v>0</v>
      </c>
      <c r="DF20" s="356" t="n">
        <f aca="false">ROUND(IF(C20="Y",(G20*0.25*E20+G20*G20/144*0.5*E20)/27*1.3,0),0)</f>
        <v>0</v>
      </c>
      <c r="DG20" s="908" t="n">
        <f aca="false">ROUND(E20*G20/12,0)</f>
        <v>0</v>
      </c>
      <c r="DH20" s="908" t="n">
        <f aca="false">IF(C20="y",ROUNDUP(E20*G20/12,0),0)</f>
        <v>0</v>
      </c>
      <c r="DI20" s="908" t="n">
        <f aca="false">IF(C20="Y",IF(E20&gt;0,E20,0),0)</f>
        <v>0</v>
      </c>
      <c r="DJ20" s="1936" t="n">
        <f aca="false">ROUND(E20*N20/12,0)</f>
        <v>0</v>
      </c>
    </row>
    <row r="21" s="1414" customFormat="true" ht="15" hidden="false" customHeight="false" outlineLevel="0" collapsed="false">
      <c r="A21" s="507"/>
      <c r="B21" s="1312"/>
      <c r="C21" s="1919"/>
      <c r="D21" s="1920"/>
      <c r="E21" s="1921"/>
      <c r="F21" s="1234"/>
      <c r="G21" s="1235"/>
      <c r="H21" s="1236"/>
      <c r="I21" s="1234"/>
      <c r="J21" s="1235"/>
      <c r="K21" s="1236"/>
      <c r="L21" s="1234"/>
      <c r="M21" s="1234"/>
      <c r="N21" s="1922"/>
      <c r="O21" s="1234"/>
      <c r="P21" s="1234"/>
      <c r="Q21" s="1237"/>
      <c r="R21" s="1923"/>
      <c r="S21" s="1924"/>
      <c r="T21" s="78"/>
      <c r="U21" s="900"/>
      <c r="V21" s="1925" t="n">
        <f aca="false">((E21*I21/16*I21/16*10.680159*J21)*IF(H21=0,0,(G21/H21))+(G21/12*L21/16*L21/16*10.680159*M21)*IF(K21=0,0,(E21*12/K21))+(E21*IF(P21=0,0,N21/P21)*Q21/16*Q21/16*10.680159*R21)+(IF(P21=0,0,E21/P21*N21)*Q21/16*Q21/16*10.680159*R21)+((T21*U21*S21*0.03*0.2836*G21)/12+4)*IF(H21=0,0,(G21/H21))*I21/16*I21/16*10.680159)*(1+J$56)</f>
        <v>0</v>
      </c>
      <c r="W21" s="1926" t="n">
        <f aca="false">((E21*F21/12*G21/324)+ROUNDUP(S21*T21*U21*G21/46656,0)+(N21*O21*E21/3888))*(1+J$51)</f>
        <v>0</v>
      </c>
      <c r="AH21" s="1929" t="n">
        <f aca="false">IF($R$8=1,$N21*$O21*$E21/3888*(1+$J$51),0)</f>
        <v>0</v>
      </c>
      <c r="AI21" s="1928" t="n">
        <f aca="false">IF($R$8=2,$N21*$O21*$E21/3888*(1+$J$51),0)</f>
        <v>0</v>
      </c>
      <c r="AJ21" s="1928" t="n">
        <f aca="false">IF($R$8=3,$N21*$O21*$E21/3888*(1+$J$51),0)</f>
        <v>0</v>
      </c>
      <c r="AK21" s="1928" t="n">
        <f aca="false">IF($R$8=4,$N21*$O21*$E21/3888*(1+$J$51),0)</f>
        <v>0</v>
      </c>
      <c r="AL21" s="1928" t="n">
        <f aca="false">IF($R$8=5,$N21*$O21*$E21/3888*(1+$J$51),0)</f>
        <v>0</v>
      </c>
      <c r="AM21" s="1928" t="n">
        <f aca="false">IF($R$8=6,$N21*$O21*$E21/3888*(1+$J$51),0)</f>
        <v>0</v>
      </c>
      <c r="AN21" s="1928" t="n">
        <f aca="false">IF($R$8=7,$N21*$O21*$E21/3888*(1+$J$51),0)</f>
        <v>0</v>
      </c>
      <c r="AO21" s="1928" t="n">
        <f aca="false">IF($R$8=8,$N21*$O21*$E21/3888*(1+$J$51),0)</f>
        <v>0</v>
      </c>
      <c r="AP21" s="1928" t="n">
        <f aca="false">IF($R$8=9,$N21*$O21*$E21/3888*(1+$J$51),0)</f>
        <v>0</v>
      </c>
      <c r="AQ21" s="1928" t="n">
        <f aca="false">IF($R$8=10,$N21*$O21*$E21/3888*(1+$J$51),0)</f>
        <v>0</v>
      </c>
      <c r="AR21" s="1929" t="n">
        <f aca="false">IF($D21=1,$W21-SUM($AH21:$AQ21),0)</f>
        <v>0</v>
      </c>
      <c r="AS21" s="1928" t="n">
        <f aca="false">IF($D21=2,W21-SUM($AH21:$AQ21),0)</f>
        <v>0</v>
      </c>
      <c r="AT21" s="1928" t="n">
        <f aca="false">IF($D21=3,W21-SUM($AH21:$AQ21),0)</f>
        <v>0</v>
      </c>
      <c r="AU21" s="1928" t="n">
        <f aca="false">IF($D21=4,W21-SUM($AH21:$AQ21),0)</f>
        <v>0</v>
      </c>
      <c r="AV21" s="1928" t="n">
        <f aca="false">IF($D21=5,W21-SUM($AH21:$AQ21),0)</f>
        <v>0</v>
      </c>
      <c r="AW21" s="1928" t="n">
        <f aca="false">IF($D21=6,W21-SUM($AH21:$AQ21),0)</f>
        <v>0</v>
      </c>
      <c r="AX21" s="1928" t="n">
        <f aca="false">IF($D21=7,W21-SUM($AH21:$AQ21),0)</f>
        <v>0</v>
      </c>
      <c r="AY21" s="1928" t="n">
        <f aca="false">IF($D21=8,W21-SUM($AH21:$AQ21),0)</f>
        <v>0</v>
      </c>
      <c r="AZ21" s="1928" t="n">
        <f aca="false">IF($D21=9,W21-SUM($AH21:$AQ21),0)</f>
        <v>0</v>
      </c>
      <c r="BA21" s="1930" t="n">
        <f aca="false">IF($D21=10,W21-SUM($AH21:$AQ21),0)</f>
        <v>0</v>
      </c>
      <c r="BB21" s="1928" t="n">
        <f aca="false">SUM(AH21:AM21)</f>
        <v>0</v>
      </c>
      <c r="BC21" s="1928" t="n">
        <f aca="false">SUM(AR21:AW21)</f>
        <v>0</v>
      </c>
      <c r="BD21" s="1928" t="n">
        <f aca="false">V21</f>
        <v>0</v>
      </c>
      <c r="BE21" s="1928" t="n">
        <f aca="false">E21*G21/12*2+(U21*U21*G21/1728*S21)</f>
        <v>0</v>
      </c>
      <c r="BF21" s="1928" t="n">
        <f aca="false">BE21/2</f>
        <v>0</v>
      </c>
      <c r="BG21" s="1928" t="n">
        <f aca="false">N21*E21/12</f>
        <v>0</v>
      </c>
      <c r="BH21" s="1928" t="n">
        <f aca="false">ROUND(IF(C21="Y",BF21*3/27,0),0)</f>
        <v>0</v>
      </c>
      <c r="BJ21" s="1931" t="n">
        <f aca="false">V21*F$56*IF(T$39="N",(1+V$39),1)</f>
        <v>0</v>
      </c>
      <c r="BK21" s="1932" t="n">
        <f aca="false">(AR21*Pricing!F$3+AS21*Pricing!G$3+AT21*Pricing!H$3+AU21*Pricing!I$3+AV21*Pricing!J$3+AW21*Pricing!K$3+AH21*Pricing!F$3+AI21*Pricing!G$3+AJ21*Pricing!H$3+AK21*Pricing!I$3+AL21*Pricing!J$3+AM21*Pricing!K$3)*IF(T$39="N",(1+V$39),1)</f>
        <v>0</v>
      </c>
      <c r="BL21" s="1932" t="n">
        <f aca="false">IF(C21="Y",(N$59+N$60)/DF$36*DF21,0)</f>
        <v>0</v>
      </c>
      <c r="BM21" s="1932" t="n">
        <f aca="false">BF21*(G$67+D$70)</f>
        <v>0</v>
      </c>
      <c r="BN21" s="1932" t="n">
        <f aca="false">BG21*D$66</f>
        <v>0</v>
      </c>
      <c r="BO21" s="1932" t="n">
        <f aca="false">V21/2000*D$71</f>
        <v>0</v>
      </c>
      <c r="BP21" s="1932" t="n">
        <f aca="false">IF(C21="Y",(N$74+N$73+N$72)/DF$36*DF21,0)</f>
        <v>0</v>
      </c>
      <c r="BQ21" s="1932" t="n">
        <f aca="false">IF(SUM(BF$36:BG$36)=0,0,(SUM(N$78:O$81)+SUM(N$83:O$88)+SUM(N$90:O$96)+W$95)/SUM(BF$36:BG$36)*(BF21+BG21))</f>
        <v>0</v>
      </c>
      <c r="BR21" s="1933"/>
      <c r="BS21" s="1934" t="n">
        <f aca="false">IF(SUM(BF$36:BG$36)=0,0,(BQ$36-W$58-N$64-W52-(L$79*0.15))/SUM(BF$36:BG$36)*BG21+BN21)</f>
        <v>0</v>
      </c>
      <c r="BT21" s="1932" t="n">
        <f aca="false">(AH21*Pricing!F$3+AI21*Pricing!G$3+AJ21*Pricing!H$3+AK21*Pricing!I$3+AL21*Pricing!J$3+AM21*Pricing!K$3)*IF(T$39="N",(1+V$39),1)</f>
        <v>0</v>
      </c>
      <c r="BU21" s="1932" t="n">
        <f aca="false">IF(BG21=0,0,(BS21+BT21)/BG21)</f>
        <v>0</v>
      </c>
      <c r="BV21" s="1932" t="n">
        <f aca="false">SUM(BJ21:BQ21)-BS21-BT21</f>
        <v>0</v>
      </c>
      <c r="BW21" s="1933" t="n">
        <f aca="false">IF(BE21=0,0,BV21/BF21)</f>
        <v>0</v>
      </c>
      <c r="DB21" s="1935" t="n">
        <f aca="false">IF(W21=0,0,D$40/SUM(W$10:W$35)*W21)</f>
        <v>0</v>
      </c>
      <c r="DC21" s="1932" t="e">
        <f aca="false">E21*N21/12*(D$40-7980)/H$66</f>
        <v>#DIV/0!</v>
      </c>
      <c r="DD21" s="179" t="n">
        <f aca="false">ROUND(N21*O21/3088*E21,0)</f>
        <v>0</v>
      </c>
      <c r="DE21" s="908" t="n">
        <f aca="false">ROUND(V21,0)</f>
        <v>0</v>
      </c>
      <c r="DF21" s="356" t="n">
        <f aca="false">ROUND(IF(C21="Y",(G21*0.25*E21+G21*G21/144*0.5*E21)/27*1.3,0),0)</f>
        <v>0</v>
      </c>
      <c r="DG21" s="908" t="n">
        <f aca="false">ROUND(E21*G21/12,0)</f>
        <v>0</v>
      </c>
      <c r="DH21" s="908" t="n">
        <f aca="false">IF(C21="y",ROUNDUP(E21*G21/12,0),0)</f>
        <v>0</v>
      </c>
      <c r="DI21" s="908" t="n">
        <f aca="false">IF(C21="Y",IF(E21&gt;0,E21,0),0)</f>
        <v>0</v>
      </c>
      <c r="DJ21" s="1936" t="n">
        <f aca="false">ROUND(E21*N21/12,0)</f>
        <v>0</v>
      </c>
    </row>
    <row r="22" s="1414" customFormat="true" ht="15" hidden="false" customHeight="false" outlineLevel="0" collapsed="false">
      <c r="A22" s="507"/>
      <c r="B22" s="1312"/>
      <c r="C22" s="1919"/>
      <c r="D22" s="1920"/>
      <c r="E22" s="1921"/>
      <c r="F22" s="1234"/>
      <c r="G22" s="1235"/>
      <c r="H22" s="1236"/>
      <c r="I22" s="1234"/>
      <c r="J22" s="1235"/>
      <c r="K22" s="1236"/>
      <c r="L22" s="1234"/>
      <c r="M22" s="1234"/>
      <c r="N22" s="1922"/>
      <c r="O22" s="1234"/>
      <c r="P22" s="1234"/>
      <c r="Q22" s="1237"/>
      <c r="R22" s="1923"/>
      <c r="S22" s="1924"/>
      <c r="T22" s="78"/>
      <c r="U22" s="900"/>
      <c r="V22" s="1925" t="n">
        <f aca="false">((E22*I22/16*I22/16*10.680159*J22)*IF(H22=0,0,(G22/H22))+(G22/12*L22/16*L22/16*10.680159*M22)*IF(K22=0,0,(E22*12/K22))+(E22*IF(P22=0,0,N22/P22)*Q22/16*Q22/16*10.680159*R22)+(IF(P22=0,0,E22/P22*N22)*Q22/16*Q22/16*10.680159*R22)+((T22*U22*S22*0.03*0.2836*G22)/12+4)*IF(H22=0,0,(G22/H22))*I22/16*I22/16*10.680159)*(1+J$56)</f>
        <v>0</v>
      </c>
      <c r="W22" s="1926" t="n">
        <f aca="false">((E22*F22/12*G22/324)+ROUNDUP(S22*T22*U22*G22/46656,0)+(N22*O22*E22/3888))*(1+J$51)</f>
        <v>0</v>
      </c>
      <c r="AH22" s="1929" t="n">
        <f aca="false">IF($R$8=1,$N22*$O22*$E22/3888*(1+$J$51),0)</f>
        <v>0</v>
      </c>
      <c r="AI22" s="1928" t="n">
        <f aca="false">IF($R$8=2,$N22*$O22*$E22/3888*(1+$J$51),0)</f>
        <v>0</v>
      </c>
      <c r="AJ22" s="1928" t="n">
        <f aca="false">IF($R$8=3,$N22*$O22*$E22/3888*(1+$J$51),0)</f>
        <v>0</v>
      </c>
      <c r="AK22" s="1928" t="n">
        <f aca="false">IF($R$8=4,$N22*$O22*$E22/3888*(1+$J$51),0)</f>
        <v>0</v>
      </c>
      <c r="AL22" s="1928" t="n">
        <f aca="false">IF($R$8=5,$N22*$O22*$E22/3888*(1+$J$51),0)</f>
        <v>0</v>
      </c>
      <c r="AM22" s="1928" t="n">
        <f aca="false">IF($R$8=6,$N22*$O22*$E22/3888*(1+$J$51),0)</f>
        <v>0</v>
      </c>
      <c r="AN22" s="1928" t="n">
        <f aca="false">IF($R$8=7,$N22*$O22*$E22/3888*(1+$J$51),0)</f>
        <v>0</v>
      </c>
      <c r="AO22" s="1928" t="n">
        <f aca="false">IF($R$8=8,$N22*$O22*$E22/3888*(1+$J$51),0)</f>
        <v>0</v>
      </c>
      <c r="AP22" s="1928" t="n">
        <f aca="false">IF($R$8=9,$N22*$O22*$E22/3888*(1+$J$51),0)</f>
        <v>0</v>
      </c>
      <c r="AQ22" s="1928" t="n">
        <f aca="false">IF($R$8=10,$N22*$O22*$E22/3888*(1+$J$51),0)</f>
        <v>0</v>
      </c>
      <c r="AR22" s="1929" t="n">
        <f aca="false">IF($D22=1,$W22-SUM($AH22:$AQ22),0)</f>
        <v>0</v>
      </c>
      <c r="AS22" s="1928" t="n">
        <f aca="false">IF($D22=2,W22-SUM($AH22:$AQ22),0)</f>
        <v>0</v>
      </c>
      <c r="AT22" s="1928" t="n">
        <f aca="false">IF($D22=3,W22-SUM($AH22:$AQ22),0)</f>
        <v>0</v>
      </c>
      <c r="AU22" s="1928" t="n">
        <f aca="false">IF($D22=4,W22-SUM($AH22:$AQ22),0)</f>
        <v>0</v>
      </c>
      <c r="AV22" s="1928" t="n">
        <f aca="false">IF($D22=5,W22-SUM($AH22:$AQ22),0)</f>
        <v>0</v>
      </c>
      <c r="AW22" s="1928" t="n">
        <f aca="false">IF($D22=6,W22-SUM($AH22:$AQ22),0)</f>
        <v>0</v>
      </c>
      <c r="AX22" s="1928" t="n">
        <f aca="false">IF($D22=7,W22-SUM($AH22:$AQ22),0)</f>
        <v>0</v>
      </c>
      <c r="AY22" s="1928" t="n">
        <f aca="false">IF($D22=8,W22-SUM($AH22:$AQ22),0)</f>
        <v>0</v>
      </c>
      <c r="AZ22" s="1928" t="n">
        <f aca="false">IF($D22=9,W22-SUM($AH22:$AQ22),0)</f>
        <v>0</v>
      </c>
      <c r="BA22" s="1930" t="n">
        <f aca="false">IF($D22=10,W22-SUM($AH22:$AQ22),0)</f>
        <v>0</v>
      </c>
      <c r="BB22" s="1928" t="n">
        <f aca="false">SUM(AH22:AM22)</f>
        <v>0</v>
      </c>
      <c r="BC22" s="1928" t="n">
        <f aca="false">SUM(AR22:AW22)</f>
        <v>0</v>
      </c>
      <c r="BD22" s="1928" t="n">
        <f aca="false">V22</f>
        <v>0</v>
      </c>
      <c r="BE22" s="1928" t="n">
        <f aca="false">E22*G22/12*2+(U22*U22*G22/1728*S22)</f>
        <v>0</v>
      </c>
      <c r="BF22" s="1928" t="n">
        <f aca="false">BE22/2</f>
        <v>0</v>
      </c>
      <c r="BG22" s="1928" t="n">
        <f aca="false">N22*E22/12</f>
        <v>0</v>
      </c>
      <c r="BH22" s="1928" t="n">
        <f aca="false">ROUND(IF(C22="Y",BF22*3/27,0),0)</f>
        <v>0</v>
      </c>
      <c r="BJ22" s="1931" t="n">
        <f aca="false">V22*F$56*IF(T$39="N",(1+V$39),1)</f>
        <v>0</v>
      </c>
      <c r="BK22" s="1932" t="n">
        <f aca="false">(AR22*Pricing!F$3+AS22*Pricing!G$3+AT22*Pricing!H$3+AU22*Pricing!I$3+AV22*Pricing!J$3+AW22*Pricing!K$3+AH22*Pricing!F$3+AI22*Pricing!G$3+AJ22*Pricing!H$3+AK22*Pricing!I$3+AL22*Pricing!J$3+AM22*Pricing!K$3)*IF(T$39="N",(1+V$39),1)</f>
        <v>0</v>
      </c>
      <c r="BL22" s="1932" t="n">
        <f aca="false">IF(C22="Y",(N$59+N$60)/DF$36*DF22,0)</f>
        <v>0</v>
      </c>
      <c r="BM22" s="1932" t="n">
        <f aca="false">BF22*(G$67+D$70)</f>
        <v>0</v>
      </c>
      <c r="BN22" s="1932" t="n">
        <f aca="false">BG22*D$66</f>
        <v>0</v>
      </c>
      <c r="BO22" s="1932" t="n">
        <f aca="false">V22/2000*D$71</f>
        <v>0</v>
      </c>
      <c r="BP22" s="1932" t="n">
        <f aca="false">IF(C22="Y",(N$74+N$73+N$72)/DF$36*DF22,0)</f>
        <v>0</v>
      </c>
      <c r="BQ22" s="1932" t="n">
        <f aca="false">IF(SUM(BF$36:BG$36)=0,0,(SUM(N$78:O$81)+SUM(N$83:O$88)+SUM(N$90:O$96)+W$95)/SUM(BF$36:BG$36)*(BF22+BG22))</f>
        <v>0</v>
      </c>
      <c r="BR22" s="1933"/>
      <c r="BS22" s="1934" t="n">
        <f aca="false">IF(SUM(BF$36:BG$36)=0,0,(BQ$36-W$58-N$64-W55-(L$79*0.15))/SUM(BF$36:BG$36)*BG22+BN22)</f>
        <v>0</v>
      </c>
      <c r="BT22" s="1932" t="n">
        <f aca="false">(AH22*Pricing!F$3+AI22*Pricing!G$3+AJ22*Pricing!H$3+AK22*Pricing!I$3+AL22*Pricing!J$3+AM22*Pricing!K$3)*IF(T$39="N",(1+V$39),1)</f>
        <v>0</v>
      </c>
      <c r="BU22" s="1932" t="n">
        <f aca="false">IF(BG22=0,0,(BS22+BT22)/BG22)</f>
        <v>0</v>
      </c>
      <c r="BV22" s="1932" t="n">
        <f aca="false">SUM(BJ22:BQ22)-BS22-BT22</f>
        <v>0</v>
      </c>
      <c r="BW22" s="1933" t="n">
        <f aca="false">IF(BE22=0,0,BV22/BF22)</f>
        <v>0</v>
      </c>
      <c r="DB22" s="1935" t="n">
        <f aca="false">IF(W22=0,0,D$40/SUM(W$10:W$35)*W22)</f>
        <v>0</v>
      </c>
      <c r="DC22" s="1932" t="e">
        <f aca="false">E22*N22/12*(D$40-7980)/H$66</f>
        <v>#DIV/0!</v>
      </c>
      <c r="DD22" s="179" t="n">
        <f aca="false">ROUND(N22*O22/3088*E22,0)</f>
        <v>0</v>
      </c>
      <c r="DE22" s="908" t="n">
        <f aca="false">ROUND(V22,0)</f>
        <v>0</v>
      </c>
      <c r="DF22" s="356" t="n">
        <f aca="false">ROUND(IF(C22="Y",(G22*0.25*E22+G22*G22/144*0.5*E22)/27*1.3,0),0)</f>
        <v>0</v>
      </c>
      <c r="DG22" s="908" t="n">
        <f aca="false">ROUND(E22*G22/12,0)</f>
        <v>0</v>
      </c>
      <c r="DH22" s="908" t="n">
        <f aca="false">IF(C22="y",ROUNDUP(E22*G22/12,0),0)</f>
        <v>0</v>
      </c>
      <c r="DI22" s="908" t="n">
        <f aca="false">IF(C22="Y",IF(E22&gt;0,E22,0),0)</f>
        <v>0</v>
      </c>
      <c r="DJ22" s="1936" t="n">
        <f aca="false">ROUND(E22*N22/12,0)</f>
        <v>0</v>
      </c>
    </row>
    <row r="23" s="1414" customFormat="true" ht="15" hidden="false" customHeight="false" outlineLevel="0" collapsed="false">
      <c r="A23" s="507"/>
      <c r="B23" s="1312"/>
      <c r="C23" s="1919"/>
      <c r="D23" s="1920"/>
      <c r="E23" s="1921"/>
      <c r="F23" s="1234"/>
      <c r="G23" s="1235"/>
      <c r="H23" s="1236"/>
      <c r="I23" s="1234"/>
      <c r="J23" s="1235"/>
      <c r="K23" s="1236"/>
      <c r="L23" s="1234"/>
      <c r="M23" s="1234"/>
      <c r="N23" s="1922"/>
      <c r="O23" s="1234"/>
      <c r="P23" s="1234"/>
      <c r="Q23" s="1237"/>
      <c r="R23" s="1923"/>
      <c r="S23" s="1924"/>
      <c r="T23" s="78"/>
      <c r="U23" s="900"/>
      <c r="V23" s="1925" t="n">
        <f aca="false">((E23*I23/16*I23/16*10.680159*J23)*IF(H23=0,0,(G23/H23))+(G23/12*L23/16*L23/16*10.680159*M23)*IF(K23=0,0,(E23*12/K23))+(E23*IF(P23=0,0,N23/P23)*Q23/16*Q23/16*10.680159*R23)+(IF(P23=0,0,E23/P23*N23)*Q23/16*Q23/16*10.680159*R23)+((T23*U23*S23*0.03*0.2836*G23)/12+4)*IF(H23=0,0,(G23/H23))*I23/16*I23/16*10.680159)*(1+J$56)</f>
        <v>0</v>
      </c>
      <c r="W23" s="1926" t="n">
        <f aca="false">((E23*F23/12*G23/324)+ROUNDUP(S23*T23*U23*G23/46656,0)+(N23*O23*E23/3888))*(1+J$51)</f>
        <v>0</v>
      </c>
      <c r="AH23" s="1929" t="n">
        <f aca="false">IF($R$8=1,$N23*$O23*$E23/3888*(1+$J$51),0)</f>
        <v>0</v>
      </c>
      <c r="AI23" s="1928" t="n">
        <f aca="false">IF($R$8=2,$N23*$O23*$E23/3888*(1+$J$51),0)</f>
        <v>0</v>
      </c>
      <c r="AJ23" s="1928" t="n">
        <f aca="false">IF($R$8=3,$N23*$O23*$E23/3888*(1+$J$51),0)</f>
        <v>0</v>
      </c>
      <c r="AK23" s="1928" t="n">
        <f aca="false">IF($R$8=4,$N23*$O23*$E23/3888*(1+$J$51),0)</f>
        <v>0</v>
      </c>
      <c r="AL23" s="1928" t="n">
        <f aca="false">IF($R$8=5,$N23*$O23*$E23/3888*(1+$J$51),0)</f>
        <v>0</v>
      </c>
      <c r="AM23" s="1928" t="n">
        <f aca="false">IF($R$8=6,$N23*$O23*$E23/3888*(1+$J$51),0)</f>
        <v>0</v>
      </c>
      <c r="AN23" s="1928" t="n">
        <f aca="false">IF($R$8=7,$N23*$O23*$E23/3888*(1+$J$51),0)</f>
        <v>0</v>
      </c>
      <c r="AO23" s="1928" t="n">
        <f aca="false">IF($R$8=8,$N23*$O23*$E23/3888*(1+$J$51),0)</f>
        <v>0</v>
      </c>
      <c r="AP23" s="1928" t="n">
        <f aca="false">IF($R$8=9,$N23*$O23*$E23/3888*(1+$J$51),0)</f>
        <v>0</v>
      </c>
      <c r="AQ23" s="1928" t="n">
        <f aca="false">IF($R$8=10,$N23*$O23*$E23/3888*(1+$J$51),0)</f>
        <v>0</v>
      </c>
      <c r="AR23" s="1929" t="n">
        <f aca="false">IF($D23=1,$W23-SUM($AH23:$AQ23),0)</f>
        <v>0</v>
      </c>
      <c r="AS23" s="1928" t="n">
        <f aca="false">IF($D23=2,W23-SUM($AH23:$AQ23),0)</f>
        <v>0</v>
      </c>
      <c r="AT23" s="1928" t="n">
        <f aca="false">IF($D23=3,W23-SUM($AH23:$AQ23),0)</f>
        <v>0</v>
      </c>
      <c r="AU23" s="1928" t="n">
        <f aca="false">IF($D23=4,W23-SUM($AH23:$AQ23),0)</f>
        <v>0</v>
      </c>
      <c r="AV23" s="1928" t="n">
        <f aca="false">IF($D23=5,W23-SUM($AH23:$AQ23),0)</f>
        <v>0</v>
      </c>
      <c r="AW23" s="1928" t="n">
        <f aca="false">IF($D23=6,W23-SUM($AH23:$AQ23),0)</f>
        <v>0</v>
      </c>
      <c r="AX23" s="1928" t="n">
        <f aca="false">IF($D23=7,W23-SUM($AH23:$AQ23),0)</f>
        <v>0</v>
      </c>
      <c r="AY23" s="1928" t="n">
        <f aca="false">IF($D23=8,W23-SUM($AH23:$AQ23),0)</f>
        <v>0</v>
      </c>
      <c r="AZ23" s="1928" t="n">
        <f aca="false">IF($D23=9,W23-SUM($AH23:$AQ23),0)</f>
        <v>0</v>
      </c>
      <c r="BA23" s="1930" t="n">
        <f aca="false">IF($D23=10,W23-SUM($AH23:$AQ23),0)</f>
        <v>0</v>
      </c>
      <c r="BB23" s="1928" t="n">
        <f aca="false">SUM(AH23:AM23)</f>
        <v>0</v>
      </c>
      <c r="BC23" s="1928" t="n">
        <f aca="false">SUM(AR23:AW23)</f>
        <v>0</v>
      </c>
      <c r="BD23" s="1928" t="n">
        <f aca="false">V23</f>
        <v>0</v>
      </c>
      <c r="BE23" s="1928" t="n">
        <f aca="false">E23*G23/12*2+(U23*U23*G23/1728*S23)</f>
        <v>0</v>
      </c>
      <c r="BF23" s="1928" t="n">
        <f aca="false">BE23/2</f>
        <v>0</v>
      </c>
      <c r="BG23" s="1928" t="n">
        <f aca="false">N23*E23/12</f>
        <v>0</v>
      </c>
      <c r="BH23" s="1928" t="n">
        <f aca="false">ROUND(IF(C23="Y",BF23*3/27,0),0)</f>
        <v>0</v>
      </c>
      <c r="BJ23" s="1931" t="n">
        <f aca="false">V23*F$56*IF(T$39="N",(1+V$39),1)</f>
        <v>0</v>
      </c>
      <c r="BK23" s="1932" t="n">
        <f aca="false">(AR23*Pricing!F$3+AS23*Pricing!G$3+AT23*Pricing!H$3+AU23*Pricing!I$3+AV23*Pricing!J$3+AW23*Pricing!K$3+AH23*Pricing!F$3+AI23*Pricing!G$3+AJ23*Pricing!H$3+AK23*Pricing!I$3+AL23*Pricing!J$3+AM23*Pricing!K$3)*IF(T$39="N",(1+V$39),1)</f>
        <v>0</v>
      </c>
      <c r="BL23" s="1932" t="n">
        <f aca="false">IF(C23="Y",(N$59+N$60)/DF$36*DF23,0)</f>
        <v>0</v>
      </c>
      <c r="BM23" s="1932" t="n">
        <f aca="false">BF23*(G$67+D$70)</f>
        <v>0</v>
      </c>
      <c r="BN23" s="1932" t="n">
        <f aca="false">BG23*D$66</f>
        <v>0</v>
      </c>
      <c r="BO23" s="1932" t="n">
        <f aca="false">V23/2000*D$71</f>
        <v>0</v>
      </c>
      <c r="BP23" s="1932" t="n">
        <f aca="false">IF(C23="Y",(N$74+N$73+N$72)/DF$36*DF23,0)</f>
        <v>0</v>
      </c>
      <c r="BQ23" s="1932" t="n">
        <f aca="false">IF(SUM(BF$36:BG$36)=0,0,(SUM(N$78:O$81)+SUM(N$83:O$88)+SUM(N$90:O$96)+W$95)/SUM(BF$36:BG$36)*(BF23+BG23))</f>
        <v>0</v>
      </c>
      <c r="BR23" s="1933"/>
      <c r="BS23" s="1934" t="n">
        <f aca="false">IF(SUM(BF$36:BG$36)=0,0,(BQ$36-W$58-N$64-W74-(L$79*0.15))/SUM(BF$36:BG$36)*BG23+BN23)</f>
        <v>0</v>
      </c>
      <c r="BT23" s="1932" t="n">
        <f aca="false">(AH23*Pricing!F$3+AI23*Pricing!G$3+AJ23*Pricing!H$3+AK23*Pricing!I$3+AL23*Pricing!J$3+AM23*Pricing!K$3)*IF(T$39="N",(1+V$39),1)</f>
        <v>0</v>
      </c>
      <c r="BU23" s="1932" t="n">
        <f aca="false">IF(BG23=0,0,(BS23+BT23)/BG23)</f>
        <v>0</v>
      </c>
      <c r="BV23" s="1932" t="n">
        <f aca="false">SUM(BJ23:BQ23)-BS23-BT23</f>
        <v>0</v>
      </c>
      <c r="BW23" s="1933" t="n">
        <f aca="false">IF(BE23=0,0,BV23/BF23)</f>
        <v>0</v>
      </c>
      <c r="DB23" s="1935" t="n">
        <f aca="false">IF(W23=0,0,D$40/SUM(W$10:W$35)*W23)</f>
        <v>0</v>
      </c>
      <c r="DC23" s="1932" t="e">
        <f aca="false">E23*N23/12*(D$40-7980)/H$66</f>
        <v>#DIV/0!</v>
      </c>
      <c r="DD23" s="179" t="n">
        <f aca="false">ROUND(N23*O23/3088*E23,0)</f>
        <v>0</v>
      </c>
      <c r="DE23" s="908" t="n">
        <f aca="false">ROUND(V23,0)</f>
        <v>0</v>
      </c>
      <c r="DF23" s="356" t="n">
        <f aca="false">ROUND(IF(C23="Y",(G23*0.25*E23+G23*G23/144*0.5*E23)/27*1.3,0),0)</f>
        <v>0</v>
      </c>
      <c r="DG23" s="908" t="n">
        <f aca="false">ROUND(E23*G23/12,0)</f>
        <v>0</v>
      </c>
      <c r="DH23" s="908" t="n">
        <f aca="false">IF(C23="y",ROUNDUP(E23*G23/12,0),0)</f>
        <v>0</v>
      </c>
      <c r="DI23" s="908" t="n">
        <f aca="false">IF(C23="Y",IF(E23&gt;0,E23,0),0)</f>
        <v>0</v>
      </c>
      <c r="DJ23" s="1936" t="n">
        <f aca="false">ROUND(E23*N23/12,0)</f>
        <v>0</v>
      </c>
    </row>
    <row r="24" s="1414" customFormat="true" ht="15" hidden="false" customHeight="false" outlineLevel="0" collapsed="false">
      <c r="A24" s="507"/>
      <c r="B24" s="1312"/>
      <c r="C24" s="1919"/>
      <c r="D24" s="1920"/>
      <c r="E24" s="1921"/>
      <c r="F24" s="1234"/>
      <c r="G24" s="1235"/>
      <c r="H24" s="1236"/>
      <c r="I24" s="1234"/>
      <c r="J24" s="1235"/>
      <c r="K24" s="1236"/>
      <c r="L24" s="1234"/>
      <c r="M24" s="1234"/>
      <c r="N24" s="1922"/>
      <c r="O24" s="1234"/>
      <c r="P24" s="1234"/>
      <c r="Q24" s="1237"/>
      <c r="R24" s="1923"/>
      <c r="S24" s="1924"/>
      <c r="T24" s="78"/>
      <c r="U24" s="900"/>
      <c r="V24" s="1925" t="n">
        <f aca="false">((E24*I24/16*I24/16*10.680159*J24)*IF(H24=0,0,(G24/H24))+(G24/12*L24/16*L24/16*10.680159*M24)*IF(K24=0,0,(E24*12/K24))+(E24*IF(P24=0,0,N24/P24)*Q24/16*Q24/16*10.680159*R24)+(IF(P24=0,0,E24/P24*N24)*Q24/16*Q24/16*10.680159*R24)+((T24*U24*S24*0.03*0.2836*G24)/12+4)*IF(H24=0,0,(G24/H24))*I24/16*I24/16*10.680159)*(1+J$56)</f>
        <v>0</v>
      </c>
      <c r="W24" s="1926" t="n">
        <f aca="false">((E24*F24/12*G24/324)+ROUNDUP(S24*T24*U24*G24/46656,0)+(N24*O24*E24/3888))*(1+J$51)</f>
        <v>0</v>
      </c>
      <c r="AH24" s="1929" t="n">
        <f aca="false">IF($R$8=1,$N24*$O24*$E24/3888*(1+$J$51),0)</f>
        <v>0</v>
      </c>
      <c r="AI24" s="1928" t="n">
        <f aca="false">IF($R$8=2,$N24*$O24*$E24/3888*(1+$J$51),0)</f>
        <v>0</v>
      </c>
      <c r="AJ24" s="1928" t="n">
        <f aca="false">IF($R$8=3,$N24*$O24*$E24/3888*(1+$J$51),0)</f>
        <v>0</v>
      </c>
      <c r="AK24" s="1928" t="n">
        <f aca="false">IF($R$8=4,$N24*$O24*$E24/3888*(1+$J$51),0)</f>
        <v>0</v>
      </c>
      <c r="AL24" s="1928" t="n">
        <f aca="false">IF($R$8=5,$N24*$O24*$E24/3888*(1+$J$51),0)</f>
        <v>0</v>
      </c>
      <c r="AM24" s="1928" t="n">
        <f aca="false">IF($R$8=6,$N24*$O24*$E24/3888*(1+$J$51),0)</f>
        <v>0</v>
      </c>
      <c r="AN24" s="1928" t="n">
        <f aca="false">IF($R$8=7,$N24*$O24*$E24/3888*(1+$J$51),0)</f>
        <v>0</v>
      </c>
      <c r="AO24" s="1928" t="n">
        <f aca="false">IF($R$8=8,$N24*$O24*$E24/3888*(1+$J$51),0)</f>
        <v>0</v>
      </c>
      <c r="AP24" s="1928" t="n">
        <f aca="false">IF($R$8=9,$N24*$O24*$E24/3888*(1+$J$51),0)</f>
        <v>0</v>
      </c>
      <c r="AQ24" s="1928" t="n">
        <f aca="false">IF($R$8=10,$N24*$O24*$E24/3888*(1+$J$51),0)</f>
        <v>0</v>
      </c>
      <c r="AR24" s="1929" t="n">
        <f aca="false">IF($D24=1,$W24-SUM($AH24:$AQ24),0)</f>
        <v>0</v>
      </c>
      <c r="AS24" s="1928" t="n">
        <f aca="false">IF($D24=2,W24-SUM($AH24:$AQ24),0)</f>
        <v>0</v>
      </c>
      <c r="AT24" s="1928" t="n">
        <f aca="false">IF($D24=3,W24-SUM($AH24:$AQ24),0)</f>
        <v>0</v>
      </c>
      <c r="AU24" s="1928" t="n">
        <f aca="false">IF($D24=4,W24-SUM($AH24:$AQ24),0)</f>
        <v>0</v>
      </c>
      <c r="AV24" s="1928" t="n">
        <f aca="false">IF($D24=5,W24-SUM($AH24:$AQ24),0)</f>
        <v>0</v>
      </c>
      <c r="AW24" s="1928" t="n">
        <f aca="false">IF($D24=6,W24-SUM($AH24:$AQ24),0)</f>
        <v>0</v>
      </c>
      <c r="AX24" s="1928" t="n">
        <f aca="false">IF($D24=7,W24-SUM($AH24:$AQ24),0)</f>
        <v>0</v>
      </c>
      <c r="AY24" s="1928" t="n">
        <f aca="false">IF($D24=8,W24-SUM($AH24:$AQ24),0)</f>
        <v>0</v>
      </c>
      <c r="AZ24" s="1928" t="n">
        <f aca="false">IF($D24=9,W24-SUM($AH24:$AQ24),0)</f>
        <v>0</v>
      </c>
      <c r="BA24" s="1930" t="n">
        <f aca="false">IF($D24=10,W24-SUM($AH24:$AQ24),0)</f>
        <v>0</v>
      </c>
      <c r="BB24" s="1928" t="n">
        <f aca="false">SUM(AH24:AM24)</f>
        <v>0</v>
      </c>
      <c r="BC24" s="1928" t="n">
        <f aca="false">SUM(AR24:AW24)</f>
        <v>0</v>
      </c>
      <c r="BD24" s="1928" t="n">
        <f aca="false">V24</f>
        <v>0</v>
      </c>
      <c r="BE24" s="1928" t="n">
        <f aca="false">E24*G24/12*2+(U24*U24*G24/1728*S24)</f>
        <v>0</v>
      </c>
      <c r="BF24" s="1928" t="n">
        <f aca="false">BE24/2</f>
        <v>0</v>
      </c>
      <c r="BG24" s="1928" t="n">
        <f aca="false">N24*E24/12</f>
        <v>0</v>
      </c>
      <c r="BH24" s="1928" t="n">
        <f aca="false">ROUND(IF(C24="Y",BF24*3/27,0),0)</f>
        <v>0</v>
      </c>
      <c r="BJ24" s="1931" t="n">
        <f aca="false">V24*F$56*IF(T$39="N",(1+V$39),1)</f>
        <v>0</v>
      </c>
      <c r="BK24" s="1932" t="n">
        <f aca="false">(AR24*Pricing!F$3+AS24*Pricing!G$3+AT24*Pricing!H$3+AU24*Pricing!I$3+AV24*Pricing!J$3+AW24*Pricing!K$3+AH24*Pricing!F$3+AI24*Pricing!G$3+AJ24*Pricing!H$3+AK24*Pricing!I$3+AL24*Pricing!J$3+AM24*Pricing!K$3)*IF(T$39="N",(1+V$39),1)</f>
        <v>0</v>
      </c>
      <c r="BL24" s="1932" t="n">
        <f aca="false">IF(C24="Y",(N$59+N$60)/DF$36*DF24,0)</f>
        <v>0</v>
      </c>
      <c r="BM24" s="1932" t="n">
        <f aca="false">BF24*(G$67+D$70)</f>
        <v>0</v>
      </c>
      <c r="BN24" s="1932" t="n">
        <f aca="false">BG24*D$66</f>
        <v>0</v>
      </c>
      <c r="BO24" s="1932" t="n">
        <f aca="false">V24/2000*D$71</f>
        <v>0</v>
      </c>
      <c r="BP24" s="1932" t="n">
        <f aca="false">IF(C24="Y",(N$74+N$73+N$72)/DF$36*DF24,0)</f>
        <v>0</v>
      </c>
      <c r="BQ24" s="1932" t="n">
        <f aca="false">IF(SUM(BF$36:BG$36)=0,0,(SUM(N$78:O$81)+SUM(N$83:O$88)+SUM(N$90:O$96)+W$95)/SUM(BF$36:BG$36)*(BF24+BG24))</f>
        <v>0</v>
      </c>
      <c r="BR24" s="1933"/>
      <c r="BS24" s="1934" t="n">
        <f aca="false">IF(SUM(BF$36:BG$36)=0,0,(BQ$36-W$58-N$64-W76-(L$79*0.15))/SUM(BF$36:BG$36)*BG24+BN24)</f>
        <v>0</v>
      </c>
      <c r="BT24" s="1932" t="n">
        <f aca="false">(AH24*Pricing!F$3+AI24*Pricing!G$3+AJ24*Pricing!H$3+AK24*Pricing!I$3+AL24*Pricing!J$3+AM24*Pricing!K$3)*IF(T$39="N",(1+V$39),1)</f>
        <v>0</v>
      </c>
      <c r="BU24" s="1932" t="n">
        <f aca="false">IF(BG24=0,0,(BS24+BT24)/BG24)</f>
        <v>0</v>
      </c>
      <c r="BV24" s="1932" t="n">
        <f aca="false">SUM(BJ24:BQ24)-BS24-BT24</f>
        <v>0</v>
      </c>
      <c r="BW24" s="1933" t="n">
        <f aca="false">IF(BE24=0,0,BV24/BF24)</f>
        <v>0</v>
      </c>
      <c r="DB24" s="1935" t="n">
        <f aca="false">IF(W24=0,0,D$40/SUM(W$10:W$35)*W24)</f>
        <v>0</v>
      </c>
      <c r="DC24" s="1932" t="e">
        <f aca="false">E24*N24/12*(D$40-7980)/H$66</f>
        <v>#DIV/0!</v>
      </c>
      <c r="DD24" s="179" t="n">
        <f aca="false">ROUND(N24*O24/3088*E24,0)</f>
        <v>0</v>
      </c>
      <c r="DE24" s="908" t="n">
        <f aca="false">ROUND(V24,0)</f>
        <v>0</v>
      </c>
      <c r="DF24" s="356" t="n">
        <f aca="false">ROUND(IF(C24="Y",(G24*0.25*E24+G24*G24/144*0.5*E24)/27*1.3,0),0)</f>
        <v>0</v>
      </c>
      <c r="DG24" s="908" t="n">
        <f aca="false">ROUND(E24*G24/12,0)</f>
        <v>0</v>
      </c>
      <c r="DH24" s="908" t="n">
        <f aca="false">IF(C24="y",ROUNDUP(E24*G24/12,0),0)</f>
        <v>0</v>
      </c>
      <c r="DI24" s="908" t="n">
        <f aca="false">IF(C24="Y",IF(E24&gt;0,E24,0),0)</f>
        <v>0</v>
      </c>
      <c r="DJ24" s="1936" t="n">
        <f aca="false">ROUND(E24*N24/12,0)</f>
        <v>0</v>
      </c>
    </row>
    <row r="25" s="1414" customFormat="true" ht="15" hidden="false" customHeight="false" outlineLevel="0" collapsed="false">
      <c r="A25" s="507"/>
      <c r="B25" s="1312"/>
      <c r="C25" s="1919"/>
      <c r="D25" s="1920"/>
      <c r="E25" s="1921"/>
      <c r="F25" s="1234"/>
      <c r="G25" s="1235"/>
      <c r="H25" s="1236"/>
      <c r="I25" s="1234"/>
      <c r="J25" s="1235"/>
      <c r="K25" s="1236"/>
      <c r="L25" s="1234"/>
      <c r="M25" s="1234"/>
      <c r="N25" s="1922"/>
      <c r="O25" s="1234"/>
      <c r="P25" s="1234"/>
      <c r="Q25" s="1237"/>
      <c r="R25" s="1923"/>
      <c r="S25" s="1924"/>
      <c r="T25" s="78"/>
      <c r="U25" s="900"/>
      <c r="V25" s="1925" t="n">
        <f aca="false">((E25*I25/16*I25/16*10.680159*J25)*IF(H25=0,0,(G25/H25))+(G25/12*L25/16*L25/16*10.680159*M25)*IF(K25=0,0,(E25*12/K25))+(E25*IF(P25=0,0,N25/P25)*Q25/16*Q25/16*10.680159*R25)+(IF(P25=0,0,E25/P25*N25)*Q25/16*Q25/16*10.680159*R25)+((T25*U25*S25*0.03*0.2836*G25)/12+4)*IF(H25=0,0,(G25/H25))*I25/16*I25/16*10.680159)*(1+J$56)</f>
        <v>0</v>
      </c>
      <c r="W25" s="1926" t="n">
        <f aca="false">((E25*F25/12*G25/324)+ROUNDUP(S25*T25*U25*G25/46656,0)+(N25*O25*E25/3888))*(1+J$51)</f>
        <v>0</v>
      </c>
      <c r="AH25" s="1929" t="n">
        <f aca="false">IF($R$8=1,$N25*$O25*$E25/3888*(1+$J$51),0)</f>
        <v>0</v>
      </c>
      <c r="AI25" s="1928" t="n">
        <f aca="false">IF($R$8=2,$N25*$O25*$E25/3888*(1+$J$51),0)</f>
        <v>0</v>
      </c>
      <c r="AJ25" s="1928" t="n">
        <f aca="false">IF($R$8=3,$N25*$O25*$E25/3888*(1+$J$51),0)</f>
        <v>0</v>
      </c>
      <c r="AK25" s="1928" t="n">
        <f aca="false">IF($R$8=4,$N25*$O25*$E25/3888*(1+$J$51),0)</f>
        <v>0</v>
      </c>
      <c r="AL25" s="1928" t="n">
        <f aca="false">IF($R$8=5,$N25*$O25*$E25/3888*(1+$J$51),0)</f>
        <v>0</v>
      </c>
      <c r="AM25" s="1928" t="n">
        <f aca="false">IF($R$8=6,$N25*$O25*$E25/3888*(1+$J$51),0)</f>
        <v>0</v>
      </c>
      <c r="AN25" s="1928" t="n">
        <f aca="false">IF($R$8=7,$N25*$O25*$E25/3888*(1+$J$51),0)</f>
        <v>0</v>
      </c>
      <c r="AO25" s="1928" t="n">
        <f aca="false">IF($R$8=8,$N25*$O25*$E25/3888*(1+$J$51),0)</f>
        <v>0</v>
      </c>
      <c r="AP25" s="1928" t="n">
        <f aca="false">IF($R$8=9,$N25*$O25*$E25/3888*(1+$J$51),0)</f>
        <v>0</v>
      </c>
      <c r="AQ25" s="1928" t="n">
        <f aca="false">IF($R$8=10,$N25*$O25*$E25/3888*(1+$J$51),0)</f>
        <v>0</v>
      </c>
      <c r="AR25" s="1929" t="n">
        <f aca="false">IF($D25=1,$W25-SUM($AH25:$AQ25),0)</f>
        <v>0</v>
      </c>
      <c r="AS25" s="1928" t="n">
        <f aca="false">IF($D25=2,W25-SUM($AH25:$AQ25),0)</f>
        <v>0</v>
      </c>
      <c r="AT25" s="1928" t="n">
        <f aca="false">IF($D25=3,W25-SUM($AH25:$AQ25),0)</f>
        <v>0</v>
      </c>
      <c r="AU25" s="1928" t="n">
        <f aca="false">IF($D25=4,W25-SUM($AH25:$AQ25),0)</f>
        <v>0</v>
      </c>
      <c r="AV25" s="1928" t="n">
        <f aca="false">IF($D25=5,W25-SUM($AH25:$AQ25),0)</f>
        <v>0</v>
      </c>
      <c r="AW25" s="1928" t="n">
        <f aca="false">IF($D25=6,W25-SUM($AH25:$AQ25),0)</f>
        <v>0</v>
      </c>
      <c r="AX25" s="1928" t="n">
        <f aca="false">IF($D25=7,W25-SUM($AH25:$AQ25),0)</f>
        <v>0</v>
      </c>
      <c r="AY25" s="1928" t="n">
        <f aca="false">IF($D25=8,W25-SUM($AH25:$AQ25),0)</f>
        <v>0</v>
      </c>
      <c r="AZ25" s="1928" t="n">
        <f aca="false">IF($D25=9,W25-SUM($AH25:$AQ25),0)</f>
        <v>0</v>
      </c>
      <c r="BA25" s="1930" t="n">
        <f aca="false">IF($D25=10,W25-SUM($AH25:$AQ25),0)</f>
        <v>0</v>
      </c>
      <c r="BB25" s="1928" t="n">
        <f aca="false">SUM(AH25:AM25)</f>
        <v>0</v>
      </c>
      <c r="BC25" s="1928" t="n">
        <f aca="false">SUM(AR25:AW25)</f>
        <v>0</v>
      </c>
      <c r="BD25" s="1928" t="n">
        <f aca="false">V25</f>
        <v>0</v>
      </c>
      <c r="BE25" s="1928" t="n">
        <f aca="false">E25*G25/12*2+(U25*U25*G25/1728*S25)</f>
        <v>0</v>
      </c>
      <c r="BF25" s="1928" t="n">
        <f aca="false">BE25/2</f>
        <v>0</v>
      </c>
      <c r="BG25" s="1928" t="n">
        <f aca="false">N25*E25/12</f>
        <v>0</v>
      </c>
      <c r="BH25" s="1928" t="n">
        <f aca="false">ROUND(IF(C25="Y",BF25*3/27,0),0)</f>
        <v>0</v>
      </c>
      <c r="BJ25" s="1931" t="n">
        <f aca="false">V25*F$56*IF(T$39="N",(1+V$39),1)</f>
        <v>0</v>
      </c>
      <c r="BK25" s="1932" t="n">
        <f aca="false">(AR25*Pricing!F$3+AS25*Pricing!G$3+AT25*Pricing!H$3+AU25*Pricing!I$3+AV25*Pricing!J$3+AW25*Pricing!K$3+AH25*Pricing!F$3+AI25*Pricing!G$3+AJ25*Pricing!H$3+AK25*Pricing!I$3+AL25*Pricing!J$3+AM25*Pricing!K$3)*IF(T$39="N",(1+V$39),1)</f>
        <v>0</v>
      </c>
      <c r="BL25" s="1932" t="n">
        <f aca="false">IF(C25="Y",(N$59+N$60)/DF$36*DF25,0)</f>
        <v>0</v>
      </c>
      <c r="BM25" s="1932" t="n">
        <f aca="false">BF25*(G$67+D$70)</f>
        <v>0</v>
      </c>
      <c r="BN25" s="1932" t="n">
        <f aca="false">BG25*D$66</f>
        <v>0</v>
      </c>
      <c r="BO25" s="1932" t="n">
        <f aca="false">V25/2000*D$71</f>
        <v>0</v>
      </c>
      <c r="BP25" s="1932" t="n">
        <f aca="false">IF(C25="Y",(N$74+N$73+N$72)/DF$36*DF25,0)</f>
        <v>0</v>
      </c>
      <c r="BQ25" s="1932" t="n">
        <f aca="false">IF(SUM(BF$36:BG$36)=0,0,(SUM(N$78:O$81)+SUM(N$83:O$88)+SUM(N$90:O$96)+W$95)/SUM(BF$36:BG$36)*(BF25+BG25))</f>
        <v>0</v>
      </c>
      <c r="BR25" s="1933"/>
      <c r="BS25" s="1934" t="n">
        <f aca="false">IF(SUM(BF$36:BG$36)=0,0,(BQ$36-W$58-N$64-W63-(L$79*0.15))/SUM(BF$36:BG$36)*BG25+BN25)</f>
        <v>0</v>
      </c>
      <c r="BT25" s="1932" t="n">
        <f aca="false">(AH25*Pricing!F$3+AI25*Pricing!G$3+AJ25*Pricing!H$3+AK25*Pricing!I$3+AL25*Pricing!J$3+AM25*Pricing!K$3)*IF(T$39="N",(1+V$39),1)</f>
        <v>0</v>
      </c>
      <c r="BU25" s="1932" t="n">
        <f aca="false">IF(BG25=0,0,(BS25+BT25)/BG25)</f>
        <v>0</v>
      </c>
      <c r="BV25" s="1932" t="n">
        <f aca="false">SUM(BJ25:BQ25)-BS25-BT25</f>
        <v>0</v>
      </c>
      <c r="BW25" s="1933" t="n">
        <f aca="false">IF(BE25=0,0,BV25/BF25)</f>
        <v>0</v>
      </c>
      <c r="DB25" s="1935" t="n">
        <f aca="false">IF(W25=0,0,D$40/SUM(W$10:W$35)*W25)</f>
        <v>0</v>
      </c>
      <c r="DC25" s="1932" t="e">
        <f aca="false">E25*N25/12*(D$40-7980)/H$66</f>
        <v>#DIV/0!</v>
      </c>
      <c r="DD25" s="179" t="n">
        <f aca="false">ROUND(N25*O25/3088*E25,0)</f>
        <v>0</v>
      </c>
      <c r="DE25" s="908" t="n">
        <f aca="false">ROUND(V25,0)</f>
        <v>0</v>
      </c>
      <c r="DF25" s="356" t="n">
        <f aca="false">ROUND(IF(C25="Y",(G25*0.25*E25+G25*G25/144*0.5*E25)/27*1.3,0),0)</f>
        <v>0</v>
      </c>
      <c r="DG25" s="908" t="n">
        <f aca="false">ROUND(E25*G25/12,0)</f>
        <v>0</v>
      </c>
      <c r="DH25" s="908" t="n">
        <f aca="false">IF(C25="y",ROUNDUP(E25*G25/12,0),0)</f>
        <v>0</v>
      </c>
      <c r="DI25" s="908" t="n">
        <f aca="false">IF(C25="Y",IF(E25&gt;0,E25,0),0)</f>
        <v>0</v>
      </c>
      <c r="DJ25" s="1936" t="n">
        <f aca="false">ROUND(E25*N25/12,0)</f>
        <v>0</v>
      </c>
    </row>
    <row r="26" s="1414" customFormat="true" ht="15" hidden="false" customHeight="false" outlineLevel="0" collapsed="false">
      <c r="A26" s="507"/>
      <c r="B26" s="1312"/>
      <c r="C26" s="1919"/>
      <c r="D26" s="1920"/>
      <c r="E26" s="1921"/>
      <c r="F26" s="1234"/>
      <c r="G26" s="1235"/>
      <c r="H26" s="1236"/>
      <c r="I26" s="1234"/>
      <c r="J26" s="1235"/>
      <c r="K26" s="1236"/>
      <c r="L26" s="1234"/>
      <c r="M26" s="1234"/>
      <c r="N26" s="1922"/>
      <c r="O26" s="1234"/>
      <c r="P26" s="1234"/>
      <c r="Q26" s="1237"/>
      <c r="R26" s="1923"/>
      <c r="S26" s="1924"/>
      <c r="T26" s="78"/>
      <c r="U26" s="900"/>
      <c r="V26" s="1925" t="n">
        <f aca="false">((E26*I26/16*I26/16*10.680159*J26)*IF(H26=0,0,(G26/H26))+(G26/12*L26/16*L26/16*10.680159*M26)*IF(K26=0,0,(E26*12/K26))+(E26*IF(P26=0,0,N26/P26)*Q26/16*Q26/16*10.680159*R26)+(IF(P26=0,0,E26/P26*N26)*Q26/16*Q26/16*10.680159*R26)+((T26*U26*S26*0.03*0.2836*G26)/12+4)*IF(H26=0,0,(G26/H26))*I26/16*I26/16*10.680159)*(1+J$56)</f>
        <v>0</v>
      </c>
      <c r="W26" s="1926" t="n">
        <f aca="false">((E26*F26/12*G26/324)+ROUNDUP(S26*T26*U26*G26/46656,0)+(N26*O26*E26/3888))*(1+J$51)</f>
        <v>0</v>
      </c>
      <c r="AH26" s="1929" t="n">
        <f aca="false">IF($R$8=1,$N26*$O26*$E26/3888*(1+$J$51),0)</f>
        <v>0</v>
      </c>
      <c r="AI26" s="1928" t="n">
        <f aca="false">IF($R$8=2,$N26*$O26*$E26/3888*(1+$J$51),0)</f>
        <v>0</v>
      </c>
      <c r="AJ26" s="1928" t="n">
        <f aca="false">IF($R$8=3,$N26*$O26*$E26/3888*(1+$J$51),0)</f>
        <v>0</v>
      </c>
      <c r="AK26" s="1928" t="n">
        <f aca="false">IF($R$8=4,$N26*$O26*$E26/3888*(1+$J$51),0)</f>
        <v>0</v>
      </c>
      <c r="AL26" s="1928" t="n">
        <f aca="false">IF($R$8=5,$N26*$O26*$E26/3888*(1+$J$51),0)</f>
        <v>0</v>
      </c>
      <c r="AM26" s="1928" t="n">
        <f aca="false">IF($R$8=6,$N26*$O26*$E26/3888*(1+$J$51),0)</f>
        <v>0</v>
      </c>
      <c r="AN26" s="1928" t="n">
        <f aca="false">IF($R$8=7,$N26*$O26*$E26/3888*(1+$J$51),0)</f>
        <v>0</v>
      </c>
      <c r="AO26" s="1928" t="n">
        <f aca="false">IF($R$8=8,$N26*$O26*$E26/3888*(1+$J$51),0)</f>
        <v>0</v>
      </c>
      <c r="AP26" s="1928" t="n">
        <f aca="false">IF($R$8=9,$N26*$O26*$E26/3888*(1+$J$51),0)</f>
        <v>0</v>
      </c>
      <c r="AQ26" s="1928" t="n">
        <f aca="false">IF($R$8=10,$N26*$O26*$E26/3888*(1+$J$51),0)</f>
        <v>0</v>
      </c>
      <c r="AR26" s="1929" t="n">
        <f aca="false">IF($D26=1,$W26-SUM($AH26:$AQ26),0)</f>
        <v>0</v>
      </c>
      <c r="AS26" s="1928" t="n">
        <f aca="false">IF($D26=2,W26-SUM($AH26:$AQ26),0)</f>
        <v>0</v>
      </c>
      <c r="AT26" s="1928" t="n">
        <f aca="false">IF($D26=3,W26-SUM($AH26:$AQ26),0)</f>
        <v>0</v>
      </c>
      <c r="AU26" s="1928" t="n">
        <f aca="false">IF($D26=4,W26-SUM($AH26:$AQ26),0)</f>
        <v>0</v>
      </c>
      <c r="AV26" s="1928" t="n">
        <f aca="false">IF($D26=5,W26-SUM($AH26:$AQ26),0)</f>
        <v>0</v>
      </c>
      <c r="AW26" s="1928" t="n">
        <f aca="false">IF($D26=6,W26-SUM($AH26:$AQ26),0)</f>
        <v>0</v>
      </c>
      <c r="AX26" s="1928" t="n">
        <f aca="false">IF($D26=7,W26-SUM($AH26:$AQ26),0)</f>
        <v>0</v>
      </c>
      <c r="AY26" s="1928" t="n">
        <f aca="false">IF($D26=8,W26-SUM($AH26:$AQ26),0)</f>
        <v>0</v>
      </c>
      <c r="AZ26" s="1928" t="n">
        <f aca="false">IF($D26=9,W26-SUM($AH26:$AQ26),0)</f>
        <v>0</v>
      </c>
      <c r="BA26" s="1930" t="n">
        <f aca="false">IF($D26=10,W26-SUM($AH26:$AQ26),0)</f>
        <v>0</v>
      </c>
      <c r="BB26" s="1928" t="n">
        <f aca="false">SUM(AH26:AM26)</f>
        <v>0</v>
      </c>
      <c r="BC26" s="1928" t="n">
        <f aca="false">SUM(AR26:AW26)</f>
        <v>0</v>
      </c>
      <c r="BD26" s="1928" t="n">
        <f aca="false">V26</f>
        <v>0</v>
      </c>
      <c r="BE26" s="1928" t="n">
        <f aca="false">E26*G26/12*2+(U26*U26*G26/1728*S26)</f>
        <v>0</v>
      </c>
      <c r="BF26" s="1928" t="n">
        <f aca="false">BE26/2</f>
        <v>0</v>
      </c>
      <c r="BG26" s="1928" t="n">
        <f aca="false">N26*E26/12</f>
        <v>0</v>
      </c>
      <c r="BH26" s="1928" t="n">
        <f aca="false">ROUND(IF(C26="Y",BF26*3/27,0),0)</f>
        <v>0</v>
      </c>
      <c r="BJ26" s="1931" t="n">
        <f aca="false">V26*F$56*IF(T$39="N",(1+V$39),1)</f>
        <v>0</v>
      </c>
      <c r="BK26" s="1932" t="n">
        <f aca="false">(AR26*Pricing!F$3+AS26*Pricing!G$3+AT26*Pricing!H$3+AU26*Pricing!I$3+AV26*Pricing!J$3+AW26*Pricing!K$3+AH26*Pricing!F$3+AI26*Pricing!G$3+AJ26*Pricing!H$3+AK26*Pricing!I$3+AL26*Pricing!J$3+AM26*Pricing!K$3)*IF(T$39="N",(1+V$39),1)</f>
        <v>0</v>
      </c>
      <c r="BL26" s="1932" t="n">
        <f aca="false">IF(C26="Y",(N$59+N$60)/DF$36*DF26,0)</f>
        <v>0</v>
      </c>
      <c r="BM26" s="1932" t="n">
        <f aca="false">BF26*(G$67+D$70)</f>
        <v>0</v>
      </c>
      <c r="BN26" s="1932" t="n">
        <f aca="false">BG26*D$66</f>
        <v>0</v>
      </c>
      <c r="BO26" s="1932" t="n">
        <f aca="false">V26/2000*D$71</f>
        <v>0</v>
      </c>
      <c r="BP26" s="1932" t="n">
        <f aca="false">IF(C26="Y",(N$74+N$73+N$72)/DF$36*DF26,0)</f>
        <v>0</v>
      </c>
      <c r="BQ26" s="1932" t="n">
        <f aca="false">IF(SUM(BF$36:BG$36)=0,0,(SUM(N$78:O$81)+SUM(N$83:O$88)+SUM(N$90:O$96)+W$95)/SUM(BF$36:BG$36)*(BF26+BG26))</f>
        <v>0</v>
      </c>
      <c r="BR26" s="1933"/>
      <c r="BS26" s="1934" t="n">
        <f aca="false">IF(SUM(BF$36:BG$36)=0,0,(BQ$36-W$58-N$64-W57-(L$79*0.15))/SUM(BF$36:BG$36)*BG26+BN26)</f>
        <v>0</v>
      </c>
      <c r="BT26" s="1932" t="n">
        <f aca="false">(AH26*Pricing!F$3+AI26*Pricing!G$3+AJ26*Pricing!H$3+AK26*Pricing!I$3+AL26*Pricing!J$3+AM26*Pricing!K$3)*IF(T$39="N",(1+V$39),1)</f>
        <v>0</v>
      </c>
      <c r="BU26" s="1932" t="n">
        <f aca="false">IF(BG26=0,0,(BS26+BT26)/BG26)</f>
        <v>0</v>
      </c>
      <c r="BV26" s="1932" t="n">
        <f aca="false">SUM(BJ26:BQ26)-BS26-BT26</f>
        <v>0</v>
      </c>
      <c r="BW26" s="1933" t="n">
        <f aca="false">IF(BE26=0,0,BV26/BF26)</f>
        <v>0</v>
      </c>
      <c r="DB26" s="1935" t="n">
        <f aca="false">IF(W26=0,0,D$40/SUM(W$10:W$35)*W26)</f>
        <v>0</v>
      </c>
      <c r="DC26" s="1932" t="e">
        <f aca="false">E26*N26/12*(D$40-7980)/H$66</f>
        <v>#DIV/0!</v>
      </c>
      <c r="DD26" s="179" t="n">
        <f aca="false">ROUND(N26*O26/3088*E26,0)</f>
        <v>0</v>
      </c>
      <c r="DE26" s="908" t="n">
        <f aca="false">ROUND(V26,0)</f>
        <v>0</v>
      </c>
      <c r="DF26" s="356" t="n">
        <f aca="false">ROUND(IF(C26="Y",(G26*0.25*E26+G26*G26/144*0.5*E26)/27*1.3,0),0)</f>
        <v>0</v>
      </c>
      <c r="DG26" s="908" t="n">
        <f aca="false">ROUND(E26*G26/12,0)</f>
        <v>0</v>
      </c>
      <c r="DH26" s="908" t="n">
        <f aca="false">IF(C26="y",ROUNDUP(E26*G26/12,0),0)</f>
        <v>0</v>
      </c>
      <c r="DI26" s="908" t="n">
        <f aca="false">IF(C26="Y",IF(E26&gt;0,E26,0),0)</f>
        <v>0</v>
      </c>
      <c r="DJ26" s="1936" t="n">
        <f aca="false">ROUND(E26*N26/12,0)</f>
        <v>0</v>
      </c>
    </row>
    <row r="27" s="1414" customFormat="true" ht="15" hidden="false" customHeight="false" outlineLevel="0" collapsed="false">
      <c r="A27" s="507"/>
      <c r="B27" s="1312"/>
      <c r="C27" s="1919"/>
      <c r="D27" s="1920"/>
      <c r="E27" s="1921"/>
      <c r="F27" s="1234"/>
      <c r="G27" s="1235"/>
      <c r="H27" s="1236"/>
      <c r="I27" s="1234"/>
      <c r="J27" s="1235"/>
      <c r="K27" s="1236"/>
      <c r="L27" s="1234"/>
      <c r="M27" s="1234"/>
      <c r="N27" s="1922"/>
      <c r="O27" s="1234"/>
      <c r="P27" s="1234"/>
      <c r="Q27" s="1237"/>
      <c r="R27" s="1923"/>
      <c r="S27" s="1924"/>
      <c r="T27" s="78"/>
      <c r="U27" s="900"/>
      <c r="V27" s="1925" t="n">
        <f aca="false">((E27*I27/16*I27/16*10.680159*J27)*IF(H27=0,0,(G27/H27))+(G27/12*L27/16*L27/16*10.680159*M27)*IF(K27=0,0,(E27*12/K27))+(E27*IF(P27=0,0,N27/P27)*Q27/16*Q27/16*10.680159*R27)+(IF(P27=0,0,E27/P27*N27)*Q27/16*Q27/16*10.680159*R27)+((T27*U27*S27*0.03*0.2836*G27)/12+4)*IF(H27=0,0,(G27/H27))*I27/16*I27/16*10.680159)*(1+J$56)</f>
        <v>0</v>
      </c>
      <c r="W27" s="1926" t="n">
        <f aca="false">((E27*F27/12*G27/324)+ROUNDUP(S27*T27*U27*G27/46656,0)+(N27*O27*E27/3888))*(1+J$51)</f>
        <v>0</v>
      </c>
      <c r="AH27" s="1929" t="n">
        <f aca="false">IF($R$8=1,$N27*$O27*$E27/3888*(1+$J$51),0)</f>
        <v>0</v>
      </c>
      <c r="AI27" s="1928" t="n">
        <f aca="false">IF($R$8=2,$N27*$O27*$E27/3888*(1+$J$51),0)</f>
        <v>0</v>
      </c>
      <c r="AJ27" s="1928" t="n">
        <f aca="false">IF($R$8=3,$N27*$O27*$E27/3888*(1+$J$51),0)</f>
        <v>0</v>
      </c>
      <c r="AK27" s="1928" t="n">
        <f aca="false">IF($R$8=4,$N27*$O27*$E27/3888*(1+$J$51),0)</f>
        <v>0</v>
      </c>
      <c r="AL27" s="1928" t="n">
        <f aca="false">IF($R$8=5,$N27*$O27*$E27/3888*(1+$J$51),0)</f>
        <v>0</v>
      </c>
      <c r="AM27" s="1928" t="n">
        <f aca="false">IF($R$8=6,$N27*$O27*$E27/3888*(1+$J$51),0)</f>
        <v>0</v>
      </c>
      <c r="AN27" s="1928" t="n">
        <f aca="false">IF($R$8=7,$N27*$O27*$E27/3888*(1+$J$51),0)</f>
        <v>0</v>
      </c>
      <c r="AO27" s="1928" t="n">
        <f aca="false">IF($R$8=8,$N27*$O27*$E27/3888*(1+$J$51),0)</f>
        <v>0</v>
      </c>
      <c r="AP27" s="1928" t="n">
        <f aca="false">IF($R$8=9,$N27*$O27*$E27/3888*(1+$J$51),0)</f>
        <v>0</v>
      </c>
      <c r="AQ27" s="1928" t="n">
        <f aca="false">IF($R$8=10,$N27*$O27*$E27/3888*(1+$J$51),0)</f>
        <v>0</v>
      </c>
      <c r="AR27" s="1929" t="n">
        <f aca="false">IF($D27=1,$W27-SUM($AH27:$AQ27),0)</f>
        <v>0</v>
      </c>
      <c r="AS27" s="1928" t="n">
        <f aca="false">IF($D27=2,W27-SUM($AH27:$AQ27),0)</f>
        <v>0</v>
      </c>
      <c r="AT27" s="1928" t="n">
        <f aca="false">IF($D27=3,W27-SUM($AH27:$AQ27),0)</f>
        <v>0</v>
      </c>
      <c r="AU27" s="1928" t="n">
        <f aca="false">IF($D27=4,W27-SUM($AH27:$AQ27),0)</f>
        <v>0</v>
      </c>
      <c r="AV27" s="1928" t="n">
        <f aca="false">IF($D27=5,W27-SUM($AH27:$AQ27),0)</f>
        <v>0</v>
      </c>
      <c r="AW27" s="1928" t="n">
        <f aca="false">IF($D27=6,W27-SUM($AH27:$AQ27),0)</f>
        <v>0</v>
      </c>
      <c r="AX27" s="1928" t="n">
        <f aca="false">IF($D27=7,W27-SUM($AH27:$AQ27),0)</f>
        <v>0</v>
      </c>
      <c r="AY27" s="1928" t="n">
        <f aca="false">IF($D27=8,W27-SUM($AH27:$AQ27),0)</f>
        <v>0</v>
      </c>
      <c r="AZ27" s="1928" t="n">
        <f aca="false">IF($D27=9,W27-SUM($AH27:$AQ27),0)</f>
        <v>0</v>
      </c>
      <c r="BA27" s="1930" t="n">
        <f aca="false">IF($D27=10,W27-SUM($AH27:$AQ27),0)</f>
        <v>0</v>
      </c>
      <c r="BB27" s="1928" t="n">
        <f aca="false">SUM(AH27:AM27)</f>
        <v>0</v>
      </c>
      <c r="BC27" s="1928" t="n">
        <f aca="false">SUM(AR27:AW27)</f>
        <v>0</v>
      </c>
      <c r="BD27" s="1928" t="n">
        <f aca="false">V27</f>
        <v>0</v>
      </c>
      <c r="BE27" s="1928" t="n">
        <f aca="false">E27*G27/12*2+(U27*U27*G27/1728*S27)</f>
        <v>0</v>
      </c>
      <c r="BF27" s="1928" t="n">
        <f aca="false">BE27/2</f>
        <v>0</v>
      </c>
      <c r="BG27" s="1928" t="n">
        <f aca="false">N27*E27/12</f>
        <v>0</v>
      </c>
      <c r="BH27" s="1928" t="n">
        <f aca="false">ROUND(IF(C27="Y",BF27*3/27,0),0)</f>
        <v>0</v>
      </c>
      <c r="BJ27" s="1931" t="n">
        <f aca="false">V27*F$56*IF(T$39="N",(1+V$39),1)</f>
        <v>0</v>
      </c>
      <c r="BK27" s="1932" t="n">
        <f aca="false">(AR27*Pricing!F$3+AS27*Pricing!G$3+AT27*Pricing!H$3+AU27*Pricing!I$3+AV27*Pricing!J$3+AW27*Pricing!K$3+AH27*Pricing!F$3+AI27*Pricing!G$3+AJ27*Pricing!H$3+AK27*Pricing!I$3+AL27*Pricing!J$3+AM27*Pricing!K$3)*IF(T$39="N",(1+V$39),1)</f>
        <v>0</v>
      </c>
      <c r="BL27" s="1932" t="n">
        <f aca="false">IF(C27="Y",(N$59+N$60)/DF$36*DF27,0)</f>
        <v>0</v>
      </c>
      <c r="BM27" s="1932" t="n">
        <f aca="false">BF27*(G$67+D$70)</f>
        <v>0</v>
      </c>
      <c r="BN27" s="1932" t="n">
        <f aca="false">BG27*D$66</f>
        <v>0</v>
      </c>
      <c r="BO27" s="1932" t="n">
        <f aca="false">V27/2000*D$71</f>
        <v>0</v>
      </c>
      <c r="BP27" s="1932" t="n">
        <f aca="false">IF(C27="Y",(N$74+N$73+N$72)/DF$36*DF27,0)</f>
        <v>0</v>
      </c>
      <c r="BQ27" s="1932" t="n">
        <f aca="false">IF(SUM(BF$36:BG$36)=0,0,(SUM(N$78:O$81)+SUM(N$83:O$88)+SUM(N$90:O$96)+W$95)/SUM(BF$36:BG$36)*(BF27+BG27))</f>
        <v>0</v>
      </c>
      <c r="BR27" s="1933"/>
      <c r="BS27" s="1934" t="n">
        <f aca="false">IF(SUM(BF$36:BG$36)=0,0,(BQ$36-W$58-N$64-W65-(L$79*0.15))/SUM(BF$36:BG$36)*BG27+BN27)</f>
        <v>0</v>
      </c>
      <c r="BT27" s="1932" t="n">
        <f aca="false">(AH27*Pricing!F$3+AI27*Pricing!G$3+AJ27*Pricing!H$3+AK27*Pricing!I$3+AL27*Pricing!J$3+AM27*Pricing!K$3)*IF(T$39="N",(1+V$39),1)</f>
        <v>0</v>
      </c>
      <c r="BU27" s="1932" t="n">
        <f aca="false">IF(BG27=0,0,(BS27+BT27)/BG27)</f>
        <v>0</v>
      </c>
      <c r="BV27" s="1932" t="n">
        <f aca="false">SUM(BJ27:BQ27)-BS27-BT27</f>
        <v>0</v>
      </c>
      <c r="BW27" s="1933" t="n">
        <f aca="false">IF(BE27=0,0,BV27/BF27)</f>
        <v>0</v>
      </c>
      <c r="DB27" s="1935" t="n">
        <f aca="false">IF(W27=0,0,D$40/SUM(W$10:W$35)*W27)</f>
        <v>0</v>
      </c>
      <c r="DC27" s="1932" t="e">
        <f aca="false">E27*N27/12*(D$40-7980)/H$66</f>
        <v>#DIV/0!</v>
      </c>
      <c r="DD27" s="179" t="n">
        <f aca="false">ROUND(N27*O27/3088*E27,0)</f>
        <v>0</v>
      </c>
      <c r="DE27" s="908" t="n">
        <f aca="false">ROUND(V27,0)</f>
        <v>0</v>
      </c>
      <c r="DF27" s="356" t="n">
        <f aca="false">ROUND(IF(C27="Y",(G27*0.25*E27+G27*G27/144*0.5*E27)/27*1.3,0),0)</f>
        <v>0</v>
      </c>
      <c r="DG27" s="908" t="n">
        <f aca="false">ROUND(E27*G27/12,0)</f>
        <v>0</v>
      </c>
      <c r="DH27" s="908" t="n">
        <f aca="false">IF(C27="y",ROUNDUP(E27*G27/12,0),0)</f>
        <v>0</v>
      </c>
      <c r="DI27" s="908" t="n">
        <f aca="false">IF(C27="Y",IF(E27&gt;0,E27,0),0)</f>
        <v>0</v>
      </c>
      <c r="DJ27" s="1936" t="n">
        <f aca="false">ROUND(E27*N27/12,0)</f>
        <v>0</v>
      </c>
    </row>
    <row r="28" s="1414" customFormat="true" ht="15" hidden="false" customHeight="false" outlineLevel="0" collapsed="false">
      <c r="A28" s="507"/>
      <c r="B28" s="1312"/>
      <c r="C28" s="1919"/>
      <c r="D28" s="1920"/>
      <c r="E28" s="1921"/>
      <c r="F28" s="1234"/>
      <c r="G28" s="1235"/>
      <c r="H28" s="1236"/>
      <c r="I28" s="1234"/>
      <c r="J28" s="1235"/>
      <c r="K28" s="1236"/>
      <c r="L28" s="1234"/>
      <c r="M28" s="1234"/>
      <c r="N28" s="1922"/>
      <c r="O28" s="1234"/>
      <c r="P28" s="1234"/>
      <c r="Q28" s="1234"/>
      <c r="R28" s="1923"/>
      <c r="S28" s="1924"/>
      <c r="T28" s="78"/>
      <c r="U28" s="900"/>
      <c r="V28" s="1925" t="n">
        <f aca="false">((E28*I28/16*I28/16*10.680159*J28)*IF(H28=0,0,(G28/H28))+(G28/12*L28/16*L28/16*10.680159*M28)*IF(K28=0,0,(E28*12/K28))+(E28*IF(P28=0,0,N28/P28)*Q28/16*Q28/16*10.680159*R28)+(IF(P28=0,0,E28/P28*N28)*Q28/16*Q28/16*10.680159*R28)+((T28*U28*S28*0.03*0.2836*G28)/12+4)*IF(H28=0,0,(G28/H28))*I28/16*I28/16*10.680159)*(1+J$56)</f>
        <v>0</v>
      </c>
      <c r="W28" s="1926" t="n">
        <f aca="false">((E28*F28/12*G28/324)+ROUNDUP(S28*T28*U28*G28/46656,0)+(N28*O28*E28/3888))*(1+J$51)</f>
        <v>0</v>
      </c>
      <c r="AH28" s="1929" t="n">
        <f aca="false">IF($R$8=1,$N28*$O28*$E28/3888*(1+$J$51),0)</f>
        <v>0</v>
      </c>
      <c r="AI28" s="1928" t="n">
        <f aca="false">IF($R$8=2,$N28*$O28*$E28/3888*(1+$J$51),0)</f>
        <v>0</v>
      </c>
      <c r="AJ28" s="1928" t="n">
        <f aca="false">IF($R$8=3,$N28*$O28*$E28/3888*(1+$J$51),0)</f>
        <v>0</v>
      </c>
      <c r="AK28" s="1928" t="n">
        <f aca="false">IF($R$8=4,$N28*$O28*$E28/3888*(1+$J$51),0)</f>
        <v>0</v>
      </c>
      <c r="AL28" s="1928" t="n">
        <f aca="false">IF($R$8=5,$N28*$O28*$E28/3888*(1+$J$51),0)</f>
        <v>0</v>
      </c>
      <c r="AM28" s="1928" t="n">
        <f aca="false">IF($R$8=6,$N28*$O28*$E28/3888*(1+$J$51),0)</f>
        <v>0</v>
      </c>
      <c r="AN28" s="1928" t="n">
        <f aca="false">IF($R$8=7,$N28*$O28*$E28/3888*(1+$J$51),0)</f>
        <v>0</v>
      </c>
      <c r="AO28" s="1928" t="n">
        <f aca="false">IF($R$8=8,$N28*$O28*$E28/3888*(1+$J$51),0)</f>
        <v>0</v>
      </c>
      <c r="AP28" s="1928" t="n">
        <f aca="false">IF($R$8=9,$N28*$O28*$E28/3888*(1+$J$51),0)</f>
        <v>0</v>
      </c>
      <c r="AQ28" s="1928" t="n">
        <f aca="false">IF($R$8=10,$N28*$O28*$E28/3888*(1+$J$51),0)</f>
        <v>0</v>
      </c>
      <c r="AR28" s="1929" t="n">
        <f aca="false">IF($D28=1,$W28-SUM($AH28:$AQ28),0)</f>
        <v>0</v>
      </c>
      <c r="AS28" s="1928" t="n">
        <f aca="false">IF($D28=2,W28-SUM($AH28:$AQ28),0)</f>
        <v>0</v>
      </c>
      <c r="AT28" s="1928" t="n">
        <f aca="false">IF($D28=3,W28-SUM($AH28:$AQ28),0)</f>
        <v>0</v>
      </c>
      <c r="AU28" s="1928" t="n">
        <f aca="false">IF($D28=4,W28-SUM($AH28:$AQ28),0)</f>
        <v>0</v>
      </c>
      <c r="AV28" s="1928" t="n">
        <f aca="false">IF($D28=5,W28-SUM($AH28:$AQ28),0)</f>
        <v>0</v>
      </c>
      <c r="AW28" s="1928" t="n">
        <f aca="false">IF($D28=6,W28-SUM($AH28:$AQ28),0)</f>
        <v>0</v>
      </c>
      <c r="AX28" s="1928" t="n">
        <f aca="false">IF($D28=7,W28-SUM($AH28:$AQ28),0)</f>
        <v>0</v>
      </c>
      <c r="AY28" s="1928" t="n">
        <f aca="false">IF($D28=8,W28-SUM($AH28:$AQ28),0)</f>
        <v>0</v>
      </c>
      <c r="AZ28" s="1928" t="n">
        <f aca="false">IF($D28=9,W28-SUM($AH28:$AQ28),0)</f>
        <v>0</v>
      </c>
      <c r="BA28" s="1930" t="n">
        <f aca="false">IF($D28=10,W28-SUM($AH28:$AQ28),0)</f>
        <v>0</v>
      </c>
      <c r="BB28" s="1928" t="n">
        <f aca="false">SUM(AH28:AM28)</f>
        <v>0</v>
      </c>
      <c r="BC28" s="1928" t="n">
        <f aca="false">SUM(AR28:AW28)</f>
        <v>0</v>
      </c>
      <c r="BD28" s="1928" t="n">
        <f aca="false">V28</f>
        <v>0</v>
      </c>
      <c r="BE28" s="1928" t="n">
        <f aca="false">E28*G28/12*2+(U28*U28*G28/1728*S28)</f>
        <v>0</v>
      </c>
      <c r="BF28" s="1928" t="n">
        <f aca="false">BE28/2</f>
        <v>0</v>
      </c>
      <c r="BG28" s="1928" t="n">
        <f aca="false">N28*E28/12</f>
        <v>0</v>
      </c>
      <c r="BH28" s="1928" t="n">
        <f aca="false">ROUND(IF(C28="Y",BF28*3/27,0),0)</f>
        <v>0</v>
      </c>
      <c r="BJ28" s="1931" t="n">
        <f aca="false">V28*F$56*IF(T$39="N",(1+V$39),1)</f>
        <v>0</v>
      </c>
      <c r="BK28" s="1932" t="n">
        <f aca="false">(AR28*Pricing!F$3+AS28*Pricing!G$3+AT28*Pricing!H$3+AU28*Pricing!I$3+AV28*Pricing!J$3+AW28*Pricing!K$3+AH28*Pricing!F$3+AI28*Pricing!G$3+AJ28*Pricing!H$3+AK28*Pricing!I$3+AL28*Pricing!J$3+AM28*Pricing!K$3)*IF(T$39="N",(1+V$39),1)</f>
        <v>0</v>
      </c>
      <c r="BL28" s="1932" t="n">
        <f aca="false">IF(C28="Y",(N$59+N$60)/DF$36*DF28,0)</f>
        <v>0</v>
      </c>
      <c r="BM28" s="1932" t="n">
        <f aca="false">BF28*(G$67+D$70)</f>
        <v>0</v>
      </c>
      <c r="BN28" s="1932" t="n">
        <f aca="false">BG28*D$66</f>
        <v>0</v>
      </c>
      <c r="BO28" s="1932" t="n">
        <f aca="false">V28/2000*D$71</f>
        <v>0</v>
      </c>
      <c r="BP28" s="1932" t="n">
        <f aca="false">IF(C28="Y",(N$74+N$73+N$72)/DF$36*DF28,0)</f>
        <v>0</v>
      </c>
      <c r="BQ28" s="1932" t="n">
        <f aca="false">IF(SUM(BF$36:BG$36)=0,0,(SUM(N$78:O$81)+SUM(N$83:O$88)+SUM(N$90:O$96)+W$95)/SUM(BF$36:BG$36)*(BF28+BG28))</f>
        <v>0</v>
      </c>
      <c r="BR28" s="1933"/>
      <c r="BS28" s="1934" t="n">
        <f aca="false">IF(SUM(BF$36:BG$36)=0,0,(BQ$36-W$58-N$64-W66-(L$79*0.15))/SUM(BF$36:BG$36)*BG28+BN28)</f>
        <v>0</v>
      </c>
      <c r="BT28" s="1932" t="n">
        <f aca="false">(AH28*Pricing!F$3+AI28*Pricing!G$3+AJ28*Pricing!H$3+AK28*Pricing!I$3+AL28*Pricing!J$3+AM28*Pricing!K$3)*IF(T$39="N",(1+V$39),1)</f>
        <v>0</v>
      </c>
      <c r="BU28" s="1932" t="n">
        <f aca="false">IF(BG28=0,0,(BS28+BT28)/BG28)</f>
        <v>0</v>
      </c>
      <c r="BV28" s="1932" t="n">
        <f aca="false">SUM(BJ28:BQ28)-BS28-BT28</f>
        <v>0</v>
      </c>
      <c r="BW28" s="1933" t="n">
        <f aca="false">IF(BE28=0,0,BV28/BF28)</f>
        <v>0</v>
      </c>
      <c r="DB28" s="1935" t="n">
        <f aca="false">IF(W28=0,0,D$40/SUM(W$10:W$35)*W28)</f>
        <v>0</v>
      </c>
      <c r="DC28" s="1932" t="e">
        <f aca="false">E28*N28/12*(D$40-7980)/H$66</f>
        <v>#DIV/0!</v>
      </c>
      <c r="DD28" s="179" t="n">
        <f aca="false">ROUND(N28*O28/3088*E28,0)</f>
        <v>0</v>
      </c>
      <c r="DE28" s="908" t="n">
        <f aca="false">ROUND(V28,0)</f>
        <v>0</v>
      </c>
      <c r="DF28" s="356" t="n">
        <f aca="false">ROUND(IF(C28="Y",(G28*0.25*E28+G28*G28/144*0.5*E28)/27*1.3,0),0)</f>
        <v>0</v>
      </c>
      <c r="DG28" s="908" t="n">
        <f aca="false">ROUND(E28*G28/12,0)</f>
        <v>0</v>
      </c>
      <c r="DH28" s="908" t="n">
        <f aca="false">IF(C28="y",ROUNDUP(E28*G28/12,0),0)</f>
        <v>0</v>
      </c>
      <c r="DI28" s="908" t="n">
        <f aca="false">IF(C28="Y",IF(E28&gt;0,E28,0),0)</f>
        <v>0</v>
      </c>
      <c r="DJ28" s="1936" t="n">
        <f aca="false">ROUND(E28*N28/12,0)</f>
        <v>0</v>
      </c>
    </row>
    <row r="29" s="1414" customFormat="true" ht="15" hidden="false" customHeight="false" outlineLevel="0" collapsed="false">
      <c r="A29" s="507"/>
      <c r="B29" s="1312"/>
      <c r="C29" s="1919"/>
      <c r="D29" s="1920"/>
      <c r="E29" s="1921"/>
      <c r="F29" s="1234"/>
      <c r="G29" s="1235"/>
      <c r="H29" s="1236"/>
      <c r="I29" s="1234"/>
      <c r="J29" s="1235"/>
      <c r="K29" s="1236"/>
      <c r="L29" s="1234"/>
      <c r="M29" s="1234"/>
      <c r="N29" s="1922"/>
      <c r="O29" s="1234"/>
      <c r="P29" s="1234"/>
      <c r="Q29" s="1234"/>
      <c r="R29" s="1923"/>
      <c r="S29" s="1924"/>
      <c r="T29" s="78"/>
      <c r="U29" s="900"/>
      <c r="V29" s="1925" t="n">
        <f aca="false">((E29*I29/16*I29/16*10.680159*J29)*IF(H29=0,0,(G29/H29))+(G29/12*L29/16*L29/16*10.680159*M29)*IF(K29=0,0,(E29*12/K29))+(E29*IF(P29=0,0,N29/P29)*Q29/16*Q29/16*10.680159*R29)+(IF(P29=0,0,E29/P29*N29)*Q29/16*Q29/16*10.680159*R29)+((T29*U29*S29*0.03*0.2836*G29)/12+4)*IF(H29=0,0,(G29/H29))*I29/16*I29/16*10.680159)*(1+J$56)</f>
        <v>0</v>
      </c>
      <c r="W29" s="1926" t="n">
        <f aca="false">((E29*F29/12*G29/324)+ROUNDUP(S29*T29*U29*G29/46656,0)+(N29*O29*E29/3888))*(1+J$51)</f>
        <v>0</v>
      </c>
      <c r="AH29" s="1929" t="n">
        <f aca="false">IF($R$8=1,$N29*$O29*$E29/3888*(1+$J$51),0)</f>
        <v>0</v>
      </c>
      <c r="AI29" s="1928" t="n">
        <f aca="false">IF($R$8=2,$N29*$O29*$E29/3888*(1+$J$51),0)</f>
        <v>0</v>
      </c>
      <c r="AJ29" s="1928" t="n">
        <f aca="false">IF($R$8=3,$N29*$O29*$E29/3888*(1+$J$51),0)</f>
        <v>0</v>
      </c>
      <c r="AK29" s="1928" t="n">
        <f aca="false">IF($R$8=4,$N29*$O29*$E29/3888*(1+$J$51),0)</f>
        <v>0</v>
      </c>
      <c r="AL29" s="1928" t="n">
        <f aca="false">IF($R$8=5,$N29*$O29*$E29/3888*(1+$J$51),0)</f>
        <v>0</v>
      </c>
      <c r="AM29" s="1928" t="n">
        <f aca="false">IF($R$8=6,$N29*$O29*$E29/3888*(1+$J$51),0)</f>
        <v>0</v>
      </c>
      <c r="AN29" s="1928" t="n">
        <f aca="false">IF($R$8=7,$N29*$O29*$E29/3888*(1+$J$51),0)</f>
        <v>0</v>
      </c>
      <c r="AO29" s="1928" t="n">
        <f aca="false">IF($R$8=8,$N29*$O29*$E29/3888*(1+$J$51),0)</f>
        <v>0</v>
      </c>
      <c r="AP29" s="1928" t="n">
        <f aca="false">IF($R$8=9,$N29*$O29*$E29/3888*(1+$J$51),0)</f>
        <v>0</v>
      </c>
      <c r="AQ29" s="1928" t="n">
        <f aca="false">IF($R$8=10,$N29*$O29*$E29/3888*(1+$J$51),0)</f>
        <v>0</v>
      </c>
      <c r="AR29" s="1929" t="n">
        <f aca="false">IF($D29=1,$W29-SUM($AH29:$AQ29),0)</f>
        <v>0</v>
      </c>
      <c r="AS29" s="1928" t="n">
        <f aca="false">IF($D29=2,W29-SUM($AH29:$AQ29),0)</f>
        <v>0</v>
      </c>
      <c r="AT29" s="1928" t="n">
        <f aca="false">IF($D29=3,W29-SUM($AH29:$AQ29),0)</f>
        <v>0</v>
      </c>
      <c r="AU29" s="1928" t="n">
        <f aca="false">IF($D29=4,W29-SUM($AH29:$AQ29),0)</f>
        <v>0</v>
      </c>
      <c r="AV29" s="1928" t="n">
        <f aca="false">IF($D29=5,W29-SUM($AH29:$AQ29),0)</f>
        <v>0</v>
      </c>
      <c r="AW29" s="1928" t="n">
        <f aca="false">IF($D29=6,W29-SUM($AH29:$AQ29),0)</f>
        <v>0</v>
      </c>
      <c r="AX29" s="1928" t="n">
        <f aca="false">IF($D29=7,W29-SUM($AH29:$AQ29),0)</f>
        <v>0</v>
      </c>
      <c r="AY29" s="1928" t="n">
        <f aca="false">IF($D29=8,W29-SUM($AH29:$AQ29),0)</f>
        <v>0</v>
      </c>
      <c r="AZ29" s="1928" t="n">
        <f aca="false">IF($D29=9,W29-SUM($AH29:$AQ29),0)</f>
        <v>0</v>
      </c>
      <c r="BA29" s="1930" t="n">
        <f aca="false">IF($D29=10,W29-SUM($AH29:$AQ29),0)</f>
        <v>0</v>
      </c>
      <c r="BB29" s="1928" t="n">
        <f aca="false">SUM(AH29:AM29)</f>
        <v>0</v>
      </c>
      <c r="BC29" s="1928" t="n">
        <f aca="false">SUM(AR29:AW29)</f>
        <v>0</v>
      </c>
      <c r="BD29" s="1928" t="n">
        <f aca="false">V29</f>
        <v>0</v>
      </c>
      <c r="BE29" s="1928" t="n">
        <f aca="false">E29*G29/12*2+(U29*U29*G29/1728*S29)</f>
        <v>0</v>
      </c>
      <c r="BF29" s="1928" t="n">
        <f aca="false">BE29/2</f>
        <v>0</v>
      </c>
      <c r="BG29" s="1928" t="n">
        <f aca="false">N29*E29/12</f>
        <v>0</v>
      </c>
      <c r="BH29" s="1928" t="n">
        <f aca="false">ROUND(IF(C29="Y",BF29*3/27,0),0)</f>
        <v>0</v>
      </c>
      <c r="BJ29" s="1931" t="n">
        <f aca="false">V29*F$56*IF(T$39="N",(1+V$39),1)</f>
        <v>0</v>
      </c>
      <c r="BK29" s="1932" t="n">
        <f aca="false">(AR29*Pricing!F$3+AS29*Pricing!G$3+AT29*Pricing!H$3+AU29*Pricing!I$3+AV29*Pricing!J$3+AW29*Pricing!K$3+AH29*Pricing!F$3+AI29*Pricing!G$3+AJ29*Pricing!H$3+AK29*Pricing!I$3+AL29*Pricing!J$3+AM29*Pricing!K$3)*IF(T$39="N",(1+V$39),1)</f>
        <v>0</v>
      </c>
      <c r="BL29" s="1932" t="n">
        <f aca="false">IF(C29="Y",(N$59+N$60)/DF$36*DF29,0)</f>
        <v>0</v>
      </c>
      <c r="BM29" s="1932" t="n">
        <f aca="false">BF29*(G$67+D$70)</f>
        <v>0</v>
      </c>
      <c r="BN29" s="1932" t="n">
        <f aca="false">BG29*D$66</f>
        <v>0</v>
      </c>
      <c r="BO29" s="1932" t="n">
        <f aca="false">V29/2000*D$71</f>
        <v>0</v>
      </c>
      <c r="BP29" s="1932" t="n">
        <f aca="false">IF(C29="Y",(N$74+N$73+N$72)/DF$36*DF29,0)</f>
        <v>0</v>
      </c>
      <c r="BQ29" s="1932" t="n">
        <f aca="false">IF(SUM(BF$36:BG$36)=0,0,(SUM(N$78:O$81)+SUM(N$83:O$88)+SUM(N$90:O$96)+W$95)/SUM(BF$36:BG$36)*(BF29+BG29))</f>
        <v>0</v>
      </c>
      <c r="BR29" s="1933"/>
      <c r="BS29" s="1934" t="n">
        <f aca="false">IF(SUM(BF$36:BG$36)=0,0,(BQ$36-W$58-N$64-W67-(L$79*0.15))/SUM(BF$36:BG$36)*BG29+BN29)</f>
        <v>0</v>
      </c>
      <c r="BT29" s="1932" t="n">
        <f aca="false">(AH29*Pricing!F$3+AI29*Pricing!G$3+AJ29*Pricing!H$3+AK29*Pricing!I$3+AL29*Pricing!J$3+AM29*Pricing!K$3)*IF(T$39="N",(1+V$39),1)</f>
        <v>0</v>
      </c>
      <c r="BU29" s="1932" t="n">
        <f aca="false">IF(BG29=0,0,(BS29+BT29)/BG29)</f>
        <v>0</v>
      </c>
      <c r="BV29" s="1932" t="n">
        <f aca="false">SUM(BJ29:BQ29)-BS29-BT29</f>
        <v>0</v>
      </c>
      <c r="BW29" s="1933" t="n">
        <f aca="false">IF(BE29=0,0,BV29/BF29)</f>
        <v>0</v>
      </c>
      <c r="DB29" s="1935" t="n">
        <f aca="false">IF(W29=0,0,D$40/SUM(W$10:W$35)*W29)</f>
        <v>0</v>
      </c>
      <c r="DC29" s="1932" t="e">
        <f aca="false">E29*N29/12*(D$40-7980)/H$66</f>
        <v>#DIV/0!</v>
      </c>
      <c r="DD29" s="179" t="n">
        <f aca="false">ROUND(N29*O29/3088*E29,0)</f>
        <v>0</v>
      </c>
      <c r="DE29" s="908" t="n">
        <f aca="false">ROUND(V29,0)</f>
        <v>0</v>
      </c>
      <c r="DF29" s="356" t="n">
        <f aca="false">ROUND(IF(C29="Y",(G29*0.25*E29+G29*G29/144*0.5*E29)/27*1.3,0),0)</f>
        <v>0</v>
      </c>
      <c r="DG29" s="908" t="n">
        <f aca="false">ROUND(E29*G29/12,0)</f>
        <v>0</v>
      </c>
      <c r="DH29" s="908" t="n">
        <f aca="false">IF(C29="y",ROUNDUP(E29*G29/12,0),0)</f>
        <v>0</v>
      </c>
      <c r="DI29" s="908" t="n">
        <f aca="false">IF(C29="Y",IF(E29&gt;0,E29,0),0)</f>
        <v>0</v>
      </c>
      <c r="DJ29" s="1936" t="n">
        <f aca="false">ROUND(E29*N29/12,0)</f>
        <v>0</v>
      </c>
    </row>
    <row r="30" s="1414" customFormat="true" ht="15" hidden="false" customHeight="false" outlineLevel="0" collapsed="false">
      <c r="A30" s="507"/>
      <c r="B30" s="1312"/>
      <c r="C30" s="1919"/>
      <c r="D30" s="1920"/>
      <c r="E30" s="1921"/>
      <c r="F30" s="1234"/>
      <c r="G30" s="1235"/>
      <c r="H30" s="1236"/>
      <c r="I30" s="1234"/>
      <c r="J30" s="1235"/>
      <c r="K30" s="1236"/>
      <c r="L30" s="1234"/>
      <c r="M30" s="1234"/>
      <c r="N30" s="1922"/>
      <c r="O30" s="1234"/>
      <c r="P30" s="1234"/>
      <c r="Q30" s="1234"/>
      <c r="R30" s="1923"/>
      <c r="S30" s="1924"/>
      <c r="T30" s="78"/>
      <c r="U30" s="900"/>
      <c r="V30" s="1925" t="n">
        <f aca="false">((E30*I30/16*I30/16*10.680159*J30)*IF(H30=0,0,(G30/H30))+(G30/12*L30/16*L30/16*10.680159*M30)*IF(K30=0,0,(E30*12/K30))+(E30*IF(P30=0,0,N30/P30)*Q30/16*Q30/16*10.680159*R30)+(IF(P30=0,0,E30/P30*N30)*Q30/16*Q30/16*10.680159*R30)+((T30*U30*S30*0.03*0.2836*G30)/12+4)*IF(H30=0,0,(G30/H30))*I30/16*I30/16*10.680159)*(1+J$56)</f>
        <v>0</v>
      </c>
      <c r="W30" s="1926" t="n">
        <f aca="false">((E30*F30/12*G30/324)+ROUNDUP(S30*T30*U30*G30/46656,0)+(N30*O30*E30/3888))*(1+J$51)</f>
        <v>0</v>
      </c>
      <c r="AH30" s="1929" t="n">
        <f aca="false">IF($R$8=1,$N30*$O30*$E30/3888*(1+$J$51),0)</f>
        <v>0</v>
      </c>
      <c r="AI30" s="1928" t="n">
        <f aca="false">IF($R$8=2,$N30*$O30*$E30/3888*(1+$J$51),0)</f>
        <v>0</v>
      </c>
      <c r="AJ30" s="1928" t="n">
        <f aca="false">IF($R$8=3,$N30*$O30*$E30/3888*(1+$J$51),0)</f>
        <v>0</v>
      </c>
      <c r="AK30" s="1928" t="n">
        <f aca="false">IF($R$8=4,$N30*$O30*$E30/3888*(1+$J$51),0)</f>
        <v>0</v>
      </c>
      <c r="AL30" s="1928" t="n">
        <f aca="false">IF($R$8=5,$N30*$O30*$E30/3888*(1+$J$51),0)</f>
        <v>0</v>
      </c>
      <c r="AM30" s="1928" t="n">
        <f aca="false">IF($R$8=6,$N30*$O30*$E30/3888*(1+$J$51),0)</f>
        <v>0</v>
      </c>
      <c r="AN30" s="1928" t="n">
        <f aca="false">IF($R$8=7,$N30*$O30*$E30/3888*(1+$J$51),0)</f>
        <v>0</v>
      </c>
      <c r="AO30" s="1928" t="n">
        <f aca="false">IF($R$8=8,$N30*$O30*$E30/3888*(1+$J$51),0)</f>
        <v>0</v>
      </c>
      <c r="AP30" s="1928" t="n">
        <f aca="false">IF($R$8=9,$N30*$O30*$E30/3888*(1+$J$51),0)</f>
        <v>0</v>
      </c>
      <c r="AQ30" s="1928" t="n">
        <f aca="false">IF($R$8=10,$N30*$O30*$E30/3888*(1+$J$51),0)</f>
        <v>0</v>
      </c>
      <c r="AR30" s="1929" t="n">
        <f aca="false">IF($D30=1,$W30-SUM($AH30:$AQ30),0)</f>
        <v>0</v>
      </c>
      <c r="AS30" s="1928" t="n">
        <f aca="false">IF($D30=2,W30-SUM($AH30:$AQ30),0)</f>
        <v>0</v>
      </c>
      <c r="AT30" s="1928" t="n">
        <f aca="false">IF($D30=3,W30-SUM($AH30:$AQ30),0)</f>
        <v>0</v>
      </c>
      <c r="AU30" s="1928" t="n">
        <f aca="false">IF($D30=4,W30-SUM($AH30:$AQ30),0)</f>
        <v>0</v>
      </c>
      <c r="AV30" s="1928" t="n">
        <f aca="false">IF($D30=5,W30-SUM($AH30:$AQ30),0)</f>
        <v>0</v>
      </c>
      <c r="AW30" s="1928" t="n">
        <f aca="false">IF($D30=6,W30-SUM($AH30:$AQ30),0)</f>
        <v>0</v>
      </c>
      <c r="AX30" s="1928" t="n">
        <f aca="false">IF($D30=7,W30-SUM($AH30:$AQ30),0)</f>
        <v>0</v>
      </c>
      <c r="AY30" s="1928" t="n">
        <f aca="false">IF($D30=8,W30-SUM($AH30:$AQ30),0)</f>
        <v>0</v>
      </c>
      <c r="AZ30" s="1928" t="n">
        <f aca="false">IF($D30=9,W30-SUM($AH30:$AQ30),0)</f>
        <v>0</v>
      </c>
      <c r="BA30" s="1930" t="n">
        <f aca="false">IF($D30=10,W30-SUM($AH30:$AQ30),0)</f>
        <v>0</v>
      </c>
      <c r="BB30" s="1928" t="n">
        <f aca="false">SUM(AH30:AM30)</f>
        <v>0</v>
      </c>
      <c r="BC30" s="1928" t="n">
        <f aca="false">SUM(AR30:AW30)</f>
        <v>0</v>
      </c>
      <c r="BD30" s="1928" t="n">
        <f aca="false">V30</f>
        <v>0</v>
      </c>
      <c r="BE30" s="1928" t="n">
        <f aca="false">E30*G30/12*2+(U30*U30*G30/1728*S30)</f>
        <v>0</v>
      </c>
      <c r="BF30" s="1928" t="n">
        <f aca="false">BE30/2</f>
        <v>0</v>
      </c>
      <c r="BG30" s="1928" t="n">
        <f aca="false">N30*E30/12</f>
        <v>0</v>
      </c>
      <c r="BH30" s="1928" t="n">
        <f aca="false">ROUND(IF(C30="Y",BF30*3/27,0),0)</f>
        <v>0</v>
      </c>
      <c r="BJ30" s="1931" t="n">
        <f aca="false">V30*F$56*IF(T$39="N",(1+V$39),1)</f>
        <v>0</v>
      </c>
      <c r="BK30" s="1932" t="n">
        <f aca="false">(AR30*Pricing!F$3+AS30*Pricing!G$3+AT30*Pricing!H$3+AU30*Pricing!I$3+AV30*Pricing!J$3+AW30*Pricing!K$3+AH30*Pricing!F$3+AI30*Pricing!G$3+AJ30*Pricing!H$3+AK30*Pricing!I$3+AL30*Pricing!J$3+AM30*Pricing!K$3)*IF(T$39="N",(1+V$39),1)</f>
        <v>0</v>
      </c>
      <c r="BL30" s="1932" t="n">
        <f aca="false">IF(C30="Y",(N$59+N$60)/DF$36*DF30,0)</f>
        <v>0</v>
      </c>
      <c r="BM30" s="1932" t="n">
        <f aca="false">BF30*(G$67+D$70)</f>
        <v>0</v>
      </c>
      <c r="BN30" s="1932" t="n">
        <f aca="false">BG30*D$66</f>
        <v>0</v>
      </c>
      <c r="BO30" s="1932" t="n">
        <f aca="false">V30/2000*D$71</f>
        <v>0</v>
      </c>
      <c r="BP30" s="1932" t="n">
        <f aca="false">IF(C30="Y",(N$74+N$73+N$72)/DF$36*DF30,0)</f>
        <v>0</v>
      </c>
      <c r="BQ30" s="1932" t="n">
        <f aca="false">IF(SUM(BF$36:BG$36)=0,0,(SUM(N$78:O$81)+SUM(N$83:O$88)+SUM(N$90:O$96)+W$95)/SUM(BF$36:BG$36)*(BF30+BG30))</f>
        <v>0</v>
      </c>
      <c r="BR30" s="1933"/>
      <c r="BS30" s="1934" t="n">
        <f aca="false">IF(SUM(BF$36:BG$36)=0,0,(BQ$36-W$58-N$64-W68-(L$79*0.15))/SUM(BF$36:BG$36)*BG30+BN30)</f>
        <v>0</v>
      </c>
      <c r="BT30" s="1932" t="n">
        <f aca="false">(AH30*Pricing!F$3+AI30*Pricing!G$3+AJ30*Pricing!H$3+AK30*Pricing!I$3+AL30*Pricing!J$3+AM30*Pricing!K$3)*IF(T$39="N",(1+V$39),1)</f>
        <v>0</v>
      </c>
      <c r="BU30" s="1932" t="n">
        <f aca="false">IF(BG30=0,0,(BS30+BT30)/BG30)</f>
        <v>0</v>
      </c>
      <c r="BV30" s="1932" t="n">
        <f aca="false">SUM(BJ30:BQ30)-BS30-BT30</f>
        <v>0</v>
      </c>
      <c r="BW30" s="1933" t="n">
        <f aca="false">IF(BE30=0,0,BV30/BF30)</f>
        <v>0</v>
      </c>
      <c r="DB30" s="1935" t="n">
        <f aca="false">IF(W30=0,0,D$40/SUM(W$10:W$35)*W30)</f>
        <v>0</v>
      </c>
      <c r="DC30" s="1932" t="e">
        <f aca="false">E30*N30/12*(D$40-7980)/H$66</f>
        <v>#DIV/0!</v>
      </c>
      <c r="DD30" s="179" t="n">
        <f aca="false">ROUND(N30*O30/3088*E30,0)</f>
        <v>0</v>
      </c>
      <c r="DE30" s="908" t="n">
        <f aca="false">ROUND(V30,0)</f>
        <v>0</v>
      </c>
      <c r="DF30" s="356" t="n">
        <f aca="false">ROUND(IF(C30="Y",(G30*0.25*E30+G30*G30/144*0.5*E30)/27*1.3,0),0)</f>
        <v>0</v>
      </c>
      <c r="DG30" s="908" t="n">
        <f aca="false">ROUND(E30*G30/12,0)</f>
        <v>0</v>
      </c>
      <c r="DH30" s="908" t="n">
        <f aca="false">IF(C30="y",ROUNDUP(E30*G30/12,0),0)</f>
        <v>0</v>
      </c>
      <c r="DI30" s="908" t="n">
        <f aca="false">IF(C30="Y",IF(E30&gt;0,E30,0),0)</f>
        <v>0</v>
      </c>
      <c r="DJ30" s="1936" t="n">
        <f aca="false">ROUND(E30*N30/12,0)</f>
        <v>0</v>
      </c>
    </row>
    <row r="31" s="1414" customFormat="true" ht="15" hidden="false" customHeight="false" outlineLevel="0" collapsed="false">
      <c r="A31" s="507"/>
      <c r="B31" s="1312"/>
      <c r="C31" s="1919"/>
      <c r="D31" s="1920"/>
      <c r="E31" s="1921"/>
      <c r="F31" s="1234"/>
      <c r="G31" s="1235"/>
      <c r="H31" s="1236"/>
      <c r="I31" s="1234"/>
      <c r="J31" s="1235"/>
      <c r="K31" s="1236"/>
      <c r="L31" s="1234"/>
      <c r="M31" s="1234"/>
      <c r="N31" s="1922"/>
      <c r="O31" s="1234"/>
      <c r="P31" s="1234"/>
      <c r="Q31" s="1234"/>
      <c r="R31" s="1923"/>
      <c r="S31" s="1924"/>
      <c r="T31" s="78"/>
      <c r="U31" s="900"/>
      <c r="V31" s="1925" t="n">
        <f aca="false">((E31*I31/16*I31/16*10.680159*J31)*IF(H31=0,0,(G31/H31))+(G31/12*L31/16*L31/16*10.680159*M31)*IF(K31=0,0,(E31*12/K31))+(E31*IF(P31=0,0,N31/P31)*Q31/16*Q31/16*10.680159*R31)+(IF(P31=0,0,E31/P31*N31)*Q31/16*Q31/16*10.680159*R31)+((T31*U31*S31*0.03*0.2836*G31)/12+4)*IF(H31=0,0,(G31/H31))*I31/16*I31/16*10.680159)*(1+J$56)</f>
        <v>0</v>
      </c>
      <c r="W31" s="1926" t="n">
        <f aca="false">((E31*F31/12*G31/324)+ROUNDUP(S31*T31*U31*G31/46656,0)+(N31*O31*E31/3888))*(1+J$51)</f>
        <v>0</v>
      </c>
      <c r="AH31" s="1929" t="n">
        <f aca="false">IF($R$8=1,$N31*$O31*$E31/3888*(1+$J$51),0)</f>
        <v>0</v>
      </c>
      <c r="AI31" s="1928" t="n">
        <f aca="false">IF($R$8=2,$N31*$O31*$E31/3888*(1+$J$51),0)</f>
        <v>0</v>
      </c>
      <c r="AJ31" s="1928" t="n">
        <f aca="false">IF($R$8=3,$N31*$O31*$E31/3888*(1+$J$51),0)</f>
        <v>0</v>
      </c>
      <c r="AK31" s="1928" t="n">
        <f aca="false">IF($R$8=4,$N31*$O31*$E31/3888*(1+$J$51),0)</f>
        <v>0</v>
      </c>
      <c r="AL31" s="1928" t="n">
        <f aca="false">IF($R$8=5,$N31*$O31*$E31/3888*(1+$J$51),0)</f>
        <v>0</v>
      </c>
      <c r="AM31" s="1928" t="n">
        <f aca="false">IF($R$8=6,$N31*$O31*$E31/3888*(1+$J$51),0)</f>
        <v>0</v>
      </c>
      <c r="AN31" s="1928" t="n">
        <f aca="false">IF($R$8=7,$N31*$O31*$E31/3888*(1+$J$51),0)</f>
        <v>0</v>
      </c>
      <c r="AO31" s="1928" t="n">
        <f aca="false">IF($R$8=8,$N31*$O31*$E31/3888*(1+$J$51),0)</f>
        <v>0</v>
      </c>
      <c r="AP31" s="1928" t="n">
        <f aca="false">IF($R$8=9,$N31*$O31*$E31/3888*(1+$J$51),0)</f>
        <v>0</v>
      </c>
      <c r="AQ31" s="1928" t="n">
        <f aca="false">IF($R$8=10,$N31*$O31*$E31/3888*(1+$J$51),0)</f>
        <v>0</v>
      </c>
      <c r="AR31" s="1929" t="n">
        <f aca="false">IF($D31=1,$W31-SUM($AH31:$AQ31),0)</f>
        <v>0</v>
      </c>
      <c r="AS31" s="1928" t="n">
        <f aca="false">IF($D31=2,W31-SUM($AH31:$AQ31),0)</f>
        <v>0</v>
      </c>
      <c r="AT31" s="1928" t="n">
        <f aca="false">IF($D31=3,W31-SUM($AH31:$AQ31),0)</f>
        <v>0</v>
      </c>
      <c r="AU31" s="1928" t="n">
        <f aca="false">IF($D31=4,W31-SUM($AH31:$AQ31),0)</f>
        <v>0</v>
      </c>
      <c r="AV31" s="1928" t="n">
        <f aca="false">IF($D31=5,W31-SUM($AH31:$AQ31),0)</f>
        <v>0</v>
      </c>
      <c r="AW31" s="1928" t="n">
        <f aca="false">IF($D31=6,W31-SUM($AH31:$AQ31),0)</f>
        <v>0</v>
      </c>
      <c r="AX31" s="1928" t="n">
        <f aca="false">IF($D31=7,W31-SUM($AH31:$AQ31),0)</f>
        <v>0</v>
      </c>
      <c r="AY31" s="1928" t="n">
        <f aca="false">IF($D31=8,W31-SUM($AH31:$AQ31),0)</f>
        <v>0</v>
      </c>
      <c r="AZ31" s="1928" t="n">
        <f aca="false">IF($D31=9,W31-SUM($AH31:$AQ31),0)</f>
        <v>0</v>
      </c>
      <c r="BA31" s="1930" t="n">
        <f aca="false">IF($D31=10,W31-SUM($AH31:$AQ31),0)</f>
        <v>0</v>
      </c>
      <c r="BB31" s="1928" t="n">
        <f aca="false">SUM(AH31:AM31)</f>
        <v>0</v>
      </c>
      <c r="BC31" s="1928" t="n">
        <f aca="false">SUM(AR31:AW31)</f>
        <v>0</v>
      </c>
      <c r="BD31" s="1928" t="n">
        <f aca="false">V31</f>
        <v>0</v>
      </c>
      <c r="BE31" s="1928" t="n">
        <f aca="false">E31*G31/12*2+(U31*U31*G31/1728*S31)</f>
        <v>0</v>
      </c>
      <c r="BF31" s="1928" t="n">
        <f aca="false">BE31/2</f>
        <v>0</v>
      </c>
      <c r="BG31" s="1928" t="n">
        <f aca="false">N31*E31/12</f>
        <v>0</v>
      </c>
      <c r="BH31" s="1928" t="n">
        <f aca="false">ROUND(IF(C31="Y",BF31*3/27,0),0)</f>
        <v>0</v>
      </c>
      <c r="BJ31" s="1931" t="n">
        <f aca="false">V31*F$56*IF(T$39="N",(1+V$39),1)</f>
        <v>0</v>
      </c>
      <c r="BK31" s="1932" t="n">
        <f aca="false">(AR31*Pricing!F$3+AS31*Pricing!G$3+AT31*Pricing!H$3+AU31*Pricing!I$3+AV31*Pricing!J$3+AW31*Pricing!K$3+AH31*Pricing!F$3+AI31*Pricing!G$3+AJ31*Pricing!H$3+AK31*Pricing!I$3+AL31*Pricing!J$3+AM31*Pricing!K$3)*IF(T$39="N",(1+V$39),1)</f>
        <v>0</v>
      </c>
      <c r="BL31" s="1932" t="n">
        <f aca="false">IF(C31="Y",(N$59+N$60)/DF$36*DF31,0)</f>
        <v>0</v>
      </c>
      <c r="BM31" s="1932" t="n">
        <f aca="false">BF31*(G$67+D$70)</f>
        <v>0</v>
      </c>
      <c r="BN31" s="1932" t="n">
        <f aca="false">BG31*D$66</f>
        <v>0</v>
      </c>
      <c r="BO31" s="1932" t="n">
        <f aca="false">V31/2000*D$71</f>
        <v>0</v>
      </c>
      <c r="BP31" s="1932" t="n">
        <f aca="false">IF(C31="Y",(N$74+N$73+N$72)/DF$36*DF31,0)</f>
        <v>0</v>
      </c>
      <c r="BQ31" s="1932" t="n">
        <f aca="false">IF(SUM(BF$36:BG$36)=0,0,(SUM(N$78:O$81)+SUM(N$83:O$88)+SUM(N$90:O$96)+W$95)/SUM(BF$36:BG$36)*(BF31+BG31))</f>
        <v>0</v>
      </c>
      <c r="BR31" s="1933"/>
      <c r="BS31" s="1934" t="n">
        <f aca="false">IF(SUM(BF$36:BG$36)=0,0,(BQ$36-W$58-N$64-W69-(L$79*0.15))/SUM(BF$36:BG$36)*BG31+BN31)</f>
        <v>0</v>
      </c>
      <c r="BT31" s="1932" t="n">
        <f aca="false">(AH31*Pricing!F$3+AI31*Pricing!G$3+AJ31*Pricing!H$3+AK31*Pricing!I$3+AL31*Pricing!J$3+AM31*Pricing!K$3)*IF(T$39="N",(1+V$39),1)</f>
        <v>0</v>
      </c>
      <c r="BU31" s="1932" t="n">
        <f aca="false">IF(BG31=0,0,(BS31+BT31)/BG31)</f>
        <v>0</v>
      </c>
      <c r="BV31" s="1932" t="n">
        <f aca="false">SUM(BJ31:BQ31)-BS31-BT31</f>
        <v>0</v>
      </c>
      <c r="BW31" s="1933" t="n">
        <f aca="false">IF(BE31=0,0,BV31/BF31)</f>
        <v>0</v>
      </c>
      <c r="DB31" s="1935" t="n">
        <f aca="false">IF(W31=0,0,D$40/SUM(W$10:W$35)*W31)</f>
        <v>0</v>
      </c>
      <c r="DC31" s="1932" t="e">
        <f aca="false">E31*N31/12*(D$40-7980)/H$66</f>
        <v>#DIV/0!</v>
      </c>
      <c r="DD31" s="179" t="n">
        <f aca="false">ROUND(N31*O31/3088*E31,0)</f>
        <v>0</v>
      </c>
      <c r="DE31" s="908" t="n">
        <f aca="false">ROUND(V31,0)</f>
        <v>0</v>
      </c>
      <c r="DF31" s="356" t="n">
        <f aca="false">ROUND(IF(C31="Y",(G31*0.25*E31+G31*G31/144*0.5*E31)/27*1.3,0),0)</f>
        <v>0</v>
      </c>
      <c r="DG31" s="908" t="n">
        <f aca="false">ROUND(E31*G31/12,0)</f>
        <v>0</v>
      </c>
      <c r="DH31" s="908" t="n">
        <f aca="false">IF(C31="y",ROUNDUP(E31*G31/12,0),0)</f>
        <v>0</v>
      </c>
      <c r="DI31" s="908" t="n">
        <f aca="false">IF(C31="Y",IF(E31&gt;0,E31,0),0)</f>
        <v>0</v>
      </c>
      <c r="DJ31" s="1936" t="n">
        <f aca="false">ROUND(E31*N31/12,0)</f>
        <v>0</v>
      </c>
    </row>
    <row r="32" s="1414" customFormat="true" ht="15" hidden="false" customHeight="false" outlineLevel="0" collapsed="false">
      <c r="A32" s="507"/>
      <c r="B32" s="1312"/>
      <c r="C32" s="1919"/>
      <c r="D32" s="1920"/>
      <c r="E32" s="1921"/>
      <c r="F32" s="1234"/>
      <c r="G32" s="1235"/>
      <c r="H32" s="1236"/>
      <c r="I32" s="1234"/>
      <c r="J32" s="1235"/>
      <c r="K32" s="1236"/>
      <c r="L32" s="1234"/>
      <c r="M32" s="1234"/>
      <c r="N32" s="1922"/>
      <c r="O32" s="1234"/>
      <c r="P32" s="1234"/>
      <c r="Q32" s="1234"/>
      <c r="R32" s="1923"/>
      <c r="S32" s="1924"/>
      <c r="T32" s="78"/>
      <c r="U32" s="900"/>
      <c r="V32" s="1925" t="n">
        <f aca="false">((E32*I32/16*I32/16*10.680159*J32)*IF(H32=0,0,(G32/H32))+(G32/12*L32/16*L32/16*10.680159*M32)*IF(K32=0,0,(E32*12/K32))+(E32*IF(P32=0,0,N32/P32)*Q32/16*Q32/16*10.680159*R32)+(IF(P32=0,0,E32/P32*N32)*Q32/16*Q32/16*10.680159*R32)+((T32*U32*S32*0.03*0.2836*G32)/12+4)*IF(H32=0,0,(G32/H32))*I32/16*I32/16*10.680159)*(1+J$56)</f>
        <v>0</v>
      </c>
      <c r="W32" s="1926" t="n">
        <f aca="false">((E32*F32/12*G32/324)+ROUNDUP(S32*T32*U32*G32/46656,0)+(N32*O32*E32/3888))*(1+J$51)</f>
        <v>0</v>
      </c>
      <c r="AH32" s="1929" t="n">
        <f aca="false">IF($R$8=1,$N32*$O32*$E32/3888*(1+$J$51),0)</f>
        <v>0</v>
      </c>
      <c r="AI32" s="1928" t="n">
        <f aca="false">IF($R$8=2,$N32*$O32*$E32/3888*(1+$J$51),0)</f>
        <v>0</v>
      </c>
      <c r="AJ32" s="1928" t="n">
        <f aca="false">IF($R$8=3,$N32*$O32*$E32/3888*(1+$J$51),0)</f>
        <v>0</v>
      </c>
      <c r="AK32" s="1928" t="n">
        <f aca="false">IF($R$8=4,$N32*$O32*$E32/3888*(1+$J$51),0)</f>
        <v>0</v>
      </c>
      <c r="AL32" s="1928" t="n">
        <f aca="false">IF($R$8=5,$N32*$O32*$E32/3888*(1+$J$51),0)</f>
        <v>0</v>
      </c>
      <c r="AM32" s="1928" t="n">
        <f aca="false">IF($R$8=6,$N32*$O32*$E32/3888*(1+$J$51),0)</f>
        <v>0</v>
      </c>
      <c r="AN32" s="1928" t="n">
        <f aca="false">IF($R$8=7,$N32*$O32*$E32/3888*(1+$J$51),0)</f>
        <v>0</v>
      </c>
      <c r="AO32" s="1928" t="n">
        <f aca="false">IF($R$8=8,$N32*$O32*$E32/3888*(1+$J$51),0)</f>
        <v>0</v>
      </c>
      <c r="AP32" s="1928" t="n">
        <f aca="false">IF($R$8=9,$N32*$O32*$E32/3888*(1+$J$51),0)</f>
        <v>0</v>
      </c>
      <c r="AQ32" s="1928" t="n">
        <f aca="false">IF($R$8=10,$N32*$O32*$E32/3888*(1+$J$51),0)</f>
        <v>0</v>
      </c>
      <c r="AR32" s="1929" t="n">
        <f aca="false">IF($D32=1,$W32-SUM($AH32:$AQ32),0)</f>
        <v>0</v>
      </c>
      <c r="AS32" s="1928" t="n">
        <f aca="false">IF($D32=2,W32-SUM($AH32:$AQ32),0)</f>
        <v>0</v>
      </c>
      <c r="AT32" s="1928" t="n">
        <f aca="false">IF($D32=3,W32-SUM($AH32:$AQ32),0)</f>
        <v>0</v>
      </c>
      <c r="AU32" s="1928" t="n">
        <f aca="false">IF($D32=4,W32-SUM($AH32:$AQ32),0)</f>
        <v>0</v>
      </c>
      <c r="AV32" s="1928" t="n">
        <f aca="false">IF($D32=5,W32-SUM($AH32:$AQ32),0)</f>
        <v>0</v>
      </c>
      <c r="AW32" s="1928" t="n">
        <f aca="false">IF($D32=6,W32-SUM($AH32:$AQ32),0)</f>
        <v>0</v>
      </c>
      <c r="AX32" s="1928" t="n">
        <f aca="false">IF($D32=7,W32-SUM($AH32:$AQ32),0)</f>
        <v>0</v>
      </c>
      <c r="AY32" s="1928" t="n">
        <f aca="false">IF($D32=8,W32-SUM($AH32:$AQ32),0)</f>
        <v>0</v>
      </c>
      <c r="AZ32" s="1928" t="n">
        <f aca="false">IF($D32=9,W32-SUM($AH32:$AQ32),0)</f>
        <v>0</v>
      </c>
      <c r="BA32" s="1930" t="n">
        <f aca="false">IF($D32=10,W32-SUM($AH32:$AQ32),0)</f>
        <v>0</v>
      </c>
      <c r="BB32" s="1928" t="n">
        <f aca="false">SUM(AH32:AM32)</f>
        <v>0</v>
      </c>
      <c r="BC32" s="1928" t="n">
        <f aca="false">SUM(AR32:AW32)</f>
        <v>0</v>
      </c>
      <c r="BD32" s="1928" t="n">
        <f aca="false">V32</f>
        <v>0</v>
      </c>
      <c r="BE32" s="1928" t="n">
        <f aca="false">E32*G32/12*2+(U32*U32*G32/1728*S32)</f>
        <v>0</v>
      </c>
      <c r="BF32" s="1928" t="n">
        <f aca="false">BE32/2</f>
        <v>0</v>
      </c>
      <c r="BG32" s="1928" t="n">
        <f aca="false">N32*E32/12</f>
        <v>0</v>
      </c>
      <c r="BH32" s="1928" t="n">
        <f aca="false">ROUND(IF(C32="Y",BF32*3/27,0),0)</f>
        <v>0</v>
      </c>
      <c r="BJ32" s="1931" t="n">
        <f aca="false">V32*F$56*IF(T$39="N",(1+V$39),1)</f>
        <v>0</v>
      </c>
      <c r="BK32" s="1932" t="n">
        <f aca="false">(AR32*Pricing!F$3+AS32*Pricing!G$3+AT32*Pricing!H$3+AU32*Pricing!I$3+AV32*Pricing!J$3+AW32*Pricing!K$3+AH32*Pricing!F$3+AI32*Pricing!G$3+AJ32*Pricing!H$3+AK32*Pricing!I$3+AL32*Pricing!J$3+AM32*Pricing!K$3)*IF(T$39="N",(1+V$39),1)</f>
        <v>0</v>
      </c>
      <c r="BL32" s="1932" t="n">
        <f aca="false">IF(C32="Y",(N$59+N$60)/DF$36*DF32,0)</f>
        <v>0</v>
      </c>
      <c r="BM32" s="1932" t="n">
        <f aca="false">BF32*(G$67+D$70)</f>
        <v>0</v>
      </c>
      <c r="BN32" s="1932" t="n">
        <f aca="false">BG32*D$66</f>
        <v>0</v>
      </c>
      <c r="BO32" s="1932" t="n">
        <f aca="false">V32/2000*D$71</f>
        <v>0</v>
      </c>
      <c r="BP32" s="1932" t="n">
        <f aca="false">IF(C32="Y",(N$74+N$73+N$72)/DF$36*DF32,0)</f>
        <v>0</v>
      </c>
      <c r="BQ32" s="1932" t="n">
        <f aca="false">IF(SUM(BF$36:BG$36)=0,0,(SUM(N$78:O$81)+SUM(N$83:O$88)+SUM(N$90:O$96)+W$95)/SUM(BF$36:BG$36)*(BF32+BG32))</f>
        <v>0</v>
      </c>
      <c r="BR32" s="1933"/>
      <c r="BS32" s="1934" t="n">
        <f aca="false">IF(SUM(BF$36:BG$36)=0,0,(BQ$36-W$58-N$64-W70-(L$79*0.15))/SUM(BF$36:BG$36)*BG32+BN32)</f>
        <v>0</v>
      </c>
      <c r="BT32" s="1932" t="n">
        <f aca="false">(AH32*Pricing!F$3+AI32*Pricing!G$3+AJ32*Pricing!H$3+AK32*Pricing!I$3+AL32*Pricing!J$3+AM32*Pricing!K$3)*IF(T$39="N",(1+V$39),1)</f>
        <v>0</v>
      </c>
      <c r="BU32" s="1932" t="n">
        <f aca="false">IF(BG32=0,0,(BS32+BT32)/BG32)</f>
        <v>0</v>
      </c>
      <c r="BV32" s="1932" t="n">
        <f aca="false">SUM(BJ32:BQ32)-BS32-BT32</f>
        <v>0</v>
      </c>
      <c r="BW32" s="1933" t="n">
        <f aca="false">IF(BE32=0,0,BV32/BF32)</f>
        <v>0</v>
      </c>
      <c r="DB32" s="1935" t="n">
        <f aca="false">IF(W32=0,0,D$40/SUM(W$10:W$35)*W32)</f>
        <v>0</v>
      </c>
      <c r="DC32" s="1932" t="e">
        <f aca="false">E32*N32/12*(D$40-7980)/H$66</f>
        <v>#DIV/0!</v>
      </c>
      <c r="DD32" s="179" t="n">
        <f aca="false">ROUND(N32*O32/3088*E32,0)</f>
        <v>0</v>
      </c>
      <c r="DE32" s="908" t="n">
        <f aca="false">ROUND(V32,0)</f>
        <v>0</v>
      </c>
      <c r="DF32" s="356" t="n">
        <f aca="false">ROUND(IF(C32="Y",(G32*0.25*E32+G32*G32/144*0.5*E32)/27*1.3,0),0)</f>
        <v>0</v>
      </c>
      <c r="DG32" s="908" t="n">
        <f aca="false">ROUND(E32*G32/12,0)</f>
        <v>0</v>
      </c>
      <c r="DH32" s="908" t="n">
        <f aca="false">IF(C32="y",ROUNDUP(E32*G32/12,0),0)</f>
        <v>0</v>
      </c>
      <c r="DI32" s="908" t="n">
        <f aca="false">IF(C32="Y",IF(E32&gt;0,E32,0),0)</f>
        <v>0</v>
      </c>
      <c r="DJ32" s="1936" t="n">
        <f aca="false">ROUND(E32*N32/12,0)</f>
        <v>0</v>
      </c>
    </row>
    <row r="33" s="1414" customFormat="true" ht="15" hidden="false" customHeight="false" outlineLevel="0" collapsed="false">
      <c r="A33" s="507"/>
      <c r="B33" s="1312"/>
      <c r="C33" s="1919"/>
      <c r="D33" s="1920"/>
      <c r="E33" s="1921"/>
      <c r="F33" s="1234"/>
      <c r="G33" s="1235"/>
      <c r="H33" s="1236"/>
      <c r="I33" s="1234"/>
      <c r="J33" s="1235"/>
      <c r="K33" s="1236"/>
      <c r="L33" s="1234"/>
      <c r="M33" s="1234"/>
      <c r="N33" s="1922"/>
      <c r="O33" s="1234"/>
      <c r="P33" s="1234"/>
      <c r="Q33" s="1234"/>
      <c r="R33" s="1923"/>
      <c r="S33" s="1924"/>
      <c r="T33" s="78"/>
      <c r="U33" s="900"/>
      <c r="V33" s="1925" t="n">
        <f aca="false">((E33*I33/16*I33/16*10.680159*J33)*IF(H33=0,0,(G33/H33))+(G33/12*L33/16*L33/16*10.680159*M33)*IF(K33=0,0,(E33*12/K33))+(E33*IF(P33=0,0,N33/P33)*Q33/16*Q33/16*10.680159*R33)+(IF(P33=0,0,E33/P33*N33)*Q33/16*Q33/16*10.680159*R33)+((T33*U33*S33*0.03*0.2836*G33)/12+4)*IF(H33=0,0,(G33/H33))*I33/16*I33/16*10.680159)*(1+J$56)</f>
        <v>0</v>
      </c>
      <c r="W33" s="1926" t="n">
        <f aca="false">((E33*F33/12*G33/324)+ROUNDUP(S33*T33*U33*G33/46656,0)+(N33*O33*E33/3888))*(1+J$51)</f>
        <v>0</v>
      </c>
      <c r="AH33" s="1929" t="n">
        <f aca="false">IF($R$8=1,$N33*$O33*$E33/3888*(1+$J$51),0)</f>
        <v>0</v>
      </c>
      <c r="AI33" s="1928" t="n">
        <f aca="false">IF($R$8=2,$N33*$O33*$E33/3888*(1+$J$51),0)</f>
        <v>0</v>
      </c>
      <c r="AJ33" s="1928" t="n">
        <f aca="false">IF($R$8=3,$N33*$O33*$E33/3888*(1+$J$51),0)</f>
        <v>0</v>
      </c>
      <c r="AK33" s="1928" t="n">
        <f aca="false">IF($R$8=4,$N33*$O33*$E33/3888*(1+$J$51),0)</f>
        <v>0</v>
      </c>
      <c r="AL33" s="1928" t="n">
        <f aca="false">IF($R$8=5,$N33*$O33*$E33/3888*(1+$J$51),0)</f>
        <v>0</v>
      </c>
      <c r="AM33" s="1928" t="n">
        <f aca="false">IF($R$8=6,$N33*$O33*$E33/3888*(1+$J$51),0)</f>
        <v>0</v>
      </c>
      <c r="AN33" s="1928" t="n">
        <f aca="false">IF($R$8=7,$N33*$O33*$E33/3888*(1+$J$51),0)</f>
        <v>0</v>
      </c>
      <c r="AO33" s="1928" t="n">
        <f aca="false">IF($R$8=8,$N33*$O33*$E33/3888*(1+$J$51),0)</f>
        <v>0</v>
      </c>
      <c r="AP33" s="1928" t="n">
        <f aca="false">IF($R$8=9,$N33*$O33*$E33/3888*(1+$J$51),0)</f>
        <v>0</v>
      </c>
      <c r="AQ33" s="1928" t="n">
        <f aca="false">IF($R$8=10,$N33*$O33*$E33/3888*(1+$J$51),0)</f>
        <v>0</v>
      </c>
      <c r="AR33" s="1929" t="n">
        <f aca="false">IF($D33=1,$W33-SUM($AH33:$AQ33),0)</f>
        <v>0</v>
      </c>
      <c r="AS33" s="1928" t="n">
        <f aca="false">IF($D33=2,W33-SUM($AH33:$AQ33),0)</f>
        <v>0</v>
      </c>
      <c r="AT33" s="1928" t="n">
        <f aca="false">IF($D33=3,W33-SUM($AH33:$AQ33),0)</f>
        <v>0</v>
      </c>
      <c r="AU33" s="1928" t="n">
        <f aca="false">IF($D33=4,W33-SUM($AH33:$AQ33),0)</f>
        <v>0</v>
      </c>
      <c r="AV33" s="1928" t="n">
        <f aca="false">IF($D33=5,W33-SUM($AH33:$AQ33),0)</f>
        <v>0</v>
      </c>
      <c r="AW33" s="1928" t="n">
        <f aca="false">IF($D33=6,W33-SUM($AH33:$AQ33),0)</f>
        <v>0</v>
      </c>
      <c r="AX33" s="1928" t="n">
        <f aca="false">IF($D33=7,W33-SUM($AH33:$AQ33),0)</f>
        <v>0</v>
      </c>
      <c r="AY33" s="1928" t="n">
        <f aca="false">IF($D33=8,W33-SUM($AH33:$AQ33),0)</f>
        <v>0</v>
      </c>
      <c r="AZ33" s="1928" t="n">
        <f aca="false">IF($D33=9,W33-SUM($AH33:$AQ33),0)</f>
        <v>0</v>
      </c>
      <c r="BA33" s="1930" t="n">
        <f aca="false">IF($D33=10,W33-SUM($AH33:$AQ33),0)</f>
        <v>0</v>
      </c>
      <c r="BB33" s="1928" t="n">
        <f aca="false">SUM(AH33:AM33)</f>
        <v>0</v>
      </c>
      <c r="BC33" s="1928" t="n">
        <f aca="false">SUM(AR33:AW33)</f>
        <v>0</v>
      </c>
      <c r="BD33" s="1928" t="n">
        <f aca="false">V33</f>
        <v>0</v>
      </c>
      <c r="BE33" s="1928" t="n">
        <f aca="false">E33*G33/12*2+(U33*U33*G33/1728*S33)</f>
        <v>0</v>
      </c>
      <c r="BF33" s="1928" t="n">
        <f aca="false">BE33/2</f>
        <v>0</v>
      </c>
      <c r="BG33" s="1928" t="n">
        <f aca="false">N33*E33/12</f>
        <v>0</v>
      </c>
      <c r="BH33" s="1928" t="n">
        <f aca="false">ROUND(IF(C33="Y",BF33*3/27,0),0)</f>
        <v>0</v>
      </c>
      <c r="BJ33" s="1931" t="n">
        <f aca="false">V33*F$56*IF(T$39="N",(1+V$39),1)</f>
        <v>0</v>
      </c>
      <c r="BK33" s="1932" t="n">
        <f aca="false">(AR33*Pricing!F$3+AS33*Pricing!G$3+AT33*Pricing!H$3+AU33*Pricing!I$3+AV33*Pricing!J$3+AW33*Pricing!K$3+AH33*Pricing!F$3+AI33*Pricing!G$3+AJ33*Pricing!H$3+AK33*Pricing!I$3+AL33*Pricing!J$3+AM33*Pricing!K$3)*IF(T$39="N",(1+V$39),1)</f>
        <v>0</v>
      </c>
      <c r="BL33" s="1932" t="n">
        <f aca="false">IF(C33="Y",(N$59+N$60)/DF$36*DF33,0)</f>
        <v>0</v>
      </c>
      <c r="BM33" s="1932" t="n">
        <f aca="false">BF33*(G$67+D$70)</f>
        <v>0</v>
      </c>
      <c r="BN33" s="1932" t="n">
        <f aca="false">BG33*D$66</f>
        <v>0</v>
      </c>
      <c r="BO33" s="1932" t="n">
        <f aca="false">V33/2000*D$71</f>
        <v>0</v>
      </c>
      <c r="BP33" s="1932" t="n">
        <f aca="false">IF(C33="Y",(N$74+N$73+N$72)/DF$36*DF33,0)</f>
        <v>0</v>
      </c>
      <c r="BQ33" s="1932" t="n">
        <f aca="false">IF(SUM(BF$36:BG$36)=0,0,(SUM(N$78:O$81)+SUM(N$83:O$88)+SUM(N$90:O$96)+W$95)/SUM(BF$36:BG$36)*(BF33+BG33))</f>
        <v>0</v>
      </c>
      <c r="BR33" s="1933"/>
      <c r="BS33" s="1934" t="n">
        <f aca="false">IF(SUM(BF$36:BG$36)=0,0,(BQ$36-W$58-N$64-W81-(L$79*0.15))/SUM(BF$36:BG$36)*BG33+BN33)</f>
        <v>0</v>
      </c>
      <c r="BT33" s="1932" t="n">
        <f aca="false">(AH33*Pricing!F$3+AI33*Pricing!G$3+AJ33*Pricing!H$3+AK33*Pricing!I$3+AL33*Pricing!J$3+AM33*Pricing!K$3)*IF(T$39="N",(1+V$39),1)</f>
        <v>0</v>
      </c>
      <c r="BU33" s="1932" t="n">
        <f aca="false">IF(BG33=0,0,(BS33+BT33)/BG33)</f>
        <v>0</v>
      </c>
      <c r="BV33" s="1932" t="n">
        <f aca="false">SUM(BJ33:BQ33)-BS33-BT33</f>
        <v>0</v>
      </c>
      <c r="BW33" s="1933" t="n">
        <f aca="false">IF(BE33=0,0,BV33/BF33)</f>
        <v>0</v>
      </c>
      <c r="DB33" s="1935" t="n">
        <f aca="false">IF(W33=0,0,D$40/SUM(W$10:W$35)*W33)</f>
        <v>0</v>
      </c>
      <c r="DC33" s="1932" t="e">
        <f aca="false">E33*N33/12*(D$40-7980)/H$66</f>
        <v>#DIV/0!</v>
      </c>
      <c r="DD33" s="179" t="n">
        <f aca="false">ROUND(N33*O33/3088*E33,0)</f>
        <v>0</v>
      </c>
      <c r="DE33" s="908" t="n">
        <f aca="false">ROUND(V33,0)</f>
        <v>0</v>
      </c>
      <c r="DF33" s="356" t="n">
        <f aca="false">ROUND(IF(C33="Y",(G33*0.25*E33+G33*G33/144*0.5*E33)/27*1.3,0),0)</f>
        <v>0</v>
      </c>
      <c r="DG33" s="908" t="n">
        <f aca="false">ROUND(E33*G33/12,0)</f>
        <v>0</v>
      </c>
      <c r="DH33" s="908" t="n">
        <f aca="false">IF(C33="y",ROUNDUP(E33*G33/12,0),0)</f>
        <v>0</v>
      </c>
      <c r="DI33" s="908" t="n">
        <f aca="false">IF(C33="Y",IF(E33&gt;0,E33,0),0)</f>
        <v>0</v>
      </c>
      <c r="DJ33" s="1936" t="n">
        <f aca="false">ROUND(E33*N33/12,0)</f>
        <v>0</v>
      </c>
    </row>
    <row r="34" s="1414" customFormat="true" ht="15" hidden="false" customHeight="false" outlineLevel="0" collapsed="false">
      <c r="A34" s="507"/>
      <c r="B34" s="1312"/>
      <c r="C34" s="1919"/>
      <c r="D34" s="1920"/>
      <c r="E34" s="1921"/>
      <c r="F34" s="1234"/>
      <c r="G34" s="1235"/>
      <c r="H34" s="1236"/>
      <c r="I34" s="1234"/>
      <c r="J34" s="1235"/>
      <c r="K34" s="1236"/>
      <c r="L34" s="1234"/>
      <c r="M34" s="1234"/>
      <c r="N34" s="1922"/>
      <c r="O34" s="1234"/>
      <c r="P34" s="1234"/>
      <c r="Q34" s="1234"/>
      <c r="R34" s="1923"/>
      <c r="S34" s="1924"/>
      <c r="T34" s="78"/>
      <c r="U34" s="900"/>
      <c r="V34" s="1925" t="n">
        <f aca="false">((E34*I34/16*I34/16*10.680159*J34)*IF(H34=0,0,(G34/H34))+(G34/12*L34/16*L34/16*10.680159*M34)*IF(K34=0,0,(E34*12/K34))+(E34*IF(P34=0,0,N34/P34)*Q34/16*Q34/16*10.680159*R34)+(IF(P34=0,0,E34/P34*N34)*Q34/16*Q34/16*10.680159*R34)+((T34*U34*S34*0.03*0.2836*G34)/12+4)*IF(H34=0,0,(G34/H34))*I34/16*I34/16*10.680159)*(1+J$56)</f>
        <v>0</v>
      </c>
      <c r="W34" s="1926" t="n">
        <f aca="false">((E34*F34/12*G34/324)+ROUNDUP(S34*T34*U34*G34/46656,0)+(N34*O34*E34/3888))*(1+J$51)</f>
        <v>0</v>
      </c>
      <c r="AH34" s="1929" t="n">
        <f aca="false">IF($R$8=1,$N34*$O34*$E34/3888*(1+$J$51),0)</f>
        <v>0</v>
      </c>
      <c r="AI34" s="1928" t="n">
        <f aca="false">IF($R$8=2,$N34*$O34*$E34/3888*(1+$J$51),0)</f>
        <v>0</v>
      </c>
      <c r="AJ34" s="1928" t="n">
        <f aca="false">IF($R$8=3,$N34*$O34*$E34/3888*(1+$J$51),0)</f>
        <v>0</v>
      </c>
      <c r="AK34" s="1928" t="n">
        <f aca="false">IF($R$8=4,$N34*$O34*$E34/3888*(1+$J$51),0)</f>
        <v>0</v>
      </c>
      <c r="AL34" s="1928" t="n">
        <f aca="false">IF($R$8=5,$N34*$O34*$E34/3888*(1+$J$51),0)</f>
        <v>0</v>
      </c>
      <c r="AM34" s="1928" t="n">
        <f aca="false">IF($R$8=6,$N34*$O34*$E34/3888*(1+$J$51),0)</f>
        <v>0</v>
      </c>
      <c r="AN34" s="1928" t="n">
        <f aca="false">IF($R$8=7,$N34*$O34*$E34/3888*(1+$J$51),0)</f>
        <v>0</v>
      </c>
      <c r="AO34" s="1928" t="n">
        <f aca="false">IF($R$8=8,$N34*$O34*$E34/3888*(1+$J$51),0)</f>
        <v>0</v>
      </c>
      <c r="AP34" s="1928" t="n">
        <f aca="false">IF($R$8=9,$N34*$O34*$E34/3888*(1+$J$51),0)</f>
        <v>0</v>
      </c>
      <c r="AQ34" s="1928" t="n">
        <f aca="false">IF($R$8=10,$N34*$O34*$E34/3888*(1+$J$51),0)</f>
        <v>0</v>
      </c>
      <c r="AR34" s="1929" t="n">
        <f aca="false">IF($D34=1,$W34-SUM($AH34:$AQ34),0)</f>
        <v>0</v>
      </c>
      <c r="AS34" s="1928" t="n">
        <f aca="false">IF($D34=2,W34-SUM($AH34:$AQ34),0)</f>
        <v>0</v>
      </c>
      <c r="AT34" s="1928" t="n">
        <f aca="false">IF($D34=3,W34-SUM($AH34:$AQ34),0)</f>
        <v>0</v>
      </c>
      <c r="AU34" s="1928" t="n">
        <f aca="false">IF($D34=4,W34-SUM($AH34:$AQ34),0)</f>
        <v>0</v>
      </c>
      <c r="AV34" s="1928" t="n">
        <f aca="false">IF($D34=5,W34-SUM($AH34:$AQ34),0)</f>
        <v>0</v>
      </c>
      <c r="AW34" s="1928" t="n">
        <f aca="false">IF($D34=6,W34-SUM($AH34:$AQ34),0)</f>
        <v>0</v>
      </c>
      <c r="AX34" s="1928" t="n">
        <f aca="false">IF($D34=7,W34-SUM($AH34:$AQ34),0)</f>
        <v>0</v>
      </c>
      <c r="AY34" s="1928" t="n">
        <f aca="false">IF($D34=8,W34-SUM($AH34:$AQ34),0)</f>
        <v>0</v>
      </c>
      <c r="AZ34" s="1928" t="n">
        <f aca="false">IF($D34=9,W34-SUM($AH34:$AQ34),0)</f>
        <v>0</v>
      </c>
      <c r="BA34" s="1930" t="n">
        <f aca="false">IF($D34=10,W34-SUM($AH34:$AQ34),0)</f>
        <v>0</v>
      </c>
      <c r="BB34" s="1928" t="n">
        <f aca="false">SUM(AH34:AM34)</f>
        <v>0</v>
      </c>
      <c r="BC34" s="1928" t="n">
        <f aca="false">SUM(AR34:AW34)</f>
        <v>0</v>
      </c>
      <c r="BD34" s="1928" t="n">
        <f aca="false">V34</f>
        <v>0</v>
      </c>
      <c r="BE34" s="1928" t="n">
        <f aca="false">E34*G34/12*2+(U34*U34*G34/1728*S34)</f>
        <v>0</v>
      </c>
      <c r="BF34" s="1928" t="n">
        <f aca="false">BE34/2</f>
        <v>0</v>
      </c>
      <c r="BG34" s="1928" t="n">
        <f aca="false">N34*E34/12</f>
        <v>0</v>
      </c>
      <c r="BH34" s="1928" t="n">
        <f aca="false">ROUND(IF(C34="Y",BF34*3/27,0),0)</f>
        <v>0</v>
      </c>
      <c r="BJ34" s="1931" t="n">
        <f aca="false">V34*F$56*IF(T$39="N",(1+V$39),1)</f>
        <v>0</v>
      </c>
      <c r="BK34" s="1932" t="n">
        <f aca="false">(AR34*Pricing!F$3+AS34*Pricing!G$3+AT34*Pricing!H$3+AU34*Pricing!I$3+AV34*Pricing!J$3+AW34*Pricing!K$3+AH34*Pricing!F$3+AI34*Pricing!G$3+AJ34*Pricing!H$3+AK34*Pricing!I$3+AL34*Pricing!J$3+AM34*Pricing!K$3)*IF(T$39="N",(1+V$39),1)</f>
        <v>0</v>
      </c>
      <c r="BL34" s="1932" t="n">
        <f aca="false">IF(C34="Y",(N$59+N$60)/DF$36*DF34,0)</f>
        <v>0</v>
      </c>
      <c r="BM34" s="1932" t="n">
        <f aca="false">BF34*(G$67+D$70)</f>
        <v>0</v>
      </c>
      <c r="BN34" s="1932" t="n">
        <f aca="false">BG34*D$66</f>
        <v>0</v>
      </c>
      <c r="BO34" s="1932" t="n">
        <f aca="false">V34/2000*D$71</f>
        <v>0</v>
      </c>
      <c r="BP34" s="1932" t="n">
        <f aca="false">IF(C34="Y",(N$74+N$73+N$72)/DF$36*DF34,0)</f>
        <v>0</v>
      </c>
      <c r="BQ34" s="1932" t="n">
        <f aca="false">IF(SUM(BF$36:BG$36)=0,0,(SUM(N$78:O$81)+SUM(N$83:O$88)+SUM(N$90:O$96)+W$95)/SUM(BF$36:BG$36)*(BF34+BG34))</f>
        <v>0</v>
      </c>
      <c r="BR34" s="1933"/>
      <c r="BS34" s="1934" t="n">
        <f aca="false">IF(SUM(BF$36:BG$36)=0,0,(BQ$36-W$58-N$64-W82-(L$79*0.15))/SUM(BF$36:BG$36)*BG34+BN34)</f>
        <v>0</v>
      </c>
      <c r="BT34" s="1932" t="n">
        <f aca="false">(AH34*Pricing!F$3+AI34*Pricing!G$3+AJ34*Pricing!H$3+AK34*Pricing!I$3+AL34*Pricing!J$3+AM34*Pricing!K$3)*IF(T$39="N",(1+V$39),1)</f>
        <v>0</v>
      </c>
      <c r="BU34" s="1932" t="n">
        <f aca="false">IF(BG34=0,0,(BS34+BT34)/BG34)</f>
        <v>0</v>
      </c>
      <c r="BV34" s="1932" t="n">
        <f aca="false">SUM(BJ34:BQ34)-BS34-BT34</f>
        <v>0</v>
      </c>
      <c r="BW34" s="1933" t="n">
        <f aca="false">IF(BE34=0,0,BV34/BF34)</f>
        <v>0</v>
      </c>
      <c r="DB34" s="1935" t="n">
        <f aca="false">IF(W34=0,0,D$40/SUM(W$10:W$35)*W34)</f>
        <v>0</v>
      </c>
      <c r="DC34" s="1932" t="e">
        <f aca="false">E34*N34/12*(D$40-7980)/H$66</f>
        <v>#DIV/0!</v>
      </c>
      <c r="DD34" s="179" t="n">
        <f aca="false">ROUND(N34*O34/3088*E34,0)</f>
        <v>0</v>
      </c>
      <c r="DE34" s="908" t="n">
        <f aca="false">ROUND(V34,0)</f>
        <v>0</v>
      </c>
      <c r="DF34" s="356" t="n">
        <f aca="false">ROUND(IF(C34="Y",(G34*0.25*E34+G34*G34/144*0.5*E34)/27*1.3,0),0)</f>
        <v>0</v>
      </c>
      <c r="DG34" s="908" t="n">
        <f aca="false">ROUND(E34*G34/12,0)</f>
        <v>0</v>
      </c>
      <c r="DH34" s="908" t="n">
        <f aca="false">IF(C34="y",ROUNDUP(E34*G34/12,0),0)</f>
        <v>0</v>
      </c>
      <c r="DI34" s="908" t="n">
        <f aca="false">IF(C34="Y",IF(E34&gt;0,E34,0),0)</f>
        <v>0</v>
      </c>
      <c r="DJ34" s="1936" t="n">
        <f aca="false">ROUND(E34*N34/12,0)</f>
        <v>0</v>
      </c>
    </row>
    <row r="35" s="1414" customFormat="true" ht="15" hidden="false" customHeight="false" outlineLevel="0" collapsed="false">
      <c r="A35" s="507"/>
      <c r="B35" s="1312"/>
      <c r="C35" s="1938"/>
      <c r="D35" s="1920"/>
      <c r="E35" s="1921"/>
      <c r="F35" s="1234"/>
      <c r="G35" s="1235"/>
      <c r="H35" s="1236"/>
      <c r="I35" s="1234"/>
      <c r="J35" s="1235"/>
      <c r="K35" s="1236"/>
      <c r="L35" s="1234"/>
      <c r="M35" s="1234"/>
      <c r="N35" s="1922"/>
      <c r="O35" s="1234"/>
      <c r="P35" s="1234"/>
      <c r="Q35" s="1234"/>
      <c r="R35" s="1923"/>
      <c r="S35" s="1924"/>
      <c r="T35" s="78"/>
      <c r="U35" s="900"/>
      <c r="V35" s="1925" t="n">
        <f aca="false">((E35*I35/16*I35/16*10.680159*J35)*IF(H35=0,0,(G35/H35))+(G35/12*L35/16*L35/16*10.680159*M35)*IF(K35=0,0,(E35*12/K35))+(E35*IF(P35=0,0,N35/P35)*Q35/16*Q35/16*10.680159*R35)+(IF(P35=0,0,E35/P35*N35)*Q35/16*Q35/16*10.680159*R35)+((T35*U35*S35*0.03*0.2836*G35)/12+4)*IF(H35=0,0,(G35/H35))*I35/16*I35/16*10.680159)*(1+J$56)</f>
        <v>0</v>
      </c>
      <c r="W35" s="1926" t="n">
        <f aca="false">((E35*F35/12*G35/324)+ROUNDUP(S35*T35*U35*G35/46656,0)+(N35*O35*E35/3888))*(1+J$51)</f>
        <v>0</v>
      </c>
      <c r="AH35" s="1939" t="n">
        <f aca="false">IF($R$8=1,$N35*$O35*$E35/3888*(1+$J$51),0)</f>
        <v>0</v>
      </c>
      <c r="AI35" s="1940" t="n">
        <f aca="false">IF($R$8=2,$N35*$O35*$E35/3888*(1+$J$51),0)</f>
        <v>0</v>
      </c>
      <c r="AJ35" s="1940" t="n">
        <f aca="false">IF($R$8=3,$N35*$O35*$E35/3888*(1+$J$51),0)</f>
        <v>0</v>
      </c>
      <c r="AK35" s="1940" t="n">
        <f aca="false">IF($R$8=4,$N35*$O35*$E35/3888*(1+$J$51),0)</f>
        <v>0</v>
      </c>
      <c r="AL35" s="1940" t="n">
        <f aca="false">IF($R$8=5,$N35*$O35*$E35/3888*(1+$J$51),0)</f>
        <v>0</v>
      </c>
      <c r="AM35" s="1940" t="n">
        <f aca="false">IF($R$8=6,$N35*$O35*$E35/3888*(1+$J$51),0)</f>
        <v>0</v>
      </c>
      <c r="AN35" s="1940" t="n">
        <f aca="false">IF($R$8=7,$N35*$O35*$E35/3888*(1+$J$51),0)</f>
        <v>0</v>
      </c>
      <c r="AO35" s="1940" t="n">
        <f aca="false">IF($R$8=8,$N35*$O35*$E35/3888*(1+$J$51),0)</f>
        <v>0</v>
      </c>
      <c r="AP35" s="1940" t="n">
        <f aca="false">IF($R$8=9,$N35*$O35*$E35/3888*(1+$J$51),0)</f>
        <v>0</v>
      </c>
      <c r="AQ35" s="1940" t="n">
        <f aca="false">IF($R$8=10,$N35*$O35*$E35/3888*(1+$J$51),0)</f>
        <v>0</v>
      </c>
      <c r="AR35" s="1939" t="n">
        <f aca="false">IF($D35=1,$W35-SUM($AH35:$AQ35),0)</f>
        <v>0</v>
      </c>
      <c r="AS35" s="1940" t="n">
        <f aca="false">IF($D35=2,W35-SUM($AH35:$AQ35),0)</f>
        <v>0</v>
      </c>
      <c r="AT35" s="1940" t="n">
        <f aca="false">IF($D35=3,W35-SUM($AH35:$AQ35),0)</f>
        <v>0</v>
      </c>
      <c r="AU35" s="1940" t="n">
        <f aca="false">IF($D35=4,W35-SUM($AH35:$AQ35),0)</f>
        <v>0</v>
      </c>
      <c r="AV35" s="1940" t="n">
        <f aca="false">IF($D35=5,W35-SUM($AH35:$AQ35),0)</f>
        <v>0</v>
      </c>
      <c r="AW35" s="1940" t="n">
        <f aca="false">IF($D35=6,W35-SUM($AH35:$AQ35),0)</f>
        <v>0</v>
      </c>
      <c r="AX35" s="1940" t="n">
        <f aca="false">IF($D35=7,W35-SUM($AH35:$AQ35),0)</f>
        <v>0</v>
      </c>
      <c r="AY35" s="1940" t="n">
        <f aca="false">IF($D35=8,W35-SUM($AH35:$AQ35),0)</f>
        <v>0</v>
      </c>
      <c r="AZ35" s="1940" t="n">
        <f aca="false">IF($D35=9,W35-SUM($AH35:$AQ35),0)</f>
        <v>0</v>
      </c>
      <c r="BA35" s="1941" t="n">
        <f aca="false">IF($D35=10,W35-SUM($AH35:$AQ35),0)</f>
        <v>0</v>
      </c>
      <c r="BB35" s="1928" t="n">
        <f aca="false">SUM(AH35:AM35)</f>
        <v>0</v>
      </c>
      <c r="BC35" s="1928" t="n">
        <f aca="false">SUM(AR35:AW35)</f>
        <v>0</v>
      </c>
      <c r="BD35" s="1928" t="n">
        <f aca="false">V35</f>
        <v>0</v>
      </c>
      <c r="BE35" s="1928" t="n">
        <f aca="false">E35*G35/12*2+(U35*U35*G35/1728*S35)</f>
        <v>0</v>
      </c>
      <c r="BF35" s="1928" t="n">
        <f aca="false">BE35/2</f>
        <v>0</v>
      </c>
      <c r="BG35" s="1928" t="n">
        <f aca="false">N35*E35/12</f>
        <v>0</v>
      </c>
      <c r="BH35" s="1928" t="n">
        <f aca="false">ROUND(IF(C35="Y",BF35*3/27,0),0)</f>
        <v>0</v>
      </c>
      <c r="BJ35" s="1942" t="n">
        <f aca="false">V35*F$56*IF(T$39="N",(1+V$39),1)</f>
        <v>0</v>
      </c>
      <c r="BK35" s="1943" t="n">
        <f aca="false">(AR35*Pricing!F$3+AS35*Pricing!G$3+AT35*Pricing!H$3+AU35*Pricing!I$3+AV35*Pricing!J$3+AW35*Pricing!K$3+AH35*Pricing!F$3+AI35*Pricing!G$3+AJ35*Pricing!H$3+AK35*Pricing!I$3+AL35*Pricing!J$3+AM35*Pricing!K$3)*IF(T$39="N",(1+V$39),1)</f>
        <v>0</v>
      </c>
      <c r="BL35" s="1943" t="n">
        <f aca="false">IF(C35="Y",(N$59+N$60)/DF$36*DF35,0)</f>
        <v>0</v>
      </c>
      <c r="BM35" s="1943" t="n">
        <f aca="false">BF35*(G$67+D$70)</f>
        <v>0</v>
      </c>
      <c r="BN35" s="1943" t="n">
        <f aca="false">BG35*D$66</f>
        <v>0</v>
      </c>
      <c r="BO35" s="1943" t="n">
        <f aca="false">V35/2000*D$71</f>
        <v>0</v>
      </c>
      <c r="BP35" s="1943" t="n">
        <f aca="false">IF(C35="Y",(N$74+N$73+N$72)/DF$36*DF35,0)</f>
        <v>0</v>
      </c>
      <c r="BQ35" s="1943" t="n">
        <f aca="false">IF(SUM(BF$36:BG$36)=0,0,(SUM(N$78:O$81)+SUM(N$83:O$88)+SUM(N$90:O$96)+W$95)/SUM(BF$36:BG$36)*(BF35+BG35))</f>
        <v>0</v>
      </c>
      <c r="BR35" s="1944"/>
      <c r="BS35" s="1945" t="n">
        <f aca="false">IF(SUM(BF$36:BG$36)=0,0,(BQ$36-W$58-N$64-W83-(L$79*0.15))/SUM(BF$36:BG$36)*BG35+BN35)</f>
        <v>0</v>
      </c>
      <c r="BT35" s="1943" t="n">
        <f aca="false">(AH35*Pricing!F$3+AI35*Pricing!G$3+AJ35*Pricing!H$3+AK35*Pricing!I$3+AL35*Pricing!J$3+AM35*Pricing!K$3)*IF(T$39="N",(1+V$39),1)</f>
        <v>0</v>
      </c>
      <c r="BU35" s="1943" t="n">
        <f aca="false">IF(BG35=0,0,(BS35+BT35)/BG35)</f>
        <v>0</v>
      </c>
      <c r="BV35" s="1943" t="n">
        <f aca="false">SUM(BJ35:BQ35)-BS35-BT35</f>
        <v>0</v>
      </c>
      <c r="BW35" s="1944" t="n">
        <f aca="false">IF(BE35=0,0,BV35/BF35)</f>
        <v>0</v>
      </c>
      <c r="DB35" s="1935" t="n">
        <f aca="false">IF(W35=0,0,D$40/SUM(W$10:W$35)*W35)</f>
        <v>0</v>
      </c>
      <c r="DC35" s="1932" t="e">
        <f aca="false">E35*N35/12*(D$40-7980)/H$66</f>
        <v>#DIV/0!</v>
      </c>
      <c r="DD35" s="179" t="n">
        <f aca="false">ROUND(N35*O35/3088*E35,0)</f>
        <v>0</v>
      </c>
      <c r="DE35" s="908" t="n">
        <f aca="false">ROUND(V35,0)</f>
        <v>0</v>
      </c>
      <c r="DF35" s="356" t="n">
        <f aca="false">ROUND(IF(C35="Y",(G35*0.25*E35+G35*G35/144*0.5*E35)/27*1.3,0),0)</f>
        <v>0</v>
      </c>
      <c r="DG35" s="908" t="n">
        <f aca="false">ROUND(E35*G35/12,0)</f>
        <v>0</v>
      </c>
      <c r="DH35" s="908" t="n">
        <f aca="false">IF(C35="y",ROUNDUP(E35*G35/12,0),0)</f>
        <v>0</v>
      </c>
      <c r="DI35" s="908" t="n">
        <f aca="false">IF(C35="Y",IF(E35&gt;0,E35,0),0)</f>
        <v>0</v>
      </c>
      <c r="DJ35" s="1936" t="n">
        <f aca="false">ROUND(E35*N35/12,0)</f>
        <v>0</v>
      </c>
    </row>
    <row r="36" s="1414" customFormat="true" ht="15" hidden="false" customHeight="false" outlineLevel="0" collapsed="false">
      <c r="A36" s="406"/>
      <c r="B36" s="614"/>
      <c r="C36" s="614"/>
      <c r="D36" s="1946"/>
      <c r="E36" s="1246" t="n">
        <f aca="false">SUM(E10:E35)</f>
        <v>0</v>
      </c>
      <c r="F36" s="1946" t="s">
        <v>1398</v>
      </c>
      <c r="G36" s="1202"/>
      <c r="H36" s="1202"/>
      <c r="I36" s="614"/>
      <c r="J36" s="614"/>
      <c r="K36" s="614"/>
      <c r="L36" s="614"/>
      <c r="M36" s="614"/>
      <c r="N36" s="614"/>
      <c r="O36" s="1461" t="s">
        <v>1399</v>
      </c>
      <c r="P36" s="1462"/>
      <c r="Q36" s="1462"/>
      <c r="R36" s="1462"/>
      <c r="S36" s="614"/>
      <c r="T36" s="614"/>
      <c r="U36" s="1249" t="n">
        <f aca="false">SUM(V10:V35)</f>
        <v>0</v>
      </c>
      <c r="V36" s="1947"/>
      <c r="W36" s="1250" t="n">
        <f aca="false">ROUND(SUM(W10:W35),0)</f>
        <v>0</v>
      </c>
      <c r="AH36" s="1928" t="n">
        <f aca="false">SUM(AH10:AH35)</f>
        <v>0</v>
      </c>
      <c r="AI36" s="1928" t="n">
        <f aca="false">SUM(AI10:AI35)</f>
        <v>0</v>
      </c>
      <c r="AJ36" s="1928" t="n">
        <f aca="false">SUM(AJ10:AJ35)</f>
        <v>0</v>
      </c>
      <c r="AK36" s="1928" t="n">
        <f aca="false">SUM(AK10:AK35)</f>
        <v>0</v>
      </c>
      <c r="AL36" s="1928" t="n">
        <f aca="false">SUM(AL10:AL35)</f>
        <v>0</v>
      </c>
      <c r="AM36" s="1928" t="n">
        <f aca="false">SUM(AM10:AM35)</f>
        <v>0</v>
      </c>
      <c r="AN36" s="1928" t="n">
        <f aca="false">SUM(AN10:AN35)</f>
        <v>0</v>
      </c>
      <c r="AO36" s="1928" t="n">
        <f aca="false">SUM(AO10:AO35)</f>
        <v>0</v>
      </c>
      <c r="AP36" s="1928" t="n">
        <f aca="false">SUM(AP10:AP35)</f>
        <v>0</v>
      </c>
      <c r="AQ36" s="1928" t="n">
        <f aca="false">SUM(AQ10:AQ35)</f>
        <v>0</v>
      </c>
      <c r="AR36" s="1928" t="n">
        <f aca="false">SUM(AR10:AR35)</f>
        <v>0</v>
      </c>
      <c r="AS36" s="1928" t="n">
        <f aca="false">SUM(AS10:AS35)</f>
        <v>0</v>
      </c>
      <c r="AT36" s="1928" t="n">
        <f aca="false">SUM(AT10:AT35)</f>
        <v>0</v>
      </c>
      <c r="AU36" s="1928" t="n">
        <f aca="false">SUM(AU10:AU35)</f>
        <v>0</v>
      </c>
      <c r="AV36" s="1928" t="n">
        <f aca="false">SUM(AV10:AV35)</f>
        <v>0</v>
      </c>
      <c r="AW36" s="1928" t="n">
        <f aca="false">SUM(AW10:AW35)</f>
        <v>0</v>
      </c>
      <c r="AX36" s="1928" t="n">
        <f aca="false">SUM(AX10:AX35)</f>
        <v>0</v>
      </c>
      <c r="AY36" s="1928" t="n">
        <f aca="false">SUM(AY10:AY35)</f>
        <v>0</v>
      </c>
      <c r="AZ36" s="1928" t="n">
        <f aca="false">SUM(AZ10:AZ35)</f>
        <v>0</v>
      </c>
      <c r="BA36" s="1928" t="n">
        <f aca="false">SUM(BA10:BA35)</f>
        <v>0</v>
      </c>
      <c r="BB36" s="1928" t="n">
        <f aca="false">SUM(BB10:BB35)</f>
        <v>0</v>
      </c>
      <c r="BC36" s="1928" t="n">
        <f aca="false">SUM(BC10:BC35)</f>
        <v>0</v>
      </c>
      <c r="BD36" s="1928" t="n">
        <f aca="false">SUM(BD10:BD35)</f>
        <v>0</v>
      </c>
      <c r="BE36" s="1928" t="n">
        <f aca="false">SUM(BE10:BE35)</f>
        <v>0</v>
      </c>
      <c r="BF36" s="1928" t="n">
        <f aca="false">SUM(BF10:BF35)</f>
        <v>0</v>
      </c>
      <c r="BG36" s="1928" t="n">
        <f aca="false">SUM(BG10:BG35)</f>
        <v>0</v>
      </c>
      <c r="BH36" s="1928" t="n">
        <f aca="false">SUM(BH10:BH35)</f>
        <v>0</v>
      </c>
      <c r="BI36" s="1414" t="n">
        <f aca="false">SUM(BI10:BI35)</f>
        <v>0</v>
      </c>
      <c r="BJ36" s="1932" t="n">
        <f aca="false">SUM(BJ10:BJ35)</f>
        <v>0</v>
      </c>
      <c r="BK36" s="1932" t="n">
        <f aca="false">SUM(BK10:BK35)</f>
        <v>0</v>
      </c>
      <c r="BL36" s="1932" t="n">
        <f aca="false">SUM(BL10:BL35)</f>
        <v>0</v>
      </c>
      <c r="BM36" s="1932" t="n">
        <f aca="false">SUM(BM10:BM35)</f>
        <v>0</v>
      </c>
      <c r="BN36" s="1932" t="n">
        <f aca="false">SUM(BN10:BN35)</f>
        <v>0</v>
      </c>
      <c r="BO36" s="1932" t="n">
        <f aca="false">SUM(BO10:BO35)</f>
        <v>0</v>
      </c>
      <c r="BP36" s="1932" t="n">
        <f aca="false">SUM(BP10:BP35)</f>
        <v>0</v>
      </c>
      <c r="BQ36" s="1932" t="n">
        <f aca="false">SUM(BQ10:BQ35)</f>
        <v>0</v>
      </c>
      <c r="BR36" s="1932" t="n">
        <f aca="false">SUM(BJ36:BQ36)</f>
        <v>0</v>
      </c>
      <c r="BS36" s="1932" t="n">
        <f aca="false">SUM(BS10:BS35)</f>
        <v>0</v>
      </c>
      <c r="BT36" s="1932" t="n">
        <f aca="false">SUM(BT10:BT35)</f>
        <v>0</v>
      </c>
      <c r="BU36" s="1932"/>
      <c r="BV36" s="1932" t="n">
        <f aca="false">SUM(BV10:BV35)</f>
        <v>0</v>
      </c>
      <c r="BW36" s="1932" t="n">
        <f aca="false">SUM(BS36:BV36)</f>
        <v>0</v>
      </c>
      <c r="DB36" s="1948" t="n">
        <f aca="false">SUM(DB10:DB35)</f>
        <v>0</v>
      </c>
      <c r="DC36" s="1948" t="e">
        <f aca="false">SUM(DC10:DC35)</f>
        <v>#DIV/0!</v>
      </c>
      <c r="DD36" s="1254" t="n">
        <f aca="false">SUM(DD10:DD35)</f>
        <v>0</v>
      </c>
      <c r="DE36" s="1254" t="n">
        <f aca="false">SUM(DE10:DE35)</f>
        <v>0</v>
      </c>
      <c r="DF36" s="1254" t="n">
        <f aca="false">SUM(DF10:DF35)</f>
        <v>0</v>
      </c>
      <c r="DG36" s="1254" t="n">
        <f aca="false">SUM(DG10:DG35)</f>
        <v>0</v>
      </c>
      <c r="DH36" s="1949" t="n">
        <f aca="false">SUM(DH10:DH35)</f>
        <v>0</v>
      </c>
      <c r="DI36" s="908" t="n">
        <f aca="false">IF(C36="Y",IF(D36&gt;0,D36,0),0)</f>
        <v>0</v>
      </c>
      <c r="DJ36" s="1254" t="n">
        <f aca="false">SUM(DJ10:DJ35)</f>
        <v>0</v>
      </c>
    </row>
    <row r="37" s="1414" customFormat="true" ht="15" hidden="false" customHeight="false" outlineLevel="0" collapsed="false">
      <c r="A37" s="685"/>
      <c r="B37" s="726"/>
      <c r="C37" s="726"/>
      <c r="D37" s="726"/>
      <c r="E37" s="726"/>
      <c r="F37" s="726"/>
      <c r="G37" s="726"/>
      <c r="H37" s="726"/>
      <c r="I37" s="726"/>
      <c r="J37" s="726"/>
      <c r="K37" s="726"/>
      <c r="L37" s="726"/>
      <c r="M37" s="726"/>
      <c r="N37" s="726"/>
      <c r="O37" s="1950" t="s">
        <v>1400</v>
      </c>
      <c r="P37" s="1951"/>
      <c r="Q37" s="1951"/>
      <c r="R37" s="1951"/>
      <c r="S37" s="726"/>
      <c r="T37" s="726"/>
      <c r="U37" s="1952" t="n">
        <f aca="false">ROUNDUP(U36/2000,0)</f>
        <v>0</v>
      </c>
      <c r="V37" s="1258"/>
      <c r="W37" s="1258"/>
      <c r="BJ37" s="1948" t="n">
        <f aca="false">N56+N57+N58</f>
        <v>0</v>
      </c>
      <c r="BK37" s="1948" t="n">
        <f aca="false">SUM(N51:O55)</f>
        <v>0</v>
      </c>
      <c r="BL37" s="1948" t="n">
        <f aca="false">N59+N60</f>
        <v>0</v>
      </c>
      <c r="BM37" s="1948" t="n">
        <f aca="false">N67+N68+N69+N70</f>
        <v>0</v>
      </c>
      <c r="BN37" s="1948" t="n">
        <f aca="false">N66</f>
        <v>0</v>
      </c>
      <c r="BO37" s="1948" t="n">
        <f aca="false">N71</f>
        <v>0</v>
      </c>
      <c r="BP37" s="1948" t="n">
        <f aca="false">N74+N73+N72</f>
        <v>0</v>
      </c>
      <c r="BQ37" s="1948" t="n">
        <f aca="false">N83+N84+N85+N86+N87+N88+N90+N91+N92+N93+N94+N95+N96+W95+L79+N81</f>
        <v>0</v>
      </c>
      <c r="BR37" s="1948" t="n">
        <f aca="false">S40</f>
        <v>0</v>
      </c>
      <c r="DB37" s="1948" t="n">
        <f aca="false">D40-DB36</f>
        <v>0</v>
      </c>
      <c r="DC37" s="1948" t="e">
        <f aca="false">DC36-D40</f>
        <v>#DIV/0!</v>
      </c>
      <c r="DD37" s="1414" t="n">
        <f aca="false">SUM(DD10:DD36)</f>
        <v>0</v>
      </c>
      <c r="DE37" s="1414" t="n">
        <f aca="false">SUM(DE10:DE36)</f>
        <v>0</v>
      </c>
      <c r="DF37" s="1414" t="n">
        <f aca="false">SUM(DF10:DF36)</f>
        <v>0</v>
      </c>
      <c r="DG37" s="1414" t="n">
        <f aca="false">SUM(DG10:DG36)</f>
        <v>0</v>
      </c>
      <c r="DH37" s="1414" t="n">
        <f aca="false">SUM(DH10:DH36)</f>
        <v>0</v>
      </c>
      <c r="DI37" s="1247" t="n">
        <f aca="false">SUM(DI10:DI36)</f>
        <v>0</v>
      </c>
      <c r="DJ37" s="1414" t="n">
        <f aca="false">SUM(DJ10:DJ36)</f>
        <v>0</v>
      </c>
    </row>
    <row r="38" s="1414" customFormat="true" ht="15" hidden="false" customHeight="false" outlineLevel="0" collapsed="false">
      <c r="A38" s="949"/>
      <c r="B38" s="950"/>
      <c r="C38" s="951" t="s">
        <v>1261</v>
      </c>
      <c r="D38" s="952"/>
      <c r="E38" s="952"/>
      <c r="F38" s="950"/>
      <c r="G38" s="950"/>
      <c r="H38" s="950"/>
      <c r="I38" s="950"/>
      <c r="J38" s="950"/>
      <c r="K38" s="954"/>
      <c r="L38" s="950"/>
      <c r="M38" s="950"/>
      <c r="N38" s="950"/>
      <c r="O38" s="1165"/>
      <c r="P38" s="950"/>
      <c r="Q38" s="950"/>
      <c r="R38" s="950"/>
      <c r="S38" s="950"/>
      <c r="T38" s="950"/>
      <c r="U38" s="950"/>
      <c r="V38" s="950"/>
      <c r="W38" s="957"/>
      <c r="BJ38" s="1948" t="n">
        <f aca="false">BJ36-BJ37</f>
        <v>0</v>
      </c>
      <c r="BK38" s="1948" t="n">
        <f aca="false">BK36-BK37</f>
        <v>0</v>
      </c>
      <c r="BL38" s="1948" t="n">
        <f aca="false">BL36-BL37</f>
        <v>0</v>
      </c>
      <c r="BM38" s="1948" t="n">
        <f aca="false">BM36-BM37</f>
        <v>0</v>
      </c>
      <c r="BN38" s="1948" t="n">
        <f aca="false">BN36-BN37</f>
        <v>0</v>
      </c>
      <c r="BO38" s="1948" t="n">
        <f aca="false">BO36-BO37</f>
        <v>0</v>
      </c>
      <c r="BP38" s="1948" t="n">
        <f aca="false">BP36-BP37</f>
        <v>0</v>
      </c>
      <c r="BQ38" s="1948" t="n">
        <f aca="false">BQ36-BQ37</f>
        <v>0</v>
      </c>
      <c r="BR38" s="1948" t="n">
        <f aca="false">BR36-BR37</f>
        <v>0</v>
      </c>
    </row>
    <row r="39" s="1414" customFormat="true" ht="28.55" hidden="false" customHeight="false" outlineLevel="0" collapsed="false">
      <c r="A39" s="958" t="s">
        <v>1262</v>
      </c>
      <c r="B39" s="958"/>
      <c r="C39" s="958"/>
      <c r="D39" s="1642" t="s">
        <v>982</v>
      </c>
      <c r="E39" s="1644"/>
      <c r="F39" s="1953" t="s">
        <v>1263</v>
      </c>
      <c r="G39" s="1643"/>
      <c r="H39" s="1644"/>
      <c r="I39" s="1167" t="s">
        <v>1264</v>
      </c>
      <c r="J39" s="1168"/>
      <c r="K39" s="1169"/>
      <c r="L39" s="1170" t="s">
        <v>1265</v>
      </c>
      <c r="M39" s="1171"/>
      <c r="N39" s="1171"/>
      <c r="O39" s="1172"/>
      <c r="P39" s="961"/>
      <c r="Q39" s="836" t="s">
        <v>1266</v>
      </c>
      <c r="R39" s="1068"/>
      <c r="S39" s="1068" t="s">
        <v>1267</v>
      </c>
      <c r="T39" s="1954" t="str">
        <f aca="false">Summary!P62</f>
        <v>N</v>
      </c>
      <c r="U39" s="1419" t="s">
        <v>1268</v>
      </c>
      <c r="V39" s="1955" t="n">
        <f aca="false">Summary!R62</f>
        <v>0.0825</v>
      </c>
      <c r="W39" s="964"/>
      <c r="DD39" s="1414" t="s">
        <v>1401</v>
      </c>
      <c r="DF39" s="1414" t="s">
        <v>1402</v>
      </c>
    </row>
    <row r="40" s="1414" customFormat="true" ht="15" hidden="false" customHeight="false" outlineLevel="0" collapsed="false">
      <c r="A40" s="965" t="s">
        <v>1269</v>
      </c>
      <c r="B40" s="966" t="n">
        <f aca="false">IF(BF36=0,0,D40/BF36)</f>
        <v>0</v>
      </c>
      <c r="C40" s="966"/>
      <c r="D40" s="967" t="n">
        <f aca="false">(S40-N96)*(1+L40)</f>
        <v>0</v>
      </c>
      <c r="E40" s="967"/>
      <c r="F40" s="1956" t="n">
        <f aca="false">IF(D40=0,0,G40/D40)</f>
        <v>0</v>
      </c>
      <c r="G40" s="1038" t="n">
        <f aca="false">(D40-S40)</f>
        <v>0</v>
      </c>
      <c r="H40" s="1038"/>
      <c r="I40" s="1957" t="n">
        <f aca="false">IF(BF36=0,0,S40/BF36)</f>
        <v>0</v>
      </c>
      <c r="J40" s="1957"/>
      <c r="K40" s="1958"/>
      <c r="L40" s="1959" t="n">
        <f aca="false">Summary!P59</f>
        <v>0.18</v>
      </c>
      <c r="M40" s="1960"/>
      <c r="N40" s="1960"/>
      <c r="O40" s="1961"/>
      <c r="P40" s="1265"/>
      <c r="Q40" s="970" t="s">
        <v>980</v>
      </c>
      <c r="R40" s="16"/>
      <c r="S40" s="971" t="n">
        <f aca="false">SUM(N51:O63)+SUM(N66:O75)+SUM(N78:O80)+SUM(N83:O88)+SUM(N90:O96)+W95+N64+SUM(K66:L75)+N81</f>
        <v>0</v>
      </c>
      <c r="T40" s="971"/>
      <c r="U40" s="1659"/>
      <c r="V40" s="843"/>
      <c r="W40" s="964"/>
      <c r="DB40" s="175"/>
      <c r="DC40" s="1268" t="s">
        <v>1403</v>
      </c>
      <c r="DD40" s="1269" t="n">
        <v>458</v>
      </c>
      <c r="DE40" s="1270"/>
    </row>
    <row r="41" s="1414" customFormat="true" ht="15" hidden="false" customHeight="false" outlineLevel="0" collapsed="false">
      <c r="A41" s="965"/>
      <c r="B41" s="1649"/>
      <c r="C41" s="1962" t="str">
        <f aca="false">IF(ROUND(D41,0)=0,"BINGO!!",IF(ROUND(D41,0)&lt;0,"To Low","T0 High"))</f>
        <v>BINGO!!</v>
      </c>
      <c r="D41" s="1963" t="n">
        <f aca="false">D40-D38</f>
        <v>0</v>
      </c>
      <c r="E41" s="1963"/>
      <c r="F41" s="1964"/>
      <c r="G41" s="1965"/>
      <c r="H41" s="1965"/>
      <c r="I41" s="1966"/>
      <c r="J41" s="1966"/>
      <c r="K41" s="1966"/>
      <c r="L41" s="1967"/>
      <c r="M41" s="1967"/>
      <c r="N41" s="1967"/>
      <c r="O41" s="1968"/>
      <c r="P41" s="1265"/>
      <c r="Q41" s="1969"/>
      <c r="R41" s="1058"/>
      <c r="S41" s="1970"/>
      <c r="T41" s="1970"/>
      <c r="U41" s="1970"/>
      <c r="V41" s="1971"/>
      <c r="W41" s="964"/>
      <c r="DC41" s="1004" t="s">
        <v>1406</v>
      </c>
      <c r="DD41" s="1278" t="n">
        <v>-5</v>
      </c>
      <c r="DE41" s="1279"/>
      <c r="DF41" s="1280" t="n">
        <f aca="false">DD40+DD41</f>
        <v>453</v>
      </c>
    </row>
    <row r="42" s="1414" customFormat="true" ht="15" hidden="false" customHeight="false" outlineLevel="0" collapsed="false">
      <c r="A42" s="1972" t="s">
        <v>1693</v>
      </c>
      <c r="B42" s="1973" t="n">
        <f aca="false">IF(F42=0,B40,IF(BF36=0,0,BV36/BF36)*(1+L40))</f>
        <v>0</v>
      </c>
      <c r="C42" s="1973"/>
      <c r="D42" s="1974" t="s">
        <v>1694</v>
      </c>
      <c r="E42" s="1974"/>
      <c r="F42" s="1975" t="n">
        <f aca="false">IF(BG36=0,0,(BT36+BS36)/BG36)*(1+L40)</f>
        <v>0</v>
      </c>
      <c r="G42" s="1975"/>
      <c r="H42" s="1976" t="s">
        <v>1270</v>
      </c>
      <c r="I42" s="1977"/>
      <c r="J42" s="1978"/>
      <c r="K42" s="1979"/>
      <c r="L42" s="972"/>
      <c r="M42" s="1980" t="n">
        <f aca="false">IF(J42&gt;0,(J42-D40)/(1+L40),0)</f>
        <v>0</v>
      </c>
      <c r="N42" s="1981"/>
      <c r="O42" s="984"/>
      <c r="P42" s="973"/>
      <c r="Q42" s="973"/>
      <c r="R42" s="973"/>
      <c r="S42" s="983" t="n">
        <f aca="false">AE1</f>
        <v>0</v>
      </c>
      <c r="T42" s="983"/>
      <c r="U42" s="1982"/>
      <c r="V42" s="973"/>
      <c r="W42" s="984"/>
      <c r="DC42" s="1004" t="s">
        <v>1409</v>
      </c>
      <c r="DD42" s="1278" t="n">
        <v>460</v>
      </c>
      <c r="DE42" s="1279"/>
      <c r="DF42" s="1284" t="n">
        <f aca="false">DD42-DD40</f>
        <v>2</v>
      </c>
    </row>
    <row r="43" s="1414" customFormat="true" ht="15" hidden="false" customHeight="false" outlineLevel="0" collapsed="false">
      <c r="A43" s="654"/>
      <c r="B43" s="654"/>
      <c r="C43" s="654"/>
      <c r="D43" s="654"/>
      <c r="E43" s="654"/>
      <c r="F43" s="654"/>
      <c r="G43" s="654"/>
      <c r="H43" s="654"/>
      <c r="I43" s="654" t="s">
        <v>1061</v>
      </c>
      <c r="J43" s="654" t="s">
        <v>1083</v>
      </c>
      <c r="K43" s="654"/>
      <c r="L43" s="654"/>
      <c r="M43" s="654"/>
      <c r="N43" s="654"/>
      <c r="O43" s="654"/>
      <c r="P43" s="654"/>
      <c r="Q43" s="654"/>
      <c r="R43" s="654" t="s">
        <v>1695</v>
      </c>
      <c r="S43" s="654"/>
      <c r="T43" s="664" t="n">
        <f aca="false">IF(SUM(W77:W82)=0,0,SUM(W77:W82)/H67)</f>
        <v>0</v>
      </c>
      <c r="U43" s="654" t="s">
        <v>1696</v>
      </c>
      <c r="V43" s="654"/>
      <c r="W43" s="654"/>
      <c r="DB43" s="246"/>
      <c r="DC43" s="246"/>
      <c r="DD43" s="1288"/>
      <c r="DE43" s="749"/>
      <c r="DF43" s="1288"/>
    </row>
    <row r="44" s="1414" customFormat="true" ht="15" hidden="false" customHeight="false" outlineLevel="0" collapsed="false">
      <c r="A44" s="16" t="s">
        <v>1697</v>
      </c>
      <c r="B44" s="1983"/>
      <c r="C44" s="1983"/>
      <c r="D44" s="1984"/>
      <c r="E44" s="1985"/>
      <c r="F44" s="1986"/>
      <c r="G44" s="1987"/>
      <c r="H44" s="1984"/>
      <c r="I44" s="1706"/>
      <c r="J44" s="1271"/>
      <c r="K44" s="1271"/>
      <c r="L44" s="1271"/>
      <c r="M44" s="1271"/>
      <c r="N44" s="990" t="s">
        <v>721</v>
      </c>
      <c r="O44" s="990"/>
      <c r="P44" s="1274" t="s">
        <v>1272</v>
      </c>
      <c r="Q44" s="654"/>
      <c r="R44" s="783" t="s">
        <v>1698</v>
      </c>
      <c r="S44" s="1988"/>
      <c r="T44" s="1989" t="n">
        <f aca="false">IF(H67=0,0,(N64+W95-W77-W78-W79-W81-W82-W72-W71-W70-W69-W68-W67)/H67)</f>
        <v>0</v>
      </c>
      <c r="U44" s="1990" t="s">
        <v>1699</v>
      </c>
      <c r="V44" s="1991"/>
      <c r="W44" s="654"/>
    </row>
    <row r="45" s="1414" customFormat="true" ht="15" hidden="false" customHeight="false" outlineLevel="0" collapsed="false">
      <c r="A45" s="654"/>
      <c r="B45" s="1983"/>
      <c r="C45" s="1983"/>
      <c r="D45" s="1984"/>
      <c r="E45" s="1986"/>
      <c r="F45" s="1986"/>
      <c r="G45" s="1984"/>
      <c r="H45" s="1984"/>
      <c r="I45" s="1983"/>
      <c r="J45" s="1716"/>
      <c r="K45" s="1271"/>
      <c r="L45" s="1271"/>
      <c r="M45" s="1271"/>
      <c r="N45" s="1000" t="s">
        <v>1274</v>
      </c>
      <c r="O45" s="1001"/>
      <c r="P45" s="1002"/>
      <c r="Q45" s="1547"/>
      <c r="R45" s="1547" t="s">
        <v>1146</v>
      </c>
      <c r="S45" s="1547" t="s">
        <v>1268</v>
      </c>
      <c r="T45" s="1547" t="s">
        <v>1700</v>
      </c>
      <c r="U45" s="1547" t="s">
        <v>1701</v>
      </c>
      <c r="V45" s="1547"/>
      <c r="W45" s="1994"/>
    </row>
    <row r="46" s="1414" customFormat="true" ht="15" hidden="false" customHeight="false" outlineLevel="0" collapsed="false">
      <c r="A46" s="654"/>
      <c r="B46" s="1983"/>
      <c r="C46" s="1983"/>
      <c r="D46" s="1272"/>
      <c r="E46" s="1271"/>
      <c r="F46" s="1710"/>
      <c r="G46" s="1271"/>
      <c r="H46" s="1271"/>
      <c r="I46" s="1716"/>
      <c r="J46" s="1271"/>
      <c r="K46" s="1271"/>
      <c r="L46" s="1271"/>
      <c r="M46" s="1271"/>
      <c r="N46" s="1008" t="s">
        <v>1276</v>
      </c>
      <c r="O46" s="1009" t="n">
        <f aca="false">K56</f>
        <v>0</v>
      </c>
      <c r="P46" s="1285" t="n">
        <f aca="false">N56</f>
        <v>0</v>
      </c>
      <c r="Q46" s="654" t="s">
        <v>1702</v>
      </c>
      <c r="R46" s="656" t="n">
        <f aca="false">N67</f>
        <v>0</v>
      </c>
      <c r="S46" s="1996" t="n">
        <v>17.5</v>
      </c>
      <c r="T46" s="664" t="n">
        <f aca="false">S46*1.3</f>
        <v>22.75</v>
      </c>
      <c r="U46" s="1997" t="n">
        <f aca="false">R46/T46</f>
        <v>0</v>
      </c>
      <c r="V46" s="1998" t="e">
        <f aca="false">H67/U46</f>
        <v>#DIV/0!</v>
      </c>
      <c r="W46" s="1998"/>
    </row>
    <row r="47" s="1414" customFormat="true" ht="15" hidden="false" customHeight="false" outlineLevel="0" collapsed="false">
      <c r="A47" s="654"/>
      <c r="B47" s="1983"/>
      <c r="C47" s="1983"/>
      <c r="D47" s="1271"/>
      <c r="E47" s="1271"/>
      <c r="F47" s="1271"/>
      <c r="G47" s="1271"/>
      <c r="H47" s="1271"/>
      <c r="I47" s="1716"/>
      <c r="J47" s="1271"/>
      <c r="K47" s="1271"/>
      <c r="L47" s="1271"/>
      <c r="M47" s="1271"/>
      <c r="N47" s="1271"/>
      <c r="O47" s="1271"/>
      <c r="P47" s="654"/>
      <c r="Q47" s="859" t="s">
        <v>1703</v>
      </c>
      <c r="R47" s="656" t="n">
        <f aca="false">N68</f>
        <v>0</v>
      </c>
      <c r="S47" s="1996" t="n">
        <v>17.5</v>
      </c>
      <c r="T47" s="664" t="n">
        <f aca="false">S47*1.3</f>
        <v>22.75</v>
      </c>
      <c r="U47" s="1997" t="n">
        <f aca="false">R47/T47</f>
        <v>0</v>
      </c>
      <c r="V47" s="2001" t="e">
        <f aca="false">(K52+K55)/U47</f>
        <v>#DIV/0!</v>
      </c>
      <c r="W47" s="2001"/>
    </row>
    <row r="48" s="1414" customFormat="true" ht="15" hidden="false" customHeight="false" outlineLevel="0" collapsed="false">
      <c r="A48" s="16"/>
      <c r="B48" s="1983"/>
      <c r="C48" s="1983"/>
      <c r="D48" s="1271"/>
      <c r="E48" s="1271"/>
      <c r="F48" s="1271"/>
      <c r="G48" s="1271"/>
      <c r="H48" s="1271"/>
      <c r="I48" s="1716"/>
      <c r="J48" s="1271"/>
      <c r="K48" s="1271"/>
      <c r="L48" s="1271"/>
      <c r="M48" s="1271"/>
      <c r="N48" s="1271"/>
      <c r="O48" s="1271"/>
      <c r="Q48" s="785"/>
      <c r="R48" s="784"/>
      <c r="S48" s="784"/>
      <c r="T48" s="784"/>
      <c r="U48" s="2002"/>
      <c r="V48" s="2002"/>
      <c r="W48" s="2003"/>
      <c r="DD48" s="1414" t="n">
        <f aca="false">2.52/7.53</f>
        <v>0.334661354581673</v>
      </c>
    </row>
    <row r="49" s="1414" customFormat="true" ht="15" hidden="false" customHeight="false" outlineLevel="0" collapsed="false">
      <c r="A49" s="654"/>
      <c r="B49" s="654"/>
      <c r="C49" s="654"/>
      <c r="D49" s="654"/>
      <c r="E49" s="654"/>
      <c r="F49" s="654"/>
      <c r="G49" s="654"/>
      <c r="H49" s="654"/>
      <c r="I49" s="656"/>
      <c r="J49" s="654"/>
      <c r="K49" s="656"/>
      <c r="L49" s="654"/>
      <c r="M49" s="654"/>
      <c r="N49" s="654"/>
      <c r="O49" s="654"/>
      <c r="P49" s="654"/>
      <c r="Q49" s="654"/>
      <c r="R49" s="654"/>
      <c r="S49" s="654"/>
      <c r="T49" s="726"/>
      <c r="U49" s="726"/>
      <c r="V49" s="726"/>
      <c r="W49" s="726"/>
      <c r="DB49" s="1414" t="n">
        <f aca="false">SUM(DE51:DE62)*(1+J56)</f>
        <v>38.861320265625</v>
      </c>
      <c r="DC49" s="427" t="s">
        <v>612</v>
      </c>
    </row>
    <row r="50" s="1414" customFormat="true" ht="42.1" hidden="false" customHeight="false" outlineLevel="0" collapsed="false">
      <c r="A50" s="1017" t="s">
        <v>1280</v>
      </c>
      <c r="B50" s="1296" t="s">
        <v>1281</v>
      </c>
      <c r="C50" s="1297"/>
      <c r="D50" s="1297"/>
      <c r="E50" s="1297"/>
      <c r="F50" s="1297"/>
      <c r="G50" s="1297"/>
      <c r="H50" s="1297"/>
      <c r="I50" s="1297"/>
      <c r="J50" s="1019" t="s">
        <v>1282</v>
      </c>
      <c r="K50" s="1020" t="str">
        <f aca="false">IF(ROUND(SUM(K51:K55),0)=W36,"Good","Missing Concrete!!!")</f>
        <v>Good</v>
      </c>
      <c r="L50" s="1020"/>
      <c r="M50" s="1297"/>
      <c r="N50" s="1297"/>
      <c r="O50" s="1298"/>
      <c r="P50" s="1299" t="s">
        <v>1284</v>
      </c>
      <c r="Q50" s="1022" t="s">
        <v>1283</v>
      </c>
      <c r="R50" s="1223"/>
      <c r="S50" s="879" t="s">
        <v>835</v>
      </c>
      <c r="T50" s="1023"/>
      <c r="U50" s="1024" t="s">
        <v>518</v>
      </c>
      <c r="V50" s="1023"/>
      <c r="W50" s="1025"/>
      <c r="DB50" s="1301" t="s">
        <v>1259</v>
      </c>
      <c r="DC50" s="1302" t="s">
        <v>1215</v>
      </c>
      <c r="DD50" s="1303" t="s">
        <v>1369</v>
      </c>
      <c r="DE50" s="1304" t="s">
        <v>1414</v>
      </c>
    </row>
    <row r="51" s="1414" customFormat="true" ht="18" hidden="false" customHeight="true" outlineLevel="0" collapsed="false">
      <c r="A51" s="2004" t="n">
        <v>1</v>
      </c>
      <c r="B51" s="1028" t="str">
        <f aca="false">IF(A51=1,Pricing!F$2,IF(A51=2,Pricing!G$2,IF(A51=3,Pricing!H$2,IF(A51=4,Pricing!I$2,IF(A51=5,Pricing!J$2,IF(A51=6,Pricing!K$2,IF(A51=7,Pricing!L$2,IF(A51=8,Pricing!M$2,IF(A51=9,Pricing!N$2,IF(A51=10,Pricing!O$2,0))))))))))</f>
        <v>3,000 PSI 5sk /Ash and Air</v>
      </c>
      <c r="C51" s="1726"/>
      <c r="D51" s="1726"/>
      <c r="E51" s="1726"/>
      <c r="F51" s="1048" t="n">
        <f aca="false">IF(A51=1,Pricing!F$3,IF(A51=2,Pricing!G$3,IF(A51=3,Pricing!H$3,IF(A51=4,Pricing!I$3,IF(A51=5,Pricing!J$3,IF(A51=6,Pricing!K$3,IF(A51=7,Pricing!L$3,IF(A51=8,Pricing!M$3,IF(A51=9,Pricing!N$3,IF(A51=10,Pricing!O$3))))))))))</f>
        <v>134</v>
      </c>
      <c r="G51" s="16" t="s">
        <v>1285</v>
      </c>
      <c r="H51" s="2005"/>
      <c r="I51" s="2005"/>
      <c r="J51" s="1334" t="n">
        <v>0.06</v>
      </c>
      <c r="K51" s="1051" t="n">
        <f aca="false">IF(A51=1,AR$36,IF(A51=2,AS$36,IF(A51=3,AT$36,IF(A51=4,AU$36,IF(A51=5,AV$36,IF(A51=6,AW$36,IF(A51=7,AX$36,IF(A51=8,AY$36,IF(A51=9,AZ$36,IF(A51=10,BA$36))))))))))+IF(A51=1,AH$36,IF(A51=2,AI$36,IF(A51=3,AJ$36,IF(A51=4,AK$36,IF(A51=5,AL$36,IF(A51=6,AM$36,IF(A51=7,AN$36,IF(A51=8,AOJ$36,IF(A51=9,AP$36,IF(A51=10,AQ$36))))))))))</f>
        <v>0</v>
      </c>
      <c r="L51" s="1051"/>
      <c r="M51" s="15" t="s">
        <v>1286</v>
      </c>
      <c r="N51" s="1318" t="n">
        <f aca="false">K51*F51*(IF(T$39="N",1+V$39,1))</f>
        <v>0</v>
      </c>
      <c r="O51" s="1318"/>
      <c r="P51" s="1306"/>
      <c r="Q51" s="920" t="s">
        <v>1415</v>
      </c>
      <c r="R51" s="78"/>
      <c r="S51" s="1307" t="n">
        <v>0.4</v>
      </c>
      <c r="T51" s="78"/>
      <c r="U51" s="1308" t="n">
        <f aca="false">BJ71</f>
        <v>0</v>
      </c>
      <c r="V51" s="78"/>
      <c r="W51" s="1309"/>
      <c r="DB51" s="149" t="n">
        <v>20</v>
      </c>
      <c r="DC51" s="150" t="n">
        <v>4</v>
      </c>
      <c r="DD51" s="151" t="n">
        <v>1</v>
      </c>
      <c r="DE51" s="152" t="n">
        <f aca="false">DB51*(DC51*DC51*0.04180884375)*DD51</f>
        <v>13.37883</v>
      </c>
    </row>
    <row r="52" s="1414" customFormat="true" ht="18" hidden="false" customHeight="true" outlineLevel="0" collapsed="false">
      <c r="A52" s="2006" t="n">
        <v>2</v>
      </c>
      <c r="B52" s="599" t="str">
        <f aca="false">IF(A52=1,Pricing!F$2,IF(A52=2,Pricing!G$2,IF(A52=3,Pricing!H$2,IF(A52=4,Pricing!I$2,IF(A52=5,Pricing!J$2,IF(A52=6,Pricing!K$2,IF(A52=7,Pricing!L$2,IF(A52=8,Pricing!M$2,IF(A52=9,Pricing!N$2,IF(A52=10,Pricing!O$2,0))))))))))</f>
        <v>3,000 PSI / Ash no Air</v>
      </c>
      <c r="C52" s="16"/>
      <c r="D52" s="16"/>
      <c r="E52" s="16"/>
      <c r="F52" s="1048" t="n">
        <f aca="false">IF(A52=1,Pricing!F$3,IF(A52=2,Pricing!G$3,IF(A52=3,Pricing!H$3,IF(A52=4,Pricing!I$3,IF(A52=5,Pricing!J$3,IF(A52=6,Pricing!K$3,IF(A52=7,Pricing!L$3,IF(A52=8,Pricing!M$3,IF(A52=9,Pricing!N$3,IF(A52=10,Pricing!O$3))))))))))</f>
        <v>145</v>
      </c>
      <c r="G52" s="16" t="s">
        <v>1285</v>
      </c>
      <c r="H52" s="2005"/>
      <c r="I52" s="2005"/>
      <c r="J52" s="1334"/>
      <c r="K52" s="1310" t="n">
        <f aca="false">IF(A52=1,AR$36,IF(A52=2,AS$36,IF(A52=3,AT$36,IF(A52=4,AU$36,IF(A52=5,AV$36,IF(A52=6,AW$36))))))+IF(A52=1,AH$36,IF(A52=2,AI$36,IF(A52=3,AJ$36,IF(A52=4,AK$36,IF(A52=5,AL$36,IF(A52=6,AM$36))))))</f>
        <v>0</v>
      </c>
      <c r="L52" s="1310"/>
      <c r="M52" s="15" t="s">
        <v>1286</v>
      </c>
      <c r="N52" s="1305" t="n">
        <f aca="false">K52*F52*(IF(T$39="N",1+V$39,1))</f>
        <v>0</v>
      </c>
      <c r="O52" s="1305"/>
      <c r="P52" s="1306" t="s">
        <v>1069</v>
      </c>
      <c r="Q52" s="920" t="s">
        <v>526</v>
      </c>
      <c r="R52" s="78"/>
      <c r="S52" s="1311" t="n">
        <f aca="false">H67*3.6*S51</f>
        <v>0</v>
      </c>
      <c r="T52" s="1312" t="s">
        <v>1704</v>
      </c>
      <c r="U52" s="1308" t="n">
        <f aca="false">Pricing!Q4</f>
        <v>0.859375</v>
      </c>
      <c r="V52" s="78" t="s">
        <v>527</v>
      </c>
      <c r="W52" s="1309" t="n">
        <f aca="false">IF(T$39="Y",S52*U52,S52*U52*(1+V$39))</f>
        <v>0</v>
      </c>
      <c r="DB52" s="149" t="n">
        <v>3</v>
      </c>
      <c r="DC52" s="150" t="n">
        <v>5</v>
      </c>
      <c r="DD52" s="151" t="n">
        <v>3</v>
      </c>
      <c r="DE52" s="152" t="n">
        <f aca="false">DB52*(DC52*DC52*0.04180884375)*DD52</f>
        <v>9.40698984375</v>
      </c>
    </row>
    <row r="53" s="1414" customFormat="true" ht="18" hidden="false" customHeight="true" outlineLevel="0" collapsed="false">
      <c r="A53" s="2007" t="n">
        <v>3</v>
      </c>
      <c r="B53" s="599" t="str">
        <f aca="false">IF(A53=1,Pricing!F$2,IF(A53=2,Pricing!G$2,IF(A53=3,Pricing!H$2,IF(A53=4,Pricing!I$2,IF(A53=5,Pricing!J$2,IF(A53=6,Pricing!K$2,IF(A53=7,Pricing!L$2,IF(A53=8,Pricing!M$2,IF(A53=9,Pricing!N$2,IF(A53=10,Pricing!O$2,0))))))))))</f>
        <v>3,500 PSI 5.5sk /Ash and Air</v>
      </c>
      <c r="C53" s="16"/>
      <c r="D53" s="16"/>
      <c r="E53" s="16"/>
      <c r="F53" s="1048" t="n">
        <f aca="false">IF(A53=1,Pricing!F$3,IF(A53=2,Pricing!G$3,IF(A53=3,Pricing!H$3,IF(A53=4,Pricing!I$3,IF(A53=5,Pricing!J$3,IF(A53=6,Pricing!K$3,IF(A53=7,Pricing!L$3,IF(A53=8,Pricing!M$3,IF(A53=9,Pricing!N$3,IF(A53=10,Pricing!O$3))))))))))</f>
        <v>140</v>
      </c>
      <c r="G53" s="16" t="s">
        <v>1285</v>
      </c>
      <c r="H53" s="2005"/>
      <c r="I53" s="2005"/>
      <c r="J53" s="1334"/>
      <c r="K53" s="1310" t="n">
        <f aca="false">IF(A53=1,AR$36,IF(A53=2,AS$36,IF(A53=3,AT$36,IF(A53=4,AU$36,IF(A53=5,AV$36,IF(A53=6,AW$36))))))+IF(A53=1,AH$36,IF(A53=2,AI$36,IF(A53=3,AJ$36,IF(A53=4,AK$36,IF(A53=5,AL$36,IF(A53=6,AM$36))))))</f>
        <v>0</v>
      </c>
      <c r="L53" s="1310"/>
      <c r="M53" s="15" t="s">
        <v>1286</v>
      </c>
      <c r="N53" s="1305" t="n">
        <f aca="false">K53*F53*(IF(T$39="N",1+V$39,1))</f>
        <v>0</v>
      </c>
      <c r="O53" s="1305"/>
      <c r="P53" s="1306"/>
      <c r="Q53" s="920"/>
      <c r="R53" s="78"/>
      <c r="S53" s="1311"/>
      <c r="T53" s="1312"/>
      <c r="U53" s="1308"/>
      <c r="V53" s="78"/>
      <c r="W53" s="1309" t="n">
        <f aca="false">IF(T$39="Y",S53*U53,S53*U53*(1+V$39))</f>
        <v>0</v>
      </c>
      <c r="DB53" s="149"/>
      <c r="DC53" s="150"/>
      <c r="DD53" s="151"/>
      <c r="DE53" s="152"/>
    </row>
    <row r="54" s="1414" customFormat="true" ht="18" hidden="false" customHeight="true" outlineLevel="0" collapsed="false">
      <c r="A54" s="2007" t="n">
        <v>4</v>
      </c>
      <c r="B54" s="599" t="str">
        <f aca="false">IF(A54=1,Pricing!F$2,IF(A54=2,Pricing!G$2,IF(A54=3,Pricing!H$2,IF(A54=4,Pricing!I$2,IF(A54=5,Pricing!J$2,IF(A54=6,Pricing!K$2,IF(A54=7,Pricing!L$2,IF(A54=8,Pricing!M$2,IF(A54=9,Pricing!N$2,IF(A54=10,Pricing!O$2,0))))))))))</f>
        <v>3,500 PSI /Ash No Air</v>
      </c>
      <c r="C54" s="16"/>
      <c r="D54" s="16"/>
      <c r="E54" s="16"/>
      <c r="F54" s="1048" t="n">
        <f aca="false">IF(A54=1,Pricing!F$3,IF(A54=2,Pricing!G$3,IF(A54=3,Pricing!H$3,IF(A54=4,Pricing!I$3,IF(A54=5,Pricing!J$3,IF(A54=6,Pricing!K$3,IF(A54=7,Pricing!L$3,IF(A54=8,Pricing!M$3,IF(A54=9,Pricing!N$3,IF(A54=10,Pricing!O$3))))))))))</f>
        <v>140</v>
      </c>
      <c r="G54" s="16" t="s">
        <v>1285</v>
      </c>
      <c r="H54" s="2005"/>
      <c r="I54" s="2005"/>
      <c r="J54" s="1334"/>
      <c r="K54" s="1310" t="n">
        <f aca="false">IF(A54=1,AR$36,IF(A54=2,AS$36,IF(A54=3,AT$36,IF(A54=4,AU$36,IF(A54=5,AV$36,IF(A54=6,AW$36))))))+IF(A54=1,AH$36,IF(A54=2,AI$36,IF(A54=3,AJ$36,IF(A54=4,AK$36,IF(A54=5,AL$36,IF(A54=6,AM$36))))))</f>
        <v>0</v>
      </c>
      <c r="L54" s="1310"/>
      <c r="M54" s="15" t="s">
        <v>1286</v>
      </c>
      <c r="N54" s="1305" t="n">
        <f aca="false">K54*F54*(IF(T$39="N",1+V$39,1))</f>
        <v>0</v>
      </c>
      <c r="O54" s="1305"/>
      <c r="P54" s="1306"/>
      <c r="Q54" s="920"/>
      <c r="R54" s="78"/>
      <c r="S54" s="1311"/>
      <c r="T54" s="1312"/>
      <c r="U54" s="1308"/>
      <c r="V54" s="78"/>
      <c r="W54" s="1309" t="n">
        <f aca="false">IF(T$39="Y",S54*U54,S54*U54*(1+V$39))</f>
        <v>0</v>
      </c>
      <c r="DB54" s="149"/>
      <c r="DC54" s="150"/>
      <c r="DD54" s="151"/>
      <c r="DE54" s="152"/>
    </row>
    <row r="55" s="1414" customFormat="true" ht="18" hidden="false" customHeight="true" outlineLevel="0" collapsed="false">
      <c r="A55" s="2008" t="n">
        <v>5</v>
      </c>
      <c r="B55" s="1044" t="str">
        <f aca="false">IF(A55=1,Pricing!F$2,IF(A55=2,Pricing!G$2,IF(A55=3,Pricing!H$2,IF(A55=4,Pricing!I$2,IF(A55=5,Pricing!J$2,IF(A55=6,Pricing!K$2,IF(A55=7,Pricing!L$2,IF(A55=8,Pricing!M$2,IF(A55=9,Pricing!N$2,IF(A55=10,Pricing!O$2,0))))))))))</f>
        <v>4,000 PSI /Ash and Air</v>
      </c>
      <c r="C55" s="397"/>
      <c r="D55" s="397"/>
      <c r="E55" s="397"/>
      <c r="F55" s="1315" t="n">
        <f aca="false">IF(A55=1,Pricing!F$3,IF(A55=2,Pricing!G$3,IF(A55=3,Pricing!H$3,IF(A55=4,Pricing!I$3,IF(A55=5,Pricing!J$3,IF(A55=6,Pricing!K$3,IF(A55=7,Pricing!L$3,IF(A55=8,Pricing!M$3,IF(A55=9,Pricing!N$3,IF(A55=10,Pricing!O$3))))))))))</f>
        <v>145</v>
      </c>
      <c r="G55" s="397" t="s">
        <v>1285</v>
      </c>
      <c r="H55" s="2005"/>
      <c r="I55" s="2005"/>
      <c r="J55" s="1334"/>
      <c r="K55" s="1316" t="n">
        <f aca="false">IF(A55=1,AR$36,IF(A55=2,AS$36,IF(A55=3,AT$36,IF(A55=4,AU$36,IF(A55=5,AV$36,IF(A55=6,AW$36))))))+IF(A55=1,AH$36,IF(A55=2,AI$36,IF(A55=3,AJ$36,IF(A55=4,AK$36,IF(A55=5,AL$36,IF(A55=6,AM$36))))))</f>
        <v>0</v>
      </c>
      <c r="L55" s="1316"/>
      <c r="M55" s="1046" t="s">
        <v>1286</v>
      </c>
      <c r="N55" s="1332" t="n">
        <f aca="false">K55*F55*(IF(T$39="N",1+V$39,1))</f>
        <v>0</v>
      </c>
      <c r="O55" s="1332"/>
      <c r="P55" s="1306" t="s">
        <v>1069</v>
      </c>
      <c r="Q55" s="920" t="s">
        <v>534</v>
      </c>
      <c r="R55" s="78"/>
      <c r="S55" s="1311" t="n">
        <f aca="false">S52*0.2</f>
        <v>0</v>
      </c>
      <c r="T55" s="1312" t="s">
        <v>1704</v>
      </c>
      <c r="U55" s="1308" t="n">
        <f aca="false">Pricing!Q5</f>
        <v>1.4453125</v>
      </c>
      <c r="V55" s="78" t="s">
        <v>527</v>
      </c>
      <c r="W55" s="1309" t="n">
        <f aca="false">IF(T$39="Y",S55*U55,S55*U55*(1+V$39))</f>
        <v>0</v>
      </c>
      <c r="DB55" s="149" t="n">
        <v>6</v>
      </c>
      <c r="DC55" s="150" t="n">
        <v>5</v>
      </c>
      <c r="DD55" s="151" t="n">
        <v>2</v>
      </c>
      <c r="DE55" s="152" t="n">
        <f aca="false">DB55*(DC55*DC55*0.04180884375)*DD55</f>
        <v>12.542653125</v>
      </c>
    </row>
    <row r="56" s="1414" customFormat="true" ht="18" hidden="false" customHeight="true" outlineLevel="0" collapsed="false">
      <c r="A56" s="2009" t="str">
        <f aca="false">Summary!V60</f>
        <v>Import</v>
      </c>
      <c r="B56" s="1041" t="s">
        <v>1287</v>
      </c>
      <c r="C56" s="16"/>
      <c r="D56" s="16"/>
      <c r="E56" s="16"/>
      <c r="F56" s="1048" t="n">
        <f aca="false">Pricing!D23</f>
        <v>0.55</v>
      </c>
      <c r="G56" s="16" t="s">
        <v>555</v>
      </c>
      <c r="H56" s="1867"/>
      <c r="I56" s="1867"/>
      <c r="J56" s="1050" t="n">
        <v>0.1</v>
      </c>
      <c r="K56" s="1051" t="n">
        <f aca="false">U36</f>
        <v>0</v>
      </c>
      <c r="L56" s="1051"/>
      <c r="M56" s="16" t="s">
        <v>1288</v>
      </c>
      <c r="N56" s="1318" t="n">
        <f aca="false">F56*K56*(IF(T39="N",1+V39,1))</f>
        <v>0</v>
      </c>
      <c r="O56" s="1318"/>
      <c r="P56" s="1306" t="s">
        <v>1069</v>
      </c>
      <c r="Q56" s="920" t="s">
        <v>536</v>
      </c>
      <c r="R56" s="78"/>
      <c r="S56" s="1311" t="n">
        <v>0</v>
      </c>
      <c r="T56" s="1312" t="s">
        <v>1704</v>
      </c>
      <c r="U56" s="1308" t="n">
        <f aca="false">Pricing!Q6</f>
        <v>1.171875</v>
      </c>
      <c r="V56" s="78" t="s">
        <v>527</v>
      </c>
      <c r="W56" s="1309" t="n">
        <f aca="false">IF(T$39="Y",S56*U56,S56*U56*(1+V$39))</f>
        <v>0</v>
      </c>
      <c r="DB56" s="149"/>
      <c r="DC56" s="150"/>
      <c r="DD56" s="151"/>
      <c r="DE56" s="152" t="n">
        <f aca="false">DB56*(DC56*DC56*0.04180884375)*DD56</f>
        <v>0</v>
      </c>
    </row>
    <row r="57" s="1414" customFormat="true" ht="18" hidden="false" customHeight="true" outlineLevel="0" collapsed="false">
      <c r="A57" s="599"/>
      <c r="B57" s="1041"/>
      <c r="C57" s="16"/>
      <c r="D57" s="16"/>
      <c r="E57" s="16"/>
      <c r="F57" s="1319" t="n">
        <f aca="false">Pricing!F6</f>
        <v>0</v>
      </c>
      <c r="G57" s="16" t="s">
        <v>600</v>
      </c>
      <c r="H57" s="895"/>
      <c r="I57" s="895"/>
      <c r="J57" s="1321" t="n">
        <v>0.05</v>
      </c>
      <c r="K57" s="1310"/>
      <c r="L57" s="1310"/>
      <c r="M57" s="16" t="s">
        <v>1418</v>
      </c>
      <c r="N57" s="1305" t="n">
        <f aca="false">K57*F57*(IF(T39="N",1+V39,1))*(J57+1)</f>
        <v>0</v>
      </c>
      <c r="O57" s="1305"/>
      <c r="P57" s="1306" t="s">
        <v>1069</v>
      </c>
      <c r="Q57" s="920" t="s">
        <v>538</v>
      </c>
      <c r="R57" s="78"/>
      <c r="S57" s="1311" t="n">
        <f aca="false">E36*2*S51</f>
        <v>0</v>
      </c>
      <c r="T57" s="1312" t="s">
        <v>1704</v>
      </c>
      <c r="U57" s="1308" t="n">
        <f aca="false">Pricing!Q7</f>
        <v>1.09375</v>
      </c>
      <c r="V57" s="78" t="s">
        <v>527</v>
      </c>
      <c r="W57" s="1309" t="n">
        <f aca="false">IF(T$39="Y",S57*U57,S57*U57*(1+V$39))</f>
        <v>0</v>
      </c>
      <c r="DB57" s="1322"/>
      <c r="DC57" s="1323"/>
      <c r="DD57" s="1324"/>
      <c r="DE57" s="1325" t="n">
        <f aca="false">DB57*(DC57*DC57*0.04180884375)*DD57</f>
        <v>0</v>
      </c>
    </row>
    <row r="58" s="1414" customFormat="true" ht="18" hidden="false" customHeight="true" outlineLevel="0" collapsed="false">
      <c r="A58" s="599"/>
      <c r="B58" s="1044" t="s">
        <v>1419</v>
      </c>
      <c r="C58" s="397"/>
      <c r="D58" s="397"/>
      <c r="E58" s="397"/>
      <c r="F58" s="1315" t="n">
        <v>0.35</v>
      </c>
      <c r="G58" s="397" t="s">
        <v>600</v>
      </c>
      <c r="H58" s="1358" t="s">
        <v>1291</v>
      </c>
      <c r="I58" s="1054" t="n">
        <v>0</v>
      </c>
      <c r="J58" s="1054"/>
      <c r="K58" s="1316"/>
      <c r="L58" s="1316"/>
      <c r="M58" s="397" t="s">
        <v>1418</v>
      </c>
      <c r="N58" s="1326" t="n">
        <f aca="false">IF(L35="y",IF(I58=0,K58*F58,I58),0)*(IF(S$65="N",1+U$65,1))</f>
        <v>0</v>
      </c>
      <c r="O58" s="1326"/>
      <c r="P58" s="1306" t="s">
        <v>1069</v>
      </c>
      <c r="Q58" s="920" t="s">
        <v>540</v>
      </c>
      <c r="R58" s="78"/>
      <c r="S58" s="1311" t="n">
        <f aca="false">ROUNDUP(H67*2/32*S51*1.1,0)</f>
        <v>0</v>
      </c>
      <c r="T58" s="78" t="s">
        <v>1420</v>
      </c>
      <c r="U58" s="1308" t="n">
        <f aca="false">Pricing!Q8</f>
        <v>74.75</v>
      </c>
      <c r="V58" s="78" t="s">
        <v>541</v>
      </c>
      <c r="W58" s="1309" t="n">
        <f aca="false">IF(T$39="Y",S58*U58,S58*U58*(1+V$39))</f>
        <v>0</v>
      </c>
      <c r="DB58" s="149"/>
      <c r="DC58" s="150"/>
      <c r="DD58" s="151"/>
      <c r="DE58" s="152" t="n">
        <f aca="false">DB58*(DC58*DC58*0.04180884375)*DD58</f>
        <v>0</v>
      </c>
    </row>
    <row r="59" s="1414" customFormat="true" ht="18" hidden="false" customHeight="true" outlineLevel="0" collapsed="false">
      <c r="A59" s="1205"/>
      <c r="B59" s="15" t="s">
        <v>1421</v>
      </c>
      <c r="C59" s="16"/>
      <c r="D59" s="16"/>
      <c r="E59" s="16"/>
      <c r="F59" s="1328" t="n">
        <v>20</v>
      </c>
      <c r="G59" s="16" t="s">
        <v>1459</v>
      </c>
      <c r="H59" s="1329"/>
      <c r="I59" s="1329"/>
      <c r="J59" s="1334" t="n">
        <v>0.05</v>
      </c>
      <c r="K59" s="1051" t="n">
        <f aca="false">SUM(BH36)</f>
        <v>0</v>
      </c>
      <c r="L59" s="1051"/>
      <c r="M59" s="16" t="s">
        <v>1286</v>
      </c>
      <c r="N59" s="1318" t="n">
        <f aca="false">K59*F59*IF(Q29="N",1+T29,1)</f>
        <v>0</v>
      </c>
      <c r="O59" s="1318"/>
      <c r="P59" s="1306" t="s">
        <v>1069</v>
      </c>
      <c r="Q59" s="920" t="s">
        <v>1298</v>
      </c>
      <c r="R59" s="78"/>
      <c r="S59" s="1311" t="n">
        <f aca="false">ROUNDUP(E36*2/25,0)*S51</f>
        <v>0</v>
      </c>
      <c r="T59" s="78" t="s">
        <v>1705</v>
      </c>
      <c r="U59" s="1308" t="n">
        <f aca="false">Pricing!Q15</f>
        <v>24</v>
      </c>
      <c r="V59" s="78" t="s">
        <v>1300</v>
      </c>
      <c r="W59" s="1309" t="n">
        <f aca="false">IF(T$39="Y",S59*U59,S59*U59*(1+V$39))</f>
        <v>0</v>
      </c>
      <c r="DB59" s="149"/>
      <c r="DC59" s="150"/>
      <c r="DD59" s="151"/>
      <c r="DE59" s="152" t="n">
        <f aca="false">DB59*(DC59*DC59*0.04180884375)*DD59</f>
        <v>0</v>
      </c>
    </row>
    <row r="60" s="1414" customFormat="true" ht="18" hidden="false" customHeight="true" outlineLevel="0" collapsed="false">
      <c r="A60" s="599"/>
      <c r="B60" s="1081" t="s">
        <v>1424</v>
      </c>
      <c r="C60" s="397"/>
      <c r="D60" s="1330"/>
      <c r="E60" s="397"/>
      <c r="F60" s="1331" t="n">
        <v>38</v>
      </c>
      <c r="G60" s="397" t="s">
        <v>1285</v>
      </c>
      <c r="H60" s="1329"/>
      <c r="I60" s="1329"/>
      <c r="J60" s="1334"/>
      <c r="K60" s="1316"/>
      <c r="L60" s="1316"/>
      <c r="M60" s="397" t="s">
        <v>1418</v>
      </c>
      <c r="N60" s="1332" t="n">
        <f aca="false">K60*F60</f>
        <v>0</v>
      </c>
      <c r="O60" s="1332"/>
      <c r="P60" s="1306" t="s">
        <v>1069</v>
      </c>
      <c r="Q60" s="920" t="s">
        <v>561</v>
      </c>
      <c r="R60" s="78"/>
      <c r="S60" s="1311" t="n">
        <f aca="false">ROUNDUP(H67/1800,0)</f>
        <v>0</v>
      </c>
      <c r="T60" s="78" t="s">
        <v>1303</v>
      </c>
      <c r="U60" s="1308" t="n">
        <f aca="false">Pricing!Q16</f>
        <v>68.2</v>
      </c>
      <c r="V60" s="78" t="s">
        <v>562</v>
      </c>
      <c r="W60" s="1309" t="n">
        <f aca="false">IF(T$39="Y",S60*U60,S60*U60*(1+V$39))</f>
        <v>0</v>
      </c>
      <c r="DB60" s="149"/>
      <c r="DC60" s="150"/>
      <c r="DD60" s="151"/>
      <c r="DE60" s="152" t="n">
        <f aca="false">DB60*(DC60*DC60*0.04180884375)*DD60</f>
        <v>0</v>
      </c>
    </row>
    <row r="61" s="1414" customFormat="true" ht="18" hidden="false" customHeight="true" outlineLevel="0" collapsed="false">
      <c r="A61" s="599"/>
      <c r="B61" s="1041"/>
      <c r="C61" s="16"/>
      <c r="D61" s="833"/>
      <c r="E61" s="16"/>
      <c r="F61" s="2010" t="n">
        <v>0.17</v>
      </c>
      <c r="G61" s="16" t="s">
        <v>1426</v>
      </c>
      <c r="H61" s="1329"/>
      <c r="I61" s="1329"/>
      <c r="J61" s="1334" t="n">
        <v>0.1</v>
      </c>
      <c r="K61" s="1051"/>
      <c r="L61" s="1051"/>
      <c r="M61" s="16" t="s">
        <v>1418</v>
      </c>
      <c r="N61" s="2011" t="n">
        <f aca="false">F61*K61</f>
        <v>0</v>
      </c>
      <c r="O61" s="2011"/>
      <c r="P61" s="1306" t="s">
        <v>1069</v>
      </c>
      <c r="Q61" s="920" t="s">
        <v>563</v>
      </c>
      <c r="R61" s="78"/>
      <c r="S61" s="1311" t="n">
        <f aca="false">ROUNDUP(H67/1000,0)</f>
        <v>0</v>
      </c>
      <c r="T61" s="78" t="s">
        <v>1303</v>
      </c>
      <c r="U61" s="1308" t="n">
        <f aca="false">Pricing!Q17</f>
        <v>68.2</v>
      </c>
      <c r="V61" s="78" t="s">
        <v>562</v>
      </c>
      <c r="W61" s="1309" t="n">
        <f aca="false">IF(T$39="Y",S61*U61,S61*U61*(1+V$39))</f>
        <v>0</v>
      </c>
      <c r="DB61" s="1335"/>
      <c r="DC61" s="150"/>
      <c r="DD61" s="151"/>
      <c r="DE61" s="152" t="n">
        <f aca="false">DB61*(DC61*DC61*0.04180884375)*DD61</f>
        <v>0</v>
      </c>
    </row>
    <row r="62" s="1414" customFormat="true" ht="18" hidden="false" customHeight="true" outlineLevel="0" collapsed="false">
      <c r="A62" s="1041" t="s">
        <v>1706</v>
      </c>
      <c r="B62" s="15"/>
      <c r="C62" s="15"/>
      <c r="D62" s="833" t="s">
        <v>1428</v>
      </c>
      <c r="E62" s="1336" t="s">
        <v>1029</v>
      </c>
      <c r="F62" s="1337" t="n">
        <v>1.25</v>
      </c>
      <c r="G62" s="16" t="s">
        <v>600</v>
      </c>
      <c r="H62" s="1329"/>
      <c r="I62" s="1329"/>
      <c r="J62" s="1334"/>
      <c r="K62" s="1310" t="n">
        <f aca="false">IF(E62="Y",E36,0)*(1+J60)</f>
        <v>0</v>
      </c>
      <c r="L62" s="1310"/>
      <c r="M62" s="16" t="s">
        <v>1259</v>
      </c>
      <c r="N62" s="1309" t="n">
        <f aca="false">K62*F62</f>
        <v>0</v>
      </c>
      <c r="O62" s="1309"/>
      <c r="P62" s="1306" t="s">
        <v>1069</v>
      </c>
      <c r="Q62" s="920" t="s">
        <v>564</v>
      </c>
      <c r="R62" s="78"/>
      <c r="S62" s="1311" t="n">
        <f aca="false">S61</f>
        <v>0</v>
      </c>
      <c r="T62" s="78" t="s">
        <v>1303</v>
      </c>
      <c r="U62" s="1308" t="n">
        <f aca="false">Pricing!Q18</f>
        <v>68.2</v>
      </c>
      <c r="V62" s="78" t="s">
        <v>562</v>
      </c>
      <c r="W62" s="1309" t="n">
        <f aca="false">IF(T$39="Y",S62*U62,S62*U62*(1+V$39))</f>
        <v>0</v>
      </c>
      <c r="DB62" s="1322"/>
      <c r="DC62" s="1323"/>
      <c r="DD62" s="1324"/>
      <c r="DE62" s="1325" t="n">
        <f aca="false">DB62*(DC62*DC62*0.04180884375)*DD62</f>
        <v>0</v>
      </c>
    </row>
    <row r="63" s="1414" customFormat="true" ht="18" hidden="false" customHeight="true" outlineLevel="0" collapsed="false">
      <c r="A63" s="1081" t="s">
        <v>1707</v>
      </c>
      <c r="B63" s="1046"/>
      <c r="C63" s="1046"/>
      <c r="D63" s="1330" t="s">
        <v>1428</v>
      </c>
      <c r="E63" s="1338" t="s">
        <v>1029</v>
      </c>
      <c r="F63" s="1339" t="n">
        <v>1.8</v>
      </c>
      <c r="G63" s="397" t="s">
        <v>1430</v>
      </c>
      <c r="H63" s="1329"/>
      <c r="I63" s="1329"/>
      <c r="J63" s="1334"/>
      <c r="K63" s="1316" t="n">
        <f aca="false">IF(E63="Y",E36*2,0)*(1+J61)</f>
        <v>0</v>
      </c>
      <c r="L63" s="1316"/>
      <c r="M63" s="397" t="s">
        <v>1259</v>
      </c>
      <c r="N63" s="1326" t="n">
        <f aca="false">K63*F63</f>
        <v>0</v>
      </c>
      <c r="O63" s="1326"/>
      <c r="P63" s="1306" t="s">
        <v>1069</v>
      </c>
      <c r="Q63" s="920" t="s">
        <v>1310</v>
      </c>
      <c r="R63" s="78"/>
      <c r="S63" s="1311" t="n">
        <f aca="false">AL23*12/48/50</f>
        <v>0</v>
      </c>
      <c r="T63" s="78" t="s">
        <v>1303</v>
      </c>
      <c r="U63" s="1308" t="n">
        <f aca="false">Pricing!Q34</f>
        <v>45.24</v>
      </c>
      <c r="V63" s="78" t="s">
        <v>562</v>
      </c>
      <c r="W63" s="1309" t="n">
        <f aca="false">IF(T$39="Y",S63*U63,S63*U63*(1+V$39))</f>
        <v>0</v>
      </c>
    </row>
    <row r="64" s="1414" customFormat="true" ht="18" hidden="false" customHeight="true" outlineLevel="0" collapsed="false">
      <c r="A64" s="602"/>
      <c r="B64" s="602" t="s">
        <v>1431</v>
      </c>
      <c r="C64" s="1058"/>
      <c r="D64" s="1058"/>
      <c r="E64" s="1058"/>
      <c r="F64" s="2012" t="n">
        <v>3.75</v>
      </c>
      <c r="G64" s="1058" t="s">
        <v>1432</v>
      </c>
      <c r="H64" s="1341" t="s">
        <v>1708</v>
      </c>
      <c r="I64" s="1341"/>
      <c r="J64" s="1060"/>
      <c r="K64" s="1342" t="n">
        <f aca="false">H67</f>
        <v>0</v>
      </c>
      <c r="L64" s="2013"/>
      <c r="M64" s="1058" t="s">
        <v>1418</v>
      </c>
      <c r="N64" s="1343" t="n">
        <f aca="false">F64*J64*K64</f>
        <v>0</v>
      </c>
      <c r="O64" s="1343"/>
      <c r="P64" s="1306" t="s">
        <v>1069</v>
      </c>
      <c r="Q64" s="920" t="s">
        <v>571</v>
      </c>
      <c r="R64" s="78"/>
      <c r="S64" s="1311" t="n">
        <f aca="false">BN51+AD122</f>
        <v>0</v>
      </c>
      <c r="T64" s="1312" t="s">
        <v>1704</v>
      </c>
      <c r="U64" s="1308" t="n">
        <f aca="false">Pricing!Q19</f>
        <v>0.95</v>
      </c>
      <c r="V64" s="78" t="s">
        <v>527</v>
      </c>
      <c r="W64" s="1309" t="n">
        <f aca="false">IF(T$39="Y",S64*U64,S64*U64*(1+V$39))</f>
        <v>0</v>
      </c>
    </row>
    <row r="65" s="1414" customFormat="true" ht="18" hidden="false" customHeight="true" outlineLevel="0" collapsed="false">
      <c r="A65" s="1344" t="s">
        <v>1434</v>
      </c>
      <c r="B65" s="1345"/>
      <c r="C65" s="1345" t="s">
        <v>1296</v>
      </c>
      <c r="D65" s="1345"/>
      <c r="E65" s="1345"/>
      <c r="F65" s="2014"/>
      <c r="G65" s="1345"/>
      <c r="H65" s="1345"/>
      <c r="I65" s="1345"/>
      <c r="J65" s="1345"/>
      <c r="K65" s="1345" t="s">
        <v>973</v>
      </c>
      <c r="L65" s="1345"/>
      <c r="M65" s="1345" t="s">
        <v>1297</v>
      </c>
      <c r="N65" s="2015"/>
      <c r="O65" s="1203"/>
      <c r="P65" s="1306" t="s">
        <v>1069</v>
      </c>
      <c r="Q65" s="920" t="s">
        <v>576</v>
      </c>
      <c r="R65" s="78"/>
      <c r="S65" s="1311" t="n">
        <f aca="false">E36*2</f>
        <v>0</v>
      </c>
      <c r="T65" s="1312" t="s">
        <v>1704</v>
      </c>
      <c r="U65" s="1308" t="n">
        <f aca="false">Pricing!Q20</f>
        <v>0.25</v>
      </c>
      <c r="V65" s="78" t="s">
        <v>527</v>
      </c>
      <c r="W65" s="1309" t="n">
        <f aca="false">IF(T$39="Y",S65*U65,S65*U65*(1+V$39))</f>
        <v>0</v>
      </c>
    </row>
    <row r="66" s="1414" customFormat="true" ht="18" hidden="false" customHeight="true" outlineLevel="0" collapsed="false">
      <c r="A66" s="1794" t="s">
        <v>1709</v>
      </c>
      <c r="B66" s="1068"/>
      <c r="C66" s="1066" t="s">
        <v>1306</v>
      </c>
      <c r="D66" s="1067" t="n">
        <v>8</v>
      </c>
      <c r="E66" s="1067"/>
      <c r="F66" s="2016" t="s">
        <v>1618</v>
      </c>
      <c r="G66" s="1068"/>
      <c r="H66" s="1350" t="n">
        <f aca="false">BG36</f>
        <v>0</v>
      </c>
      <c r="I66" s="1350"/>
      <c r="J66" s="1068" t="s">
        <v>1418</v>
      </c>
      <c r="K66" s="1770" t="n">
        <f aca="false">IF(C66="N",D66*H66,0)</f>
        <v>0</v>
      </c>
      <c r="L66" s="1770"/>
      <c r="M66" s="175"/>
      <c r="N66" s="1369" t="n">
        <f aca="false">IF(C66="y",D66*H66,0)</f>
        <v>0</v>
      </c>
      <c r="O66" s="1369"/>
      <c r="P66" s="1306" t="s">
        <v>1069</v>
      </c>
      <c r="Q66" s="920" t="s">
        <v>583</v>
      </c>
      <c r="R66" s="78"/>
      <c r="S66" s="1311" t="n">
        <f aca="false">H67/2.25/50</f>
        <v>0</v>
      </c>
      <c r="T66" s="78" t="s">
        <v>584</v>
      </c>
      <c r="U66" s="1308" t="n">
        <f aca="false">Pricing!Q21</f>
        <v>45</v>
      </c>
      <c r="V66" s="78" t="s">
        <v>562</v>
      </c>
      <c r="W66" s="1309" t="n">
        <f aca="false">IF(T$39="Y",S66*U66,S66*U66*(1+V$39))</f>
        <v>0</v>
      </c>
    </row>
    <row r="67" s="1414" customFormat="true" ht="18" hidden="false" customHeight="true" outlineLevel="0" collapsed="false">
      <c r="A67" s="507" t="s">
        <v>1437</v>
      </c>
      <c r="B67" s="405"/>
      <c r="C67" s="1352" t="s">
        <v>1306</v>
      </c>
      <c r="D67" s="1075" t="n">
        <v>3.5</v>
      </c>
      <c r="E67" s="1075"/>
      <c r="F67" s="78" t="s">
        <v>1618</v>
      </c>
      <c r="G67" s="1353" t="n">
        <f aca="false">SUM(D67:E69)</f>
        <v>8</v>
      </c>
      <c r="H67" s="2017" t="n">
        <f aca="false">BF36</f>
        <v>0</v>
      </c>
      <c r="I67" s="2017"/>
      <c r="J67" s="16" t="s">
        <v>1439</v>
      </c>
      <c r="K67" s="1773" t="n">
        <f aca="false">IF(C67="N",D67*H$67,0)</f>
        <v>0</v>
      </c>
      <c r="L67" s="1773"/>
      <c r="N67" s="2018" t="n">
        <f aca="false">IF(C67="y",H$67*D67,0)</f>
        <v>0</v>
      </c>
      <c r="O67" s="2018"/>
      <c r="P67" s="1306" t="s">
        <v>1069</v>
      </c>
      <c r="Q67" s="920" t="s">
        <v>1710</v>
      </c>
      <c r="R67" s="78"/>
      <c r="S67" s="1311" t="n">
        <f aca="false">E36</f>
        <v>0</v>
      </c>
      <c r="T67" s="78" t="s">
        <v>1259</v>
      </c>
      <c r="U67" s="1308" t="n">
        <v>1</v>
      </c>
      <c r="V67" s="78" t="s">
        <v>1511</v>
      </c>
      <c r="W67" s="1309" t="n">
        <f aca="false">IF(T$39="Y",S67*U67,S67*U67*(1+V$39))</f>
        <v>0</v>
      </c>
    </row>
    <row r="68" s="1414" customFormat="true" ht="18" hidden="false" customHeight="true" outlineLevel="0" collapsed="false">
      <c r="A68" s="507" t="s">
        <v>1442</v>
      </c>
      <c r="B68" s="405"/>
      <c r="C68" s="1074" t="s">
        <v>1306</v>
      </c>
      <c r="D68" s="1075" t="n">
        <v>3.5</v>
      </c>
      <c r="E68" s="1075"/>
      <c r="F68" s="78" t="s">
        <v>1618</v>
      </c>
      <c r="G68" s="1353"/>
      <c r="H68" s="2017"/>
      <c r="I68" s="2017"/>
      <c r="J68" s="16" t="s">
        <v>1439</v>
      </c>
      <c r="K68" s="1773" t="n">
        <f aca="false">IF(C68="N",D68*H$67,0)</f>
        <v>0</v>
      </c>
      <c r="L68" s="1773"/>
      <c r="N68" s="1309" t="n">
        <f aca="false">IF(C68="y",H$67*D68,0)</f>
        <v>0</v>
      </c>
      <c r="O68" s="1309"/>
      <c r="P68" s="1306" t="s">
        <v>1069</v>
      </c>
      <c r="Q68" s="920" t="s">
        <v>1453</v>
      </c>
      <c r="R68" s="78"/>
      <c r="S68" s="1311" t="n">
        <v>0</v>
      </c>
      <c r="T68" s="78" t="s">
        <v>1711</v>
      </c>
      <c r="U68" s="1308" t="n">
        <f aca="false">Pricing!Q43</f>
        <v>105</v>
      </c>
      <c r="V68" s="78" t="s">
        <v>630</v>
      </c>
      <c r="W68" s="1309" t="n">
        <f aca="false">U68*S68</f>
        <v>0</v>
      </c>
    </row>
    <row r="69" s="1414" customFormat="true" ht="18" hidden="false" customHeight="true" outlineLevel="0" collapsed="false">
      <c r="A69" s="507" t="s">
        <v>1443</v>
      </c>
      <c r="B69" s="405"/>
      <c r="C69" s="1074" t="s">
        <v>1306</v>
      </c>
      <c r="D69" s="1075" t="n">
        <v>1</v>
      </c>
      <c r="E69" s="1075"/>
      <c r="F69" s="78" t="s">
        <v>1618</v>
      </c>
      <c r="G69" s="1353"/>
      <c r="H69" s="2017"/>
      <c r="I69" s="2017"/>
      <c r="J69" s="16" t="s">
        <v>1439</v>
      </c>
      <c r="K69" s="1773" t="n">
        <f aca="false">IF(C69="N",D69*H$67,0)</f>
        <v>0</v>
      </c>
      <c r="L69" s="1773"/>
      <c r="N69" s="2018" t="n">
        <f aca="false">IF(C69="y",H$67*D69,0)</f>
        <v>0</v>
      </c>
      <c r="O69" s="2018"/>
      <c r="P69" s="1306" t="s">
        <v>1069</v>
      </c>
      <c r="Q69" s="920" t="s">
        <v>1712</v>
      </c>
      <c r="R69" s="78"/>
      <c r="S69" s="1311" t="n">
        <f aca="false">I72</f>
        <v>0</v>
      </c>
      <c r="T69" s="78" t="s">
        <v>836</v>
      </c>
      <c r="U69" s="1308" t="n">
        <v>8.5</v>
      </c>
      <c r="V69" s="78"/>
      <c r="W69" s="1309" t="n">
        <f aca="false">U69*S69</f>
        <v>0</v>
      </c>
    </row>
    <row r="70" s="1414" customFormat="true" ht="18" hidden="false" customHeight="true" outlineLevel="0" collapsed="false">
      <c r="A70" s="507" t="s">
        <v>1444</v>
      </c>
      <c r="B70" s="405"/>
      <c r="C70" s="1074" t="s">
        <v>1306</v>
      </c>
      <c r="D70" s="1075" t="n">
        <v>0.25</v>
      </c>
      <c r="E70" s="1075"/>
      <c r="F70" s="78" t="s">
        <v>1618</v>
      </c>
      <c r="G70" s="16"/>
      <c r="H70" s="2017"/>
      <c r="I70" s="2017"/>
      <c r="J70" s="16" t="s">
        <v>1439</v>
      </c>
      <c r="K70" s="1773" t="n">
        <f aca="false">IF(C70="N",D70*H$67,0)</f>
        <v>0</v>
      </c>
      <c r="L70" s="1773"/>
      <c r="N70" s="1309" t="n">
        <f aca="false">IF(C70="y",H$67*D70,0)</f>
        <v>0</v>
      </c>
      <c r="O70" s="1309"/>
      <c r="P70" s="1306" t="s">
        <v>1713</v>
      </c>
      <c r="Q70" s="920" t="s">
        <v>1714</v>
      </c>
      <c r="R70" s="78"/>
      <c r="S70" s="1311"/>
      <c r="T70" s="78" t="s">
        <v>1454</v>
      </c>
      <c r="U70" s="1308" t="n">
        <v>500</v>
      </c>
      <c r="V70" s="78"/>
      <c r="W70" s="1309" t="n">
        <f aca="false">U70*S70</f>
        <v>0</v>
      </c>
    </row>
    <row r="71" s="1414" customFormat="true" ht="18" hidden="false" customHeight="true" outlineLevel="0" collapsed="false">
      <c r="A71" s="507" t="s">
        <v>1307</v>
      </c>
      <c r="B71" s="405"/>
      <c r="C71" s="1074" t="s">
        <v>1306</v>
      </c>
      <c r="D71" s="2019" t="n">
        <v>450</v>
      </c>
      <c r="E71" s="2019"/>
      <c r="F71" s="78" t="s">
        <v>1308</v>
      </c>
      <c r="G71" s="16"/>
      <c r="H71" s="1042"/>
      <c r="I71" s="1042" t="n">
        <f aca="false">(K56/2000)</f>
        <v>0</v>
      </c>
      <c r="J71" s="16" t="s">
        <v>1309</v>
      </c>
      <c r="K71" s="1773" t="n">
        <f aca="false">IF(C71="N",D71*I71,0)</f>
        <v>0</v>
      </c>
      <c r="L71" s="1773"/>
      <c r="N71" s="1309" t="n">
        <f aca="false">IF(C71="y",I71*D71,0)</f>
        <v>0</v>
      </c>
      <c r="O71" s="1309"/>
      <c r="P71" s="1306" t="s">
        <v>1069</v>
      </c>
      <c r="Q71" s="920"/>
      <c r="R71" s="78"/>
      <c r="S71" s="1311"/>
      <c r="T71" s="78" t="s">
        <v>1018</v>
      </c>
      <c r="U71" s="1308"/>
      <c r="V71" s="78"/>
      <c r="W71" s="1309" t="n">
        <f aca="false">U71*S71</f>
        <v>0</v>
      </c>
    </row>
    <row r="72" s="1414" customFormat="true" ht="18" hidden="false" customHeight="true" outlineLevel="0" collapsed="false">
      <c r="A72" s="507" t="s">
        <v>1715</v>
      </c>
      <c r="B72" s="405"/>
      <c r="C72" s="1074" t="s">
        <v>1306</v>
      </c>
      <c r="D72" s="1075" t="n">
        <v>10</v>
      </c>
      <c r="E72" s="1075"/>
      <c r="F72" s="78" t="s">
        <v>1338</v>
      </c>
      <c r="G72" s="16"/>
      <c r="H72" s="1042"/>
      <c r="I72" s="1042" t="n">
        <f aca="false">DI37</f>
        <v>0</v>
      </c>
      <c r="J72" s="16" t="s">
        <v>1259</v>
      </c>
      <c r="K72" s="1773" t="n">
        <f aca="false">IF(C72="N",D72*I72,0)</f>
        <v>0</v>
      </c>
      <c r="L72" s="1773"/>
      <c r="N72" s="1309" t="n">
        <f aca="false">IF(C72="y",I72*D72,0)</f>
        <v>0</v>
      </c>
      <c r="O72" s="1309"/>
      <c r="P72" s="1306" t="s">
        <v>1069</v>
      </c>
      <c r="Q72" s="920"/>
      <c r="R72" s="78"/>
      <c r="S72" s="1311"/>
      <c r="T72" s="78" t="s">
        <v>1018</v>
      </c>
      <c r="U72" s="1308"/>
      <c r="V72" s="78"/>
      <c r="W72" s="1309" t="n">
        <f aca="false">U72*S72</f>
        <v>0</v>
      </c>
    </row>
    <row r="73" s="1414" customFormat="true" ht="18" hidden="false" customHeight="true" outlineLevel="0" collapsed="false">
      <c r="A73" s="507" t="s">
        <v>1716</v>
      </c>
      <c r="B73" s="405"/>
      <c r="C73" s="1074" t="s">
        <v>1306</v>
      </c>
      <c r="D73" s="1075" t="n">
        <v>12</v>
      </c>
      <c r="E73" s="1075"/>
      <c r="F73" s="78" t="s">
        <v>1285</v>
      </c>
      <c r="G73" s="16"/>
      <c r="H73" s="1042"/>
      <c r="I73" s="1042" t="n">
        <f aca="false">SUM(DD10:DD35)</f>
        <v>0</v>
      </c>
      <c r="J73" s="16" t="s">
        <v>998</v>
      </c>
      <c r="K73" s="1773" t="n">
        <f aca="false">IF(C73="N",D73*I73,0)</f>
        <v>0</v>
      </c>
      <c r="L73" s="1773"/>
      <c r="N73" s="1309" t="n">
        <f aca="false">IF(C73="y",I73*D73,0)</f>
        <v>0</v>
      </c>
      <c r="O73" s="1309"/>
      <c r="P73" s="1306" t="s">
        <v>1069</v>
      </c>
      <c r="Q73" s="920"/>
      <c r="R73" s="78"/>
      <c r="S73" s="1311"/>
      <c r="T73" s="78"/>
      <c r="U73" s="1308"/>
      <c r="V73" s="78"/>
      <c r="W73" s="1309" t="n">
        <f aca="false">U73*S73</f>
        <v>0</v>
      </c>
    </row>
    <row r="74" s="1414" customFormat="true" ht="18" hidden="false" customHeight="true" outlineLevel="0" collapsed="false">
      <c r="A74" s="507" t="s">
        <v>1660</v>
      </c>
      <c r="B74" s="405"/>
      <c r="C74" s="1074" t="s">
        <v>1306</v>
      </c>
      <c r="D74" s="1075" t="n">
        <v>8</v>
      </c>
      <c r="E74" s="1075"/>
      <c r="F74" s="78" t="s">
        <v>1285</v>
      </c>
      <c r="G74" s="16"/>
      <c r="H74" s="1042"/>
      <c r="I74" s="1042" t="n">
        <f aca="false">SUM(DF10:DF35)</f>
        <v>0</v>
      </c>
      <c r="J74" s="16" t="s">
        <v>998</v>
      </c>
      <c r="K74" s="1773" t="n">
        <f aca="false">IF(C74="N",D74*I74,0)</f>
        <v>0</v>
      </c>
      <c r="L74" s="1773"/>
      <c r="N74" s="1309" t="n">
        <f aca="false">IF(C74="y",I74*D74,0)</f>
        <v>0</v>
      </c>
      <c r="O74" s="1309"/>
      <c r="P74" s="1306" t="s">
        <v>1069</v>
      </c>
      <c r="Q74" s="920"/>
      <c r="R74" s="78"/>
      <c r="S74" s="1311"/>
      <c r="T74" s="78"/>
      <c r="U74" s="1308"/>
      <c r="V74" s="78"/>
      <c r="W74" s="1309" t="n">
        <f aca="false">U74*S74</f>
        <v>0</v>
      </c>
    </row>
    <row r="75" s="1414" customFormat="true" ht="18" hidden="false" customHeight="true" outlineLevel="0" collapsed="false">
      <c r="A75" s="1747" t="s">
        <v>1313</v>
      </c>
      <c r="B75" s="1082"/>
      <c r="C75" s="1083" t="s">
        <v>1306</v>
      </c>
      <c r="D75" s="1084" t="n">
        <v>0</v>
      </c>
      <c r="E75" s="1084"/>
      <c r="F75" s="1358"/>
      <c r="G75" s="397"/>
      <c r="H75" s="1055"/>
      <c r="I75" s="1055"/>
      <c r="J75" s="397"/>
      <c r="K75" s="1789" t="n">
        <f aca="false">IF(C75="N",D75*I75,0)</f>
        <v>0</v>
      </c>
      <c r="L75" s="1789"/>
      <c r="M75" s="397"/>
      <c r="N75" s="1326" t="n">
        <f aca="false">IF(C75="y",D75,0)</f>
        <v>0</v>
      </c>
      <c r="O75" s="1326"/>
      <c r="P75" s="1306" t="s">
        <v>1069</v>
      </c>
      <c r="Q75" s="920"/>
      <c r="R75" s="78"/>
      <c r="S75" s="1311"/>
      <c r="T75" s="78"/>
      <c r="U75" s="1308"/>
      <c r="V75" s="78"/>
      <c r="W75" s="1309" t="n">
        <f aca="false">U75*S75</f>
        <v>0</v>
      </c>
    </row>
    <row r="76" s="1414" customFormat="true" ht="18" hidden="false" customHeight="true" outlineLevel="0" collapsed="false">
      <c r="A76" s="1087" t="s">
        <v>1447</v>
      </c>
      <c r="B76" s="1088"/>
      <c r="C76" s="1089"/>
      <c r="D76" s="1090" t="n">
        <f aca="false">IF(H67=0,0,(N76-N75+K76)/H67)</f>
        <v>0</v>
      </c>
      <c r="E76" s="2020"/>
      <c r="F76" s="855"/>
      <c r="G76" s="1058"/>
      <c r="H76" s="1088" t="s">
        <v>980</v>
      </c>
      <c r="I76" s="1088"/>
      <c r="J76" s="1088"/>
      <c r="K76" s="1791" t="n">
        <f aca="false">SUM(K66:L75)</f>
        <v>0</v>
      </c>
      <c r="L76" s="1791"/>
      <c r="M76" s="246"/>
      <c r="N76" s="736" t="n">
        <f aca="false">SUM(N66:O75)</f>
        <v>0</v>
      </c>
      <c r="O76" s="736"/>
      <c r="P76" s="1306" t="s">
        <v>1069</v>
      </c>
      <c r="Q76" s="1357"/>
      <c r="R76" s="1358"/>
      <c r="S76" s="1359"/>
      <c r="T76" s="2021"/>
      <c r="U76" s="1360"/>
      <c r="V76" s="1358"/>
      <c r="W76" s="1326" t="n">
        <f aca="false">U76*S76</f>
        <v>0</v>
      </c>
    </row>
    <row r="77" s="1414" customFormat="true" ht="18" hidden="false" customHeight="true" outlineLevel="0" collapsed="false">
      <c r="A77" s="2022" t="s">
        <v>1449</v>
      </c>
      <c r="B77" s="2022"/>
      <c r="C77" s="2022"/>
      <c r="D77" s="2022"/>
      <c r="E77" s="2022"/>
      <c r="F77" s="2022"/>
      <c r="G77" s="2022"/>
      <c r="H77" s="2022"/>
      <c r="I77" s="2022"/>
      <c r="J77" s="2022"/>
      <c r="K77" s="2022"/>
      <c r="L77" s="2022"/>
      <c r="M77" s="2022"/>
      <c r="N77" s="2022"/>
      <c r="O77" s="2022"/>
      <c r="P77" s="1306" t="s">
        <v>1448</v>
      </c>
      <c r="Q77" s="920" t="s">
        <v>601</v>
      </c>
      <c r="R77" s="78"/>
      <c r="S77" s="1311" t="n">
        <f aca="false">ROUNDUP(K64*0.55*S51,0)</f>
        <v>0</v>
      </c>
      <c r="T77" s="78" t="s">
        <v>1312</v>
      </c>
      <c r="U77" s="1308" t="n">
        <f aca="false">Pricing!Q26</f>
        <v>0.45</v>
      </c>
      <c r="V77" s="78" t="s">
        <v>595</v>
      </c>
      <c r="W77" s="1309" t="n">
        <f aca="false">S77*U77</f>
        <v>0</v>
      </c>
    </row>
    <row r="78" s="1414" customFormat="true" ht="18" hidden="false" customHeight="true" outlineLevel="0" collapsed="false">
      <c r="A78" s="1794" t="s">
        <v>1316</v>
      </c>
      <c r="B78" s="2016"/>
      <c r="C78" s="1097"/>
      <c r="D78" s="1098"/>
      <c r="E78" s="2016" t="s">
        <v>1317</v>
      </c>
      <c r="F78" s="2023" t="n">
        <v>425</v>
      </c>
      <c r="G78" s="2024" t="s">
        <v>1450</v>
      </c>
      <c r="H78" s="1068"/>
      <c r="I78" s="1068"/>
      <c r="J78" s="1068"/>
      <c r="K78" s="1068"/>
      <c r="L78" s="1101" t="n">
        <f aca="false">IF(D40=0,0,(SUM(N78:O81))/D40)</f>
        <v>0</v>
      </c>
      <c r="M78" s="1101"/>
      <c r="N78" s="2025" t="n">
        <f aca="false">D78*F78</f>
        <v>0</v>
      </c>
      <c r="O78" s="2025"/>
      <c r="P78" s="1306" t="n">
        <v>39</v>
      </c>
      <c r="Q78" s="920" t="s">
        <v>604</v>
      </c>
      <c r="R78" s="78"/>
      <c r="S78" s="1311" t="n">
        <f aca="false">E36/4</f>
        <v>0</v>
      </c>
      <c r="T78" s="78" t="s">
        <v>1312</v>
      </c>
      <c r="U78" s="1308" t="n">
        <f aca="false">Pricing!Q27</f>
        <v>0.75</v>
      </c>
      <c r="V78" s="78" t="s">
        <v>1312</v>
      </c>
      <c r="W78" s="1309" t="n">
        <f aca="false">S78*U78</f>
        <v>0</v>
      </c>
    </row>
    <row r="79" s="1414" customFormat="true" ht="18" hidden="false" customHeight="true" outlineLevel="0" collapsed="false">
      <c r="A79" s="507" t="s">
        <v>1318</v>
      </c>
      <c r="B79" s="78"/>
      <c r="C79" s="78"/>
      <c r="D79" s="1103" t="n">
        <f aca="false">D78</f>
        <v>0</v>
      </c>
      <c r="E79" s="2026" t="s">
        <v>1317</v>
      </c>
      <c r="F79" s="2027" t="n">
        <v>250</v>
      </c>
      <c r="G79" s="2028" t="s">
        <v>1450</v>
      </c>
      <c r="H79" s="16"/>
      <c r="I79" s="16"/>
      <c r="J79" s="16"/>
      <c r="K79" s="16"/>
      <c r="L79" s="2029" t="n">
        <f aca="false">SUM(N78:O80)</f>
        <v>0</v>
      </c>
      <c r="M79" s="2029"/>
      <c r="N79" s="2030" t="n">
        <f aca="false">D79*F79</f>
        <v>0</v>
      </c>
      <c r="O79" s="2030"/>
      <c r="P79" s="1306" t="s">
        <v>1451</v>
      </c>
      <c r="Q79" s="920" t="s">
        <v>1657</v>
      </c>
      <c r="R79" s="78"/>
      <c r="S79" s="1311" t="n">
        <f aca="false">H67/350</f>
        <v>0</v>
      </c>
      <c r="T79" s="78" t="s">
        <v>1452</v>
      </c>
      <c r="U79" s="1308" t="n">
        <f aca="false">Pricing!Q28</f>
        <v>45</v>
      </c>
      <c r="V79" s="78" t="s">
        <v>607</v>
      </c>
      <c r="W79" s="1309" t="n">
        <f aca="false">S79*U79</f>
        <v>0</v>
      </c>
    </row>
    <row r="80" s="1414" customFormat="true" ht="18" hidden="false" customHeight="true" outlineLevel="0" collapsed="false">
      <c r="A80" s="78" t="s">
        <v>1320</v>
      </c>
      <c r="B80" s="78"/>
      <c r="C80" s="78"/>
      <c r="D80" s="2031" t="n">
        <f aca="false">IF(D77=0,D78,D77)</f>
        <v>0</v>
      </c>
      <c r="E80" s="78"/>
      <c r="F80" s="2032" t="n">
        <v>100</v>
      </c>
      <c r="G80" s="78"/>
      <c r="H80" s="16"/>
      <c r="I80" s="16"/>
      <c r="J80" s="16"/>
      <c r="K80" s="16"/>
      <c r="L80" s="2033"/>
      <c r="M80" s="2033"/>
      <c r="N80" s="2030" t="n">
        <f aca="false">D80*F80</f>
        <v>0</v>
      </c>
      <c r="O80" s="2030"/>
      <c r="P80" s="1306"/>
      <c r="Q80" s="920"/>
      <c r="R80" s="78"/>
      <c r="S80" s="1311"/>
      <c r="T80" s="78"/>
      <c r="U80" s="1308"/>
      <c r="V80" s="78"/>
      <c r="W80" s="1309" t="n">
        <f aca="false">S80*U80</f>
        <v>0</v>
      </c>
    </row>
    <row r="81" s="1414" customFormat="true" ht="18" hidden="false" customHeight="true" outlineLevel="0" collapsed="false">
      <c r="A81" s="1798" t="s">
        <v>1320</v>
      </c>
      <c r="B81" s="1826"/>
      <c r="C81" s="1826"/>
      <c r="D81" s="1110" t="n">
        <f aca="false">IF(D78=0,D79,D78)</f>
        <v>0</v>
      </c>
      <c r="E81" s="1826" t="s">
        <v>1317</v>
      </c>
      <c r="F81" s="2034" t="n">
        <v>200</v>
      </c>
      <c r="G81" s="1826" t="s">
        <v>1450</v>
      </c>
      <c r="H81" s="1058"/>
      <c r="I81" s="1058"/>
      <c r="J81" s="1058"/>
      <c r="K81" s="1058"/>
      <c r="L81" s="1372" t="n">
        <f aca="false">IF(D40=0,0,N81/D40)</f>
        <v>0</v>
      </c>
      <c r="M81" s="1372"/>
      <c r="N81" s="730" t="n">
        <f aca="false">D81*F81</f>
        <v>0</v>
      </c>
      <c r="O81" s="730"/>
      <c r="P81" s="1306" t="s">
        <v>1069</v>
      </c>
      <c r="Q81" s="920" t="s">
        <v>1717</v>
      </c>
      <c r="R81" s="78"/>
      <c r="S81" s="1311" t="n">
        <f aca="false">H67/30</f>
        <v>0</v>
      </c>
      <c r="T81" s="78" t="s">
        <v>1312</v>
      </c>
      <c r="U81" s="1308" t="n">
        <v>15</v>
      </c>
      <c r="V81" s="78" t="s">
        <v>595</v>
      </c>
      <c r="W81" s="1309" t="n">
        <f aca="false">S81*U81</f>
        <v>0</v>
      </c>
    </row>
    <row r="82" s="1414" customFormat="true" ht="18" hidden="false" customHeight="true" outlineLevel="0" collapsed="false">
      <c r="A82" s="2022" t="s">
        <v>1325</v>
      </c>
      <c r="B82" s="2022"/>
      <c r="C82" s="2022"/>
      <c r="D82" s="2022"/>
      <c r="E82" s="2022"/>
      <c r="F82" s="2022"/>
      <c r="G82" s="2022"/>
      <c r="H82" s="2022"/>
      <c r="I82" s="2022"/>
      <c r="J82" s="2022"/>
      <c r="K82" s="2022"/>
      <c r="L82" s="2022"/>
      <c r="M82" s="2022"/>
      <c r="N82" s="2022"/>
      <c r="O82" s="2022"/>
      <c r="P82" s="1306" t="s">
        <v>1069</v>
      </c>
      <c r="Q82" s="1044" t="s">
        <v>1643</v>
      </c>
      <c r="R82" s="397"/>
      <c r="S82" s="2035" t="n">
        <f aca="false">SUM(K51:L55)/300</f>
        <v>0</v>
      </c>
      <c r="T82" s="397" t="s">
        <v>1323</v>
      </c>
      <c r="U82" s="1108" t="n">
        <v>250</v>
      </c>
      <c r="V82" s="397" t="s">
        <v>1324</v>
      </c>
      <c r="W82" s="1326" t="n">
        <f aca="false">S82*U82</f>
        <v>0</v>
      </c>
    </row>
    <row r="83" s="1414" customFormat="true" ht="18" hidden="false" customHeight="true" outlineLevel="0" collapsed="false">
      <c r="A83" s="1794" t="s">
        <v>1326</v>
      </c>
      <c r="B83" s="1799"/>
      <c r="C83" s="1800"/>
      <c r="D83" s="1098" t="n">
        <f aca="false">D84</f>
        <v>0</v>
      </c>
      <c r="E83" s="2016" t="s">
        <v>1327</v>
      </c>
      <c r="F83" s="2023" t="n">
        <f aca="false">Pricing!D32</f>
        <v>425</v>
      </c>
      <c r="G83" s="2016" t="s">
        <v>1450</v>
      </c>
      <c r="H83" s="1068"/>
      <c r="I83" s="1068"/>
      <c r="J83" s="1068"/>
      <c r="K83" s="1068"/>
      <c r="L83" s="1068"/>
      <c r="M83" s="1068"/>
      <c r="N83" s="1369" t="n">
        <f aca="false">(IF(AND(D83&gt;0,D83&lt;4),D83*F83,0)+IF(AND(D83&gt;3,D83&lt;8),F83*3,0)+IF(AND(D83&gt;7,D83&lt;21),D83/7*F83*3,0)+IF(AND(D83&gt;20,D83&lt;30),F83*9,0)+IF(D83&gt;29,D83/30*F83*9,0))*(1+V$39+I$85)</f>
        <v>0</v>
      </c>
      <c r="O83" s="1369"/>
      <c r="P83" s="1306" t="s">
        <v>1073</v>
      </c>
      <c r="Q83" s="920" t="s">
        <v>618</v>
      </c>
      <c r="R83" s="78"/>
      <c r="S83" s="1311"/>
      <c r="T83" s="78" t="s">
        <v>1452</v>
      </c>
      <c r="U83" s="1308" t="n">
        <f aca="false">Pricing!Q31</f>
        <v>27</v>
      </c>
      <c r="V83" s="78" t="s">
        <v>607</v>
      </c>
      <c r="W83" s="1309" t="n">
        <f aca="false">S83*U83</f>
        <v>0</v>
      </c>
    </row>
    <row r="84" s="1414" customFormat="true" ht="18" hidden="false" customHeight="true" outlineLevel="0" collapsed="false">
      <c r="A84" s="507" t="s">
        <v>622</v>
      </c>
      <c r="B84" s="1312"/>
      <c r="C84" s="1801"/>
      <c r="D84"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4" s="78" t="s">
        <v>1327</v>
      </c>
      <c r="F84" s="2023" t="n">
        <f aca="false">Pricing!D33</f>
        <v>475</v>
      </c>
      <c r="G84" s="78" t="s">
        <v>1450</v>
      </c>
      <c r="H84" s="16"/>
      <c r="I84" s="1118" t="s">
        <v>1329</v>
      </c>
      <c r="J84" s="1118"/>
      <c r="K84" s="16"/>
      <c r="L84" s="1119" t="n">
        <f aca="false">IF(D40=0,0,(SUM(N83:O88))/D40)</f>
        <v>0</v>
      </c>
      <c r="M84" s="1119"/>
      <c r="N84" s="2030" t="n">
        <f aca="false">(IF(AND(D84&gt;0,D84&lt;4),D84*F84,0)+IF(AND(D84&gt;3,D84&lt;8),F84*3,0)+IF(AND(D84&gt;7,D84&lt;21),D84/7*F84*3,0)+IF(AND(D84&gt;20,D84&lt;30),F84*9,0)+IF(D84&gt;29,D84/30*F84*9,0))*(1+V$39+I$85)</f>
        <v>0</v>
      </c>
      <c r="O84" s="2030"/>
      <c r="P84" s="1306" t="s">
        <v>1073</v>
      </c>
      <c r="Q84" s="920" t="s">
        <v>1457</v>
      </c>
      <c r="R84" s="78"/>
      <c r="S84" s="1311" t="n">
        <v>0</v>
      </c>
      <c r="T84" s="78" t="s">
        <v>1511</v>
      </c>
      <c r="U84" s="1308" t="n">
        <f aca="false">Pricing!Q32</f>
        <v>1.25</v>
      </c>
      <c r="V84" s="78" t="s">
        <v>1417</v>
      </c>
      <c r="W84" s="1309" t="n">
        <f aca="false">U84*S84</f>
        <v>0</v>
      </c>
    </row>
    <row r="85" s="1414" customFormat="true" ht="18" hidden="false" customHeight="true" outlineLevel="0" collapsed="false">
      <c r="A85" s="507" t="s">
        <v>626</v>
      </c>
      <c r="B85" s="1312"/>
      <c r="C85" s="1801"/>
      <c r="D85"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5" s="78" t="s">
        <v>1327</v>
      </c>
      <c r="F85" s="2027" t="n">
        <v>275</v>
      </c>
      <c r="G85" s="78" t="s">
        <v>1450</v>
      </c>
      <c r="H85" s="16"/>
      <c r="I85" s="2036" t="n">
        <v>0.5</v>
      </c>
      <c r="J85" s="2036"/>
      <c r="K85" s="16"/>
      <c r="L85" s="2029" t="n">
        <f aca="false">SUM(N83:O88)</f>
        <v>0</v>
      </c>
      <c r="M85" s="2029"/>
      <c r="N85" s="2030" t="n">
        <f aca="false">(IF(AND(D85&gt;0,D85&lt;4),D85*F85,0)+IF(AND(D85&gt;3,D85&lt;8),F85*3,0)+IF(AND(D85&gt;7,D85&lt;21),D85/7*F85*3,0)+IF(AND(D85&gt;20,D85&lt;30),F85*9,0)+IF(D85&gt;29,D85/30*F85*9,0))*(1+V$39+I$85)</f>
        <v>0</v>
      </c>
      <c r="O85" s="2030"/>
      <c r="P85" s="1306" t="s">
        <v>1073</v>
      </c>
      <c r="Q85" s="1357" t="s">
        <v>554</v>
      </c>
      <c r="R85" s="1358"/>
      <c r="S85" s="1359" t="n">
        <f aca="false">K56</f>
        <v>0</v>
      </c>
      <c r="T85" s="1358" t="s">
        <v>1288</v>
      </c>
      <c r="U85" s="1360" t="n">
        <v>0.04</v>
      </c>
      <c r="V85" s="1358" t="s">
        <v>555</v>
      </c>
      <c r="W85" s="1326" t="n">
        <f aca="false">U85*S85</f>
        <v>0</v>
      </c>
    </row>
    <row r="86" s="1414" customFormat="true" ht="18" hidden="false" customHeight="true" outlineLevel="0" collapsed="false">
      <c r="A86" s="507" t="s">
        <v>1332</v>
      </c>
      <c r="B86" s="1312"/>
      <c r="C86" s="1801"/>
      <c r="D86"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6" s="78" t="s">
        <v>1327</v>
      </c>
      <c r="F86" s="2027" t="n">
        <f aca="false">Pricing!D39</f>
        <v>100</v>
      </c>
      <c r="G86" s="78" t="s">
        <v>1450</v>
      </c>
      <c r="H86" s="16"/>
      <c r="I86" s="2036"/>
      <c r="J86" s="2036"/>
      <c r="K86" s="16"/>
      <c r="L86" s="16"/>
      <c r="M86" s="16"/>
      <c r="N86" s="1309" t="n">
        <f aca="false">(IF(AND(D86&gt;0,D86&lt;4),D86*F86,0)+IF(AND(D86&gt;3,D86&lt;8),F86*3,0)+IF(AND(D86&gt;7,D86&lt;21),D86/7*F86*3,0)+IF(AND(D86&gt;20,D86&lt;30),F86*9,0)+IF(D86&gt;29,D86/30*F86*9,0))*(1+V$39+I$85)</f>
        <v>0</v>
      </c>
      <c r="O86" s="1309"/>
      <c r="P86" s="1306" t="s">
        <v>1078</v>
      </c>
      <c r="Q86" s="920" t="s">
        <v>1105</v>
      </c>
      <c r="R86" s="78"/>
      <c r="S86" s="1311"/>
      <c r="T86" s="78"/>
      <c r="U86" s="1308"/>
      <c r="V86" s="78"/>
      <c r="W86" s="1309" t="n">
        <v>0</v>
      </c>
    </row>
    <row r="87" s="1414" customFormat="true" ht="18" hidden="false" customHeight="true" outlineLevel="0" collapsed="false">
      <c r="A87" s="507" t="s">
        <v>1333</v>
      </c>
      <c r="B87" s="1312"/>
      <c r="C87" s="1801"/>
      <c r="D87" s="1115" t="n">
        <f aca="false">IF(D$78&gt;0,IF(D$78&lt;=3,D$78,7),0)+IF(D$78&gt;5,IF(D$78&lt;=10,7,0),0)+IF(D$78&gt;10,IF(D$78&lt;=15,14,0),0)+IF(D$78&gt;15,IF(D$78&lt;=20,23,0),0)+IF(D$78&gt;20,IF(D$78&lt;=40,53,0),0)+IF(D$78&gt;40,IF(D$78&lt;=60,83,0),0)+IF(D$78&gt;60,IF(D$78&lt;=80,113,0),0)+IF(D$78&gt;80,IF(D$78&lt;=100,143,0),0)+IF(D$78&gt;100,IF(D$78&lt;=120,163,0),0)+IF(D$78&gt;120,IF(D$78&lt;=140,193,0),0)+IF(D$78&gt;140,IF(D$78&lt;=160,223,0),0)</f>
        <v>0</v>
      </c>
      <c r="E87" s="78" t="s">
        <v>1327</v>
      </c>
      <c r="F87" s="2027" t="n">
        <v>50</v>
      </c>
      <c r="G87" s="78" t="s">
        <v>1450</v>
      </c>
      <c r="H87" s="16"/>
      <c r="I87" s="16"/>
      <c r="J87" s="16"/>
      <c r="K87" s="16"/>
      <c r="L87" s="16"/>
      <c r="M87" s="16"/>
      <c r="N87" s="1309" t="n">
        <f aca="false">(IF(AND(D87&gt;0,D87&lt;4),D87*F87,0)+IF(AND(D87&gt;3,D87&lt;8),F87*3,0)+IF(AND(D87&gt;7,D87&lt;21),D87/7*F87*3,0)+IF(AND(D87&gt;20,D87&lt;30),F87*9,0)+IF(D87&gt;29,D87/30*F87*9,0))*(1+V$39+I$85)</f>
        <v>0</v>
      </c>
      <c r="O87" s="1309"/>
      <c r="P87" s="1306" t="s">
        <v>1328</v>
      </c>
      <c r="Q87" s="920" t="s">
        <v>1105</v>
      </c>
      <c r="R87" s="78"/>
      <c r="S87" s="1311"/>
      <c r="T87" s="78"/>
      <c r="U87" s="1308"/>
      <c r="V87" s="78"/>
      <c r="W87" s="1309" t="n">
        <v>0</v>
      </c>
    </row>
    <row r="88" s="1414" customFormat="true" ht="18" hidden="false" customHeight="true" outlineLevel="0" collapsed="false">
      <c r="A88" s="1798" t="s">
        <v>1067</v>
      </c>
      <c r="B88" s="1804"/>
      <c r="C88" s="1805"/>
      <c r="D88" s="2037" t="n">
        <f aca="false">IF(D$78&gt;0,IF(D$78&lt;=3,D$78,7),0)+IF(D$78&gt;5,IF(D$78&lt;=10,7,0),0)+IF(D$78&gt;10,IF(D$78&lt;=15,14,0),0)+IF(D$78&gt;15,IF(D$78&lt;=20,23,0),0)+IF(D$78&gt;20,IF(D$78&lt;=40,53,0),0)+IF(D$78&gt;40,IF(D$78&lt;=60,83,0),0)+IF(D$78&gt;60,IF(D$78&lt;=80,113,0),0)+IF(D$78&gt;80,IF(D$78&lt;=100,143,0),0)+IF(D$78&gt;100,IF(D$78&lt;=120,163,0),0)+IF(D$78&gt;120,IF(D$78&lt;=140,193,0),0)+IF(D$78&gt;140,IF(D$78&lt;=160,223,0),0)</f>
        <v>0</v>
      </c>
      <c r="E88" s="1826" t="s">
        <v>1327</v>
      </c>
      <c r="F88" s="2034" t="n">
        <v>35</v>
      </c>
      <c r="G88" s="1826" t="s">
        <v>1450</v>
      </c>
      <c r="H88" s="1058"/>
      <c r="I88" s="1058"/>
      <c r="J88" s="1058"/>
      <c r="K88" s="1058"/>
      <c r="L88" s="1127"/>
      <c r="M88" s="1058"/>
      <c r="N88" s="730" t="n">
        <f aca="false">(IF(AND(D88&gt;0,D88&lt;4),D88*F88,0)+IF(AND(D88&gt;3,D88&lt;8),F88*3,0)+IF(AND(D88&gt;7,D88&lt;21),D88/7*F88*3,0)+IF(AND(D88&gt;20,D88&lt;30),F88*9,0)+IF(D88&gt;29,D88/30*F88*9,0))</f>
        <v>0</v>
      </c>
      <c r="O88" s="730"/>
      <c r="P88" s="1306" t="s">
        <v>1330</v>
      </c>
      <c r="Q88" s="1357" t="s">
        <v>1108</v>
      </c>
      <c r="R88" s="1358"/>
      <c r="S88" s="1359"/>
      <c r="T88" s="1358"/>
      <c r="U88" s="1360"/>
      <c r="V88" s="1358"/>
      <c r="W88" s="1326" t="n">
        <v>0</v>
      </c>
    </row>
    <row r="89" s="1414" customFormat="true" ht="18" hidden="false" customHeight="true" outlineLevel="0" collapsed="false">
      <c r="A89" s="2022" t="s">
        <v>1336</v>
      </c>
      <c r="B89" s="2022"/>
      <c r="C89" s="2022"/>
      <c r="D89" s="2022"/>
      <c r="E89" s="2022"/>
      <c r="F89" s="2022"/>
      <c r="G89" s="2022"/>
      <c r="H89" s="2022"/>
      <c r="I89" s="2022"/>
      <c r="J89" s="2022"/>
      <c r="K89" s="2022"/>
      <c r="L89" s="2022"/>
      <c r="M89" s="2022"/>
      <c r="N89" s="2022"/>
      <c r="O89" s="2022"/>
      <c r="P89" s="1306" t="s">
        <v>1342</v>
      </c>
      <c r="Q89" s="599"/>
      <c r="R89" s="16"/>
      <c r="S89" s="1037"/>
      <c r="T89" s="16"/>
      <c r="U89" s="922"/>
      <c r="V89" s="16"/>
      <c r="W89" s="2011"/>
    </row>
    <row r="90" s="1414" customFormat="true" ht="18" hidden="false" customHeight="true" outlineLevel="0" collapsed="false">
      <c r="A90" s="1794" t="s">
        <v>1458</v>
      </c>
      <c r="B90" s="2038"/>
      <c r="C90" s="2039"/>
      <c r="D90" s="2040" t="n">
        <f aca="false">W36</f>
        <v>0</v>
      </c>
      <c r="E90" s="1800" t="s">
        <v>998</v>
      </c>
      <c r="F90" s="1383" t="n">
        <v>10</v>
      </c>
      <c r="G90" s="2016" t="s">
        <v>1285</v>
      </c>
      <c r="H90" s="1068"/>
      <c r="I90" s="1068"/>
      <c r="J90" s="1068"/>
      <c r="K90" s="1068"/>
      <c r="L90" s="1068"/>
      <c r="M90" s="1068"/>
      <c r="N90" s="1369" t="n">
        <f aca="false">D90*F90</f>
        <v>0</v>
      </c>
      <c r="O90" s="1369"/>
      <c r="P90" s="1306" t="s">
        <v>1342</v>
      </c>
      <c r="Q90" s="599" t="s">
        <v>646</v>
      </c>
      <c r="R90" s="16"/>
      <c r="S90" s="1037" t="n">
        <f aca="false">ROUNDUP(H67/300/55,0)</f>
        <v>0</v>
      </c>
      <c r="T90" s="16" t="s">
        <v>1720</v>
      </c>
      <c r="U90" s="922" t="n">
        <f aca="false">Pricing!Q44</f>
        <v>567.5</v>
      </c>
      <c r="V90" s="16" t="s">
        <v>647</v>
      </c>
      <c r="W90" s="1309" t="n">
        <f aca="false">U90*S90</f>
        <v>0</v>
      </c>
    </row>
    <row r="91" s="1414" customFormat="true" ht="18" hidden="false" customHeight="true" outlineLevel="0" collapsed="false">
      <c r="A91" s="507" t="s">
        <v>1721</v>
      </c>
      <c r="B91" s="528"/>
      <c r="C91" s="895"/>
      <c r="D91" s="2041" t="n">
        <f aca="false">DH36</f>
        <v>0</v>
      </c>
      <c r="E91" s="78" t="s">
        <v>1418</v>
      </c>
      <c r="F91" s="1337" t="n">
        <v>5.25</v>
      </c>
      <c r="G91" s="78" t="s">
        <v>600</v>
      </c>
      <c r="H91" s="16"/>
      <c r="I91" s="16"/>
      <c r="J91" s="16"/>
      <c r="K91" s="16"/>
      <c r="L91" s="16"/>
      <c r="M91" s="16"/>
      <c r="N91" s="1309" t="n">
        <f aca="false">D91*F91</f>
        <v>0</v>
      </c>
      <c r="O91" s="1309"/>
      <c r="P91" s="1306" t="s">
        <v>1342</v>
      </c>
      <c r="Q91" s="1044" t="s">
        <v>649</v>
      </c>
      <c r="R91" s="397"/>
      <c r="S91" s="1107" t="n">
        <f aca="false">BN66</f>
        <v>0</v>
      </c>
      <c r="T91" s="397" t="s">
        <v>1720</v>
      </c>
      <c r="U91" s="1108" t="n">
        <f aca="false">Pricing!Q45</f>
        <v>542</v>
      </c>
      <c r="V91" s="397" t="s">
        <v>647</v>
      </c>
      <c r="W91" s="1326" t="n">
        <f aca="false">U91*S91</f>
        <v>0</v>
      </c>
    </row>
    <row r="92" s="1414" customFormat="true" ht="18" hidden="false" customHeight="true" outlineLevel="0" collapsed="false">
      <c r="A92" s="507" t="s">
        <v>1462</v>
      </c>
      <c r="B92" s="528"/>
      <c r="C92" s="895"/>
      <c r="D92" s="2041"/>
      <c r="E92" s="2026" t="s">
        <v>1341</v>
      </c>
      <c r="F92" s="1337" t="n">
        <v>0.25</v>
      </c>
      <c r="G92" s="78" t="s">
        <v>1341</v>
      </c>
      <c r="H92" s="16"/>
      <c r="I92" s="16"/>
      <c r="J92" s="16"/>
      <c r="K92" s="16"/>
      <c r="L92" s="16"/>
      <c r="M92" s="16"/>
      <c r="N92" s="1309" t="n">
        <f aca="false">D92*F92</f>
        <v>0</v>
      </c>
      <c r="O92" s="1309"/>
      <c r="P92" s="1306"/>
      <c r="Q92" s="599"/>
      <c r="R92" s="16"/>
      <c r="S92" s="16"/>
      <c r="T92" s="16"/>
      <c r="U92" s="905"/>
      <c r="V92" s="16"/>
      <c r="W92" s="1146"/>
    </row>
    <row r="93" s="1414" customFormat="true" ht="18" hidden="false" customHeight="true" outlineLevel="0" collapsed="false">
      <c r="A93" s="2042" t="s">
        <v>1067</v>
      </c>
      <c r="B93" s="2043"/>
      <c r="C93" s="2044"/>
      <c r="D93" s="2045"/>
      <c r="E93" s="2046" t="s">
        <v>1000</v>
      </c>
      <c r="F93" s="2047" t="n">
        <v>1000</v>
      </c>
      <c r="G93" s="2048" t="s">
        <v>1624</v>
      </c>
      <c r="H93" s="16"/>
      <c r="I93" s="16"/>
      <c r="J93" s="16"/>
      <c r="K93" s="16"/>
      <c r="L93" s="16"/>
      <c r="M93" s="170"/>
      <c r="N93" s="1309" t="n">
        <f aca="false">D93*F93</f>
        <v>0</v>
      </c>
      <c r="O93" s="1309"/>
      <c r="P93" s="1306"/>
      <c r="Q93" s="1151" t="s">
        <v>1349</v>
      </c>
      <c r="R93" s="5"/>
      <c r="S93" s="994" t="n">
        <v>18</v>
      </c>
      <c r="T93" s="994" t="s">
        <v>1350</v>
      </c>
      <c r="U93" s="16"/>
      <c r="V93" s="16"/>
      <c r="W93" s="1152"/>
    </row>
    <row r="94" s="1414" customFormat="true" ht="18" hidden="false" customHeight="true" outlineLevel="0" collapsed="false">
      <c r="A94" s="507" t="s">
        <v>1234</v>
      </c>
      <c r="B94" s="528"/>
      <c r="C94" s="895"/>
      <c r="D94" s="2041"/>
      <c r="E94" s="1308" t="s">
        <v>1285</v>
      </c>
      <c r="F94" s="1337" t="n">
        <v>6</v>
      </c>
      <c r="G94" s="78" t="s">
        <v>1285</v>
      </c>
      <c r="H94" s="16"/>
      <c r="I94" s="16"/>
      <c r="J94" s="16"/>
      <c r="K94" s="16"/>
      <c r="L94" s="16"/>
      <c r="M94" s="170"/>
      <c r="N94" s="1309" t="n">
        <f aca="false">D94*F94</f>
        <v>0</v>
      </c>
      <c r="O94" s="1309"/>
      <c r="P94" s="1306" t="s">
        <v>1072</v>
      </c>
      <c r="Q94" s="602" t="s">
        <v>1353</v>
      </c>
      <c r="R94" s="1058"/>
      <c r="S94" s="1058" t="n">
        <f aca="false">S64*12/S93</f>
        <v>0</v>
      </c>
      <c r="T94" s="1058" t="s">
        <v>1354</v>
      </c>
      <c r="U94" s="1162" t="n">
        <f aca="false">Pricing!D30</f>
        <v>1</v>
      </c>
      <c r="V94" s="1162"/>
      <c r="W94" s="2049" t="n">
        <f aca="false">U94*S94</f>
        <v>0</v>
      </c>
    </row>
    <row r="95" s="1414" customFormat="true" ht="18" hidden="false" customHeight="true" outlineLevel="0" collapsed="false">
      <c r="A95" s="1798" t="s">
        <v>1346</v>
      </c>
      <c r="B95" s="1605"/>
      <c r="C95" s="1609"/>
      <c r="D95" s="2050"/>
      <c r="E95" s="2051" t="s">
        <v>1347</v>
      </c>
      <c r="F95" s="2052" t="n">
        <v>200</v>
      </c>
      <c r="G95" s="1826" t="s">
        <v>620</v>
      </c>
      <c r="H95" s="1058"/>
      <c r="I95" s="1058"/>
      <c r="J95" s="1058"/>
      <c r="K95" s="1058"/>
      <c r="L95" s="1058"/>
      <c r="M95" s="1058"/>
      <c r="N95" s="730" t="n">
        <f aca="false">D95*F95</f>
        <v>0</v>
      </c>
      <c r="O95" s="730"/>
      <c r="P95" s="654"/>
      <c r="Q95" s="654"/>
      <c r="R95" s="654"/>
      <c r="S95" s="654"/>
      <c r="T95" s="654"/>
      <c r="U95" s="654"/>
      <c r="V95" s="654"/>
      <c r="W95" s="1393" t="n">
        <f aca="false">SUM(W52:W94)</f>
        <v>0</v>
      </c>
    </row>
    <row r="96" s="1414" customFormat="true" ht="18" hidden="false" customHeight="true" outlineLevel="0" collapsed="false">
      <c r="A96" s="1394" t="s">
        <v>1191</v>
      </c>
      <c r="B96" s="1394"/>
      <c r="C96" s="1394"/>
      <c r="D96" s="1395" t="n">
        <f aca="false">Summary!P60</f>
        <v>0</v>
      </c>
      <c r="E96" s="1396" t="s">
        <v>1465</v>
      </c>
      <c r="F96" s="2053" t="n">
        <f aca="false">(SUM(N51:O64)+SUM(N66:O75)+SUM(K66:L75)+SUM(N78:O81)+SUM(N83:O88)+SUM(N90:O95))*D96</f>
        <v>0</v>
      </c>
      <c r="G96" s="1398" t="s">
        <v>1039</v>
      </c>
      <c r="H96" s="1398"/>
      <c r="I96" s="1398"/>
      <c r="J96" s="1398"/>
      <c r="K96" s="1398"/>
      <c r="L96" s="1398"/>
      <c r="M96" s="1398"/>
      <c r="N96" s="1399" t="n">
        <f aca="false">F96</f>
        <v>0</v>
      </c>
      <c r="O96" s="1399"/>
      <c r="P96" s="654"/>
      <c r="Q96" s="654"/>
      <c r="R96" s="654"/>
      <c r="S96" s="654"/>
      <c r="T96" s="654"/>
      <c r="U96" s="654"/>
      <c r="V96" s="654"/>
      <c r="W96" s="654"/>
    </row>
    <row r="97" s="1414" customFormat="true" ht="18" hidden="false" customHeight="true" outlineLevel="0" collapsed="false">
      <c r="A97" s="949"/>
      <c r="B97" s="950"/>
      <c r="C97" s="950"/>
      <c r="D97" s="950"/>
      <c r="E97" s="950"/>
      <c r="F97" s="950"/>
      <c r="G97" s="950"/>
      <c r="H97" s="950"/>
      <c r="I97" s="950"/>
      <c r="J97" s="950"/>
      <c r="K97" s="954"/>
      <c r="L97" s="950"/>
      <c r="M97" s="950"/>
      <c r="N97" s="950"/>
      <c r="O97" s="950"/>
      <c r="P97" s="950"/>
      <c r="Q97" s="950"/>
      <c r="R97" s="950"/>
      <c r="S97" s="950"/>
      <c r="T97" s="950"/>
      <c r="U97" s="950"/>
      <c r="V97" s="950"/>
      <c r="W97" s="957"/>
    </row>
    <row r="98" s="1414" customFormat="true" ht="18" hidden="false" customHeight="true" outlineLevel="0" collapsed="false">
      <c r="A98" s="1642" t="s">
        <v>1262</v>
      </c>
      <c r="B98" s="1643"/>
      <c r="C98" s="1644"/>
      <c r="D98" s="1642" t="s">
        <v>982</v>
      </c>
      <c r="E98" s="1644"/>
      <c r="F98" s="1642" t="s">
        <v>1263</v>
      </c>
      <c r="G98" s="1643"/>
      <c r="H98" s="1644"/>
      <c r="I98" s="1167" t="s">
        <v>1264</v>
      </c>
      <c r="J98" s="1168"/>
      <c r="K98" s="1169"/>
      <c r="L98" s="1170" t="s">
        <v>1265</v>
      </c>
      <c r="M98" s="1171"/>
      <c r="N98" s="1171"/>
      <c r="O98" s="1172"/>
      <c r="P98" s="961"/>
      <c r="Q98" s="599" t="s">
        <v>1266</v>
      </c>
      <c r="R98" s="16"/>
      <c r="S98" s="16" t="s">
        <v>1267</v>
      </c>
      <c r="T98" s="1173" t="str">
        <f aca="false">T39</f>
        <v>N</v>
      </c>
      <c r="U98" s="833" t="s">
        <v>1268</v>
      </c>
      <c r="V98" s="1401" t="n">
        <f aca="false">V39</f>
        <v>0.0825</v>
      </c>
      <c r="W98" s="964"/>
    </row>
    <row r="99" s="1414" customFormat="true" ht="18" hidden="false" customHeight="true" outlineLevel="0" collapsed="false">
      <c r="A99" s="965" t="s">
        <v>1269</v>
      </c>
      <c r="B99" s="966" t="n">
        <f aca="false">B40</f>
        <v>0</v>
      </c>
      <c r="C99" s="966"/>
      <c r="D99" s="967" t="n">
        <f aca="false">D40</f>
        <v>0</v>
      </c>
      <c r="E99" s="967"/>
      <c r="F99" s="968" t="n">
        <f aca="false">F40</f>
        <v>0</v>
      </c>
      <c r="G99" s="736" t="n">
        <f aca="false">G40</f>
        <v>0</v>
      </c>
      <c r="H99" s="736"/>
      <c r="I99" s="1651" t="n">
        <f aca="false">I40</f>
        <v>0</v>
      </c>
      <c r="J99" s="1652"/>
      <c r="K99" s="1653"/>
      <c r="L99" s="1402" t="n">
        <f aca="false">L40</f>
        <v>0.18</v>
      </c>
      <c r="M99" s="1402"/>
      <c r="N99" s="1402"/>
      <c r="O99" s="1402"/>
      <c r="P99" s="1265"/>
      <c r="Q99" s="970" t="s">
        <v>980</v>
      </c>
      <c r="R99" s="16"/>
      <c r="S99" s="16"/>
      <c r="T99" s="971" t="n">
        <f aca="false">S40</f>
        <v>0</v>
      </c>
      <c r="U99" s="971"/>
      <c r="V99" s="16"/>
      <c r="W99" s="964"/>
    </row>
    <row r="100" s="1414" customFormat="true" ht="18" hidden="false" customHeight="true" outlineLevel="0" collapsed="false">
      <c r="A100" s="979"/>
      <c r="B100" s="973"/>
      <c r="C100" s="973"/>
      <c r="D100" s="973"/>
      <c r="E100" s="973"/>
      <c r="F100" s="973"/>
      <c r="G100" s="973"/>
      <c r="H100" s="973"/>
      <c r="I100" s="973"/>
      <c r="J100" s="973"/>
      <c r="K100" s="973"/>
      <c r="L100" s="973"/>
      <c r="M100" s="973"/>
      <c r="N100" s="973"/>
      <c r="O100" s="973"/>
      <c r="P100" s="973"/>
      <c r="Q100" s="973"/>
      <c r="R100" s="973"/>
      <c r="S100" s="973"/>
      <c r="T100" s="973"/>
      <c r="U100" s="973"/>
      <c r="V100" s="973"/>
      <c r="W100" s="984"/>
    </row>
    <row r="101" s="1414" customFormat="true" ht="15" hidden="false" customHeight="false" outlineLevel="0" collapsed="false">
      <c r="A101" s="654"/>
      <c r="B101" s="654"/>
      <c r="C101" s="654"/>
      <c r="D101" s="654"/>
      <c r="E101" s="654"/>
      <c r="F101" s="654"/>
      <c r="G101" s="654"/>
      <c r="H101" s="654"/>
      <c r="I101" s="654"/>
      <c r="J101" s="654"/>
      <c r="K101" s="654"/>
      <c r="L101" s="654"/>
      <c r="M101" s="654"/>
      <c r="N101" s="654"/>
      <c r="O101" s="654"/>
      <c r="P101" s="654"/>
      <c r="Q101" s="654"/>
      <c r="R101" s="654"/>
      <c r="S101" s="654"/>
      <c r="T101" s="654"/>
      <c r="U101" s="654"/>
      <c r="V101" s="654"/>
      <c r="W101" s="654"/>
    </row>
    <row r="102" s="1414" customFormat="true" ht="15" hidden="false" customHeight="false" outlineLevel="0" collapsed="false">
      <c r="A102" s="654"/>
      <c r="B102" s="654"/>
      <c r="C102" s="654"/>
      <c r="D102" s="654"/>
      <c r="E102" s="654"/>
      <c r="F102" s="654"/>
      <c r="G102" s="654"/>
      <c r="H102" s="654"/>
      <c r="I102" s="654"/>
      <c r="J102" s="654"/>
      <c r="K102" s="654"/>
      <c r="L102" s="654"/>
      <c r="M102" s="654"/>
      <c r="N102" s="654"/>
      <c r="O102" s="654"/>
      <c r="P102" s="654"/>
      <c r="Q102" s="654"/>
      <c r="R102" s="654"/>
      <c r="S102" s="654"/>
      <c r="T102" s="654"/>
      <c r="U102" s="654"/>
      <c r="V102" s="654"/>
      <c r="W102" s="654"/>
    </row>
    <row r="103" s="1414" customFormat="true" ht="15" hidden="false" customHeight="false" outlineLevel="0" collapsed="false">
      <c r="A103" s="717" t="s">
        <v>1055</v>
      </c>
      <c r="B103" s="1403" t="s">
        <v>853</v>
      </c>
      <c r="C103" s="719"/>
      <c r="D103" s="722" t="n">
        <f aca="false">D104-T99</f>
        <v>0</v>
      </c>
      <c r="E103" s="654"/>
      <c r="F103" s="654"/>
      <c r="G103" s="654"/>
      <c r="H103" s="654"/>
      <c r="I103" s="654"/>
      <c r="J103" s="654"/>
      <c r="K103" s="654"/>
      <c r="L103" s="654"/>
      <c r="M103" s="654"/>
      <c r="N103" s="654"/>
      <c r="O103" s="654"/>
      <c r="P103" s="654"/>
      <c r="Q103" s="654"/>
      <c r="R103" s="654"/>
      <c r="S103" s="654"/>
    </row>
    <row r="104" s="1414" customFormat="true" ht="15" hidden="false" customHeight="false" outlineLevel="0" collapsed="false">
      <c r="A104" s="733" t="s">
        <v>1070</v>
      </c>
      <c r="B104" s="735"/>
      <c r="C104" s="735"/>
      <c r="D104" s="736" t="n">
        <f aca="false">SUM(D105:D161)-D137-D147</f>
        <v>0</v>
      </c>
      <c r="E104" s="654"/>
      <c r="F104" s="654"/>
      <c r="G104" s="654"/>
      <c r="H104" s="654"/>
      <c r="I104" s="654"/>
      <c r="J104" s="654"/>
      <c r="K104" s="654"/>
      <c r="L104" s="654"/>
      <c r="M104" s="654"/>
      <c r="N104" s="654"/>
      <c r="O104" s="654"/>
      <c r="P104" s="654"/>
      <c r="Q104" s="654"/>
      <c r="R104" s="654"/>
      <c r="S104" s="654"/>
    </row>
    <row r="105" customFormat="false" ht="15" hidden="false" customHeight="false" outlineLevel="0" collapsed="false">
      <c r="A105" s="1404" t="n">
        <f aca="false">Summary!P74</f>
        <v>40001</v>
      </c>
      <c r="B105" s="741" t="str">
        <f aca="false">Summary!Q74</f>
        <v>General Requirements</v>
      </c>
      <c r="C105" s="318"/>
      <c r="D105" s="742" t="n">
        <f aca="false">SUM(L100:M102)</f>
        <v>0</v>
      </c>
    </row>
    <row r="106" customFormat="false" ht="15" hidden="false" customHeight="false" outlineLevel="0" collapsed="false">
      <c r="A106" s="1404" t="n">
        <f aca="false">Summary!P75</f>
        <v>40002</v>
      </c>
      <c r="B106" s="741" t="str">
        <f aca="false">Summary!Q75</f>
        <v>Lumber</v>
      </c>
      <c r="C106" s="318"/>
      <c r="D106" s="751" t="n">
        <f aca="false">SUM(W51:W76)+W77+W78+W79+W81+W82</f>
        <v>0</v>
      </c>
    </row>
    <row r="107" customFormat="false" ht="15" hidden="false" customHeight="false" outlineLevel="0" collapsed="false">
      <c r="A107" s="1404" t="n">
        <f aca="false">Summary!P76</f>
        <v>40003</v>
      </c>
      <c r="B107" s="741" t="str">
        <f aca="false">Summary!Q76</f>
        <v>Sand Material</v>
      </c>
      <c r="C107" s="318"/>
      <c r="D107" s="751" t="n">
        <f aca="false">N59</f>
        <v>0</v>
      </c>
    </row>
    <row r="108" customFormat="false" ht="15" hidden="false" customHeight="false" outlineLevel="0" collapsed="false">
      <c r="A108" s="1404" t="n">
        <f aca="false">Summary!P77</f>
        <v>40004</v>
      </c>
      <c r="B108" s="741" t="str">
        <f aca="false">Summary!Q77</f>
        <v>Rock Material</v>
      </c>
      <c r="C108" s="318"/>
      <c r="D108" s="751" t="n">
        <f aca="false">N60</f>
        <v>0</v>
      </c>
    </row>
    <row r="109" customFormat="false" ht="15" hidden="false" customHeight="false" outlineLevel="0" collapsed="false">
      <c r="A109" s="1404" t="n">
        <f aca="false">Summary!P78</f>
        <v>40005</v>
      </c>
      <c r="B109" s="741" t="str">
        <f aca="false">Summary!Q78</f>
        <v>Reinforcement Material</v>
      </c>
      <c r="C109" s="318"/>
      <c r="D109" s="751" t="n">
        <f aca="false">N56+N57</f>
        <v>0</v>
      </c>
    </row>
    <row r="110" customFormat="false" ht="15" hidden="false" customHeight="false" outlineLevel="0" collapsed="false">
      <c r="A110" s="1404" t="n">
        <f aca="false">Summary!P79</f>
        <v>40006</v>
      </c>
      <c r="B110" s="741" t="str">
        <f aca="false">Summary!Q79</f>
        <v>Reinforcement Accessories</v>
      </c>
      <c r="C110" s="318"/>
      <c r="D110" s="751" t="n">
        <f aca="false">SUM(W83:DA85)+W94</f>
        <v>0</v>
      </c>
    </row>
    <row r="111" customFormat="false" ht="15" hidden="false" customHeight="false" outlineLevel="0" collapsed="false">
      <c r="A111" s="1404" t="n">
        <f aca="false">Summary!P80</f>
        <v>40007</v>
      </c>
      <c r="B111" s="741" t="str">
        <f aca="false">Summary!Q80</f>
        <v>PT Cables</v>
      </c>
      <c r="C111" s="318"/>
      <c r="D111" s="751" t="n">
        <f aca="false">N58</f>
        <v>0</v>
      </c>
    </row>
    <row r="112" customFormat="false" ht="15" hidden="false" customHeight="false" outlineLevel="0" collapsed="false">
      <c r="A112" s="1404" t="n">
        <f aca="false">Summary!P81</f>
        <v>40008</v>
      </c>
      <c r="B112" s="741" t="str">
        <f aca="false">Summary!Q81</f>
        <v>Concrete Material</v>
      </c>
      <c r="C112" s="318"/>
      <c r="D112" s="751" t="n">
        <f aca="false">SUM(N51:O55)</f>
        <v>0</v>
      </c>
    </row>
    <row r="113" customFormat="false" ht="15" hidden="false" customHeight="false" outlineLevel="0" collapsed="false">
      <c r="A113" s="1404" t="n">
        <f aca="false">Summary!P82</f>
        <v>40009</v>
      </c>
      <c r="B113" s="741" t="str">
        <f aca="false">Summary!Q82</f>
        <v>Carton Forms</v>
      </c>
      <c r="C113" s="318"/>
      <c r="D113" s="751" t="n">
        <f aca="false">SUM(N61:O63)</f>
        <v>0</v>
      </c>
    </row>
    <row r="114" customFormat="false" ht="15" hidden="false" customHeight="false" outlineLevel="0" collapsed="false">
      <c r="A114" s="1404" t="n">
        <f aca="false">Summary!P83</f>
        <v>40010</v>
      </c>
      <c r="B114" s="741" t="str">
        <f aca="false">Summary!Q83</f>
        <v>Cure/Sealers</v>
      </c>
      <c r="C114" s="318"/>
      <c r="D114" s="751" t="n">
        <f aca="false">SUM(W89:W91)</f>
        <v>0</v>
      </c>
    </row>
    <row r="115" customFormat="false" ht="15" hidden="false" customHeight="false" outlineLevel="0" collapsed="false">
      <c r="A115" s="1404" t="n">
        <f aca="false">Summary!P84</f>
        <v>40011</v>
      </c>
      <c r="B115" s="741" t="str">
        <f aca="false">Summary!Q84</f>
        <v>Patch/Grout</v>
      </c>
      <c r="C115" s="318"/>
      <c r="D115" s="751"/>
    </row>
    <row r="116" customFormat="false" ht="15" hidden="false" customHeight="false" outlineLevel="0" collapsed="false">
      <c r="A116" s="1404" t="n">
        <f aca="false">Summary!P85</f>
        <v>40012</v>
      </c>
      <c r="B116" s="741" t="str">
        <f aca="false">Summary!Q85</f>
        <v>Poly/Vapor Barrier</v>
      </c>
      <c r="C116" s="318"/>
      <c r="D116" s="751"/>
    </row>
    <row r="117" customFormat="false" ht="15" hidden="false" customHeight="false" outlineLevel="0" collapsed="false">
      <c r="A117" s="1404" t="n">
        <f aca="false">Summary!P86</f>
        <v>40013</v>
      </c>
      <c r="B117" s="741" t="s">
        <v>1105</v>
      </c>
      <c r="C117" s="318"/>
      <c r="D117" s="751" t="n">
        <f aca="false">W86</f>
        <v>0</v>
      </c>
    </row>
    <row r="118" customFormat="false" ht="15" hidden="false" customHeight="false" outlineLevel="0" collapsed="false">
      <c r="A118" s="1404" t="n">
        <f aca="false">Summary!P87</f>
        <v>40014</v>
      </c>
      <c r="B118" s="741" t="s">
        <v>1105</v>
      </c>
      <c r="C118" s="318"/>
      <c r="D118" s="751" t="n">
        <f aca="false">W87</f>
        <v>0</v>
      </c>
    </row>
    <row r="119" customFormat="false" ht="15" hidden="false" customHeight="false" outlineLevel="0" collapsed="false">
      <c r="A119" s="1404" t="n">
        <f aca="false">Summary!P88</f>
        <v>40015</v>
      </c>
      <c r="B119" s="741" t="s">
        <v>1108</v>
      </c>
      <c r="C119" s="318"/>
      <c r="D119" s="751" t="n">
        <f aca="false">W88</f>
        <v>0</v>
      </c>
    </row>
    <row r="120" customFormat="false" ht="15" hidden="false" customHeight="false" outlineLevel="0" collapsed="false">
      <c r="A120" s="1404" t="n">
        <f aca="false">Summary!P89</f>
        <v>40020</v>
      </c>
      <c r="B120" s="741" t="str">
        <f aca="false">Summary!Q89</f>
        <v>Supervision</v>
      </c>
      <c r="C120" s="318"/>
      <c r="D120" s="751" t="n">
        <f aca="false">SUM(N78:O79)</f>
        <v>0</v>
      </c>
    </row>
    <row r="121" customFormat="false" ht="15" hidden="false" customHeight="false" outlineLevel="0" collapsed="false">
      <c r="A121" s="1404" t="n">
        <f aca="false">Summary!P90</f>
        <v>40021</v>
      </c>
      <c r="B121" s="741" t="str">
        <f aca="false">Summary!Q90</f>
        <v>Supervision Expense</v>
      </c>
      <c r="C121" s="318"/>
      <c r="D121" s="751" t="n">
        <f aca="false">SUM(N80)</f>
        <v>0</v>
      </c>
    </row>
    <row r="122" customFormat="false" ht="15" hidden="false" customHeight="false" outlineLevel="0" collapsed="false">
      <c r="A122" s="1404" t="n">
        <f aca="false">Summary!P91</f>
        <v>40022</v>
      </c>
      <c r="B122" s="741" t="str">
        <f aca="false">Summary!Q91</f>
        <v>Project Management</v>
      </c>
      <c r="C122" s="318"/>
      <c r="D122" s="751" t="n">
        <f aca="false">N81</f>
        <v>0</v>
      </c>
    </row>
    <row r="123" customFormat="false" ht="15" hidden="false" customHeight="false" outlineLevel="0" collapsed="false">
      <c r="A123" s="1404" t="n">
        <f aca="false">Summary!P92</f>
        <v>40023</v>
      </c>
      <c r="B123" s="741" t="str">
        <f aca="false">Summary!Q92</f>
        <v>Labor Grade, Poly, Reinf.</v>
      </c>
      <c r="C123" s="318"/>
      <c r="D123" s="751" t="n">
        <f aca="false">K66</f>
        <v>0</v>
      </c>
    </row>
    <row r="124" customFormat="false" ht="15" hidden="false" customHeight="false" outlineLevel="0" collapsed="false">
      <c r="A124" s="1404" t="n">
        <f aca="false">Summary!P93</f>
        <v>40024</v>
      </c>
      <c r="B124" s="741" t="str">
        <f aca="false">Summary!Q93</f>
        <v>Labor Place &amp; Finish</v>
      </c>
      <c r="C124" s="318"/>
      <c r="D124" s="1405" t="n">
        <f aca="false">K68</f>
        <v>0</v>
      </c>
    </row>
    <row r="125" customFormat="false" ht="15" hidden="false" customHeight="false" outlineLevel="0" collapsed="false">
      <c r="A125" s="1404" t="n">
        <f aca="false">Summary!P94</f>
        <v>40025</v>
      </c>
      <c r="B125" s="741" t="str">
        <f aca="false">Summary!Q94</f>
        <v>Labor Drops</v>
      </c>
      <c r="C125" s="318"/>
      <c r="D125" s="751" t="n">
        <f aca="false">K70</f>
        <v>0</v>
      </c>
    </row>
    <row r="126" customFormat="false" ht="15" hidden="false" customHeight="false" outlineLevel="0" collapsed="false">
      <c r="A126" s="1404" t="n">
        <f aca="false">Summary!P95</f>
        <v>40026</v>
      </c>
      <c r="B126" s="741" t="str">
        <f aca="false">Summary!Q95</f>
        <v>Labor Strip Forms</v>
      </c>
      <c r="C126" s="318"/>
      <c r="D126" s="751" t="n">
        <f aca="false">K69</f>
        <v>0</v>
      </c>
    </row>
    <row r="127" customFormat="false" ht="15" hidden="false" customHeight="false" outlineLevel="0" collapsed="false">
      <c r="A127" s="1404" t="n">
        <f aca="false">Summary!P96</f>
        <v>40027</v>
      </c>
      <c r="B127" s="741" t="str">
        <f aca="false">Summary!Q96</f>
        <v>Labor Burden</v>
      </c>
      <c r="C127" s="318"/>
      <c r="D127" s="751"/>
    </row>
    <row r="128" customFormat="false" ht="15" hidden="false" customHeight="false" outlineLevel="0" collapsed="false">
      <c r="A128" s="1404" t="n">
        <f aca="false">Summary!P98</f>
        <v>40030</v>
      </c>
      <c r="B128" s="741" t="str">
        <f aca="false">Summary!Q98</f>
        <v>Pumping</v>
      </c>
      <c r="C128" s="318"/>
      <c r="D128" s="751" t="n">
        <f aca="false">N90</f>
        <v>0</v>
      </c>
    </row>
    <row r="129" customFormat="false" ht="15" hidden="false" customHeight="false" outlineLevel="0" collapsed="false">
      <c r="A129" s="1404" t="n">
        <f aca="false">Summary!P99</f>
        <v>40031</v>
      </c>
      <c r="B129" s="741" t="str">
        <f aca="false">Summary!Q99</f>
        <v>Earth Work/Excavation</v>
      </c>
      <c r="C129" s="318"/>
      <c r="D129" s="751"/>
    </row>
    <row r="130" customFormat="false" ht="15" hidden="false" customHeight="false" outlineLevel="0" collapsed="false">
      <c r="A130" s="1404" t="n">
        <f aca="false">Summary!P100</f>
        <v>40032</v>
      </c>
      <c r="B130" s="741" t="str">
        <f aca="false">Summary!Q100</f>
        <v>Drilling</v>
      </c>
      <c r="C130" s="318"/>
      <c r="D130" s="751"/>
    </row>
    <row r="131" customFormat="false" ht="15" hidden="false" customHeight="false" outlineLevel="0" collapsed="false">
      <c r="A131" s="1404" t="n">
        <f aca="false">Summary!P101</f>
        <v>40033</v>
      </c>
      <c r="B131" s="741" t="str">
        <f aca="false">Summary!Q101</f>
        <v>Haul off</v>
      </c>
      <c r="C131" s="318"/>
      <c r="D131" s="751" t="n">
        <f aca="false">N94</f>
        <v>0</v>
      </c>
    </row>
    <row r="132" customFormat="false" ht="15" hidden="false" customHeight="false" outlineLevel="0" collapsed="false">
      <c r="A132" s="1404" t="n">
        <f aca="false">Summary!P102</f>
        <v>40034</v>
      </c>
      <c r="B132" s="741" t="str">
        <f aca="false">Summary!Q102</f>
        <v>Saw Cutting/Sealing</v>
      </c>
      <c r="C132" s="318"/>
      <c r="D132" s="751" t="n">
        <f aca="false">N92</f>
        <v>0</v>
      </c>
    </row>
    <row r="133" customFormat="false" ht="15" hidden="false" customHeight="false" outlineLevel="0" collapsed="false">
      <c r="A133" s="1404" t="n">
        <f aca="false">Summary!P103</f>
        <v>40035</v>
      </c>
      <c r="B133" s="741" t="str">
        <f aca="false">Summary!Q103</f>
        <v>Demolition</v>
      </c>
      <c r="C133" s="318"/>
      <c r="D133" s="751"/>
    </row>
    <row r="134" customFormat="false" ht="15" hidden="false" customHeight="false" outlineLevel="0" collapsed="false">
      <c r="A134" s="1404" t="n">
        <f aca="false">Summary!P104</f>
        <v>40037</v>
      </c>
      <c r="B134" s="741" t="str">
        <f aca="false">Summary!Q104</f>
        <v>Waterproofing</v>
      </c>
      <c r="C134" s="318"/>
      <c r="D134" s="751" t="n">
        <f aca="false">N91</f>
        <v>0</v>
      </c>
    </row>
    <row r="135" customFormat="false" ht="15" hidden="false" customHeight="false" outlineLevel="0" collapsed="false">
      <c r="A135" s="1404" t="n">
        <f aca="false">Summary!P105</f>
        <v>40038</v>
      </c>
      <c r="B135" s="741" t="str">
        <f aca="false">Summary!Q105</f>
        <v>Crain/Hoisting</v>
      </c>
      <c r="C135" s="318"/>
      <c r="D135" s="751"/>
    </row>
    <row r="136" customFormat="false" ht="15" hidden="false" customHeight="false" outlineLevel="0" collapsed="false">
      <c r="A136" s="1406" t="n">
        <f aca="false">Summary!P106</f>
        <v>40039</v>
      </c>
      <c r="B136" s="788" t="str">
        <f aca="false">Summary!Q106</f>
        <v>Forming Systems</v>
      </c>
      <c r="C136" s="800"/>
      <c r="D136" s="2054" t="n">
        <f aca="false">N64</f>
        <v>0</v>
      </c>
    </row>
    <row r="137" customFormat="false" ht="15" hidden="false" customHeight="false" outlineLevel="0" collapsed="false">
      <c r="A137" s="2055" t="n">
        <f aca="false">Summary!P107</f>
        <v>40040</v>
      </c>
      <c r="B137" s="2056" t="str">
        <f aca="false">Summary!Q107</f>
        <v>Total Sub Labor</v>
      </c>
      <c r="C137" s="2057"/>
      <c r="D137" s="2058" t="n">
        <f aca="false">SUM(D138:D145)</f>
        <v>0</v>
      </c>
    </row>
    <row r="138" customFormat="false" ht="15" hidden="false" customHeight="false" outlineLevel="0" collapsed="false">
      <c r="A138" s="1404" t="n">
        <f aca="false">Summary!P108</f>
        <v>40041</v>
      </c>
      <c r="B138" s="741" t="str">
        <f aca="false">Summary!Q108</f>
        <v>Labor Forming</v>
      </c>
      <c r="C138" s="318"/>
      <c r="D138" s="742" t="n">
        <f aca="false">N67</f>
        <v>0</v>
      </c>
    </row>
    <row r="139" customFormat="false" ht="15" hidden="false" customHeight="false" outlineLevel="0" collapsed="false">
      <c r="A139" s="1404" t="n">
        <f aca="false">Summary!P109</f>
        <v>40042</v>
      </c>
      <c r="B139" s="741" t="str">
        <f aca="false">Summary!Q109</f>
        <v>Labor Grade, Poly, Reinf.</v>
      </c>
      <c r="C139" s="749"/>
      <c r="D139" s="742" t="n">
        <f aca="false">N66+N74+N73</f>
        <v>0</v>
      </c>
    </row>
    <row r="140" customFormat="false" ht="15" hidden="false" customHeight="false" outlineLevel="0" collapsed="false">
      <c r="A140" s="1404" t="n">
        <f aca="false">Summary!P110</f>
        <v>40043</v>
      </c>
      <c r="B140" s="741" t="str">
        <f aca="false">Summary!Q110</f>
        <v>Labor Place &amp; Finish</v>
      </c>
      <c r="C140" s="749"/>
      <c r="D140" s="742" t="n">
        <f aca="false">N68</f>
        <v>0</v>
      </c>
    </row>
    <row r="141" customFormat="false" ht="15" hidden="false" customHeight="false" outlineLevel="0" collapsed="false">
      <c r="A141" s="1404" t="n">
        <f aca="false">Summary!P111</f>
        <v>40044</v>
      </c>
      <c r="B141" s="741" t="str">
        <f aca="false">Summary!Q111</f>
        <v>Labor Drops</v>
      </c>
      <c r="C141" s="749"/>
      <c r="D141" s="742"/>
    </row>
    <row r="142" customFormat="false" ht="15" hidden="false" customHeight="false" outlineLevel="0" collapsed="false">
      <c r="A142" s="1404" t="n">
        <f aca="false">Summary!P112</f>
        <v>40045</v>
      </c>
      <c r="B142" s="741" t="str">
        <f aca="false">Summary!Q112</f>
        <v>Labor Strip Forms</v>
      </c>
      <c r="C142" s="749"/>
      <c r="D142" s="742" t="n">
        <f aca="false">N69</f>
        <v>0</v>
      </c>
    </row>
    <row r="143" customFormat="false" ht="15" hidden="false" customHeight="false" outlineLevel="0" collapsed="false">
      <c r="A143" s="1404" t="n">
        <f aca="false">Summary!P113</f>
        <v>40046</v>
      </c>
      <c r="B143" s="741" t="str">
        <f aca="false">Summary!Q113</f>
        <v>Labor Burden</v>
      </c>
      <c r="C143" s="318"/>
      <c r="D143" s="751" t="n">
        <f aca="false">N70+N72</f>
        <v>0</v>
      </c>
    </row>
    <row r="144" customFormat="false" ht="15" hidden="false" customHeight="false" outlineLevel="0" collapsed="false">
      <c r="A144" s="1404" t="n">
        <f aca="false">Summary!P114</f>
        <v>40047</v>
      </c>
      <c r="B144" s="741" t="str">
        <f aca="false">Summary!Q114</f>
        <v>Rebar</v>
      </c>
      <c r="C144" s="749"/>
      <c r="D144" s="742" t="n">
        <f aca="false">N71</f>
        <v>0</v>
      </c>
    </row>
    <row r="145" customFormat="false" ht="15" hidden="false" customHeight="false" outlineLevel="0" collapsed="false">
      <c r="A145" s="1406" t="n">
        <f aca="false">Summary!P115</f>
        <v>40048</v>
      </c>
      <c r="B145" s="788" t="str">
        <f aca="false">Summary!Q115</f>
        <v>PT Installation</v>
      </c>
      <c r="C145" s="800"/>
      <c r="D145" s="2054"/>
    </row>
    <row r="146" customFormat="false" ht="15" hidden="false" customHeight="false" outlineLevel="0" collapsed="false">
      <c r="A146" s="1406" t="n">
        <f aca="false">Summary!P116</f>
        <v>40049</v>
      </c>
      <c r="B146" s="788" t="str">
        <f aca="false">Summary!Q116</f>
        <v>Extra Hours</v>
      </c>
      <c r="C146" s="800"/>
      <c r="D146" s="756" t="n">
        <f aca="false">N75</f>
        <v>0</v>
      </c>
    </row>
    <row r="147" customFormat="false" ht="15" hidden="false" customHeight="false" outlineLevel="0" collapsed="false">
      <c r="A147" s="2055" t="n">
        <f aca="false">Summary!P117</f>
        <v>40060</v>
      </c>
      <c r="B147" s="2056" t="str">
        <f aca="false">Summary!Q117</f>
        <v>Total Equipment Rental</v>
      </c>
      <c r="C147" s="2057"/>
      <c r="D147" s="2058" t="n">
        <f aca="false">SUM(D148:D153)</f>
        <v>0</v>
      </c>
    </row>
    <row r="148" customFormat="false" ht="15" hidden="false" customHeight="false" outlineLevel="0" collapsed="false">
      <c r="A148" s="1404" t="n">
        <f aca="false">Summary!P118</f>
        <v>40061</v>
      </c>
      <c r="B148" s="741" t="str">
        <f aca="false">Summary!Q118</f>
        <v>SkyTrack</v>
      </c>
      <c r="C148" s="318"/>
      <c r="D148" s="742" t="n">
        <f aca="false">N83/(1+V$39+I$85)</f>
        <v>0</v>
      </c>
    </row>
    <row r="149" customFormat="false" ht="15" hidden="false" customHeight="false" outlineLevel="0" collapsed="false">
      <c r="A149" s="1404" t="n">
        <f aca="false">Summary!P119</f>
        <v>40062</v>
      </c>
      <c r="B149" s="741" t="str">
        <f aca="false">Summary!Q119</f>
        <v>Mini Excavator</v>
      </c>
      <c r="C149" s="318"/>
      <c r="D149" s="742" t="n">
        <f aca="false">N84/(1+V$39+I$85)</f>
        <v>0</v>
      </c>
    </row>
    <row r="150" customFormat="false" ht="15" hidden="false" customHeight="false" outlineLevel="0" collapsed="false">
      <c r="A150" s="1404" t="n">
        <f aca="false">Summary!P120</f>
        <v>40063</v>
      </c>
      <c r="B150" s="741" t="str">
        <f aca="false">Summary!Q120</f>
        <v>Trencher</v>
      </c>
      <c r="C150" s="318"/>
      <c r="D150" s="742" t="n">
        <f aca="false">N85/(1+V$39+I$85)</f>
        <v>0</v>
      </c>
    </row>
    <row r="151" customFormat="false" ht="15" hidden="false" customHeight="false" outlineLevel="0" collapsed="false">
      <c r="A151" s="1404" t="n">
        <f aca="false">Summary!P121</f>
        <v>40064</v>
      </c>
      <c r="B151" s="741" t="str">
        <f aca="false">Summary!Q121</f>
        <v>Skid Steer</v>
      </c>
      <c r="C151" s="318"/>
      <c r="D151" s="742" t="n">
        <f aca="false">N86/(1+V$39+I$85)</f>
        <v>0</v>
      </c>
    </row>
    <row r="152" customFormat="false" ht="15" hidden="false" customHeight="false" outlineLevel="0" collapsed="false">
      <c r="A152" s="1404" t="n">
        <f aca="false">Summary!P122</f>
        <v>40065</v>
      </c>
      <c r="B152" s="741" t="str">
        <f aca="false">Summary!Q122</f>
        <v>General Equipment Rental</v>
      </c>
      <c r="C152" s="318"/>
      <c r="D152" s="742" t="n">
        <f aca="false">(N87+N88)/(1+V$39+I$85)</f>
        <v>0</v>
      </c>
    </row>
    <row r="153" customFormat="false" ht="15" hidden="false" customHeight="false" outlineLevel="0" collapsed="false">
      <c r="A153" s="1404" t="n">
        <f aca="false">Summary!P123</f>
        <v>40066</v>
      </c>
      <c r="B153" s="741" t="str">
        <f aca="false">Summary!Q123</f>
        <v>Fuel</v>
      </c>
      <c r="C153" s="318"/>
      <c r="D153" s="742" t="n">
        <f aca="false">L85-SUM(D148:D152)</f>
        <v>0</v>
      </c>
    </row>
    <row r="154" customFormat="false" ht="15" hidden="false" customHeight="false" outlineLevel="0" collapsed="false">
      <c r="A154" s="1404" t="n">
        <f aca="false">Summary!P124</f>
        <v>40067</v>
      </c>
      <c r="B154" s="741" t="str">
        <f aca="false">Summary!Q124</f>
        <v>Purchased Tools</v>
      </c>
      <c r="C154" s="318"/>
      <c r="D154" s="742"/>
    </row>
    <row r="155" customFormat="false" ht="15" hidden="false" customHeight="false" outlineLevel="0" collapsed="false">
      <c r="A155" s="1404" t="n">
        <f aca="false">Summary!P125</f>
        <v>40068</v>
      </c>
      <c r="B155" s="741" t="str">
        <f aca="false">Summary!Q125</f>
        <v>Stolen/Damaged</v>
      </c>
      <c r="C155" s="318"/>
      <c r="D155" s="742"/>
    </row>
    <row r="156" customFormat="false" ht="15" hidden="false" customHeight="false" outlineLevel="0" collapsed="false">
      <c r="A156" s="1404" t="n">
        <f aca="false">Summary!P126</f>
        <v>40070</v>
      </c>
      <c r="B156" s="741" t="str">
        <f aca="false">Summary!Q126</f>
        <v>Out of Town Expense</v>
      </c>
      <c r="C156" s="318"/>
      <c r="D156" s="742" t="n">
        <f aca="false">N95</f>
        <v>0</v>
      </c>
    </row>
    <row r="157" customFormat="false" ht="15" hidden="false" customHeight="false" outlineLevel="0" collapsed="false">
      <c r="A157" s="1404" t="n">
        <f aca="false">Summary!P127</f>
        <v>40071</v>
      </c>
      <c r="B157" s="741" t="str">
        <f aca="false">Summary!Q127</f>
        <v>Miscellaneous</v>
      </c>
      <c r="C157" s="318"/>
      <c r="D157" s="751" t="n">
        <f aca="false">N93</f>
        <v>0</v>
      </c>
    </row>
    <row r="158" customFormat="false" ht="15" hidden="false" customHeight="false" outlineLevel="0" collapsed="false">
      <c r="A158" s="1404" t="n">
        <f aca="false">Summary!P128</f>
        <v>40072</v>
      </c>
      <c r="B158" s="741" t="str">
        <f aca="false">Summary!Q128</f>
        <v>Repairs</v>
      </c>
      <c r="C158" s="318"/>
      <c r="D158" s="751"/>
    </row>
    <row r="159" customFormat="false" ht="15" hidden="false" customHeight="false" outlineLevel="0" collapsed="false">
      <c r="A159" s="1404" t="n">
        <f aca="false">Summary!P129</f>
        <v>40073</v>
      </c>
      <c r="B159" s="741" t="str">
        <f aca="false">Summary!Q129</f>
        <v>Engineering</v>
      </c>
      <c r="C159" s="318"/>
      <c r="D159" s="751"/>
    </row>
    <row r="160" customFormat="false" ht="15" hidden="false" customHeight="false" outlineLevel="0" collapsed="false">
      <c r="A160" s="1404" t="n">
        <f aca="false">Summary!P130</f>
        <v>40090</v>
      </c>
      <c r="B160" s="741" t="str">
        <f aca="false">Summary!Q130</f>
        <v>Not Used</v>
      </c>
      <c r="C160" s="318"/>
      <c r="D160" s="751"/>
    </row>
    <row r="161" customFormat="false" ht="15" hidden="false" customHeight="false" outlineLevel="0" collapsed="false">
      <c r="A161" s="1404" t="n">
        <f aca="false">Summary!P131</f>
        <v>40091</v>
      </c>
      <c r="B161" s="741" t="str">
        <f aca="false">Summary!Q131</f>
        <v>Margin Contingency</v>
      </c>
      <c r="C161" s="318"/>
      <c r="D161" s="751" t="n">
        <f aca="false">N96</f>
        <v>0</v>
      </c>
    </row>
  </sheetData>
  <mergeCells count="123">
    <mergeCell ref="C6:D6"/>
    <mergeCell ref="C7:D7"/>
    <mergeCell ref="BJ8:BR8"/>
    <mergeCell ref="DD8:DG8"/>
    <mergeCell ref="A9:B9"/>
    <mergeCell ref="D38:E38"/>
    <mergeCell ref="A39:C39"/>
    <mergeCell ref="B40:C40"/>
    <mergeCell ref="D40:E40"/>
    <mergeCell ref="G40:H40"/>
    <mergeCell ref="I40:J40"/>
    <mergeCell ref="S40:T4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H61:I63"/>
    <mergeCell ref="J61:J63"/>
    <mergeCell ref="K61:L61"/>
    <mergeCell ref="N61:O61"/>
    <mergeCell ref="K62:L62"/>
    <mergeCell ref="N62:O62"/>
    <mergeCell ref="K63:L63"/>
    <mergeCell ref="N63:O63"/>
    <mergeCell ref="H64:I64"/>
    <mergeCell ref="N64:O64"/>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D71:E71"/>
    <mergeCell ref="K71:L71"/>
    <mergeCell ref="N71:O71"/>
    <mergeCell ref="D72:E72"/>
    <mergeCell ref="K72:L72"/>
    <mergeCell ref="N72:O72"/>
    <mergeCell ref="D73:E73"/>
    <mergeCell ref="K73:L73"/>
    <mergeCell ref="N73:O73"/>
    <mergeCell ref="D74:E74"/>
    <mergeCell ref="K74:L74"/>
    <mergeCell ref="N74:O74"/>
    <mergeCell ref="D75:E75"/>
    <mergeCell ref="K75:L75"/>
    <mergeCell ref="N75:O75"/>
    <mergeCell ref="K76:L76"/>
    <mergeCell ref="N76:O76"/>
    <mergeCell ref="A77:O77"/>
    <mergeCell ref="L78:M78"/>
    <mergeCell ref="N78:O78"/>
    <mergeCell ref="L79:M79"/>
    <mergeCell ref="N79:O79"/>
    <mergeCell ref="N80:O80"/>
    <mergeCell ref="L81:M81"/>
    <mergeCell ref="N81:O81"/>
    <mergeCell ref="A82:O82"/>
    <mergeCell ref="N83:O83"/>
    <mergeCell ref="I84:J84"/>
    <mergeCell ref="L84:M84"/>
    <mergeCell ref="N84:O84"/>
    <mergeCell ref="I85:J86"/>
    <mergeCell ref="L85:M85"/>
    <mergeCell ref="N85:O85"/>
    <mergeCell ref="N86:O86"/>
    <mergeCell ref="N87:O87"/>
    <mergeCell ref="N88:O88"/>
    <mergeCell ref="A89:O89"/>
    <mergeCell ref="N90:O90"/>
    <mergeCell ref="N91:O91"/>
    <mergeCell ref="N92:O92"/>
    <mergeCell ref="N93:O93"/>
    <mergeCell ref="N94:O94"/>
    <mergeCell ref="N95:O95"/>
    <mergeCell ref="A96:C96"/>
    <mergeCell ref="N96:O96"/>
    <mergeCell ref="B99:C99"/>
    <mergeCell ref="D99:E99"/>
    <mergeCell ref="G99:H99"/>
    <mergeCell ref="L99:O99"/>
    <mergeCell ref="T99:U99"/>
  </mergeCells>
  <conditionalFormatting sqref="D11:D27">
    <cfRule type="expression" priority="2" aboveAverage="0" equalAverage="0" bottom="0" percent="0" rank="0" text="" dxfId="13">
      <formula>AND(E11&lt;&gt;"",ISERROR(MATCH(D11,$A$51:$A$55,0)))</formula>
    </cfRule>
  </conditionalFormatting>
  <conditionalFormatting sqref="K50:L50">
    <cfRule type="containsText" priority="3" operator="containsText" aboveAverage="0" equalAverage="0" bottom="0" percent="0" rank="0" text="Missing Concrete" dxfId="14">
      <formula>NOT(ISERROR(SEARCH("Missing Concrete",K50)))</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9" man="true" max="16383" min="0"/>
  </row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R176"/>
  <sheetViews>
    <sheetView showFormulas="false" showGridLines="true" showRowColHeaders="true" showZeros="true" rightToLeft="false" tabSelected="false" showOutlineSymbols="true" defaultGridColor="true" view="normal" topLeftCell="A2" colorId="64" zoomScale="55" zoomScaleNormal="55" zoomScalePageLayoutView="70" workbookViewId="0">
      <selection pane="topLeft" activeCell="K63" activeCellId="0" sqref="K63"/>
    </sheetView>
  </sheetViews>
  <sheetFormatPr defaultColWidth="1.18359375" defaultRowHeight="15" customHeight="false" zeroHeight="false" outlineLevelRow="0" outlineLevelCol="0"/>
  <cols>
    <col collapsed="false" customWidth="true" hidden="false" outlineLevel="0" max="2" min="1" style="16" width="15.82"/>
    <col collapsed="false" customWidth="true" hidden="false" outlineLevel="0" max="4" min="3" style="16" width="12.82"/>
    <col collapsed="false" customWidth="true" hidden="false" outlineLevel="0" max="5" min="5" style="16" width="10.54"/>
    <col collapsed="false" customWidth="true" hidden="false" outlineLevel="0" max="6" min="6" style="16" width="16.82"/>
    <col collapsed="false" customWidth="true" hidden="false" outlineLevel="0" max="9" min="7" style="16" width="10.82"/>
    <col collapsed="false" customWidth="true" hidden="false" outlineLevel="0" max="10" min="10" style="16" width="12.82"/>
    <col collapsed="false" customWidth="true" hidden="false" outlineLevel="0" max="13" min="11" style="16" width="10.82"/>
    <col collapsed="false" customWidth="true" hidden="false" outlineLevel="0" max="14" min="14" style="16" width="13"/>
    <col collapsed="false" customWidth="true" hidden="false" outlineLevel="0" max="15" min="15" style="16" width="15"/>
    <col collapsed="false" customWidth="true" hidden="false" outlineLevel="0" max="16" min="16" style="16" width="15.54"/>
    <col collapsed="false" customWidth="true" hidden="false" outlineLevel="0" max="19" min="17" style="16" width="12.82"/>
    <col collapsed="false" customWidth="true" hidden="false" outlineLevel="0" max="22" min="20" style="16" width="15.82"/>
    <col collapsed="false" customWidth="true" hidden="false" outlineLevel="0" max="23" min="23" style="16" width="26.45"/>
    <col collapsed="false" customWidth="true" hidden="false" outlineLevel="0" max="24" min="24" style="0" width="12"/>
    <col collapsed="false" customWidth="true" hidden="false" outlineLevel="0" max="25" min="25" style="0" width="12.18"/>
    <col collapsed="false" customWidth="true" hidden="false" outlineLevel="0" max="26" min="26" style="0" width="9.18"/>
    <col collapsed="false" customWidth="true" hidden="false" outlineLevel="0" max="27" min="27" style="0" width="15.45"/>
    <col collapsed="false" customWidth="true" hidden="true" outlineLevel="0" max="28" min="28" style="0" width="11.54"/>
    <col collapsed="false" customWidth="true" hidden="true" outlineLevel="0" max="30" min="29" style="0" width="9.18"/>
    <col collapsed="false" customWidth="true" hidden="true" outlineLevel="0" max="31" min="31" style="0" width="14.18"/>
    <col collapsed="false" customWidth="true" hidden="true" outlineLevel="0" max="52" min="32" style="0" width="9.18"/>
    <col collapsed="false" customWidth="true" hidden="true" outlineLevel="0" max="53" min="53" style="0" width="10.18"/>
    <col collapsed="false" customWidth="true" hidden="true" outlineLevel="0" max="56" min="54" style="0" width="9.18"/>
    <col collapsed="false" customWidth="true" hidden="true" outlineLevel="0" max="57" min="57" style="0" width="11.54"/>
    <col collapsed="false" customWidth="true" hidden="true" outlineLevel="0" max="59" min="58" style="0" width="20.82"/>
    <col collapsed="false" customWidth="true" hidden="true" outlineLevel="0" max="61" min="60" style="0" width="19"/>
    <col collapsed="false" customWidth="true" hidden="true" outlineLevel="0" max="62" min="62" style="0" width="16.82"/>
    <col collapsed="false" customWidth="true" hidden="true" outlineLevel="0" max="64" min="63" style="0" width="12"/>
    <col collapsed="false" customWidth="true" hidden="true" outlineLevel="0" max="66" min="65" style="0" width="26.54"/>
    <col collapsed="false" customWidth="true" hidden="false" outlineLevel="0" max="67" min="67" style="0" width="26.54"/>
    <col collapsed="false" customWidth="true" hidden="false" outlineLevel="0" max="68" min="68" style="0" width="12.18"/>
    <col collapsed="false" customWidth="true" hidden="false" outlineLevel="0" max="69" min="69" style="0" width="9.18"/>
    <col collapsed="false" customWidth="true" hidden="false" outlineLevel="0" max="70" min="70" style="0" width="11.54"/>
    <col collapsed="false" customWidth="true" hidden="false" outlineLevel="0" max="237" min="71" style="0" width="9.18"/>
    <col collapsed="false" customWidth="true" hidden="false" outlineLevel="0" max="263" min="238" style="16" width="9.18"/>
    <col collapsed="false" customWidth="false" hidden="false" outlineLevel="0" max="16384" min="264" style="16" width="1.18"/>
  </cols>
  <sheetData>
    <row r="1" customFormat="false" ht="15.75" hidden="false" customHeight="true" outlineLevel="0" collapsed="false">
      <c r="A1" s="829" t="s">
        <v>1355</v>
      </c>
      <c r="C1" s="654"/>
      <c r="D1" s="654"/>
      <c r="E1" s="654"/>
      <c r="F1" s="654"/>
      <c r="G1" s="654"/>
      <c r="H1" s="654"/>
      <c r="I1" s="654"/>
      <c r="J1" s="654"/>
      <c r="K1" s="654"/>
      <c r="L1" s="654"/>
      <c r="M1" s="654"/>
      <c r="N1" s="654"/>
      <c r="O1" s="654"/>
      <c r="P1" s="654"/>
      <c r="Q1" s="654"/>
      <c r="R1" s="654"/>
      <c r="S1" s="654"/>
      <c r="T1" s="830" t="s">
        <v>1193</v>
      </c>
      <c r="U1" s="830"/>
      <c r="V1" s="2060" t="n">
        <v>37456</v>
      </c>
      <c r="W1" s="2060"/>
      <c r="Y1" s="1414"/>
    </row>
    <row r="2" customFormat="false" ht="26.25" hidden="false" customHeight="true" outlineLevel="0" collapsed="false">
      <c r="A2" s="1200" t="str">
        <f aca="false">Summary!C1</f>
        <v>Trammell Crow – LBJ</v>
      </c>
      <c r="B2" s="1200"/>
      <c r="C2" s="1200"/>
      <c r="D2" s="1200"/>
      <c r="E2" s="654"/>
      <c r="F2" s="654"/>
      <c r="G2" s="1201" t="s">
        <v>56</v>
      </c>
      <c r="H2" s="614"/>
      <c r="I2" s="1068"/>
      <c r="J2" s="1202" t="s">
        <v>57</v>
      </c>
      <c r="K2" s="614"/>
      <c r="L2" s="614"/>
      <c r="M2" s="614"/>
      <c r="N2" s="1202" t="s">
        <v>1</v>
      </c>
      <c r="O2" s="1202"/>
      <c r="P2" s="865" t="s">
        <v>1194</v>
      </c>
      <c r="Q2" s="865"/>
      <c r="R2" s="654"/>
      <c r="S2" s="654"/>
      <c r="T2" s="836" t="s">
        <v>957</v>
      </c>
      <c r="U2" s="695"/>
      <c r="V2" s="837" t="n">
        <f aca="false">Information!C7</f>
        <v>0</v>
      </c>
      <c r="W2" s="838"/>
      <c r="Y2" s="1414"/>
      <c r="Z2" s="16"/>
      <c r="AA2" s="16"/>
      <c r="AB2" s="16"/>
      <c r="AC2" s="16"/>
      <c r="AD2" s="16"/>
      <c r="AE2" s="16"/>
    </row>
    <row r="3" customFormat="false" ht="18" hidden="false" customHeight="true" outlineLevel="0" collapsed="false">
      <c r="A3" s="1204" t="n">
        <f aca="false">Summary!C2</f>
        <v>0</v>
      </c>
      <c r="B3" s="1204"/>
      <c r="C3" s="1204"/>
      <c r="D3" s="1204"/>
      <c r="E3" s="654"/>
      <c r="F3" s="654"/>
      <c r="G3" s="1205"/>
      <c r="H3" s="1206" t="s">
        <v>955</v>
      </c>
      <c r="I3" s="2061" t="n">
        <f aca="false">Summary!K2</f>
        <v>0</v>
      </c>
      <c r="J3" s="2061"/>
      <c r="K3" s="2061"/>
      <c r="L3" s="2061"/>
      <c r="M3" s="2061"/>
      <c r="N3" s="841" t="n">
        <f aca="false">Summary!O2</f>
        <v>0</v>
      </c>
      <c r="O3" s="841"/>
      <c r="P3" s="842" t="n">
        <f aca="false">Summary!P2</f>
        <v>0</v>
      </c>
      <c r="Q3" s="842"/>
      <c r="R3" s="654"/>
      <c r="S3" s="654"/>
      <c r="T3" s="599"/>
      <c r="W3" s="843"/>
      <c r="Y3" s="1414"/>
    </row>
    <row r="4" customFormat="false" ht="18" hidden="false" customHeight="true" outlineLevel="0" collapsed="false">
      <c r="A4" s="1208" t="str">
        <f aca="false">Summary!C3</f>
        <v>Dallas, TX</v>
      </c>
      <c r="B4" s="1208"/>
      <c r="C4" s="1208"/>
      <c r="D4" s="1208"/>
      <c r="E4" s="654"/>
      <c r="F4" s="654"/>
      <c r="G4" s="421"/>
      <c r="H4" s="1004" t="s">
        <v>71</v>
      </c>
      <c r="I4" s="2062" t="n">
        <f aca="false">Summary!K3</f>
        <v>0</v>
      </c>
      <c r="J4" s="2062"/>
      <c r="K4" s="2062"/>
      <c r="L4" s="2062"/>
      <c r="M4" s="2062"/>
      <c r="N4" s="846" t="n">
        <f aca="false">Summary!O3</f>
        <v>0</v>
      </c>
      <c r="O4" s="846"/>
      <c r="P4" s="847" t="n">
        <f aca="false">Summary!P3</f>
        <v>0</v>
      </c>
      <c r="Q4" s="847"/>
      <c r="R4" s="654"/>
      <c r="S4" s="654"/>
      <c r="T4" s="599" t="s">
        <v>958</v>
      </c>
      <c r="V4" s="848"/>
      <c r="W4" s="849"/>
      <c r="Y4" s="1414"/>
    </row>
    <row r="5" customFormat="false" ht="18" hidden="false" customHeight="true" outlineLevel="0" collapsed="false">
      <c r="A5" s="405" t="s">
        <v>0</v>
      </c>
      <c r="B5" s="654"/>
      <c r="C5" s="837" t="s">
        <v>1</v>
      </c>
      <c r="D5" s="837"/>
      <c r="E5" s="654"/>
      <c r="F5" s="654"/>
      <c r="G5" s="421"/>
      <c r="H5" s="1004" t="s">
        <v>79</v>
      </c>
      <c r="I5" s="1733" t="n">
        <f aca="false">Summary!K4</f>
        <v>0</v>
      </c>
      <c r="J5" s="1733"/>
      <c r="K5" s="1733"/>
      <c r="L5" s="1733"/>
      <c r="M5" s="1733"/>
      <c r="N5" s="2063" t="n">
        <f aca="false">Summary!O4</f>
        <v>0</v>
      </c>
      <c r="O5" s="2063"/>
      <c r="P5" s="2064" t="n">
        <f aca="false">Summary!P4</f>
        <v>0</v>
      </c>
      <c r="Q5" s="2064"/>
      <c r="R5" s="654"/>
      <c r="S5" s="654"/>
      <c r="T5" s="599"/>
      <c r="W5" s="843"/>
      <c r="Y5" s="1414"/>
    </row>
    <row r="6" customFormat="false" ht="18" hidden="false" customHeight="true" outlineLevel="0" collapsed="false">
      <c r="A6" s="857" t="n">
        <v>0</v>
      </c>
      <c r="B6" s="654"/>
      <c r="C6" s="858" t="n">
        <v>0</v>
      </c>
      <c r="D6" s="858"/>
      <c r="E6" s="654"/>
      <c r="F6" s="654" t="n">
        <f aca="false">D10*F10*G10*H10/72</f>
        <v>0</v>
      </c>
      <c r="G6" s="685"/>
      <c r="H6" s="1212" t="s">
        <v>87</v>
      </c>
      <c r="I6" s="2065" t="n">
        <f aca="false">Summary!K5</f>
        <v>0</v>
      </c>
      <c r="J6" s="2065"/>
      <c r="K6" s="2065"/>
      <c r="L6" s="2065"/>
      <c r="M6" s="2065"/>
      <c r="N6" s="2066" t="n">
        <f aca="false">Summary!O5</f>
        <v>0</v>
      </c>
      <c r="O6" s="2066"/>
      <c r="P6" s="2067" t="n">
        <f aca="false">Summary!P5</f>
        <v>0</v>
      </c>
      <c r="Q6" s="2067"/>
      <c r="R6" s="654"/>
      <c r="S6" s="654"/>
      <c r="T6" s="602" t="s">
        <v>958</v>
      </c>
      <c r="U6" s="855"/>
      <c r="V6" s="855"/>
      <c r="W6" s="856"/>
      <c r="Y6" s="1414"/>
    </row>
    <row r="7" customFormat="false" ht="18" hidden="false" customHeight="true" outlineLevel="0" collapsed="false">
      <c r="A7" s="850" t="n">
        <v>0</v>
      </c>
      <c r="B7" s="654"/>
      <c r="C7" s="1888" t="n">
        <v>0</v>
      </c>
      <c r="D7" s="1888"/>
      <c r="E7" s="654"/>
      <c r="F7" s="1216" t="s">
        <v>1196</v>
      </c>
      <c r="G7" s="1216"/>
      <c r="H7" s="1216"/>
      <c r="I7" s="1217" t="str">
        <f aca="false">Pricing!A3</f>
        <v>SRM</v>
      </c>
      <c r="J7" s="1217"/>
      <c r="K7" s="1217"/>
      <c r="L7" s="1217"/>
      <c r="M7" s="1217"/>
      <c r="N7" s="654"/>
      <c r="O7" s="654"/>
      <c r="P7" s="654"/>
      <c r="Q7" s="654"/>
      <c r="R7" s="654"/>
      <c r="S7" s="654"/>
      <c r="T7" s="654"/>
      <c r="U7" s="654"/>
      <c r="V7" s="654"/>
      <c r="W7" s="654"/>
      <c r="Y7" s="1414"/>
      <c r="BE7" s="10" t="s">
        <v>1507</v>
      </c>
      <c r="BF7" s="10"/>
      <c r="BG7" s="10"/>
      <c r="BH7" s="10"/>
      <c r="BI7" s="10"/>
      <c r="BJ7" s="10"/>
      <c r="BK7" s="10"/>
      <c r="BL7" s="10"/>
      <c r="BM7" s="10"/>
      <c r="BN7" s="10"/>
      <c r="BO7" s="10"/>
      <c r="BP7" s="10"/>
    </row>
    <row r="8" customFormat="false" ht="18" hidden="false" customHeight="true" outlineLevel="0" collapsed="false">
      <c r="A8" s="1219"/>
      <c r="B8" s="1220"/>
      <c r="C8" s="2068"/>
      <c r="D8" s="1222" t="s">
        <v>835</v>
      </c>
      <c r="E8" s="2069" t="s">
        <v>1209</v>
      </c>
      <c r="F8" s="1222" t="s">
        <v>1722</v>
      </c>
      <c r="G8" s="1222"/>
      <c r="H8" s="1222"/>
      <c r="I8" s="1222" t="s">
        <v>1723</v>
      </c>
      <c r="J8" s="1222"/>
      <c r="K8" s="1222" t="s">
        <v>1724</v>
      </c>
      <c r="L8" s="1222"/>
      <c r="M8" s="1222" t="s">
        <v>1724</v>
      </c>
      <c r="N8" s="1222"/>
      <c r="O8" s="1222" t="s">
        <v>1360</v>
      </c>
      <c r="P8" s="1222"/>
      <c r="Q8" s="864" t="s">
        <v>1200</v>
      </c>
      <c r="R8" s="864"/>
      <c r="S8" s="864"/>
      <c r="T8" s="1223" t="s">
        <v>1363</v>
      </c>
      <c r="U8" s="880" t="s">
        <v>1219</v>
      </c>
      <c r="V8" s="836" t="s">
        <v>1725</v>
      </c>
      <c r="W8" s="2070"/>
      <c r="X8" s="867" t="s">
        <v>1203</v>
      </c>
      <c r="Y8" s="867"/>
      <c r="Z8" s="867"/>
      <c r="AA8" s="867"/>
      <c r="AO8" s="0" t="s">
        <v>1364</v>
      </c>
      <c r="BE8" s="2071"/>
      <c r="BF8" s="165"/>
      <c r="BG8" s="871" t="s">
        <v>1146</v>
      </c>
      <c r="BH8" s="871"/>
      <c r="BI8" s="871"/>
      <c r="BJ8" s="871"/>
      <c r="BK8" s="871"/>
      <c r="BL8" s="871"/>
      <c r="BM8" s="892"/>
      <c r="BN8" s="175"/>
      <c r="BO8" s="175"/>
      <c r="BP8" s="175"/>
      <c r="BQ8" s="872"/>
    </row>
    <row r="9" customFormat="false" ht="29.25" hidden="false" customHeight="true" outlineLevel="0" collapsed="false">
      <c r="A9" s="1224" t="s">
        <v>1726</v>
      </c>
      <c r="B9" s="1224"/>
      <c r="C9" s="1228"/>
      <c r="D9" s="2072"/>
      <c r="E9" s="2069"/>
      <c r="F9" s="1225" t="s">
        <v>1727</v>
      </c>
      <c r="G9" s="1226" t="s">
        <v>1675</v>
      </c>
      <c r="H9" s="1225" t="s">
        <v>1676</v>
      </c>
      <c r="I9" s="1226" t="s">
        <v>1369</v>
      </c>
      <c r="J9" s="1225" t="s">
        <v>1215</v>
      </c>
      <c r="K9" s="1226" t="s">
        <v>1369</v>
      </c>
      <c r="L9" s="1225" t="s">
        <v>1215</v>
      </c>
      <c r="M9" s="1226" t="s">
        <v>1369</v>
      </c>
      <c r="N9" s="1225" t="s">
        <v>1215</v>
      </c>
      <c r="O9" s="1226" t="s">
        <v>1215</v>
      </c>
      <c r="P9" s="1225" t="s">
        <v>1216</v>
      </c>
      <c r="Q9" s="1225" t="s">
        <v>1215</v>
      </c>
      <c r="R9" s="1225" t="s">
        <v>835</v>
      </c>
      <c r="S9" s="2073" t="s">
        <v>1370</v>
      </c>
      <c r="T9" s="1223"/>
      <c r="U9" s="880"/>
      <c r="V9" s="1479" t="s">
        <v>1728</v>
      </c>
      <c r="W9" s="2074" t="s">
        <v>1729</v>
      </c>
      <c r="X9" s="885" t="s">
        <v>1730</v>
      </c>
      <c r="Y9" s="61" t="s">
        <v>1223</v>
      </c>
      <c r="Z9" s="87" t="s">
        <v>1731</v>
      </c>
      <c r="AA9" s="144" t="s">
        <v>835</v>
      </c>
      <c r="AN9" s="0" t="s">
        <v>1374</v>
      </c>
      <c r="AO9" s="0" t="s">
        <v>1375</v>
      </c>
      <c r="AP9" s="0" t="s">
        <v>1376</v>
      </c>
      <c r="AQ9" s="0" t="s">
        <v>1377</v>
      </c>
      <c r="AR9" s="0" t="s">
        <v>1378</v>
      </c>
      <c r="AS9" s="0" t="s">
        <v>1522</v>
      </c>
      <c r="AT9" s="0" t="s">
        <v>1523</v>
      </c>
      <c r="AU9" s="0" t="s">
        <v>1524</v>
      </c>
      <c r="AV9" s="0" t="s">
        <v>1525</v>
      </c>
      <c r="AW9" s="0" t="s">
        <v>1526</v>
      </c>
      <c r="AX9" s="0" t="s">
        <v>1384</v>
      </c>
      <c r="AY9" s="0" t="s">
        <v>1385</v>
      </c>
      <c r="AZ9" s="0" t="s">
        <v>1387</v>
      </c>
      <c r="BA9" s="0" t="s">
        <v>1386</v>
      </c>
      <c r="BE9" s="2075" t="s">
        <v>577</v>
      </c>
      <c r="BF9" s="2076" t="s">
        <v>1388</v>
      </c>
      <c r="BG9" s="2075" t="s">
        <v>1732</v>
      </c>
      <c r="BH9" s="2076" t="s">
        <v>1389</v>
      </c>
      <c r="BI9" s="2077" t="s">
        <v>1731</v>
      </c>
      <c r="BJ9" s="2076" t="s">
        <v>1391</v>
      </c>
      <c r="BK9" s="2077" t="s">
        <v>1733</v>
      </c>
      <c r="BL9" s="2078" t="s">
        <v>1159</v>
      </c>
      <c r="BM9" s="2079" t="s">
        <v>1393</v>
      </c>
      <c r="BN9" s="61" t="s">
        <v>1255</v>
      </c>
      <c r="BO9" s="2080" t="s">
        <v>1734</v>
      </c>
      <c r="BP9" s="61" t="s">
        <v>1735</v>
      </c>
      <c r="BQ9" s="1702"/>
    </row>
    <row r="10" customFormat="false" ht="19.5" hidden="false" customHeight="true" outlineLevel="0" collapsed="false">
      <c r="A10" s="507"/>
      <c r="B10" s="1312"/>
      <c r="C10" s="78"/>
      <c r="D10" s="2081"/>
      <c r="E10" s="528"/>
      <c r="F10" s="2082"/>
      <c r="G10" s="1234"/>
      <c r="H10" s="1235"/>
      <c r="I10" s="1236"/>
      <c r="J10" s="1235"/>
      <c r="K10" s="1236"/>
      <c r="L10" s="1235"/>
      <c r="M10" s="1236"/>
      <c r="N10" s="1235"/>
      <c r="O10" s="1236"/>
      <c r="P10" s="1235"/>
      <c r="Q10" s="1236"/>
      <c r="R10" s="1237"/>
      <c r="S10" s="1923"/>
      <c r="T10" s="1240" t="n">
        <f aca="false">IF(P10=0,0,(F10*I10*J10/16*J10/16*10.680159)+((F10*K10*L10/16*L10/16*10.680159)+(M10*N10/16*N10/16*10.680159*F10)+((O10/16*O10/16)*3.145*0.2836*((((G10*2)+(H10*2))*F10*12/P10))))*(1+J$72))*D10+D10*Q10/16*Q10/16*10.703064*S10*R10*(1+J$72)</f>
        <v>0</v>
      </c>
      <c r="U10" s="1926" t="n">
        <f aca="false">ROUNDUP((F10*G10/12*H10/324)*D10*(1+J$67),0)</f>
        <v>0</v>
      </c>
      <c r="V10" s="2083" t="n">
        <f aca="false">IF(D10=0,0,SUM(BE10:BM10)/D10*(1+L$58))</f>
        <v>0</v>
      </c>
      <c r="W10" s="601" t="n">
        <f aca="false">IF(D10=0,0,V10*D10)</f>
        <v>0</v>
      </c>
      <c r="X10" s="907" t="n">
        <f aca="false">(G10*2+H10*2)/12*F10*D10</f>
        <v>0</v>
      </c>
      <c r="Y10" s="908" t="n">
        <f aca="false">T10</f>
        <v>0</v>
      </c>
      <c r="Z10" s="908" t="n">
        <f aca="false">AZ10</f>
        <v>0</v>
      </c>
      <c r="AA10" s="909" t="n">
        <f aca="false">D10</f>
        <v>0</v>
      </c>
      <c r="AN10" s="0" t="n">
        <f aca="false">IF($E10=1,$U10,0)</f>
        <v>0</v>
      </c>
      <c r="AO10" s="0" t="n">
        <f aca="false">IF($E10=2,U10,0)</f>
        <v>0</v>
      </c>
      <c r="AP10" s="0" t="n">
        <f aca="false">IF($E10=3,U10,0)</f>
        <v>0</v>
      </c>
      <c r="AQ10" s="0" t="n">
        <f aca="false">IF($E10=4,U10,0)</f>
        <v>0</v>
      </c>
      <c r="AR10" s="0" t="n">
        <f aca="false">IF($E10=5,U10,0)</f>
        <v>0</v>
      </c>
      <c r="AS10" s="0" t="n">
        <f aca="false">IF($E10=6,$U10,0)</f>
        <v>0</v>
      </c>
      <c r="AT10" s="0" t="n">
        <f aca="false">IF($E10=7,$U10,0)</f>
        <v>0</v>
      </c>
      <c r="AU10" s="0" t="n">
        <f aca="false">IF($E10=8,$U10,0)</f>
        <v>0</v>
      </c>
      <c r="AV10" s="0" t="n">
        <f aca="false">IF($E10=9,$U10,0)</f>
        <v>0</v>
      </c>
      <c r="AW10" s="0" t="n">
        <f aca="false">IF($E10=10,$U10,0)</f>
        <v>0</v>
      </c>
      <c r="AX10" s="0" t="n">
        <f aca="false">SUM(AN10:AS10)</f>
        <v>0</v>
      </c>
      <c r="AY10" s="1242" t="n">
        <f aca="false">T10</f>
        <v>0</v>
      </c>
      <c r="AZ10" s="0" t="n">
        <f aca="false">F10*H10*G10/36*D10/2</f>
        <v>0</v>
      </c>
      <c r="BA10" s="0" t="n">
        <f aca="false">F10*H10*G10/36*D10</f>
        <v>0</v>
      </c>
      <c r="BE10" s="915" t="n">
        <f aca="false">T10*F$72*IF(T$57="N",(1+V$57),1)</f>
        <v>0</v>
      </c>
      <c r="BF10" s="291" t="n">
        <f aca="false">(AN10*Pricing!F$3+AO10*Pricing!G$3+AP10*Pricing!H$3+AQ10*Pricing!I$3+AR10*Pricing!J$3+AS10*Pricing!K$3+AT10*Pricing!L$3+AU10*Pricing!M$3+AV10*Pricing!N$3+AW10*Pricing!O$3)*IF(T$57="N",(1+V$57),1)</f>
        <v>0</v>
      </c>
      <c r="BG10" s="915" t="n">
        <f aca="false">IF(H$83=0,0,N$82/H$83*AZ10)</f>
        <v>0</v>
      </c>
      <c r="BH10" s="291" t="n">
        <f aca="false">AZ10*(G$83)</f>
        <v>0</v>
      </c>
      <c r="BI10" s="291" t="n">
        <f aca="false">Z10*D$86</f>
        <v>0</v>
      </c>
      <c r="BJ10" s="291" t="n">
        <f aca="false">T10/2000*D$87</f>
        <v>0</v>
      </c>
      <c r="BK10" s="291" t="e">
        <f aca="false">N$88/D$54*F10</f>
        <v>#DIV/0!</v>
      </c>
      <c r="BL10" s="916" t="e">
        <f aca="false">N$89/H$86*Z10</f>
        <v>#DIV/0!</v>
      </c>
      <c r="BM10" s="918" t="n">
        <f aca="false">IF(H$83=0,0,(SUM(N$92:O$95)+SUM(N$97:O$102)+SUM(N$104:O$109)+SUM(N$75:O$80)+W$109)/H$83*AZ10)</f>
        <v>0</v>
      </c>
      <c r="BN10" s="291" t="e">
        <f aca="false">N$110/H$83*Z10</f>
        <v>#DIV/0!</v>
      </c>
      <c r="BO10" s="918" t="e">
        <f aca="false">SUM(BE10:BN10)</f>
        <v>#DIV/0!</v>
      </c>
      <c r="BP10" s="910" t="n">
        <f aca="false">V10*D10</f>
        <v>0</v>
      </c>
      <c r="BQ10" s="264"/>
      <c r="BR10" s="910" t="n">
        <f aca="false">V10*1.16*2</f>
        <v>0</v>
      </c>
    </row>
    <row r="11" customFormat="false" ht="19.5" hidden="false" customHeight="true" outlineLevel="0" collapsed="false">
      <c r="A11" s="507"/>
      <c r="B11" s="1312"/>
      <c r="C11" s="78"/>
      <c r="D11" s="2081"/>
      <c r="E11" s="528"/>
      <c r="F11" s="2082"/>
      <c r="G11" s="1234"/>
      <c r="H11" s="1235"/>
      <c r="I11" s="1236"/>
      <c r="J11" s="1235"/>
      <c r="K11" s="1236"/>
      <c r="L11" s="1235"/>
      <c r="M11" s="1236"/>
      <c r="N11" s="1235"/>
      <c r="O11" s="1236"/>
      <c r="P11" s="1235"/>
      <c r="Q11" s="1236"/>
      <c r="R11" s="1237"/>
      <c r="S11" s="1923"/>
      <c r="T11" s="1240" t="n">
        <f aca="false">IF(P11=0,0,(F11*I11*J11/16*J11/16*10.680159)+((F11*K11*L11/16*L11/16*10.680159)+(M11*N11/16*N11/16*10.680159*F11)+((O11/16*O11/16)*3.145*0.2836*((((G11*2)+(H11*2))*F11*12/P11))))*(1+J$72))*D11+D11*Q11/16*Q11/16*10.703064*S11*R11*(1+J$72)</f>
        <v>0</v>
      </c>
      <c r="U11" s="1926" t="n">
        <f aca="false">ROUNDUP((F11*G11/12*H11/324)*D11*(1+J$67),0)</f>
        <v>0</v>
      </c>
      <c r="V11" s="2083" t="n">
        <f aca="false">IF(D11=0,0,SUM(BE11:BM11)/D11*(1+L$58))</f>
        <v>0</v>
      </c>
      <c r="W11" s="601" t="n">
        <f aca="false">IF(D11=0,0,V11*D11)</f>
        <v>0</v>
      </c>
      <c r="X11" s="907" t="n">
        <f aca="false">(G11*2+H11*2)/12*F11*D11</f>
        <v>0</v>
      </c>
      <c r="Y11" s="908" t="n">
        <f aca="false">T11</f>
        <v>0</v>
      </c>
      <c r="Z11" s="908" t="n">
        <f aca="false">AZ11</f>
        <v>0</v>
      </c>
      <c r="AA11" s="909" t="n">
        <f aca="false">D11</f>
        <v>0</v>
      </c>
      <c r="AN11" s="0" t="n">
        <f aca="false">IF(E11=1,U11,0)</f>
        <v>0</v>
      </c>
      <c r="AO11" s="0" t="n">
        <f aca="false">IF($E11=2,U11,0)</f>
        <v>0</v>
      </c>
      <c r="AP11" s="0" t="n">
        <f aca="false">IF($E11=3,U11,0)</f>
        <v>0</v>
      </c>
      <c r="AQ11" s="0" t="n">
        <f aca="false">IF($E11=4,U11,0)</f>
        <v>0</v>
      </c>
      <c r="AR11" s="0" t="n">
        <f aca="false">IF($E11=5,U11,0)</f>
        <v>0</v>
      </c>
      <c r="AS11" s="0" t="n">
        <f aca="false">IF($E11=6,U11,0)</f>
        <v>0</v>
      </c>
      <c r="AT11" s="0" t="n">
        <f aca="false">IF($E11=7,$U11,0)</f>
        <v>0</v>
      </c>
      <c r="AU11" s="0" t="n">
        <f aca="false">IF($E11=8,$U11,0)</f>
        <v>0</v>
      </c>
      <c r="AV11" s="0" t="n">
        <f aca="false">IF($E11=9,$U11,0)</f>
        <v>0</v>
      </c>
      <c r="AW11" s="0" t="n">
        <f aca="false">IF($E11=10,$U11,0)</f>
        <v>0</v>
      </c>
      <c r="AX11" s="0" t="n">
        <f aca="false">SUM(AN11:AS11)</f>
        <v>0</v>
      </c>
      <c r="AY11" s="1242" t="n">
        <f aca="false">T11</f>
        <v>0</v>
      </c>
      <c r="AZ11" s="0" t="n">
        <f aca="false">F11*H11*G11/36*D11/2</f>
        <v>0</v>
      </c>
      <c r="BA11" s="0" t="n">
        <f aca="false">F11*H11*G11/36*D11</f>
        <v>0</v>
      </c>
      <c r="BE11" s="915" t="n">
        <f aca="false">T11*F$72*IF(T$57="N",(1+V$57),1)</f>
        <v>0</v>
      </c>
      <c r="BF11" s="291" t="n">
        <f aca="false">(AN11*Pricing!F$3+AO11*Pricing!G$3+AP11*Pricing!H$3+AQ11*Pricing!I$3+AR11*Pricing!J$3+AS11*Pricing!K$3+AT11*Pricing!L$3+AU11*Pricing!M$3+AV11*Pricing!N$3+AW11*Pricing!O$3)*IF(T$57="N",(1+V$57),1)</f>
        <v>0</v>
      </c>
      <c r="BG11" s="915" t="n">
        <f aca="false">IF(H$83=0,0,N$82/H$83*AZ11)</f>
        <v>0</v>
      </c>
      <c r="BH11" s="291" t="n">
        <f aca="false">AZ11*(G$83)</f>
        <v>0</v>
      </c>
      <c r="BI11" s="291" t="n">
        <f aca="false">Z11*D$86</f>
        <v>0</v>
      </c>
      <c r="BJ11" s="291" t="n">
        <f aca="false">T11/2000*D$87</f>
        <v>0</v>
      </c>
      <c r="BK11" s="291" t="e">
        <f aca="false">N$88/D$54*F11</f>
        <v>#DIV/0!</v>
      </c>
      <c r="BL11" s="916" t="e">
        <f aca="false">N$89/H$86*Z11</f>
        <v>#DIV/0!</v>
      </c>
      <c r="BM11" s="918" t="n">
        <f aca="false">IF(H$83=0,0,(SUM(N$92:O$95)+SUM(N$97:O$102)+SUM(N$104:O$109)+SUM(N$75:O$80)+W$109)/H$83*AZ11)</f>
        <v>0</v>
      </c>
      <c r="BN11" s="291" t="e">
        <f aca="false">N$110/H$83*Z11</f>
        <v>#DIV/0!</v>
      </c>
      <c r="BO11" s="918" t="e">
        <f aca="false">SUM(BE11:BN11)</f>
        <v>#DIV/0!</v>
      </c>
      <c r="BP11" s="910" t="n">
        <f aca="false">V11*D11</f>
        <v>0</v>
      </c>
      <c r="BQ11" s="264"/>
    </row>
    <row r="12" customFormat="false" ht="19.5" hidden="false" customHeight="true" outlineLevel="0" collapsed="false">
      <c r="A12" s="507"/>
      <c r="B12" s="1312"/>
      <c r="C12" s="78"/>
      <c r="D12" s="2081"/>
      <c r="E12" s="528"/>
      <c r="F12" s="2082"/>
      <c r="G12" s="1234"/>
      <c r="H12" s="1235"/>
      <c r="I12" s="1236"/>
      <c r="J12" s="1235"/>
      <c r="K12" s="1236"/>
      <c r="L12" s="1235"/>
      <c r="M12" s="1236"/>
      <c r="N12" s="1235"/>
      <c r="O12" s="1236"/>
      <c r="P12" s="1235"/>
      <c r="Q12" s="1236"/>
      <c r="R12" s="1237"/>
      <c r="S12" s="1923"/>
      <c r="T12" s="1240" t="n">
        <f aca="false">IF(P12=0,0,(F12*I12*J12/16*J12/16*10.680159)+((F12*K12*L12/16*L12/16*10.680159)+(M12*N12/16*N12/16*10.680159*F12)+((O12/16*O12/16)*3.145*0.2836*((((G12*2)+(H12*2))*F12*12/P12))))*(1+J$72))*D12+D12*Q12/16*Q12/16*10.703064*S12*R12*(1+J$72)</f>
        <v>0</v>
      </c>
      <c r="U12" s="1926" t="n">
        <f aca="false">ROUNDUP((F12*G12/12*H12/324)*D12*(1+J$67),0)</f>
        <v>0</v>
      </c>
      <c r="V12" s="2083" t="n">
        <f aca="false">IF(D12=0,0,SUM(BE12:BM12)/D12*(1+L$58))</f>
        <v>0</v>
      </c>
      <c r="W12" s="601" t="n">
        <f aca="false">IF(D12=0,0,V12*D12)</f>
        <v>0</v>
      </c>
      <c r="X12" s="907" t="n">
        <f aca="false">(G12*2+H12*2)/12*F12*D12</f>
        <v>0</v>
      </c>
      <c r="Y12" s="908" t="n">
        <f aca="false">T12</f>
        <v>0</v>
      </c>
      <c r="Z12" s="908" t="n">
        <f aca="false">AZ12</f>
        <v>0</v>
      </c>
      <c r="AA12" s="909" t="n">
        <f aca="false">D12</f>
        <v>0</v>
      </c>
      <c r="AN12" s="0" t="n">
        <f aca="false">IF(E12=1,U12,0)</f>
        <v>0</v>
      </c>
      <c r="AO12" s="0" t="n">
        <f aca="false">IF($E12=2,U12,0)</f>
        <v>0</v>
      </c>
      <c r="AP12" s="0" t="n">
        <f aca="false">IF($E12=3,U12,0)</f>
        <v>0</v>
      </c>
      <c r="AQ12" s="0" t="n">
        <f aca="false">IF($E12=4,U12,0)</f>
        <v>0</v>
      </c>
      <c r="AR12" s="0" t="n">
        <f aca="false">IF($E12=5,U12,0)</f>
        <v>0</v>
      </c>
      <c r="AS12" s="0" t="n">
        <f aca="false">IF($E12=6,U12,0)</f>
        <v>0</v>
      </c>
      <c r="AT12" s="0" t="n">
        <f aca="false">IF($E12=7,$U12,0)</f>
        <v>0</v>
      </c>
      <c r="AU12" s="0" t="n">
        <f aca="false">IF($E12=8,$U12,0)</f>
        <v>0</v>
      </c>
      <c r="AV12" s="0" t="n">
        <f aca="false">IF($E12=9,$U12,0)</f>
        <v>0</v>
      </c>
      <c r="AW12" s="0" t="n">
        <f aca="false">IF($E12=10,$U12,0)</f>
        <v>0</v>
      </c>
      <c r="AX12" s="0" t="n">
        <f aca="false">SUM(AN12:AS12)</f>
        <v>0</v>
      </c>
      <c r="AY12" s="1242" t="n">
        <f aca="false">T12</f>
        <v>0</v>
      </c>
      <c r="AZ12" s="0" t="n">
        <f aca="false">F12*H12*G12/36*D12/2</f>
        <v>0</v>
      </c>
      <c r="BA12" s="0" t="n">
        <f aca="false">F12*H12*G12/36*D12</f>
        <v>0</v>
      </c>
      <c r="BE12" s="915" t="n">
        <f aca="false">T12*F$72*IF(T$57="N",(1+V$57),1)</f>
        <v>0</v>
      </c>
      <c r="BF12" s="291" t="n">
        <f aca="false">(AN12*Pricing!F$3+AO12*Pricing!G$3+AP12*Pricing!H$3+AQ12*Pricing!I$3+AR12*Pricing!J$3+AS12*Pricing!K$3+AT12*Pricing!L$3+AU12*Pricing!M$3+AV12*Pricing!N$3+AW12*Pricing!O$3)*IF(T$57="N",(1+V$57),1)</f>
        <v>0</v>
      </c>
      <c r="BG12" s="915" t="n">
        <f aca="false">IF(H$83=0,0,N$82/H$83*AZ12)</f>
        <v>0</v>
      </c>
      <c r="BH12" s="291" t="n">
        <f aca="false">AZ12*(G$83)</f>
        <v>0</v>
      </c>
      <c r="BI12" s="291" t="n">
        <f aca="false">Z12*D$86</f>
        <v>0</v>
      </c>
      <c r="BJ12" s="291" t="n">
        <f aca="false">T12/2000*D$87</f>
        <v>0</v>
      </c>
      <c r="BK12" s="291" t="e">
        <f aca="false">N$88/D$54*F12</f>
        <v>#DIV/0!</v>
      </c>
      <c r="BL12" s="916" t="e">
        <f aca="false">N$89/H$86*Z12</f>
        <v>#DIV/0!</v>
      </c>
      <c r="BM12" s="918" t="n">
        <f aca="false">IF(H$83=0,0,(SUM(N$92:O$95)+SUM(N$97:O$102)+SUM(N$104:O$109)+SUM(N$75:O$80)+W$109)/H$83*AZ12)</f>
        <v>0</v>
      </c>
      <c r="BN12" s="291" t="e">
        <f aca="false">N$110/H$83*Z12</f>
        <v>#DIV/0!</v>
      </c>
      <c r="BO12" s="918" t="e">
        <f aca="false">SUM(BE12:BN12)</f>
        <v>#DIV/0!</v>
      </c>
      <c r="BP12" s="910" t="n">
        <f aca="false">V12*D12</f>
        <v>0</v>
      </c>
      <c r="BQ12" s="264"/>
    </row>
    <row r="13" customFormat="false" ht="19.5" hidden="false" customHeight="true" outlineLevel="0" collapsed="false">
      <c r="A13" s="507"/>
      <c r="B13" s="1312"/>
      <c r="C13" s="78"/>
      <c r="D13" s="2081"/>
      <c r="E13" s="528"/>
      <c r="F13" s="2082"/>
      <c r="G13" s="1234"/>
      <c r="H13" s="1235"/>
      <c r="I13" s="1236"/>
      <c r="J13" s="1235"/>
      <c r="K13" s="1236"/>
      <c r="L13" s="1235"/>
      <c r="M13" s="1236"/>
      <c r="N13" s="1235"/>
      <c r="O13" s="1236"/>
      <c r="P13" s="1235"/>
      <c r="Q13" s="1236"/>
      <c r="R13" s="1237"/>
      <c r="S13" s="1923"/>
      <c r="T13" s="1240" t="n">
        <f aca="false">IF(P13=0,0,(F13*I13*J13/16*J13/16*10.680159)+((F13*K13*L13/16*L13/16*10.680159)+(M13*N13/16*N13/16*10.680159*F13)+((O13/16*O13/16)*3.145*0.2836*((((G13*2)+(H13*2))*F13*12/P13))))*(1+J$72))*D13+D13*Q13/16*Q13/16*10.703064*S13*R13*(1+J$72)</f>
        <v>0</v>
      </c>
      <c r="U13" s="1926" t="n">
        <f aca="false">ROUNDUP((F13*G13/12*H13/324)*D13*(1+J$67),0)</f>
        <v>0</v>
      </c>
      <c r="V13" s="2083" t="n">
        <f aca="false">IF(D13=0,0,SUM(BE13:BM13)/D13*(1+L$58))</f>
        <v>0</v>
      </c>
      <c r="W13" s="601" t="n">
        <f aca="false">IF(D13=0,0,V13*D13)</f>
        <v>0</v>
      </c>
      <c r="X13" s="907" t="n">
        <f aca="false">(G13*2+H13*2)/12*F13*D13</f>
        <v>0</v>
      </c>
      <c r="Y13" s="908" t="n">
        <f aca="false">T13</f>
        <v>0</v>
      </c>
      <c r="Z13" s="908" t="n">
        <f aca="false">AZ13</f>
        <v>0</v>
      </c>
      <c r="AA13" s="909" t="n">
        <f aca="false">D13</f>
        <v>0</v>
      </c>
      <c r="AN13" s="0" t="n">
        <f aca="false">IF(E13=1,U13,0)</f>
        <v>0</v>
      </c>
      <c r="AO13" s="0" t="n">
        <f aca="false">IF($E13=2,U13,0)</f>
        <v>0</v>
      </c>
      <c r="AP13" s="0" t="n">
        <f aca="false">IF($E13=3,U13,0)</f>
        <v>0</v>
      </c>
      <c r="AQ13" s="0" t="n">
        <f aca="false">IF($E13=4,U13,0)</f>
        <v>0</v>
      </c>
      <c r="AR13" s="0" t="n">
        <f aca="false">IF($E13=5,U13,0)</f>
        <v>0</v>
      </c>
      <c r="AS13" s="0" t="n">
        <f aca="false">IF($E13=6,U13,0)</f>
        <v>0</v>
      </c>
      <c r="AT13" s="0" t="n">
        <f aca="false">IF($E13=7,$U13,0)</f>
        <v>0</v>
      </c>
      <c r="AU13" s="0" t="n">
        <f aca="false">IF($E13=8,$U13,0)</f>
        <v>0</v>
      </c>
      <c r="AV13" s="0" t="n">
        <f aca="false">IF($E13=9,$U13,0)</f>
        <v>0</v>
      </c>
      <c r="AW13" s="0" t="n">
        <f aca="false">IF($E13=10,$U13,0)</f>
        <v>0</v>
      </c>
      <c r="AX13" s="0" t="n">
        <f aca="false">SUM(AN13:AS13)</f>
        <v>0</v>
      </c>
      <c r="AY13" s="1242" t="n">
        <f aca="false">T13</f>
        <v>0</v>
      </c>
      <c r="AZ13" s="0" t="n">
        <f aca="false">F13*H13*G13/36*D13/2</f>
        <v>0</v>
      </c>
      <c r="BA13" s="0" t="n">
        <f aca="false">F13*H13*G13/36*D13</f>
        <v>0</v>
      </c>
      <c r="BE13" s="915" t="n">
        <f aca="false">T13*F$72*IF(T$57="N",(1+V$57),1)</f>
        <v>0</v>
      </c>
      <c r="BF13" s="291" t="n">
        <f aca="false">(AN13*Pricing!F$3+AO13*Pricing!G$3+AP13*Pricing!H$3+AQ13*Pricing!I$3+AR13*Pricing!J$3+AS13*Pricing!K$3+AT13*Pricing!L$3+AU13*Pricing!M$3+AV13*Pricing!N$3+AW13*Pricing!O$3)*IF(T$57="N",(1+V$57),1)</f>
        <v>0</v>
      </c>
      <c r="BG13" s="915" t="n">
        <f aca="false">IF(H$83=0,0,N$82/H$83*AZ13)</f>
        <v>0</v>
      </c>
      <c r="BH13" s="291" t="n">
        <f aca="false">AZ13*(G$83)</f>
        <v>0</v>
      </c>
      <c r="BI13" s="291" t="n">
        <f aca="false">Z13*D$86</f>
        <v>0</v>
      </c>
      <c r="BJ13" s="291" t="n">
        <f aca="false">T13/2000*D$87</f>
        <v>0</v>
      </c>
      <c r="BK13" s="291" t="e">
        <f aca="false">N$88/D$54*F13</f>
        <v>#DIV/0!</v>
      </c>
      <c r="BL13" s="916" t="e">
        <f aca="false">N$89/H$86*Z13</f>
        <v>#DIV/0!</v>
      </c>
      <c r="BM13" s="918" t="n">
        <f aca="false">IF(H$83=0,0,(SUM(N$92:O$95)+SUM(N$97:O$102)+SUM(N$104:O$109)+SUM(N$75:O$80)+W$109)/H$83*AZ13)</f>
        <v>0</v>
      </c>
      <c r="BN13" s="291" t="e">
        <f aca="false">N$110/H$83*Z13</f>
        <v>#DIV/0!</v>
      </c>
      <c r="BO13" s="918" t="e">
        <f aca="false">SUM(BE13:BN13)</f>
        <v>#DIV/0!</v>
      </c>
      <c r="BP13" s="910" t="n">
        <f aca="false">V13*D13</f>
        <v>0</v>
      </c>
      <c r="BQ13" s="264"/>
    </row>
    <row r="14" customFormat="false" ht="19.5" hidden="false" customHeight="true" outlineLevel="0" collapsed="false">
      <c r="A14" s="507"/>
      <c r="B14" s="1312"/>
      <c r="C14" s="78"/>
      <c r="D14" s="2081"/>
      <c r="E14" s="528"/>
      <c r="F14" s="2082"/>
      <c r="G14" s="1234"/>
      <c r="H14" s="1235"/>
      <c r="I14" s="1236"/>
      <c r="J14" s="1235"/>
      <c r="K14" s="1236"/>
      <c r="L14" s="1235"/>
      <c r="M14" s="1236"/>
      <c r="N14" s="1235"/>
      <c r="O14" s="1236"/>
      <c r="P14" s="1235"/>
      <c r="Q14" s="1236"/>
      <c r="R14" s="1237"/>
      <c r="S14" s="1923"/>
      <c r="T14" s="1240" t="n">
        <f aca="false">IF(P14=0,0,(F14*I14*J14/16*J14/16*10.680159)+((F14*K14*L14/16*L14/16*10.680159)+(M14*N14/16*N14/16*10.680159*F14)+((O14/16*O14/16)*3.145*0.2836*((((G14*2)+(H14*2))*F14*12/P14))))*(1+J$72))*D14+D14*Q14/16*Q14/16*10.703064*S14*R14*(1+J$72)</f>
        <v>0</v>
      </c>
      <c r="U14" s="1926" t="n">
        <f aca="false">ROUNDUP((F14*G14/12*H14/324)*D14*(1+J$67),0)</f>
        <v>0</v>
      </c>
      <c r="V14" s="2083" t="n">
        <f aca="false">IF(D14=0,0,SUM(BE14:BM14)/D14*(1+L$58))</f>
        <v>0</v>
      </c>
      <c r="W14" s="601" t="n">
        <f aca="false">IF(D14=0,0,V14*D14)</f>
        <v>0</v>
      </c>
      <c r="X14" s="907" t="n">
        <f aca="false">(G14*2+H14*2)/12*F14*D14</f>
        <v>0</v>
      </c>
      <c r="Y14" s="908" t="n">
        <f aca="false">T14</f>
        <v>0</v>
      </c>
      <c r="Z14" s="908" t="n">
        <f aca="false">AZ14</f>
        <v>0</v>
      </c>
      <c r="AA14" s="909" t="n">
        <f aca="false">D14</f>
        <v>0</v>
      </c>
      <c r="AN14" s="0" t="n">
        <f aca="false">IF(E14=1,U14,0)</f>
        <v>0</v>
      </c>
      <c r="AO14" s="0" t="n">
        <f aca="false">IF($E14=2,U14,0)</f>
        <v>0</v>
      </c>
      <c r="AP14" s="0" t="n">
        <f aca="false">IF($E14=3,U14,0)</f>
        <v>0</v>
      </c>
      <c r="AQ14" s="0" t="n">
        <f aca="false">IF($E14=4,U14,0)</f>
        <v>0</v>
      </c>
      <c r="AR14" s="0" t="n">
        <f aca="false">IF($E14=5,U14,0)</f>
        <v>0</v>
      </c>
      <c r="AS14" s="0" t="n">
        <f aca="false">IF($E14=6,U14,0)</f>
        <v>0</v>
      </c>
      <c r="AT14" s="0" t="n">
        <f aca="false">IF($E14=7,$U14,0)</f>
        <v>0</v>
      </c>
      <c r="AU14" s="0" t="n">
        <f aca="false">IF($E14=8,$U14,0)</f>
        <v>0</v>
      </c>
      <c r="AV14" s="0" t="n">
        <f aca="false">IF($E14=9,$U14,0)</f>
        <v>0</v>
      </c>
      <c r="AW14" s="0" t="n">
        <f aca="false">IF($E14=10,$U14,0)</f>
        <v>0</v>
      </c>
      <c r="AX14" s="0" t="n">
        <f aca="false">SUM(AN14:AS14)</f>
        <v>0</v>
      </c>
      <c r="AY14" s="1242" t="n">
        <f aca="false">T14</f>
        <v>0</v>
      </c>
      <c r="AZ14" s="0" t="n">
        <f aca="false">F14*H14*G14/36*D14/2</f>
        <v>0</v>
      </c>
      <c r="BA14" s="0" t="n">
        <f aca="false">F14*H14*G14/36*D14</f>
        <v>0</v>
      </c>
      <c r="BE14" s="915" t="n">
        <f aca="false">T14*F$72*IF(T$57="N",(1+V$57),1)</f>
        <v>0</v>
      </c>
      <c r="BF14" s="291" t="n">
        <f aca="false">(AN14*Pricing!F$3+AO14*Pricing!G$3+AP14*Pricing!H$3+AQ14*Pricing!I$3+AR14*Pricing!J$3+AS14*Pricing!K$3+AT14*Pricing!L$3+AU14*Pricing!M$3+AV14*Pricing!N$3+AW14*Pricing!O$3)*IF(T$57="N",(1+V$57),1)</f>
        <v>0</v>
      </c>
      <c r="BG14" s="915" t="n">
        <f aca="false">IF(H$83=0,0,N$82/H$83*AZ14)</f>
        <v>0</v>
      </c>
      <c r="BH14" s="291" t="n">
        <f aca="false">AZ14*(G$83)</f>
        <v>0</v>
      </c>
      <c r="BI14" s="291" t="n">
        <f aca="false">Z14*D$86</f>
        <v>0</v>
      </c>
      <c r="BJ14" s="291" t="n">
        <f aca="false">T14/2000*D$87</f>
        <v>0</v>
      </c>
      <c r="BK14" s="291" t="e">
        <f aca="false">N$88/D$54*F14</f>
        <v>#DIV/0!</v>
      </c>
      <c r="BL14" s="916" t="e">
        <f aca="false">N$89/H$86*Z14</f>
        <v>#DIV/0!</v>
      </c>
      <c r="BM14" s="918" t="n">
        <f aca="false">IF(H$83=0,0,(SUM(N$92:O$95)+SUM(N$97:O$102)+SUM(N$104:O$109)+SUM(N$75:O$80)+W$109)/H$83*AZ14)</f>
        <v>0</v>
      </c>
      <c r="BN14" s="291" t="e">
        <f aca="false">N$110/H$83*Z14</f>
        <v>#DIV/0!</v>
      </c>
      <c r="BO14" s="918" t="e">
        <f aca="false">SUM(BE14:BN14)</f>
        <v>#DIV/0!</v>
      </c>
      <c r="BP14" s="910" t="n">
        <f aca="false">V14*D14</f>
        <v>0</v>
      </c>
      <c r="BQ14" s="264"/>
    </row>
    <row r="15" customFormat="false" ht="19.5" hidden="false" customHeight="true" outlineLevel="0" collapsed="false">
      <c r="A15" s="507"/>
      <c r="B15" s="1312"/>
      <c r="C15" s="78"/>
      <c r="D15" s="2081"/>
      <c r="E15" s="528"/>
      <c r="F15" s="2082"/>
      <c r="G15" s="1234"/>
      <c r="H15" s="1235"/>
      <c r="I15" s="1236"/>
      <c r="J15" s="1235"/>
      <c r="K15" s="1236"/>
      <c r="L15" s="1235"/>
      <c r="M15" s="1236"/>
      <c r="N15" s="1235"/>
      <c r="O15" s="1236"/>
      <c r="P15" s="1235"/>
      <c r="Q15" s="1236"/>
      <c r="R15" s="1237"/>
      <c r="S15" s="1923"/>
      <c r="T15" s="1240" t="n">
        <f aca="false">IF(P15=0,0,(F15*I15*J15/16*J15/16*10.680159)+((F15*K15*L15/16*L15/16*10.680159)+(M15*N15/16*N15/16*10.680159*F15)+((O15/16*O15/16)*3.145*0.2836*((((G15*2)+(H15*2))*F15*12/P15))))*(1+J$72))*D15+D15*Q15/16*Q15/16*10.703064*S15*R15*(1+J$72)</f>
        <v>0</v>
      </c>
      <c r="U15" s="1926" t="n">
        <f aca="false">ROUNDUP((F15*G15/12*H15/324)*D15*(1+J$67),0)</f>
        <v>0</v>
      </c>
      <c r="V15" s="2083" t="n">
        <f aca="false">IF(D15=0,0,SUM(BE15:BM15)/D15*(1+L$58))</f>
        <v>0</v>
      </c>
      <c r="W15" s="601" t="n">
        <f aca="false">IF(D15=0,0,V15*D15)</f>
        <v>0</v>
      </c>
      <c r="X15" s="907" t="n">
        <f aca="false">(G15*2+H15*2)/12*F15*D15</f>
        <v>0</v>
      </c>
      <c r="Y15" s="908" t="n">
        <f aca="false">T15</f>
        <v>0</v>
      </c>
      <c r="Z15" s="908" t="n">
        <f aca="false">AZ15</f>
        <v>0</v>
      </c>
      <c r="AA15" s="909" t="n">
        <f aca="false">D15</f>
        <v>0</v>
      </c>
      <c r="AN15" s="0" t="n">
        <f aca="false">IF(E15=1,U15,0)</f>
        <v>0</v>
      </c>
      <c r="AO15" s="0" t="n">
        <f aca="false">IF($E15=2,U15,0)</f>
        <v>0</v>
      </c>
      <c r="AP15" s="0" t="n">
        <f aca="false">IF($E15=3,U15,0)</f>
        <v>0</v>
      </c>
      <c r="AQ15" s="0" t="n">
        <f aca="false">IF($E15=4,U15,0)</f>
        <v>0</v>
      </c>
      <c r="AR15" s="0" t="n">
        <f aca="false">IF($E15=5,U15,0)</f>
        <v>0</v>
      </c>
      <c r="AS15" s="0" t="n">
        <f aca="false">IF($E15=6,U15,0)</f>
        <v>0</v>
      </c>
      <c r="AT15" s="0" t="n">
        <f aca="false">IF($E15=7,$U15,0)</f>
        <v>0</v>
      </c>
      <c r="AU15" s="0" t="n">
        <f aca="false">IF($E15=8,$U15,0)</f>
        <v>0</v>
      </c>
      <c r="AV15" s="0" t="n">
        <f aca="false">IF($E15=9,$U15,0)</f>
        <v>0</v>
      </c>
      <c r="AW15" s="0" t="n">
        <f aca="false">IF($E15=10,$U15,0)</f>
        <v>0</v>
      </c>
      <c r="AX15" s="0" t="n">
        <f aca="false">SUM(AN15:AS15)</f>
        <v>0</v>
      </c>
      <c r="AY15" s="1242" t="n">
        <f aca="false">T15</f>
        <v>0</v>
      </c>
      <c r="AZ15" s="0" t="n">
        <f aca="false">F15*H15*G15/36*D15/2</f>
        <v>0</v>
      </c>
      <c r="BA15" s="0" t="n">
        <f aca="false">F15*H15*G15/36*D15</f>
        <v>0</v>
      </c>
      <c r="BE15" s="915" t="n">
        <f aca="false">T15*F$72*IF(T$57="N",(1+V$57),1)</f>
        <v>0</v>
      </c>
      <c r="BF15" s="291" t="n">
        <f aca="false">(AN15*Pricing!F$3+AO15*Pricing!G$3+AP15*Pricing!H$3+AQ15*Pricing!I$3+AR15*Pricing!J$3+AS15*Pricing!K$3+AT15*Pricing!L$3+AU15*Pricing!M$3+AV15*Pricing!N$3+AW15*Pricing!O$3)*IF(T$57="N",(1+V$57),1)</f>
        <v>0</v>
      </c>
      <c r="BG15" s="915" t="n">
        <f aca="false">IF(H$83=0,0,N$82/H$83*AZ15)</f>
        <v>0</v>
      </c>
      <c r="BH15" s="291" t="n">
        <f aca="false">AZ15*(G$83)</f>
        <v>0</v>
      </c>
      <c r="BI15" s="291" t="n">
        <f aca="false">Z15*D$86</f>
        <v>0</v>
      </c>
      <c r="BJ15" s="291" t="n">
        <f aca="false">T15/2000*D$87</f>
        <v>0</v>
      </c>
      <c r="BK15" s="291" t="e">
        <f aca="false">N$88/D$54*F15</f>
        <v>#DIV/0!</v>
      </c>
      <c r="BL15" s="916" t="e">
        <f aca="false">N$89/H$86*Z15</f>
        <v>#DIV/0!</v>
      </c>
      <c r="BM15" s="918" t="n">
        <f aca="false">IF(H$83=0,0,(SUM(N$92:O$95)+SUM(N$97:O$102)+SUM(N$104:O$109)+SUM(N$75:O$80)+W$109)/H$83*AZ15)</f>
        <v>0</v>
      </c>
      <c r="BN15" s="291" t="e">
        <f aca="false">N$110/H$83*Z15</f>
        <v>#DIV/0!</v>
      </c>
      <c r="BO15" s="918" t="e">
        <f aca="false">SUM(BE15:BN15)</f>
        <v>#DIV/0!</v>
      </c>
      <c r="BP15" s="910" t="n">
        <f aca="false">V15*D15</f>
        <v>0</v>
      </c>
      <c r="BQ15" s="264"/>
    </row>
    <row r="16" customFormat="false" ht="19.5" hidden="false" customHeight="true" outlineLevel="0" collapsed="false">
      <c r="A16" s="507"/>
      <c r="B16" s="1312"/>
      <c r="C16" s="78"/>
      <c r="D16" s="2081"/>
      <c r="E16" s="528"/>
      <c r="F16" s="2082"/>
      <c r="G16" s="1234"/>
      <c r="H16" s="1235"/>
      <c r="I16" s="1236"/>
      <c r="J16" s="1235"/>
      <c r="K16" s="1236"/>
      <c r="L16" s="1235"/>
      <c r="M16" s="1236"/>
      <c r="N16" s="1235"/>
      <c r="O16" s="1236"/>
      <c r="P16" s="1235"/>
      <c r="Q16" s="1236"/>
      <c r="R16" s="1237"/>
      <c r="S16" s="1923"/>
      <c r="T16" s="1240" t="n">
        <f aca="false">IF(P16=0,0,(F16*I16*J16/16*J16/16*10.680159)+((F16*K16*L16/16*L16/16*10.680159)+(M16*N16/16*N16/16*10.680159*F16)+((O16/16*O16/16)*3.145*0.2836*((((G16*2)+(H16*2))*F16*12/P16))))*(1+J$72))*D16+D16*Q16/16*Q16/16*10.703064*S16*R16*(1+J$72)</f>
        <v>0</v>
      </c>
      <c r="U16" s="1926" t="n">
        <f aca="false">ROUNDUP((F16*G16/12*H16/324)*D16*(1+J$67),0)</f>
        <v>0</v>
      </c>
      <c r="V16" s="2083" t="n">
        <f aca="false">IF(D16=0,0,SUM(BE16:BM16)/D16*(1+L$58))</f>
        <v>0</v>
      </c>
      <c r="W16" s="601" t="n">
        <f aca="false">IF(D16=0,0,V16*D16)</f>
        <v>0</v>
      </c>
      <c r="X16" s="907" t="n">
        <f aca="false">(G16*2+H16*2)/12*F16*D16</f>
        <v>0</v>
      </c>
      <c r="Y16" s="908" t="n">
        <f aca="false">T16</f>
        <v>0</v>
      </c>
      <c r="Z16" s="908" t="n">
        <f aca="false">AZ16</f>
        <v>0</v>
      </c>
      <c r="AA16" s="909" t="n">
        <f aca="false">D16</f>
        <v>0</v>
      </c>
      <c r="AN16" s="0" t="n">
        <f aca="false">IF(E16=1,U16,0)</f>
        <v>0</v>
      </c>
      <c r="AO16" s="0" t="n">
        <f aca="false">IF($E16=2,U16,0)</f>
        <v>0</v>
      </c>
      <c r="AP16" s="0" t="n">
        <f aca="false">IF($E16=3,U16,0)</f>
        <v>0</v>
      </c>
      <c r="AQ16" s="0" t="n">
        <f aca="false">IF($E16=4,U16,0)</f>
        <v>0</v>
      </c>
      <c r="AR16" s="0" t="n">
        <f aca="false">IF($E16=5,U16,0)</f>
        <v>0</v>
      </c>
      <c r="AS16" s="0" t="n">
        <f aca="false">IF($E16=6,U16,0)</f>
        <v>0</v>
      </c>
      <c r="AT16" s="0" t="n">
        <f aca="false">IF($E16=7,$U16,0)</f>
        <v>0</v>
      </c>
      <c r="AU16" s="0" t="n">
        <f aca="false">IF($E16=8,$U16,0)</f>
        <v>0</v>
      </c>
      <c r="AV16" s="0" t="n">
        <f aca="false">IF($E16=9,$U16,0)</f>
        <v>0</v>
      </c>
      <c r="AW16" s="0" t="n">
        <f aca="false">IF($E16=10,$U16,0)</f>
        <v>0</v>
      </c>
      <c r="AX16" s="0" t="n">
        <f aca="false">SUM(AN16:AS16)</f>
        <v>0</v>
      </c>
      <c r="AY16" s="1242" t="n">
        <f aca="false">T16</f>
        <v>0</v>
      </c>
      <c r="AZ16" s="0" t="n">
        <f aca="false">F16*H16*G16/36*D16/2</f>
        <v>0</v>
      </c>
      <c r="BA16" s="0" t="n">
        <f aca="false">F16*H16*G16/36*D16</f>
        <v>0</v>
      </c>
      <c r="BE16" s="915" t="n">
        <f aca="false">T16*F$72*IF(T$57="N",(1+V$57),1)</f>
        <v>0</v>
      </c>
      <c r="BF16" s="291" t="n">
        <f aca="false">(AN16*Pricing!F$3+AO16*Pricing!G$3+AP16*Pricing!H$3+AQ16*Pricing!I$3+AR16*Pricing!J$3+AS16*Pricing!K$3+AT16*Pricing!L$3+AU16*Pricing!M$3+AV16*Pricing!N$3+AW16*Pricing!O$3)*IF(T$57="N",(1+V$57),1)</f>
        <v>0</v>
      </c>
      <c r="BG16" s="915" t="n">
        <f aca="false">IF(H$83=0,0,N$82/H$83*AZ16)</f>
        <v>0</v>
      </c>
      <c r="BH16" s="291" t="n">
        <f aca="false">AZ16*(G$83)</f>
        <v>0</v>
      </c>
      <c r="BI16" s="291" t="n">
        <f aca="false">Z16*D$86</f>
        <v>0</v>
      </c>
      <c r="BJ16" s="291" t="n">
        <f aca="false">T16/2000*D$87</f>
        <v>0</v>
      </c>
      <c r="BK16" s="291" t="e">
        <f aca="false">N$88/D$54*F16</f>
        <v>#DIV/0!</v>
      </c>
      <c r="BL16" s="916" t="e">
        <f aca="false">N$89/H$86*Z16</f>
        <v>#DIV/0!</v>
      </c>
      <c r="BM16" s="918" t="n">
        <f aca="false">IF(H$83=0,0,(SUM(N$92:O$95)+SUM(N$97:O$102)+SUM(N$104:O$109)+SUM(N$75:O$80)+W$109)/H$83*AZ16)</f>
        <v>0</v>
      </c>
      <c r="BN16" s="291" t="e">
        <f aca="false">N$110/H$83*Z16</f>
        <v>#DIV/0!</v>
      </c>
      <c r="BO16" s="918" t="e">
        <f aca="false">SUM(BE16:BN16)</f>
        <v>#DIV/0!</v>
      </c>
      <c r="BP16" s="910" t="n">
        <f aca="false">V16*D16</f>
        <v>0</v>
      </c>
      <c r="BQ16" s="264"/>
    </row>
    <row r="17" customFormat="false" ht="19.5" hidden="false" customHeight="true" outlineLevel="0" collapsed="false">
      <c r="A17" s="507"/>
      <c r="B17" s="1312"/>
      <c r="C17" s="78"/>
      <c r="D17" s="2081"/>
      <c r="E17" s="528"/>
      <c r="F17" s="2082"/>
      <c r="G17" s="1234"/>
      <c r="H17" s="1235"/>
      <c r="I17" s="1236"/>
      <c r="J17" s="1235"/>
      <c r="K17" s="1236"/>
      <c r="L17" s="1235"/>
      <c r="M17" s="1236"/>
      <c r="N17" s="1235"/>
      <c r="O17" s="1236"/>
      <c r="P17" s="1235"/>
      <c r="Q17" s="1236"/>
      <c r="R17" s="1237"/>
      <c r="S17" s="1923"/>
      <c r="T17" s="1240" t="n">
        <f aca="false">IF(P17=0,0,(F17*I17*J17/16*J17/16*10.680159)+((F17*K17*L17/16*L17/16*10.680159)+(M17*N17/16*N17/16*10.680159*F17)+((O17/16*O17/16)*3.145*0.2836*((((G17*2)+(H17*2))*F17*12/P17))))*(1+J$72))*D17+D17*Q17/16*Q17/16*10.703064*S17*R17*(1+J$72)</f>
        <v>0</v>
      </c>
      <c r="U17" s="1926" t="n">
        <f aca="false">ROUNDUP((F17*G17/12*H17/324)*D17*(1+J$67),0)</f>
        <v>0</v>
      </c>
      <c r="V17" s="2083" t="n">
        <f aca="false">IF(D17=0,0,SUM(BE17:BM17)/D17*(1+L$58))</f>
        <v>0</v>
      </c>
      <c r="W17" s="601" t="n">
        <f aca="false">IF(D17=0,0,V17*D17)</f>
        <v>0</v>
      </c>
      <c r="X17" s="907" t="n">
        <f aca="false">(G17*2+H17*2)/12*F17*D17</f>
        <v>0</v>
      </c>
      <c r="Y17" s="908" t="n">
        <f aca="false">T17</f>
        <v>0</v>
      </c>
      <c r="Z17" s="908" t="n">
        <f aca="false">AZ17</f>
        <v>0</v>
      </c>
      <c r="AA17" s="909" t="n">
        <f aca="false">D17</f>
        <v>0</v>
      </c>
      <c r="AN17" s="0" t="n">
        <f aca="false">IF(E17=1,U17,0)</f>
        <v>0</v>
      </c>
      <c r="AO17" s="0" t="n">
        <f aca="false">IF($E17=2,U17,0)</f>
        <v>0</v>
      </c>
      <c r="AP17" s="0" t="n">
        <f aca="false">IF($E17=3,U17,0)</f>
        <v>0</v>
      </c>
      <c r="AQ17" s="0" t="n">
        <f aca="false">IF($E17=4,U17,0)</f>
        <v>0</v>
      </c>
      <c r="AR17" s="0" t="n">
        <f aca="false">IF($E17=5,U17,0)</f>
        <v>0</v>
      </c>
      <c r="AS17" s="0" t="n">
        <f aca="false">IF($E17=6,U17,0)</f>
        <v>0</v>
      </c>
      <c r="AT17" s="0" t="n">
        <f aca="false">IF($E17=7,$U17,0)</f>
        <v>0</v>
      </c>
      <c r="AU17" s="0" t="n">
        <f aca="false">IF($E17=8,$U17,0)</f>
        <v>0</v>
      </c>
      <c r="AV17" s="0" t="n">
        <f aca="false">IF($E17=9,$U17,0)</f>
        <v>0</v>
      </c>
      <c r="AW17" s="0" t="n">
        <f aca="false">IF($E17=10,$U17,0)</f>
        <v>0</v>
      </c>
      <c r="AX17" s="0" t="n">
        <f aca="false">SUM(AN17:AS17)</f>
        <v>0</v>
      </c>
      <c r="AY17" s="1242" t="n">
        <f aca="false">T17</f>
        <v>0</v>
      </c>
      <c r="AZ17" s="0" t="n">
        <f aca="false">F17*H17*G17/36*D17/2</f>
        <v>0</v>
      </c>
      <c r="BA17" s="0" t="n">
        <f aca="false">F17*H17*G17/36*D17</f>
        <v>0</v>
      </c>
      <c r="BE17" s="915" t="n">
        <f aca="false">T17*F$72*IF(T$57="N",(1+V$57),1)</f>
        <v>0</v>
      </c>
      <c r="BF17" s="291" t="n">
        <f aca="false">(AN17*Pricing!F$3+AO17*Pricing!G$3+AP17*Pricing!H$3+AQ17*Pricing!I$3+AR17*Pricing!J$3+AS17*Pricing!K$3+AT17*Pricing!L$3+AU17*Pricing!M$3+AV17*Pricing!N$3+AW17*Pricing!O$3)*IF(T$57="N",(1+V$57),1)</f>
        <v>0</v>
      </c>
      <c r="BG17" s="915" t="n">
        <f aca="false">IF(H$83=0,0,N$82/H$83*AZ17)</f>
        <v>0</v>
      </c>
      <c r="BH17" s="291" t="n">
        <f aca="false">AZ17*(G$83)</f>
        <v>0</v>
      </c>
      <c r="BI17" s="291" t="n">
        <f aca="false">Z17*D$86</f>
        <v>0</v>
      </c>
      <c r="BJ17" s="291" t="n">
        <f aca="false">T17/2000*D$87</f>
        <v>0</v>
      </c>
      <c r="BK17" s="291" t="e">
        <f aca="false">N$88/D$54*F17</f>
        <v>#DIV/0!</v>
      </c>
      <c r="BL17" s="916" t="e">
        <f aca="false">N$89/H$86*Z17</f>
        <v>#DIV/0!</v>
      </c>
      <c r="BM17" s="918" t="n">
        <f aca="false">IF(H$83=0,0,(SUM(N$92:O$95)+SUM(N$97:O$102)+SUM(N$104:O$109)+SUM(N$75:O$80)+W$109)/H$83*AZ17)</f>
        <v>0</v>
      </c>
      <c r="BN17" s="291" t="e">
        <f aca="false">N$110/H$83*Z17</f>
        <v>#DIV/0!</v>
      </c>
      <c r="BO17" s="918" t="e">
        <f aca="false">SUM(BE17:BN17)</f>
        <v>#DIV/0!</v>
      </c>
      <c r="BP17" s="910" t="n">
        <f aca="false">V17*D17</f>
        <v>0</v>
      </c>
    </row>
    <row r="18" customFormat="false" ht="19.5" hidden="false" customHeight="true" outlineLevel="0" collapsed="false">
      <c r="A18" s="507"/>
      <c r="B18" s="1312"/>
      <c r="C18" s="78"/>
      <c r="D18" s="2081"/>
      <c r="E18" s="528"/>
      <c r="F18" s="2082"/>
      <c r="G18" s="1234"/>
      <c r="H18" s="1235"/>
      <c r="I18" s="1236"/>
      <c r="J18" s="1235"/>
      <c r="K18" s="1236"/>
      <c r="L18" s="1235"/>
      <c r="M18" s="1236"/>
      <c r="N18" s="1235"/>
      <c r="O18" s="1236"/>
      <c r="P18" s="1235"/>
      <c r="Q18" s="1236"/>
      <c r="R18" s="1237"/>
      <c r="S18" s="1923"/>
      <c r="T18" s="1240" t="n">
        <f aca="false">IF(P18=0,0,(F18*I18*J18/16*J18/16*10.680159)+((F18*K18*L18/16*L18/16*10.680159)+(M18*N18/16*N18/16*10.680159*F18)+((O18/16*O18/16)*3.145*0.2836*((((G18*2)+(H18*2))*F18*12/P18))))*(1+J$72))*D18+D18*Q18/16*Q18/16*10.703064*S18*R18*(1+J$72)</f>
        <v>0</v>
      </c>
      <c r="U18" s="1926" t="n">
        <f aca="false">ROUNDUP((F18*G18/12*H18/324)*D18*(1+J$67),0)</f>
        <v>0</v>
      </c>
      <c r="V18" s="2083" t="n">
        <f aca="false">IF(D18=0,0,SUM(BE18:BM18)/D18*(1+L$58))</f>
        <v>0</v>
      </c>
      <c r="W18" s="601" t="n">
        <f aca="false">IF(D18=0,0,V18*D18)</f>
        <v>0</v>
      </c>
      <c r="X18" s="907" t="n">
        <f aca="false">(G18*2+H18*2)/12*F18*D18</f>
        <v>0</v>
      </c>
      <c r="Y18" s="908" t="n">
        <f aca="false">T18</f>
        <v>0</v>
      </c>
      <c r="Z18" s="908" t="n">
        <f aca="false">AZ18</f>
        <v>0</v>
      </c>
      <c r="AA18" s="909" t="n">
        <f aca="false">D18</f>
        <v>0</v>
      </c>
      <c r="AN18" s="0" t="n">
        <f aca="false">IF(E18=1,U18,0)</f>
        <v>0</v>
      </c>
      <c r="AO18" s="0" t="n">
        <f aca="false">IF($E18=2,U18,0)</f>
        <v>0</v>
      </c>
      <c r="AP18" s="0" t="n">
        <f aca="false">IF($E18=3,U18,0)</f>
        <v>0</v>
      </c>
      <c r="AQ18" s="0" t="n">
        <f aca="false">IF($E18=4,U18,0)</f>
        <v>0</v>
      </c>
      <c r="AR18" s="0" t="n">
        <f aca="false">IF($E18=5,U18,0)</f>
        <v>0</v>
      </c>
      <c r="AS18" s="0" t="n">
        <f aca="false">IF($E18=6,U18,0)</f>
        <v>0</v>
      </c>
      <c r="AT18" s="0" t="n">
        <f aca="false">IF($E18=7,$U18,0)</f>
        <v>0</v>
      </c>
      <c r="AU18" s="0" t="n">
        <f aca="false">IF($E18=8,$U18,0)</f>
        <v>0</v>
      </c>
      <c r="AV18" s="0" t="n">
        <f aca="false">IF($E18=9,$U18,0)</f>
        <v>0</v>
      </c>
      <c r="AW18" s="0" t="n">
        <f aca="false">IF($E18=10,$U18,0)</f>
        <v>0</v>
      </c>
      <c r="AX18" s="0" t="n">
        <f aca="false">SUM(AN18:AS18)</f>
        <v>0</v>
      </c>
      <c r="AY18" s="1242" t="n">
        <f aca="false">T18</f>
        <v>0</v>
      </c>
      <c r="AZ18" s="0" t="n">
        <f aca="false">F18*H18*G18/36*D18/2</f>
        <v>0</v>
      </c>
      <c r="BA18" s="0" t="n">
        <f aca="false">F18*H18*G18/36*D18</f>
        <v>0</v>
      </c>
      <c r="BE18" s="915" t="n">
        <f aca="false">T18*F$72*IF(T$57="N",(1+V$57),1)</f>
        <v>0</v>
      </c>
      <c r="BF18" s="291" t="n">
        <f aca="false">(AN18*Pricing!F$3+AO18*Pricing!G$3+AP18*Pricing!H$3+AQ18*Pricing!I$3+AR18*Pricing!J$3+AS18*Pricing!K$3+AT18*Pricing!L$3+AU18*Pricing!M$3+AV18*Pricing!N$3+AW18*Pricing!O$3)*IF(T$57="N",(1+V$57),1)</f>
        <v>0</v>
      </c>
      <c r="BG18" s="915" t="n">
        <f aca="false">IF(H$83=0,0,N$82/H$83*AZ18)</f>
        <v>0</v>
      </c>
      <c r="BH18" s="291" t="n">
        <f aca="false">AZ18*(G$83)</f>
        <v>0</v>
      </c>
      <c r="BI18" s="291" t="n">
        <f aca="false">Z18*D$86</f>
        <v>0</v>
      </c>
      <c r="BJ18" s="291" t="n">
        <f aca="false">T18/2000*D$87</f>
        <v>0</v>
      </c>
      <c r="BK18" s="291" t="e">
        <f aca="false">N$88/D$54*F18</f>
        <v>#DIV/0!</v>
      </c>
      <c r="BL18" s="916" t="e">
        <f aca="false">N$89/H$86*Z18</f>
        <v>#DIV/0!</v>
      </c>
      <c r="BM18" s="918" t="n">
        <f aca="false">IF(H$83=0,0,(SUM(N$92:O$95)+SUM(N$97:O$102)+SUM(N$104:O$109)+SUM(N$75:O$80)+W$109)/H$83*AZ18)</f>
        <v>0</v>
      </c>
      <c r="BN18" s="291" t="e">
        <f aca="false">N$110/H$83*Z18</f>
        <v>#DIV/0!</v>
      </c>
      <c r="BO18" s="918" t="e">
        <f aca="false">SUM(BE18:BN18)</f>
        <v>#DIV/0!</v>
      </c>
      <c r="BP18" s="910" t="n">
        <f aca="false">V18*D18</f>
        <v>0</v>
      </c>
    </row>
    <row r="19" customFormat="false" ht="19.5" hidden="false" customHeight="true" outlineLevel="0" collapsed="false">
      <c r="A19" s="507"/>
      <c r="B19" s="1312"/>
      <c r="C19" s="78"/>
      <c r="D19" s="2081"/>
      <c r="E19" s="528"/>
      <c r="F19" s="2082"/>
      <c r="G19" s="1234"/>
      <c r="H19" s="1235"/>
      <c r="I19" s="1236"/>
      <c r="J19" s="1235"/>
      <c r="K19" s="1236"/>
      <c r="L19" s="1235"/>
      <c r="M19" s="1236"/>
      <c r="N19" s="1235"/>
      <c r="O19" s="1236"/>
      <c r="P19" s="1235"/>
      <c r="Q19" s="1236"/>
      <c r="R19" s="1237"/>
      <c r="S19" s="1923"/>
      <c r="T19" s="1240" t="n">
        <f aca="false">IF(P19=0,0,(F19*I19*J19/16*J19/16*10.680159)+((F19*K19*L19/16*L19/16*10.680159)+(M19*N19/16*N19/16*10.680159*F19)+((O19/16*O19/16)*3.145*0.2836*((((G19*2)+(H19*2))*F19*12/P19))))*(1+J$72))*D19+D19*Q19/16*Q19/16*10.703064*S19*R19*(1+J$72)</f>
        <v>0</v>
      </c>
      <c r="U19" s="1926" t="n">
        <f aca="false">ROUNDUP((F19*G19/12*H19/324)*D19*(1+J$67),0)</f>
        <v>0</v>
      </c>
      <c r="V19" s="2083" t="n">
        <f aca="false">IF(D19=0,0,SUM(BE19:BM19)/D19*(1+L$58))</f>
        <v>0</v>
      </c>
      <c r="W19" s="601" t="n">
        <f aca="false">IF(D19=0,0,V19*D19)</f>
        <v>0</v>
      </c>
      <c r="X19" s="907" t="n">
        <f aca="false">(G19*2+H19*2)/12*F19*D19</f>
        <v>0</v>
      </c>
      <c r="Y19" s="908" t="n">
        <f aca="false">T19</f>
        <v>0</v>
      </c>
      <c r="Z19" s="908" t="n">
        <f aca="false">AZ19</f>
        <v>0</v>
      </c>
      <c r="AA19" s="909" t="n">
        <f aca="false">D19</f>
        <v>0</v>
      </c>
      <c r="AN19" s="0" t="n">
        <f aca="false">IF(E19=1,U19,0)</f>
        <v>0</v>
      </c>
      <c r="AO19" s="0" t="n">
        <f aca="false">IF($E19=2,U19,0)</f>
        <v>0</v>
      </c>
      <c r="AP19" s="0" t="n">
        <f aca="false">IF($E19=3,U19,0)</f>
        <v>0</v>
      </c>
      <c r="AQ19" s="0" t="n">
        <f aca="false">IF($E19=4,U19,0)</f>
        <v>0</v>
      </c>
      <c r="AR19" s="0" t="n">
        <f aca="false">IF($E19=5,U19,0)</f>
        <v>0</v>
      </c>
      <c r="AS19" s="0" t="n">
        <f aca="false">IF($E19=6,U19,0)</f>
        <v>0</v>
      </c>
      <c r="AT19" s="0" t="n">
        <f aca="false">IF($E19=7,$U19,0)</f>
        <v>0</v>
      </c>
      <c r="AU19" s="0" t="n">
        <f aca="false">IF($E19=8,$U19,0)</f>
        <v>0</v>
      </c>
      <c r="AV19" s="0" t="n">
        <f aca="false">IF($E19=9,$U19,0)</f>
        <v>0</v>
      </c>
      <c r="AW19" s="0" t="n">
        <f aca="false">IF($E19=10,$U19,0)</f>
        <v>0</v>
      </c>
      <c r="AX19" s="0" t="n">
        <f aca="false">SUM(AN19:AS19)</f>
        <v>0</v>
      </c>
      <c r="AY19" s="1242" t="n">
        <f aca="false">T19</f>
        <v>0</v>
      </c>
      <c r="AZ19" s="0" t="n">
        <f aca="false">F19*H19*G19/36*D19/2</f>
        <v>0</v>
      </c>
      <c r="BA19" s="0" t="n">
        <f aca="false">F19*H19*G19/36*D19</f>
        <v>0</v>
      </c>
      <c r="BE19" s="915" t="n">
        <f aca="false">T19*F$72*IF(T$57="N",(1+V$57),1)</f>
        <v>0</v>
      </c>
      <c r="BF19" s="291" t="n">
        <f aca="false">(AN19*Pricing!F$3+AO19*Pricing!G$3+AP19*Pricing!H$3+AQ19*Pricing!I$3+AR19*Pricing!J$3+AS19*Pricing!K$3+AT19*Pricing!L$3+AU19*Pricing!M$3+AV19*Pricing!N$3+AW19*Pricing!O$3)*IF(T$57="N",(1+V$57),1)</f>
        <v>0</v>
      </c>
      <c r="BG19" s="915" t="n">
        <f aca="false">IF(H$83=0,0,N$82/H$83*AZ19)</f>
        <v>0</v>
      </c>
      <c r="BH19" s="291" t="n">
        <f aca="false">AZ19*(G$83)</f>
        <v>0</v>
      </c>
      <c r="BI19" s="291" t="n">
        <f aca="false">Z19*D$86</f>
        <v>0</v>
      </c>
      <c r="BJ19" s="291" t="n">
        <f aca="false">T19/2000*D$87</f>
        <v>0</v>
      </c>
      <c r="BK19" s="291" t="e">
        <f aca="false">N$88/D$54*F19</f>
        <v>#DIV/0!</v>
      </c>
      <c r="BL19" s="916" t="e">
        <f aca="false">N$89/H$86*Z19</f>
        <v>#DIV/0!</v>
      </c>
      <c r="BM19" s="918" t="n">
        <f aca="false">IF(H$83=0,0,(SUM(N$92:O$95)+SUM(N$97:O$102)+SUM(N$104:O$109)+SUM(N$75:O$80)+W$109)/H$83*AZ19)</f>
        <v>0</v>
      </c>
      <c r="BN19" s="291" t="e">
        <f aca="false">N$110/H$83*Z19</f>
        <v>#DIV/0!</v>
      </c>
      <c r="BO19" s="918" t="e">
        <f aca="false">SUM(BE19:BN19)</f>
        <v>#DIV/0!</v>
      </c>
      <c r="BP19" s="910" t="n">
        <f aca="false">V19*D19</f>
        <v>0</v>
      </c>
    </row>
    <row r="20" customFormat="false" ht="19.5" hidden="false" customHeight="true" outlineLevel="0" collapsed="false">
      <c r="A20" s="507"/>
      <c r="B20" s="1312"/>
      <c r="C20" s="78"/>
      <c r="D20" s="2081"/>
      <c r="E20" s="528"/>
      <c r="F20" s="2082"/>
      <c r="G20" s="1234"/>
      <c r="H20" s="1235"/>
      <c r="I20" s="1236"/>
      <c r="J20" s="1235"/>
      <c r="K20" s="1236"/>
      <c r="L20" s="1235"/>
      <c r="M20" s="1236"/>
      <c r="N20" s="1235"/>
      <c r="O20" s="1236"/>
      <c r="P20" s="1235"/>
      <c r="Q20" s="1236"/>
      <c r="R20" s="1237"/>
      <c r="S20" s="1923"/>
      <c r="T20" s="1240" t="n">
        <f aca="false">IF(P20=0,0,(F20*I20*J20/16*J20/16*10.680159)+((F20*K20*L20/16*L20/16*10.680159)+(M20*N20/16*N20/16*10.680159*F20)+((O20/16*O20/16)*3.145*0.2836*((((G20*2)+(H20*2))*F20*12/P20))))*(1+J$72))*D20+D20*Q20/16*Q20/16*10.703064*S20*R20*(1+J$72)</f>
        <v>0</v>
      </c>
      <c r="U20" s="1926" t="n">
        <f aca="false">ROUNDUP((F20*G20/12*H20/324)*D20*(1+J$67),0)</f>
        <v>0</v>
      </c>
      <c r="V20" s="2083" t="n">
        <f aca="false">IF(D20=0,0,SUM(BE20:BM20)/D20*(1+L$58))</f>
        <v>0</v>
      </c>
      <c r="W20" s="601" t="n">
        <f aca="false">IF(D20=0,0,V20*D20)</f>
        <v>0</v>
      </c>
      <c r="X20" s="907" t="n">
        <f aca="false">(G20*2+H20*2)/12*F20*D20</f>
        <v>0</v>
      </c>
      <c r="Y20" s="908" t="n">
        <f aca="false">T20</f>
        <v>0</v>
      </c>
      <c r="Z20" s="908" t="n">
        <f aca="false">AZ20</f>
        <v>0</v>
      </c>
      <c r="AA20" s="909" t="n">
        <f aca="false">D20</f>
        <v>0</v>
      </c>
      <c r="AN20" s="0" t="n">
        <f aca="false">IF(E20=1,U20,0)</f>
        <v>0</v>
      </c>
      <c r="AO20" s="0" t="n">
        <f aca="false">IF($E20=2,U20,0)</f>
        <v>0</v>
      </c>
      <c r="AP20" s="0" t="n">
        <f aca="false">IF($E20=3,U20,0)</f>
        <v>0</v>
      </c>
      <c r="AQ20" s="0" t="n">
        <f aca="false">IF($E20=4,U20,0)</f>
        <v>0</v>
      </c>
      <c r="AR20" s="0" t="n">
        <f aca="false">IF($E20=5,U20,0)</f>
        <v>0</v>
      </c>
      <c r="AS20" s="0" t="n">
        <f aca="false">IF($E20=6,U20,0)</f>
        <v>0</v>
      </c>
      <c r="AT20" s="0" t="n">
        <f aca="false">IF($E20=7,$U20,0)</f>
        <v>0</v>
      </c>
      <c r="AU20" s="0" t="n">
        <f aca="false">IF($E20=8,$U20,0)</f>
        <v>0</v>
      </c>
      <c r="AV20" s="0" t="n">
        <f aca="false">IF($E20=9,$U20,0)</f>
        <v>0</v>
      </c>
      <c r="AW20" s="0" t="n">
        <f aca="false">IF($E20=10,$U20,0)</f>
        <v>0</v>
      </c>
      <c r="AX20" s="0" t="n">
        <f aca="false">SUM(AN20:AS20)</f>
        <v>0</v>
      </c>
      <c r="AY20" s="1242" t="n">
        <f aca="false">T20</f>
        <v>0</v>
      </c>
      <c r="AZ20" s="0" t="n">
        <f aca="false">F20*H20*G20/36*D20/2</f>
        <v>0</v>
      </c>
      <c r="BA20" s="0" t="n">
        <f aca="false">F20*H20*G20/36*D20</f>
        <v>0</v>
      </c>
      <c r="BE20" s="915" t="n">
        <f aca="false">T20*F$72*IF(T$57="N",(1+V$57),1)</f>
        <v>0</v>
      </c>
      <c r="BF20" s="291" t="n">
        <f aca="false">(AN20*Pricing!F$3+AO20*Pricing!G$3+AP20*Pricing!H$3+AQ20*Pricing!I$3+AR20*Pricing!J$3+AS20*Pricing!K$3+AT20*Pricing!L$3+AU20*Pricing!M$3+AV20*Pricing!N$3+AW20*Pricing!O$3)*IF(T$57="N",(1+V$57),1)</f>
        <v>0</v>
      </c>
      <c r="BG20" s="915" t="n">
        <f aca="false">IF(H$83=0,0,N$82/H$83*AZ20)</f>
        <v>0</v>
      </c>
      <c r="BH20" s="291" t="n">
        <f aca="false">AZ20*(G$83)</f>
        <v>0</v>
      </c>
      <c r="BI20" s="291" t="n">
        <f aca="false">Z20*D$86</f>
        <v>0</v>
      </c>
      <c r="BJ20" s="291" t="n">
        <f aca="false">T20/2000*D$87</f>
        <v>0</v>
      </c>
      <c r="BK20" s="291" t="e">
        <f aca="false">N$88/D$54*F20</f>
        <v>#DIV/0!</v>
      </c>
      <c r="BL20" s="916" t="e">
        <f aca="false">N$89/H$86*Z20</f>
        <v>#DIV/0!</v>
      </c>
      <c r="BM20" s="918" t="n">
        <f aca="false">IF(H$83=0,0,(SUM(N$92:O$95)+SUM(N$97:O$102)+SUM(N$104:O$109)+SUM(N$75:O$80)+W$109)/H$83*AZ20)</f>
        <v>0</v>
      </c>
      <c r="BN20" s="291" t="e">
        <f aca="false">N$110/H$83*Z20</f>
        <v>#DIV/0!</v>
      </c>
      <c r="BO20" s="918" t="e">
        <f aca="false">SUM(BE20:BN20)</f>
        <v>#DIV/0!</v>
      </c>
      <c r="BP20" s="910" t="n">
        <f aca="false">V20*D20</f>
        <v>0</v>
      </c>
    </row>
    <row r="21" customFormat="false" ht="19.5" hidden="false" customHeight="true" outlineLevel="0" collapsed="false">
      <c r="A21" s="507"/>
      <c r="B21" s="1312"/>
      <c r="C21" s="78"/>
      <c r="D21" s="2081"/>
      <c r="E21" s="528"/>
      <c r="F21" s="2082"/>
      <c r="G21" s="1234"/>
      <c r="H21" s="1235"/>
      <c r="I21" s="1236"/>
      <c r="J21" s="1235"/>
      <c r="K21" s="1236"/>
      <c r="L21" s="1235"/>
      <c r="M21" s="1236"/>
      <c r="N21" s="1235"/>
      <c r="O21" s="1236"/>
      <c r="P21" s="1235"/>
      <c r="Q21" s="1236"/>
      <c r="R21" s="1237"/>
      <c r="S21" s="1923"/>
      <c r="T21" s="1240" t="n">
        <f aca="false">IF(P21=0,0,(F21*I21*J21/16*J21/16*10.680159)+((F21*K21*L21/16*L21/16*10.680159)+(M21*N21/16*N21/16*10.680159*F21)+((O21/16*O21/16)*3.145*0.2836*((((G21*2)+(H21*2))*F21*12/P21))))*(1+J$72))*D21+D21*Q21/16*Q21/16*10.703064*S21*R21*(1+J$72)</f>
        <v>0</v>
      </c>
      <c r="U21" s="1926" t="n">
        <f aca="false">ROUNDUP((F21*G21/12*H21/324)*D21*(1+J$67),0)</f>
        <v>0</v>
      </c>
      <c r="V21" s="2083" t="n">
        <f aca="false">IF(D21=0,0,SUM(BE21:BM21)/D21*(1+L$58))</f>
        <v>0</v>
      </c>
      <c r="W21" s="601" t="n">
        <f aca="false">IF(D21=0,0,V21*D21)</f>
        <v>0</v>
      </c>
      <c r="X21" s="907" t="n">
        <f aca="false">(G21*2+H21*2)/12*F21*D21</f>
        <v>0</v>
      </c>
      <c r="Y21" s="908" t="n">
        <f aca="false">T21</f>
        <v>0</v>
      </c>
      <c r="Z21" s="908" t="n">
        <f aca="false">AZ21</f>
        <v>0</v>
      </c>
      <c r="AA21" s="909" t="n">
        <f aca="false">D21</f>
        <v>0</v>
      </c>
      <c r="AN21" s="0" t="n">
        <f aca="false">IF(E21=1,U21,0)</f>
        <v>0</v>
      </c>
      <c r="AO21" s="0" t="n">
        <f aca="false">IF($E21=2,U21,0)</f>
        <v>0</v>
      </c>
      <c r="AP21" s="0" t="n">
        <f aca="false">IF($E21=3,U21,0)</f>
        <v>0</v>
      </c>
      <c r="AQ21" s="0" t="n">
        <f aca="false">IF($E21=4,U21,0)</f>
        <v>0</v>
      </c>
      <c r="AR21" s="0" t="n">
        <f aca="false">IF($E21=5,U21,0)</f>
        <v>0</v>
      </c>
      <c r="AS21" s="0" t="n">
        <f aca="false">IF($E21=6,U21,0)</f>
        <v>0</v>
      </c>
      <c r="AT21" s="0" t="n">
        <f aca="false">IF($E21=7,$U21,0)</f>
        <v>0</v>
      </c>
      <c r="AU21" s="0" t="n">
        <f aca="false">IF($E21=8,$U21,0)</f>
        <v>0</v>
      </c>
      <c r="AV21" s="0" t="n">
        <f aca="false">IF($E21=9,$U21,0)</f>
        <v>0</v>
      </c>
      <c r="AW21" s="0" t="n">
        <f aca="false">IF($E21=10,$U21,0)</f>
        <v>0</v>
      </c>
      <c r="AX21" s="0" t="n">
        <f aca="false">SUM(AN21:AS21)</f>
        <v>0</v>
      </c>
      <c r="AY21" s="1242" t="n">
        <f aca="false">T21</f>
        <v>0</v>
      </c>
      <c r="AZ21" s="0" t="n">
        <f aca="false">F21*H21*G21/36*D21/2</f>
        <v>0</v>
      </c>
      <c r="BA21" s="0" t="n">
        <f aca="false">F21*H21*G21/36*D21</f>
        <v>0</v>
      </c>
      <c r="BE21" s="915" t="n">
        <f aca="false">T21*F$72*IF(T$57="N",(1+V$57),1)</f>
        <v>0</v>
      </c>
      <c r="BF21" s="291" t="n">
        <f aca="false">(AN21*Pricing!F$3+AO21*Pricing!G$3+AP21*Pricing!H$3+AQ21*Pricing!I$3+AR21*Pricing!J$3+AS21*Pricing!K$3+AT21*Pricing!L$3+AU21*Pricing!M$3+AV21*Pricing!N$3+AW21*Pricing!O$3)*IF(T$57="N",(1+V$57),1)</f>
        <v>0</v>
      </c>
      <c r="BG21" s="915" t="n">
        <f aca="false">IF(H$83=0,0,N$82/H$83*AZ21)</f>
        <v>0</v>
      </c>
      <c r="BH21" s="291" t="n">
        <f aca="false">AZ21*(G$83)</f>
        <v>0</v>
      </c>
      <c r="BI21" s="291" t="n">
        <f aca="false">Z21*D$86</f>
        <v>0</v>
      </c>
      <c r="BJ21" s="291" t="n">
        <f aca="false">T21/2000*D$87</f>
        <v>0</v>
      </c>
      <c r="BK21" s="291" t="e">
        <f aca="false">N$88/D$54*F21</f>
        <v>#DIV/0!</v>
      </c>
      <c r="BL21" s="916" t="e">
        <f aca="false">N$89/H$86*Z21</f>
        <v>#DIV/0!</v>
      </c>
      <c r="BM21" s="918" t="n">
        <f aca="false">IF(H$83=0,0,(SUM(N$92:O$95)+SUM(N$97:O$102)+SUM(N$104:O$109)+SUM(N$75:O$80)+W$109)/H$83*AZ21)</f>
        <v>0</v>
      </c>
      <c r="BN21" s="291" t="e">
        <f aca="false">N$110/H$83*Z21</f>
        <v>#DIV/0!</v>
      </c>
      <c r="BO21" s="918" t="e">
        <f aca="false">SUM(BE21:BN21)</f>
        <v>#DIV/0!</v>
      </c>
      <c r="BP21" s="910" t="n">
        <f aca="false">V21*D21</f>
        <v>0</v>
      </c>
    </row>
    <row r="22" customFormat="false" ht="19.5" hidden="false" customHeight="true" outlineLevel="0" collapsed="false">
      <c r="A22" s="507"/>
      <c r="B22" s="1312"/>
      <c r="C22" s="78"/>
      <c r="D22" s="2081"/>
      <c r="E22" s="528"/>
      <c r="F22" s="2082"/>
      <c r="G22" s="1234"/>
      <c r="H22" s="1235"/>
      <c r="I22" s="1236"/>
      <c r="J22" s="1235"/>
      <c r="K22" s="1236"/>
      <c r="L22" s="1235"/>
      <c r="M22" s="1236"/>
      <c r="N22" s="1235"/>
      <c r="O22" s="1236"/>
      <c r="P22" s="1235"/>
      <c r="Q22" s="1236"/>
      <c r="R22" s="1237"/>
      <c r="S22" s="1923"/>
      <c r="T22" s="1240" t="n">
        <f aca="false">IF(P22=0,0,(F22*I22*J22/16*J22/16*10.680159)+((F22*K22*L22/16*L22/16*10.680159)+(M22*N22/16*N22/16*10.680159*F22)+((O22/16*O22/16)*3.145*0.2836*((((G22*2)+(H22*2))*F22*12/P22))))*(1+J$72))*D22+D22*Q22/16*Q22/16*10.703064*S22*R22*(1+J$72)</f>
        <v>0</v>
      </c>
      <c r="U22" s="1926" t="n">
        <f aca="false">ROUNDUP((F22*G22/12*H22/324)*D22*(1+J$67),0)</f>
        <v>0</v>
      </c>
      <c r="V22" s="2083" t="n">
        <f aca="false">IF(D22=0,0,SUM(BE22:BM22)/D22*(1+L$58))</f>
        <v>0</v>
      </c>
      <c r="W22" s="601" t="n">
        <f aca="false">IF(D22=0,0,V22*D22)</f>
        <v>0</v>
      </c>
      <c r="X22" s="907" t="n">
        <f aca="false">(G22*2+H22*2)/12*F22*D22</f>
        <v>0</v>
      </c>
      <c r="Y22" s="908" t="n">
        <f aca="false">T22</f>
        <v>0</v>
      </c>
      <c r="Z22" s="908" t="n">
        <f aca="false">AZ22</f>
        <v>0</v>
      </c>
      <c r="AA22" s="909" t="n">
        <f aca="false">D22</f>
        <v>0</v>
      </c>
      <c r="AN22" s="0" t="n">
        <f aca="false">IF(E22=1,U22,0)</f>
        <v>0</v>
      </c>
      <c r="AO22" s="0" t="n">
        <f aca="false">IF($E22=2,U22,0)</f>
        <v>0</v>
      </c>
      <c r="AP22" s="0" t="n">
        <f aca="false">IF($E22=3,U22,0)</f>
        <v>0</v>
      </c>
      <c r="AQ22" s="0" t="n">
        <f aca="false">IF($E22=4,U22,0)</f>
        <v>0</v>
      </c>
      <c r="AR22" s="0" t="n">
        <f aca="false">IF($E22=5,U22,0)</f>
        <v>0</v>
      </c>
      <c r="AS22" s="0" t="n">
        <f aca="false">IF($E22=6,U22,0)</f>
        <v>0</v>
      </c>
      <c r="AT22" s="0" t="n">
        <f aca="false">IF($E22=7,$U22,0)</f>
        <v>0</v>
      </c>
      <c r="AU22" s="0" t="n">
        <f aca="false">IF($E22=8,$U22,0)</f>
        <v>0</v>
      </c>
      <c r="AV22" s="0" t="n">
        <f aca="false">IF($E22=9,$U22,0)</f>
        <v>0</v>
      </c>
      <c r="AW22" s="0" t="n">
        <f aca="false">IF($E22=10,$U22,0)</f>
        <v>0</v>
      </c>
      <c r="AX22" s="0" t="n">
        <f aca="false">SUM(AN22:AS22)</f>
        <v>0</v>
      </c>
      <c r="AY22" s="1242" t="n">
        <f aca="false">T22</f>
        <v>0</v>
      </c>
      <c r="AZ22" s="0" t="n">
        <f aca="false">F22*H22*G22/36*D22/2</f>
        <v>0</v>
      </c>
      <c r="BA22" s="0" t="n">
        <f aca="false">F22*H22*G22/36*D22</f>
        <v>0</v>
      </c>
      <c r="BE22" s="915" t="n">
        <f aca="false">T22*F$72*IF(T$57="N",(1+V$57),1)</f>
        <v>0</v>
      </c>
      <c r="BF22" s="291" t="n">
        <f aca="false">(AN22*Pricing!F$3+AO22*Pricing!G$3+AP22*Pricing!H$3+AQ22*Pricing!I$3+AR22*Pricing!J$3+AS22*Pricing!K$3+AT22*Pricing!L$3+AU22*Pricing!M$3+AV22*Pricing!N$3+AW22*Pricing!O$3)*IF(T$57="N",(1+V$57),1)</f>
        <v>0</v>
      </c>
      <c r="BG22" s="915" t="n">
        <f aca="false">IF(H$83=0,0,N$82/H$83*AZ22)</f>
        <v>0</v>
      </c>
      <c r="BH22" s="291" t="n">
        <f aca="false">AZ22*(G$83)</f>
        <v>0</v>
      </c>
      <c r="BI22" s="291" t="n">
        <f aca="false">Z22*D$86</f>
        <v>0</v>
      </c>
      <c r="BJ22" s="291" t="n">
        <f aca="false">T22/2000*D$87</f>
        <v>0</v>
      </c>
      <c r="BK22" s="291" t="e">
        <f aca="false">N$88/D$54*F22</f>
        <v>#DIV/0!</v>
      </c>
      <c r="BL22" s="916" t="e">
        <f aca="false">N$89/H$86*Z22</f>
        <v>#DIV/0!</v>
      </c>
      <c r="BM22" s="918" t="n">
        <f aca="false">IF(H$83=0,0,(SUM(N$92:O$95)+SUM(N$97:O$102)+SUM(N$104:O$109)+SUM(N$75:O$80)+W$109)/H$83*AZ22)</f>
        <v>0</v>
      </c>
      <c r="BN22" s="291" t="e">
        <f aca="false">N$110/H$83*Z22</f>
        <v>#DIV/0!</v>
      </c>
      <c r="BO22" s="918" t="e">
        <f aca="false">SUM(BE22:BN22)</f>
        <v>#DIV/0!</v>
      </c>
      <c r="BP22" s="910" t="n">
        <f aca="false">V22*D22</f>
        <v>0</v>
      </c>
    </row>
    <row r="23" customFormat="false" ht="19.5" hidden="false" customHeight="true" outlineLevel="0" collapsed="false">
      <c r="A23" s="507"/>
      <c r="B23" s="1312"/>
      <c r="C23" s="78"/>
      <c r="D23" s="2081"/>
      <c r="E23" s="528"/>
      <c r="F23" s="2082"/>
      <c r="G23" s="1234"/>
      <c r="H23" s="1235"/>
      <c r="I23" s="1236"/>
      <c r="J23" s="1235"/>
      <c r="K23" s="1236"/>
      <c r="L23" s="1235"/>
      <c r="M23" s="1236"/>
      <c r="N23" s="1235"/>
      <c r="O23" s="1236"/>
      <c r="P23" s="1235"/>
      <c r="Q23" s="1236"/>
      <c r="R23" s="1237"/>
      <c r="S23" s="1923"/>
      <c r="T23" s="1240" t="n">
        <f aca="false">IF(P23=0,0,(F23*I23*J23/16*J23/16*10.680159)+((F23*K23*L23/16*L23/16*10.680159)+(M23*N23/16*N23/16*10.680159*F23)+((O23/16*O23/16)*3.145*0.2836*((((G23*2)+(H23*2))*F23*12/P23))))*(1+J$72))*D23+D23*Q23/16*Q23/16*10.703064*S23*R23*(1+J$72)</f>
        <v>0</v>
      </c>
      <c r="U23" s="1926" t="n">
        <f aca="false">ROUNDUP((F23*G23/12*H23/324)*D23*(1+J$67),0)</f>
        <v>0</v>
      </c>
      <c r="V23" s="2083" t="n">
        <f aca="false">IF(D23=0,0,SUM(BE23:BM23)/D23*(1+L$58))</f>
        <v>0</v>
      </c>
      <c r="W23" s="601" t="n">
        <f aca="false">IF(D23=0,0,V23*D23)</f>
        <v>0</v>
      </c>
      <c r="X23" s="907" t="n">
        <f aca="false">(G23*2+H23*2)/12*F23*D23</f>
        <v>0</v>
      </c>
      <c r="Y23" s="908" t="n">
        <f aca="false">T23</f>
        <v>0</v>
      </c>
      <c r="Z23" s="908" t="n">
        <f aca="false">AZ23</f>
        <v>0</v>
      </c>
      <c r="AA23" s="909" t="n">
        <f aca="false">D23</f>
        <v>0</v>
      </c>
      <c r="AN23" s="0" t="n">
        <f aca="false">IF(E23=1,U23,0)</f>
        <v>0</v>
      </c>
      <c r="AO23" s="0" t="n">
        <f aca="false">IF($E23=2,U23,0)</f>
        <v>0</v>
      </c>
      <c r="AP23" s="0" t="n">
        <f aca="false">IF($E23=3,U23,0)</f>
        <v>0</v>
      </c>
      <c r="AQ23" s="0" t="n">
        <f aca="false">IF($E23=4,U23,0)</f>
        <v>0</v>
      </c>
      <c r="AR23" s="0" t="n">
        <f aca="false">IF($E23=5,U23,0)</f>
        <v>0</v>
      </c>
      <c r="AS23" s="0" t="n">
        <f aca="false">IF($E23=6,U23,0)</f>
        <v>0</v>
      </c>
      <c r="AT23" s="0" t="n">
        <f aca="false">IF($E23=7,$U23,0)</f>
        <v>0</v>
      </c>
      <c r="AU23" s="0" t="n">
        <f aca="false">IF($E23=8,$U23,0)</f>
        <v>0</v>
      </c>
      <c r="AV23" s="0" t="n">
        <f aca="false">IF($E23=9,$U23,0)</f>
        <v>0</v>
      </c>
      <c r="AW23" s="0" t="n">
        <f aca="false">IF($E23=10,$U23,0)</f>
        <v>0</v>
      </c>
      <c r="AX23" s="0" t="n">
        <f aca="false">SUM(AN23:AS23)</f>
        <v>0</v>
      </c>
      <c r="AY23" s="1242" t="n">
        <f aca="false">T23</f>
        <v>0</v>
      </c>
      <c r="AZ23" s="0" t="n">
        <f aca="false">F23*H23*G23/36*D23/2</f>
        <v>0</v>
      </c>
      <c r="BA23" s="0" t="n">
        <f aca="false">F23*H23*G23/36*D23</f>
        <v>0</v>
      </c>
      <c r="BE23" s="915" t="n">
        <f aca="false">T23*F$72*IF(T$57="N",(1+V$57),1)</f>
        <v>0</v>
      </c>
      <c r="BF23" s="291" t="n">
        <f aca="false">(AN23*Pricing!F$3+AO23*Pricing!G$3+AP23*Pricing!H$3+AQ23*Pricing!I$3+AR23*Pricing!J$3+AS23*Pricing!K$3+AT23*Pricing!L$3+AU23*Pricing!M$3+AV23*Pricing!N$3+AW23*Pricing!O$3)*IF(T$57="N",(1+V$57),1)</f>
        <v>0</v>
      </c>
      <c r="BG23" s="915" t="n">
        <f aca="false">IF(H$83=0,0,N$82/H$83*AZ23)</f>
        <v>0</v>
      </c>
      <c r="BH23" s="291" t="n">
        <f aca="false">AZ23*(G$83)</f>
        <v>0</v>
      </c>
      <c r="BI23" s="291" t="n">
        <f aca="false">Z23*D$86</f>
        <v>0</v>
      </c>
      <c r="BJ23" s="291" t="n">
        <f aca="false">T23/2000*D$87</f>
        <v>0</v>
      </c>
      <c r="BK23" s="291" t="e">
        <f aca="false">N$88/D$54*F23</f>
        <v>#DIV/0!</v>
      </c>
      <c r="BL23" s="916" t="e">
        <f aca="false">N$89/H$86*Z23</f>
        <v>#DIV/0!</v>
      </c>
      <c r="BM23" s="918" t="n">
        <f aca="false">IF(H$83=0,0,(SUM(N$92:O$95)+SUM(N$97:O$102)+SUM(N$104:O$109)+SUM(N$75:O$80)+W$109)/H$83*AZ23)</f>
        <v>0</v>
      </c>
      <c r="BN23" s="291" t="e">
        <f aca="false">N$110/H$83*Z23</f>
        <v>#DIV/0!</v>
      </c>
      <c r="BO23" s="918" t="e">
        <f aca="false">SUM(BE23:BN23)</f>
        <v>#DIV/0!</v>
      </c>
      <c r="BP23" s="910" t="n">
        <f aca="false">V23*D23</f>
        <v>0</v>
      </c>
    </row>
    <row r="24" customFormat="false" ht="19.5" hidden="false" customHeight="true" outlineLevel="0" collapsed="false">
      <c r="A24" s="507"/>
      <c r="B24" s="1312"/>
      <c r="C24" s="78"/>
      <c r="D24" s="2081"/>
      <c r="E24" s="528"/>
      <c r="F24" s="2082"/>
      <c r="G24" s="1234"/>
      <c r="H24" s="1235"/>
      <c r="I24" s="1236"/>
      <c r="J24" s="1235"/>
      <c r="K24" s="1236"/>
      <c r="L24" s="1235"/>
      <c r="M24" s="1236"/>
      <c r="N24" s="1235"/>
      <c r="O24" s="1236"/>
      <c r="P24" s="1235"/>
      <c r="Q24" s="1236"/>
      <c r="R24" s="1237"/>
      <c r="S24" s="1923"/>
      <c r="T24" s="1240" t="n">
        <f aca="false">IF(P24=0,0,(F24*I24*J24/16*J24/16*10.680159)+((F24*K24*L24/16*L24/16*10.680159)+(M24*N24/16*N24/16*10.680159*F24)+((O24/16*O24/16)*3.145*0.2836*((((G24*2)+(H24*2))*F24*12/P24))))*(1+J$72))*D24+D24*Q24/16*Q24/16*10.703064*S24*R24*(1+J$72)</f>
        <v>0</v>
      </c>
      <c r="U24" s="1926" t="n">
        <f aca="false">ROUNDUP((F24*G24/12*H24/324)*D24*(1+J$67),0)</f>
        <v>0</v>
      </c>
      <c r="V24" s="2083" t="n">
        <f aca="false">IF(D24=0,0,SUM(BE24:BM24)/D24*(1+L$58))</f>
        <v>0</v>
      </c>
      <c r="W24" s="601" t="n">
        <f aca="false">IF(D24=0,0,V24*D24)</f>
        <v>0</v>
      </c>
      <c r="X24" s="907" t="n">
        <f aca="false">(G24*2+H24*2)/12*F24*D24</f>
        <v>0</v>
      </c>
      <c r="Y24" s="908" t="n">
        <f aca="false">T24</f>
        <v>0</v>
      </c>
      <c r="Z24" s="908" t="n">
        <f aca="false">AZ24</f>
        <v>0</v>
      </c>
      <c r="AA24" s="909" t="n">
        <f aca="false">D24</f>
        <v>0</v>
      </c>
      <c r="AN24" s="0" t="n">
        <f aca="false">IF(E24=1,U24,0)</f>
        <v>0</v>
      </c>
      <c r="AO24" s="0" t="n">
        <f aca="false">IF($E24=2,U24,0)</f>
        <v>0</v>
      </c>
      <c r="AP24" s="0" t="n">
        <f aca="false">IF($E24=3,U24,0)</f>
        <v>0</v>
      </c>
      <c r="AQ24" s="0" t="n">
        <f aca="false">IF($E24=4,U24,0)</f>
        <v>0</v>
      </c>
      <c r="AR24" s="0" t="n">
        <f aca="false">IF($E24=5,U24,0)</f>
        <v>0</v>
      </c>
      <c r="AS24" s="0" t="n">
        <f aca="false">IF($E24=6,U24,0)</f>
        <v>0</v>
      </c>
      <c r="AT24" s="0" t="n">
        <f aca="false">IF($E24=7,$U24,0)</f>
        <v>0</v>
      </c>
      <c r="AU24" s="0" t="n">
        <f aca="false">IF($E24=8,$U24,0)</f>
        <v>0</v>
      </c>
      <c r="AV24" s="0" t="n">
        <f aca="false">IF($E24=9,$U24,0)</f>
        <v>0</v>
      </c>
      <c r="AW24" s="0" t="n">
        <f aca="false">IF($E24=10,$U24,0)</f>
        <v>0</v>
      </c>
      <c r="AX24" s="0" t="n">
        <f aca="false">SUM(AN24:AS24)</f>
        <v>0</v>
      </c>
      <c r="AY24" s="1242" t="n">
        <f aca="false">T24</f>
        <v>0</v>
      </c>
      <c r="AZ24" s="0" t="n">
        <f aca="false">F24*H24*G24/36*D24/2</f>
        <v>0</v>
      </c>
      <c r="BA24" s="0" t="n">
        <f aca="false">F24*H24*G24/36*D24</f>
        <v>0</v>
      </c>
      <c r="BE24" s="915" t="n">
        <f aca="false">T24*F$72*IF(T$57="N",(1+V$57),1)</f>
        <v>0</v>
      </c>
      <c r="BF24" s="291" t="n">
        <f aca="false">(AN24*Pricing!F$3+AO24*Pricing!G$3+AP24*Pricing!H$3+AQ24*Pricing!I$3+AR24*Pricing!J$3+AS24*Pricing!K$3+AT24*Pricing!L$3+AU24*Pricing!M$3+AV24*Pricing!N$3+AW24*Pricing!O$3)*IF(T$57="N",(1+V$57),1)</f>
        <v>0</v>
      </c>
      <c r="BG24" s="915" t="n">
        <f aca="false">IF(H$83=0,0,N$82/H$83*AZ24)</f>
        <v>0</v>
      </c>
      <c r="BH24" s="291" t="n">
        <f aca="false">AZ24*(G$83)</f>
        <v>0</v>
      </c>
      <c r="BI24" s="291" t="n">
        <f aca="false">Z24*D$86</f>
        <v>0</v>
      </c>
      <c r="BJ24" s="291" t="n">
        <f aca="false">T24/2000*D$87</f>
        <v>0</v>
      </c>
      <c r="BK24" s="291" t="e">
        <f aca="false">N$88/D$54*F24</f>
        <v>#DIV/0!</v>
      </c>
      <c r="BL24" s="916" t="e">
        <f aca="false">N$89/H$86*Z24</f>
        <v>#DIV/0!</v>
      </c>
      <c r="BM24" s="918" t="n">
        <f aca="false">IF(H$83=0,0,(SUM(N$92:O$95)+SUM(N$97:O$102)+SUM(N$104:O$109)+SUM(N$75:O$80)+W$109)/H$83*AZ24)</f>
        <v>0</v>
      </c>
      <c r="BN24" s="291" t="e">
        <f aca="false">N$110/H$83*Z24</f>
        <v>#DIV/0!</v>
      </c>
      <c r="BO24" s="918" t="e">
        <f aca="false">SUM(BE24:BN24)</f>
        <v>#DIV/0!</v>
      </c>
      <c r="BP24" s="910" t="n">
        <f aca="false">V24*D24</f>
        <v>0</v>
      </c>
    </row>
    <row r="25" customFormat="false" ht="19.5" hidden="false" customHeight="true" outlineLevel="0" collapsed="false">
      <c r="A25" s="507"/>
      <c r="B25" s="1312"/>
      <c r="C25" s="78"/>
      <c r="D25" s="2081"/>
      <c r="E25" s="528"/>
      <c r="F25" s="2082"/>
      <c r="G25" s="1234"/>
      <c r="H25" s="1235"/>
      <c r="I25" s="1236"/>
      <c r="J25" s="1235"/>
      <c r="K25" s="1236"/>
      <c r="L25" s="1235"/>
      <c r="M25" s="1236"/>
      <c r="N25" s="1235"/>
      <c r="O25" s="1236"/>
      <c r="P25" s="1235"/>
      <c r="Q25" s="1236"/>
      <c r="R25" s="1234"/>
      <c r="S25" s="1923"/>
      <c r="T25" s="1240" t="n">
        <f aca="false">IF(P25=0,0,(F25*I25*J25/16*J25/16*10.680159)+((F25*K25*L25/16*L25/16*10.680159)+(M25*N25/16*N25/16*10.680159*F25)+((O25/16*O25/16)*3.145*0.2836*((((G25*2)+(H25*2))*F25*12/P25))))*(1+J$72))*D25+D25*Q25/16*Q25/16*10.703064*S25*R25*(1+J$72)</f>
        <v>0</v>
      </c>
      <c r="U25" s="1926" t="n">
        <f aca="false">ROUNDUP((F25*G25/12*H25/324)*D25*(1+J$67),0)</f>
        <v>0</v>
      </c>
      <c r="V25" s="2083" t="n">
        <f aca="false">IF(D25=0,0,SUM(BE25:BM25)/D25*(1+L$58))</f>
        <v>0</v>
      </c>
      <c r="W25" s="601" t="n">
        <f aca="false">IF(D25=0,0,V25*D25)</f>
        <v>0</v>
      </c>
      <c r="X25" s="907" t="n">
        <f aca="false">(G25*2+H25*2)/12*F25*D25</f>
        <v>0</v>
      </c>
      <c r="Y25" s="908" t="n">
        <f aca="false">T25</f>
        <v>0</v>
      </c>
      <c r="Z25" s="908" t="n">
        <f aca="false">AZ25</f>
        <v>0</v>
      </c>
      <c r="AA25" s="909" t="n">
        <f aca="false">D25</f>
        <v>0</v>
      </c>
      <c r="AN25" s="0" t="n">
        <f aca="false">IF(E25=1,U25,0)</f>
        <v>0</v>
      </c>
      <c r="AO25" s="0" t="n">
        <f aca="false">IF($E25=2,U25,0)</f>
        <v>0</v>
      </c>
      <c r="AP25" s="0" t="n">
        <f aca="false">IF($E25=3,U25,0)</f>
        <v>0</v>
      </c>
      <c r="AQ25" s="0" t="n">
        <f aca="false">IF($E25=4,U25,0)</f>
        <v>0</v>
      </c>
      <c r="AR25" s="0" t="n">
        <f aca="false">IF($E25=5,U25,0)</f>
        <v>0</v>
      </c>
      <c r="AS25" s="0" t="n">
        <f aca="false">IF($E25=6,U25,0)</f>
        <v>0</v>
      </c>
      <c r="AT25" s="0" t="n">
        <f aca="false">IF($E25=7,$U25,0)</f>
        <v>0</v>
      </c>
      <c r="AU25" s="0" t="n">
        <f aca="false">IF($E25=8,$U25,0)</f>
        <v>0</v>
      </c>
      <c r="AV25" s="0" t="n">
        <f aca="false">IF($E25=9,$U25,0)</f>
        <v>0</v>
      </c>
      <c r="AW25" s="0" t="n">
        <f aca="false">IF($E25=10,$U25,0)</f>
        <v>0</v>
      </c>
      <c r="AX25" s="0" t="n">
        <f aca="false">SUM(AN25:AS25)</f>
        <v>0</v>
      </c>
      <c r="AY25" s="1242" t="n">
        <f aca="false">T25</f>
        <v>0</v>
      </c>
      <c r="AZ25" s="0" t="n">
        <f aca="false">F25*H25*G25/36*D25/2</f>
        <v>0</v>
      </c>
      <c r="BA25" s="0" t="n">
        <f aca="false">F25*H25*G25/36*D25</f>
        <v>0</v>
      </c>
      <c r="BE25" s="915" t="n">
        <f aca="false">T25*F$72*IF(T$57="N",(1+V$57),1)</f>
        <v>0</v>
      </c>
      <c r="BF25" s="291" t="n">
        <f aca="false">(AN25*Pricing!F$3+AO25*Pricing!G$3+AP25*Pricing!H$3+AQ25*Pricing!I$3+AR25*Pricing!J$3+AS25*Pricing!K$3+AT25*Pricing!L$3+AU25*Pricing!M$3+AV25*Pricing!N$3+AW25*Pricing!O$3)*IF(T$57="N",(1+V$57),1)</f>
        <v>0</v>
      </c>
      <c r="BG25" s="915" t="n">
        <f aca="false">IF(H$83=0,0,N$82/H$83*AZ25)</f>
        <v>0</v>
      </c>
      <c r="BH25" s="291" t="n">
        <f aca="false">AZ25*(G$83)</f>
        <v>0</v>
      </c>
      <c r="BI25" s="291" t="n">
        <f aca="false">Z25*D$86</f>
        <v>0</v>
      </c>
      <c r="BJ25" s="291" t="n">
        <f aca="false">T25/2000*D$87</f>
        <v>0</v>
      </c>
      <c r="BK25" s="291" t="e">
        <f aca="false">N$88/D$54*F25</f>
        <v>#DIV/0!</v>
      </c>
      <c r="BL25" s="916" t="e">
        <f aca="false">N$89/H$86*Z25</f>
        <v>#DIV/0!</v>
      </c>
      <c r="BM25" s="918" t="n">
        <f aca="false">IF(H$83=0,0,(SUM(N$92:O$95)+SUM(N$97:O$102)+SUM(N$104:O$109)+SUM(N$75:O$80)+W$109)/H$83*AZ25)</f>
        <v>0</v>
      </c>
      <c r="BN25" s="291" t="e">
        <f aca="false">N$110/H$83*Z25</f>
        <v>#DIV/0!</v>
      </c>
      <c r="BO25" s="918" t="e">
        <f aca="false">SUM(BE25:BN25)</f>
        <v>#DIV/0!</v>
      </c>
      <c r="BP25" s="910" t="n">
        <f aca="false">V25*D25</f>
        <v>0</v>
      </c>
    </row>
    <row r="26" customFormat="false" ht="19.5" hidden="false" customHeight="true" outlineLevel="0" collapsed="false">
      <c r="A26" s="507"/>
      <c r="B26" s="1312"/>
      <c r="C26" s="78"/>
      <c r="D26" s="2081"/>
      <c r="E26" s="528"/>
      <c r="F26" s="2082"/>
      <c r="G26" s="1234"/>
      <c r="H26" s="1235"/>
      <c r="I26" s="1236"/>
      <c r="J26" s="1235"/>
      <c r="K26" s="1236"/>
      <c r="L26" s="1235"/>
      <c r="M26" s="1236"/>
      <c r="N26" s="1235"/>
      <c r="O26" s="1236"/>
      <c r="P26" s="1235"/>
      <c r="Q26" s="1236"/>
      <c r="R26" s="1234"/>
      <c r="S26" s="1923"/>
      <c r="T26" s="1240" t="n">
        <f aca="false">IF(P26=0,0,(F26*I26*J26/16*J26/16*10.680159)+((F26*K26*L26/16*L26/16*10.680159)+(M26*N26/16*N26/16*10.680159*F26)+((O26/16*O26/16)*3.145*0.2836*((((G26*2)+(H26*2))*F26*12/P26))))*(1+J$72))*D26+D26*Q26/16*Q26/16*10.703064*S26*R26*(1+J$72)</f>
        <v>0</v>
      </c>
      <c r="U26" s="1926" t="n">
        <f aca="false">ROUNDUP((F26*G26/12*H26/324)*D26*(1+J$67),0)</f>
        <v>0</v>
      </c>
      <c r="V26" s="2083" t="n">
        <f aca="false">IF(D26=0,0,SUM(BE26:BM26)/D26*(1+L$58))</f>
        <v>0</v>
      </c>
      <c r="W26" s="601" t="n">
        <f aca="false">IF(D26=0,0,V26*D26)</f>
        <v>0</v>
      </c>
      <c r="X26" s="907" t="n">
        <f aca="false">(G26*2+H26*2)/12*F26*D26</f>
        <v>0</v>
      </c>
      <c r="Y26" s="908" t="n">
        <f aca="false">T26</f>
        <v>0</v>
      </c>
      <c r="Z26" s="908" t="n">
        <f aca="false">AZ26</f>
        <v>0</v>
      </c>
      <c r="AA26" s="909" t="n">
        <f aca="false">D26</f>
        <v>0</v>
      </c>
      <c r="AN26" s="0" t="n">
        <f aca="false">IF(E26=1,U26,0)</f>
        <v>0</v>
      </c>
      <c r="AO26" s="0" t="n">
        <f aca="false">IF($E26=2,U26,0)</f>
        <v>0</v>
      </c>
      <c r="AP26" s="0" t="n">
        <f aca="false">IF($E26=3,U26,0)</f>
        <v>0</v>
      </c>
      <c r="AQ26" s="0" t="n">
        <f aca="false">IF($E26=4,U26,0)</f>
        <v>0</v>
      </c>
      <c r="AR26" s="0" t="n">
        <f aca="false">IF($E26=5,U26,0)</f>
        <v>0</v>
      </c>
      <c r="AS26" s="0" t="n">
        <f aca="false">IF($E26=6,U26,0)</f>
        <v>0</v>
      </c>
      <c r="AT26" s="0" t="n">
        <f aca="false">IF($E26=7,$U26,0)</f>
        <v>0</v>
      </c>
      <c r="AU26" s="0" t="n">
        <f aca="false">IF($E26=8,$U26,0)</f>
        <v>0</v>
      </c>
      <c r="AV26" s="0" t="n">
        <f aca="false">IF($E26=9,$U26,0)</f>
        <v>0</v>
      </c>
      <c r="AW26" s="0" t="n">
        <f aca="false">IF($E26=10,$U26,0)</f>
        <v>0</v>
      </c>
      <c r="AX26" s="0" t="n">
        <f aca="false">SUM(AN26:AS26)</f>
        <v>0</v>
      </c>
      <c r="AY26" s="1242" t="n">
        <f aca="false">T26</f>
        <v>0</v>
      </c>
      <c r="AZ26" s="0" t="n">
        <f aca="false">F26*H26*G26/36*D26/2</f>
        <v>0</v>
      </c>
      <c r="BA26" s="0" t="n">
        <f aca="false">F26*H26*G26/36*D26</f>
        <v>0</v>
      </c>
      <c r="BE26" s="915" t="n">
        <f aca="false">T26*F$72*IF(T$57="N",(1+V$57),1)</f>
        <v>0</v>
      </c>
      <c r="BF26" s="291" t="n">
        <f aca="false">(AN26*Pricing!F$3+AO26*Pricing!G$3+AP26*Pricing!H$3+AQ26*Pricing!I$3+AR26*Pricing!J$3+AS26*Pricing!K$3+AT26*Pricing!L$3+AU26*Pricing!M$3+AV26*Pricing!N$3+AW26*Pricing!O$3)*IF(T$57="N",(1+V$57),1)</f>
        <v>0</v>
      </c>
      <c r="BG26" s="915" t="n">
        <f aca="false">IF(H$83=0,0,N$82/H$83*AZ26)</f>
        <v>0</v>
      </c>
      <c r="BH26" s="291" t="n">
        <f aca="false">AZ26*(G$83)</f>
        <v>0</v>
      </c>
      <c r="BI26" s="291" t="n">
        <f aca="false">Z26*D$86</f>
        <v>0</v>
      </c>
      <c r="BJ26" s="291" t="n">
        <f aca="false">T26/2000*D$87</f>
        <v>0</v>
      </c>
      <c r="BK26" s="291" t="e">
        <f aca="false">N$88/D$54*F26</f>
        <v>#DIV/0!</v>
      </c>
      <c r="BL26" s="916" t="e">
        <f aca="false">N$89/H$86*Z26</f>
        <v>#DIV/0!</v>
      </c>
      <c r="BM26" s="918" t="n">
        <f aca="false">IF(H$83=0,0,(SUM(N$92:O$95)+SUM(N$97:O$102)+SUM(N$104:O$109)+SUM(N$75:O$80)+W$109)/H$83*AZ26)</f>
        <v>0</v>
      </c>
      <c r="BN26" s="291" t="e">
        <f aca="false">N$110/H$83*Z26</f>
        <v>#DIV/0!</v>
      </c>
      <c r="BO26" s="918" t="e">
        <f aca="false">SUM(BE26:BN26)</f>
        <v>#DIV/0!</v>
      </c>
      <c r="BP26" s="910" t="n">
        <f aca="false">V26*D26</f>
        <v>0</v>
      </c>
    </row>
    <row r="27" customFormat="false" ht="19.5" hidden="false" customHeight="true" outlineLevel="0" collapsed="false">
      <c r="A27" s="507"/>
      <c r="B27" s="1312"/>
      <c r="C27" s="78"/>
      <c r="D27" s="2081"/>
      <c r="E27" s="528"/>
      <c r="F27" s="2082"/>
      <c r="G27" s="1234"/>
      <c r="H27" s="1235"/>
      <c r="I27" s="1236"/>
      <c r="J27" s="1235"/>
      <c r="K27" s="1236"/>
      <c r="L27" s="1235"/>
      <c r="M27" s="1236"/>
      <c r="N27" s="1235"/>
      <c r="O27" s="1236"/>
      <c r="P27" s="1235"/>
      <c r="Q27" s="1236"/>
      <c r="R27" s="1234"/>
      <c r="S27" s="1923"/>
      <c r="T27" s="1240" t="n">
        <f aca="false">IF(P27=0,0,(F27*I27*J27/16*J27/16*10.680159)+((F27*K27*L27/16*L27/16*10.680159)+(M27*N27/16*N27/16*10.680159*F27)+((O27/16*O27/16)*3.145*0.2836*((((G27*2)+(H27*2))*F27*12/P27))))*(1+J$72))*D27+D27*Q27/16*Q27/16*10.703064*S27*R27*(1+J$72)</f>
        <v>0</v>
      </c>
      <c r="U27" s="1926" t="n">
        <f aca="false">ROUNDUP((F27*G27/12*H27/324)*D27*(1+J$67),0)</f>
        <v>0</v>
      </c>
      <c r="V27" s="2083" t="n">
        <f aca="false">IF(D27=0,0,SUM(BE27:BM27)/D27*(1+L$58))</f>
        <v>0</v>
      </c>
      <c r="W27" s="601" t="n">
        <f aca="false">IF(D27=0,0,V27*D27)</f>
        <v>0</v>
      </c>
      <c r="X27" s="907" t="n">
        <f aca="false">(G27*2+H27*2)/12*F27*D27</f>
        <v>0</v>
      </c>
      <c r="Y27" s="908" t="n">
        <f aca="false">T27</f>
        <v>0</v>
      </c>
      <c r="Z27" s="908" t="n">
        <f aca="false">AZ27</f>
        <v>0</v>
      </c>
      <c r="AA27" s="909" t="n">
        <f aca="false">D27</f>
        <v>0</v>
      </c>
      <c r="AN27" s="0" t="n">
        <f aca="false">IF(E27=1,U27,0)</f>
        <v>0</v>
      </c>
      <c r="AO27" s="0" t="n">
        <f aca="false">IF($E27=2,U27,0)</f>
        <v>0</v>
      </c>
      <c r="AP27" s="0" t="n">
        <f aca="false">IF($E27=3,U27,0)</f>
        <v>0</v>
      </c>
      <c r="AQ27" s="0" t="n">
        <f aca="false">IF($E27=4,U27,0)</f>
        <v>0</v>
      </c>
      <c r="AR27" s="0" t="n">
        <f aca="false">IF($E27=5,U27,0)</f>
        <v>0</v>
      </c>
      <c r="AS27" s="0" t="n">
        <f aca="false">IF($E27=6,U27,0)</f>
        <v>0</v>
      </c>
      <c r="AT27" s="0" t="n">
        <f aca="false">IF($E27=7,$U27,0)</f>
        <v>0</v>
      </c>
      <c r="AU27" s="0" t="n">
        <f aca="false">IF($E27=8,$U27,0)</f>
        <v>0</v>
      </c>
      <c r="AV27" s="0" t="n">
        <f aca="false">IF($E27=9,$U27,0)</f>
        <v>0</v>
      </c>
      <c r="AW27" s="0" t="n">
        <f aca="false">IF($E27=10,$U27,0)</f>
        <v>0</v>
      </c>
      <c r="AX27" s="0" t="n">
        <f aca="false">SUM(AN27:AS27)</f>
        <v>0</v>
      </c>
      <c r="AY27" s="1242" t="n">
        <f aca="false">T27</f>
        <v>0</v>
      </c>
      <c r="AZ27" s="0" t="n">
        <f aca="false">F27*H27*G27/36*D27/2</f>
        <v>0</v>
      </c>
      <c r="BA27" s="0" t="n">
        <f aca="false">F27*H27*G27/36*D27</f>
        <v>0</v>
      </c>
      <c r="BE27" s="915" t="n">
        <f aca="false">T27*F$72*IF(T$57="N",(1+V$57),1)</f>
        <v>0</v>
      </c>
      <c r="BF27" s="291" t="n">
        <f aca="false">(AN27*Pricing!F$3+AO27*Pricing!G$3+AP27*Pricing!H$3+AQ27*Pricing!I$3+AR27*Pricing!J$3+AS27*Pricing!K$3+AT27*Pricing!L$3+AU27*Pricing!M$3+AV27*Pricing!N$3+AW27*Pricing!O$3)*IF(T$57="N",(1+V$57),1)</f>
        <v>0</v>
      </c>
      <c r="BG27" s="915" t="n">
        <f aca="false">IF(H$83=0,0,N$82/H$83*AZ27)</f>
        <v>0</v>
      </c>
      <c r="BH27" s="291" t="n">
        <f aca="false">AZ27*(G$83)</f>
        <v>0</v>
      </c>
      <c r="BI27" s="291" t="n">
        <f aca="false">Z27*D$86</f>
        <v>0</v>
      </c>
      <c r="BJ27" s="291" t="n">
        <f aca="false">T27/2000*D$87</f>
        <v>0</v>
      </c>
      <c r="BK27" s="291" t="e">
        <f aca="false">N$88/D$54*F27</f>
        <v>#DIV/0!</v>
      </c>
      <c r="BL27" s="916" t="e">
        <f aca="false">N$89/H$86*Z27</f>
        <v>#DIV/0!</v>
      </c>
      <c r="BM27" s="918" t="n">
        <f aca="false">IF(H$83=0,0,(SUM(N$92:O$95)+SUM(N$97:O$102)+SUM(N$104:O$109)+SUM(N$75:O$80)+W$109)/H$83*AZ27)</f>
        <v>0</v>
      </c>
      <c r="BN27" s="291" t="e">
        <f aca="false">N$110/H$83*Z27</f>
        <v>#DIV/0!</v>
      </c>
      <c r="BO27" s="918" t="e">
        <f aca="false">SUM(BE27:BN27)</f>
        <v>#DIV/0!</v>
      </c>
      <c r="BP27" s="910" t="n">
        <f aca="false">V27*D27</f>
        <v>0</v>
      </c>
    </row>
    <row r="28" customFormat="false" ht="19.5" hidden="false" customHeight="true" outlineLevel="0" collapsed="false">
      <c r="A28" s="507"/>
      <c r="B28" s="1312"/>
      <c r="C28" s="78"/>
      <c r="D28" s="2081"/>
      <c r="E28" s="528"/>
      <c r="F28" s="2082"/>
      <c r="G28" s="1234"/>
      <c r="H28" s="1235"/>
      <c r="I28" s="1236"/>
      <c r="J28" s="1235"/>
      <c r="K28" s="1236"/>
      <c r="L28" s="1235"/>
      <c r="M28" s="1236"/>
      <c r="N28" s="1235"/>
      <c r="O28" s="1236"/>
      <c r="P28" s="1235"/>
      <c r="Q28" s="1236"/>
      <c r="R28" s="1237"/>
      <c r="S28" s="1923"/>
      <c r="T28" s="1240" t="n">
        <f aca="false">IF(P28=0,0,(F28*I28*J28/16*J28/16*10.680159)+((F28*K28*L28/16*L28/16*10.680159)+(M28*N28/16*N28/16*10.680159*F28)+((O28/16*O28/16)*3.145*0.2836*((((G28*2)+(H28*2))*F28*12/P28))))*(1+J$72))*D28+D28*Q28/16*Q28/16*10.703064*S28*R28*(1+J$72)</f>
        <v>0</v>
      </c>
      <c r="U28" s="1926" t="n">
        <f aca="false">ROUNDUP((F28*G28/12*H28/324)*D28*(1+J$67),0)</f>
        <v>0</v>
      </c>
      <c r="V28" s="2083" t="n">
        <f aca="false">IF(D28=0,0,SUM(BE28:BM28)/D28*(1+L$58))</f>
        <v>0</v>
      </c>
      <c r="W28" s="601" t="n">
        <f aca="false">IF(D28=0,0,V28*D28)</f>
        <v>0</v>
      </c>
      <c r="X28" s="907" t="n">
        <f aca="false">(G28*2+H28*2)/12*F28*D28</f>
        <v>0</v>
      </c>
      <c r="Y28" s="908" t="n">
        <f aca="false">T28</f>
        <v>0</v>
      </c>
      <c r="Z28" s="908" t="n">
        <f aca="false">AZ28</f>
        <v>0</v>
      </c>
      <c r="AA28" s="909" t="n">
        <f aca="false">D28</f>
        <v>0</v>
      </c>
      <c r="AN28" s="0" t="n">
        <f aca="false">IF($E28=1,$U28,0)</f>
        <v>0</v>
      </c>
      <c r="AO28" s="0" t="n">
        <f aca="false">IF($E28=2,U28,0)</f>
        <v>0</v>
      </c>
      <c r="AP28" s="0" t="n">
        <f aca="false">IF($E28=3,U28,0)</f>
        <v>0</v>
      </c>
      <c r="AQ28" s="0" t="n">
        <f aca="false">IF($E28=4,U28,0)</f>
        <v>0</v>
      </c>
      <c r="AR28" s="0" t="n">
        <f aca="false">IF($E28=5,U28,0)</f>
        <v>0</v>
      </c>
      <c r="AS28" s="0" t="n">
        <f aca="false">IF($E28=6,U28,0)</f>
        <v>0</v>
      </c>
      <c r="AT28" s="0" t="n">
        <f aca="false">IF($E28=7,$U28,0)</f>
        <v>0</v>
      </c>
      <c r="AU28" s="0" t="n">
        <f aca="false">IF($E28=8,$U28,0)</f>
        <v>0</v>
      </c>
      <c r="AV28" s="0" t="n">
        <f aca="false">IF($E28=9,$U28,0)</f>
        <v>0</v>
      </c>
      <c r="AW28" s="0" t="n">
        <f aca="false">IF($E28=10,$U28,0)</f>
        <v>0</v>
      </c>
      <c r="AX28" s="0" t="n">
        <f aca="false">SUM(AN28:AS28)</f>
        <v>0</v>
      </c>
      <c r="AY28" s="1242" t="n">
        <f aca="false">T28</f>
        <v>0</v>
      </c>
      <c r="AZ28" s="0" t="n">
        <f aca="false">F28*H28*G28/36*D28/2</f>
        <v>0</v>
      </c>
      <c r="BA28" s="0" t="n">
        <f aca="false">F28*H28*G28/36*D28</f>
        <v>0</v>
      </c>
      <c r="BE28" s="915" t="n">
        <f aca="false">T28*F$72*IF(T$57="N",(1+V$57),1)</f>
        <v>0</v>
      </c>
      <c r="BF28" s="291" t="n">
        <f aca="false">(AN28*Pricing!F$3+AO28*Pricing!G$3+AP28*Pricing!H$3+AQ28*Pricing!I$3+AR28*Pricing!J$3+AS28*Pricing!K$3+AT28*Pricing!L$3+AU28*Pricing!M$3+AV28*Pricing!N$3+AW28*Pricing!O$3)*IF(T$57="N",(1+V$57),1)</f>
        <v>0</v>
      </c>
      <c r="BG28" s="915" t="n">
        <f aca="false">IF(H$83=0,0,N$82/H$83*AZ28)</f>
        <v>0</v>
      </c>
      <c r="BH28" s="291" t="n">
        <f aca="false">AZ28*(G$83)</f>
        <v>0</v>
      </c>
      <c r="BI28" s="291" t="n">
        <f aca="false">Z28*D$86</f>
        <v>0</v>
      </c>
      <c r="BJ28" s="291" t="n">
        <f aca="false">T28/2000*D$87</f>
        <v>0</v>
      </c>
      <c r="BK28" s="291" t="e">
        <f aca="false">N$88/D$54*F28</f>
        <v>#DIV/0!</v>
      </c>
      <c r="BL28" s="916" t="e">
        <f aca="false">N$89/H$86*Z28</f>
        <v>#DIV/0!</v>
      </c>
      <c r="BM28" s="918" t="n">
        <f aca="false">IF(H$83=0,0,(SUM(N$92:O$95)+SUM(N$97:O$102)+SUM(N$104:O$109)+SUM(N$75:O$80)+W$109)/H$83*AZ28)</f>
        <v>0</v>
      </c>
      <c r="BN28" s="291" t="e">
        <f aca="false">N$110/H$83*Z28</f>
        <v>#DIV/0!</v>
      </c>
      <c r="BO28" s="918" t="e">
        <f aca="false">SUM(BE28:BN28)</f>
        <v>#DIV/0!</v>
      </c>
      <c r="BP28" s="910" t="n">
        <f aca="false">V28*D28</f>
        <v>0</v>
      </c>
    </row>
    <row r="29" customFormat="false" ht="19.5" hidden="false" customHeight="true" outlineLevel="0" collapsed="false">
      <c r="A29" s="507"/>
      <c r="B29" s="1312"/>
      <c r="C29" s="78"/>
      <c r="D29" s="2081"/>
      <c r="E29" s="528"/>
      <c r="F29" s="2082"/>
      <c r="G29" s="1234"/>
      <c r="H29" s="1235"/>
      <c r="I29" s="1236"/>
      <c r="J29" s="1235"/>
      <c r="K29" s="1236"/>
      <c r="L29" s="1235"/>
      <c r="M29" s="1236"/>
      <c r="N29" s="1235"/>
      <c r="O29" s="1236"/>
      <c r="P29" s="1235"/>
      <c r="Q29" s="1236"/>
      <c r="R29" s="1237"/>
      <c r="S29" s="1923"/>
      <c r="T29" s="1240" t="n">
        <f aca="false">IF(P29=0,0,(F29*I29*J29/16*J29/16*10.680159)+((F29*K29*L29/16*L29/16*10.680159)+(M29*N29/16*N29/16*10.680159*F29)+((O29/16*O29/16)*3.145*0.2836*((((G29*2)+(H29*2))*F29*12/P29))))*(1+J$72))*D29+D29*Q29/16*Q29/16*10.703064*S29*R29*(1+J$72)</f>
        <v>0</v>
      </c>
      <c r="U29" s="1926" t="n">
        <f aca="false">ROUNDUP((F29*G29/12*H29/324)*D29*(1+J$67),0)</f>
        <v>0</v>
      </c>
      <c r="V29" s="2083" t="n">
        <f aca="false">IF(D29=0,0,SUM(BE29:BM29)/D29*(1+L$58))</f>
        <v>0</v>
      </c>
      <c r="W29" s="601" t="n">
        <f aca="false">IF(D29=0,0,V29*D29)</f>
        <v>0</v>
      </c>
      <c r="X29" s="907" t="n">
        <f aca="false">(G29*2+H29*2)/12*F29*D29</f>
        <v>0</v>
      </c>
      <c r="Y29" s="908" t="n">
        <f aca="false">T29</f>
        <v>0</v>
      </c>
      <c r="Z29" s="908" t="n">
        <f aca="false">AZ29</f>
        <v>0</v>
      </c>
      <c r="AA29" s="909" t="n">
        <f aca="false">D29</f>
        <v>0</v>
      </c>
      <c r="AN29" s="0" t="n">
        <f aca="false">IF(E29=1,U29,0)</f>
        <v>0</v>
      </c>
      <c r="AO29" s="0" t="n">
        <f aca="false">IF($E29=2,U29,0)</f>
        <v>0</v>
      </c>
      <c r="AP29" s="0" t="n">
        <f aca="false">IF($E29=3,U29,0)</f>
        <v>0</v>
      </c>
      <c r="AQ29" s="0" t="n">
        <f aca="false">IF($E29=4,U29,0)</f>
        <v>0</v>
      </c>
      <c r="AR29" s="0" t="n">
        <f aca="false">IF($E29=5,U29,0)</f>
        <v>0</v>
      </c>
      <c r="AS29" s="0" t="n">
        <f aca="false">IF($E29=6,U29,0)</f>
        <v>0</v>
      </c>
      <c r="AT29" s="0" t="n">
        <f aca="false">IF($E29=7,$U29,0)</f>
        <v>0</v>
      </c>
      <c r="AU29" s="0" t="n">
        <f aca="false">IF($E29=8,$U29,0)</f>
        <v>0</v>
      </c>
      <c r="AV29" s="0" t="n">
        <f aca="false">IF($E29=9,$U29,0)</f>
        <v>0</v>
      </c>
      <c r="AW29" s="0" t="n">
        <f aca="false">IF($E29=10,$U29,0)</f>
        <v>0</v>
      </c>
      <c r="AX29" s="0" t="n">
        <f aca="false">SUM(AN29:AS29)</f>
        <v>0</v>
      </c>
      <c r="AY29" s="1242" t="n">
        <f aca="false">T29</f>
        <v>0</v>
      </c>
      <c r="AZ29" s="0" t="n">
        <f aca="false">F29*H29*G29/36*D29/2</f>
        <v>0</v>
      </c>
      <c r="BA29" s="0" t="n">
        <f aca="false">F29*H29*G29/36*D29</f>
        <v>0</v>
      </c>
      <c r="BE29" s="915" t="n">
        <f aca="false">T29*F$72*IF(T$57="N",(1+V$57),1)</f>
        <v>0</v>
      </c>
      <c r="BF29" s="291" t="n">
        <f aca="false">(AN29*Pricing!F$3+AO29*Pricing!G$3+AP29*Pricing!H$3+AQ29*Pricing!I$3+AR29*Pricing!J$3+AS29*Pricing!K$3+AT29*Pricing!L$3+AU29*Pricing!M$3+AV29*Pricing!N$3+AW29*Pricing!O$3)*IF(T$57="N",(1+V$57),1)</f>
        <v>0</v>
      </c>
      <c r="BG29" s="915" t="n">
        <f aca="false">IF(H$83=0,0,N$82/H$83*AZ29)</f>
        <v>0</v>
      </c>
      <c r="BH29" s="291" t="n">
        <f aca="false">AZ29*(G$83)</f>
        <v>0</v>
      </c>
      <c r="BI29" s="291" t="n">
        <f aca="false">Z29*D$86</f>
        <v>0</v>
      </c>
      <c r="BJ29" s="291" t="n">
        <f aca="false">T29/2000*D$87</f>
        <v>0</v>
      </c>
      <c r="BK29" s="291" t="e">
        <f aca="false">N$88/D$54*F29</f>
        <v>#DIV/0!</v>
      </c>
      <c r="BL29" s="916" t="e">
        <f aca="false">N$89/H$86*Z29</f>
        <v>#DIV/0!</v>
      </c>
      <c r="BM29" s="918" t="n">
        <f aca="false">IF(H$83=0,0,(SUM(N$92:O$95)+SUM(N$97:O$102)+SUM(N$104:O$109)+SUM(N$75:O$80)+W$109)/H$83*AZ29)</f>
        <v>0</v>
      </c>
      <c r="BN29" s="291" t="e">
        <f aca="false">N$110/H$83*Z29</f>
        <v>#DIV/0!</v>
      </c>
      <c r="BO29" s="918" t="e">
        <f aca="false">SUM(BE29:BN29)</f>
        <v>#DIV/0!</v>
      </c>
      <c r="BP29" s="910" t="n">
        <f aca="false">V29*D29</f>
        <v>0</v>
      </c>
    </row>
    <row r="30" customFormat="false" ht="19.5" hidden="false" customHeight="true" outlineLevel="0" collapsed="false">
      <c r="A30" s="507"/>
      <c r="B30" s="1312"/>
      <c r="C30" s="78"/>
      <c r="D30" s="2081"/>
      <c r="E30" s="528"/>
      <c r="F30" s="2082"/>
      <c r="G30" s="1234"/>
      <c r="H30" s="1235"/>
      <c r="I30" s="1236"/>
      <c r="J30" s="1235"/>
      <c r="K30" s="1236"/>
      <c r="L30" s="1235"/>
      <c r="M30" s="1236"/>
      <c r="N30" s="1235"/>
      <c r="O30" s="1236"/>
      <c r="P30" s="1235"/>
      <c r="Q30" s="1236"/>
      <c r="R30" s="1237"/>
      <c r="S30" s="1923"/>
      <c r="T30" s="1240" t="n">
        <f aca="false">IF(P30=0,0,(F30*I30*J30/16*J30/16*10.680159)+((F30*K30*L30/16*L30/16*10.680159)+(M30*N30/16*N30/16*10.680159*F30)+((O30/16*O30/16)*3.145*0.2836*((((G30*2)+(H30*2))*F30*12/P30))))*(1+J$72))*D30+D30*Q30/16*Q30/16*10.703064*S30*R30*(1+J$72)</f>
        <v>0</v>
      </c>
      <c r="U30" s="1926" t="n">
        <f aca="false">ROUNDUP((F30*G30/12*H30/324)*D30*(1+J$67),0)</f>
        <v>0</v>
      </c>
      <c r="V30" s="2083" t="n">
        <f aca="false">IF(D30=0,0,SUM(BE30:BM30)/D30*(1+L$58))</f>
        <v>0</v>
      </c>
      <c r="W30" s="601" t="n">
        <f aca="false">IF(D30=0,0,V30*D30)</f>
        <v>0</v>
      </c>
      <c r="X30" s="907" t="n">
        <f aca="false">(G30*2+H30*2)/12*F30*D30</f>
        <v>0</v>
      </c>
      <c r="Y30" s="908" t="n">
        <f aca="false">T30</f>
        <v>0</v>
      </c>
      <c r="Z30" s="908" t="n">
        <f aca="false">AZ30</f>
        <v>0</v>
      </c>
      <c r="AA30" s="909" t="n">
        <f aca="false">D30</f>
        <v>0</v>
      </c>
      <c r="AN30" s="0" t="n">
        <f aca="false">IF(E30=1,U30,0)</f>
        <v>0</v>
      </c>
      <c r="AO30" s="0" t="n">
        <f aca="false">IF($E30=2,U30,0)</f>
        <v>0</v>
      </c>
      <c r="AP30" s="0" t="n">
        <f aca="false">IF($E30=3,U30,0)</f>
        <v>0</v>
      </c>
      <c r="AQ30" s="0" t="n">
        <f aca="false">IF($E30=4,U30,0)</f>
        <v>0</v>
      </c>
      <c r="AR30" s="0" t="n">
        <f aca="false">IF($E30=5,U30,0)</f>
        <v>0</v>
      </c>
      <c r="AS30" s="0" t="n">
        <f aca="false">IF($E30=6,U30,0)</f>
        <v>0</v>
      </c>
      <c r="AT30" s="0" t="n">
        <f aca="false">IF($E30=7,$U30,0)</f>
        <v>0</v>
      </c>
      <c r="AU30" s="0" t="n">
        <f aca="false">IF($E30=8,$U30,0)</f>
        <v>0</v>
      </c>
      <c r="AV30" s="0" t="n">
        <f aca="false">IF($E30=9,$U30,0)</f>
        <v>0</v>
      </c>
      <c r="AW30" s="0" t="n">
        <f aca="false">IF($E30=10,$U30,0)</f>
        <v>0</v>
      </c>
      <c r="AX30" s="0" t="n">
        <f aca="false">SUM(AN30:AS30)</f>
        <v>0</v>
      </c>
      <c r="AY30" s="1242" t="n">
        <f aca="false">T30</f>
        <v>0</v>
      </c>
      <c r="AZ30" s="0" t="n">
        <f aca="false">F30*H30*G30/36*D30/2</f>
        <v>0</v>
      </c>
      <c r="BA30" s="0" t="n">
        <f aca="false">F30*H30*G30/36*D30</f>
        <v>0</v>
      </c>
      <c r="BE30" s="915" t="n">
        <f aca="false">T30*F$72*IF(T$57="N",(1+V$57),1)</f>
        <v>0</v>
      </c>
      <c r="BF30" s="291" t="n">
        <f aca="false">(AN30*Pricing!F$3+AO30*Pricing!G$3+AP30*Pricing!H$3+AQ30*Pricing!I$3+AR30*Pricing!J$3+AS30*Pricing!K$3+AT30*Pricing!L$3+AU30*Pricing!M$3+AV30*Pricing!N$3+AW30*Pricing!O$3)*IF(T$57="N",(1+V$57),1)</f>
        <v>0</v>
      </c>
      <c r="BG30" s="915" t="n">
        <f aca="false">IF(H$83=0,0,N$82/H$83*AZ30)</f>
        <v>0</v>
      </c>
      <c r="BH30" s="291" t="n">
        <f aca="false">AZ30*(G$83)</f>
        <v>0</v>
      </c>
      <c r="BI30" s="291" t="n">
        <f aca="false">Z30*D$86</f>
        <v>0</v>
      </c>
      <c r="BJ30" s="291" t="n">
        <f aca="false">T30/2000*D$87</f>
        <v>0</v>
      </c>
      <c r="BK30" s="291" t="e">
        <f aca="false">N$88/D$54*F30</f>
        <v>#DIV/0!</v>
      </c>
      <c r="BL30" s="916" t="e">
        <f aca="false">N$89/H$86*Z30</f>
        <v>#DIV/0!</v>
      </c>
      <c r="BM30" s="918" t="n">
        <f aca="false">IF(H$83=0,0,(SUM(N$92:O$95)+SUM(N$97:O$102)+SUM(N$104:O$109)+SUM(N$75:O$80)+W$109)/H$83*AZ30)</f>
        <v>0</v>
      </c>
      <c r="BN30" s="291" t="e">
        <f aca="false">N$110/H$83*Z30</f>
        <v>#DIV/0!</v>
      </c>
      <c r="BO30" s="918" t="e">
        <f aca="false">SUM(BE30:BN30)</f>
        <v>#DIV/0!</v>
      </c>
      <c r="BP30" s="910" t="n">
        <f aca="false">V30*D30</f>
        <v>0</v>
      </c>
    </row>
    <row r="31" customFormat="false" ht="19.5" hidden="false" customHeight="true" outlineLevel="0" collapsed="false">
      <c r="A31" s="507"/>
      <c r="B31" s="1312"/>
      <c r="C31" s="78"/>
      <c r="D31" s="2081"/>
      <c r="E31" s="528"/>
      <c r="F31" s="2082"/>
      <c r="G31" s="1234"/>
      <c r="H31" s="1235"/>
      <c r="I31" s="1236"/>
      <c r="J31" s="1235"/>
      <c r="K31" s="1236"/>
      <c r="L31" s="1235"/>
      <c r="M31" s="1236"/>
      <c r="N31" s="1235"/>
      <c r="O31" s="1236"/>
      <c r="P31" s="1235"/>
      <c r="Q31" s="1236"/>
      <c r="R31" s="1237"/>
      <c r="S31" s="1923"/>
      <c r="T31" s="1240" t="n">
        <f aca="false">IF(P31=0,0,(F31*I31*J31/16*J31/16*10.680159)+((F31*K31*L31/16*L31/16*10.680159)+(M31*N31/16*N31/16*10.680159*F31)+((O31/16*O31/16)*3.145*0.2836*((((G31*2)+(H31*2))*F31*12/P31))))*(1+J$72))*D31+D31*Q31/16*Q31/16*10.703064*S31*R31*(1+J$72)</f>
        <v>0</v>
      </c>
      <c r="U31" s="1926" t="n">
        <f aca="false">ROUNDUP((F31*G31/12*H31/324)*D31*(1+J$67),0)</f>
        <v>0</v>
      </c>
      <c r="V31" s="2083" t="n">
        <f aca="false">IF(D31=0,0,SUM(BE31:BM31)/D31*(1+L$58))</f>
        <v>0</v>
      </c>
      <c r="W31" s="601" t="n">
        <f aca="false">IF(D31=0,0,V31*D31)</f>
        <v>0</v>
      </c>
      <c r="X31" s="907" t="n">
        <f aca="false">(G31*2+H31*2)/12*F31*D31</f>
        <v>0</v>
      </c>
      <c r="Y31" s="908" t="n">
        <f aca="false">T31</f>
        <v>0</v>
      </c>
      <c r="Z31" s="908" t="n">
        <f aca="false">AZ31</f>
        <v>0</v>
      </c>
      <c r="AA31" s="909" t="n">
        <f aca="false">D31</f>
        <v>0</v>
      </c>
      <c r="AN31" s="0" t="n">
        <f aca="false">IF(E31=1,U31,0)</f>
        <v>0</v>
      </c>
      <c r="AO31" s="0" t="n">
        <f aca="false">IF($E31=2,U31,0)</f>
        <v>0</v>
      </c>
      <c r="AP31" s="0" t="n">
        <f aca="false">IF($E31=3,U31,0)</f>
        <v>0</v>
      </c>
      <c r="AQ31" s="0" t="n">
        <f aca="false">IF($E31=4,U31,0)</f>
        <v>0</v>
      </c>
      <c r="AR31" s="0" t="n">
        <f aca="false">IF($E31=5,U31,0)</f>
        <v>0</v>
      </c>
      <c r="AS31" s="0" t="n">
        <f aca="false">IF($E31=6,U31,0)</f>
        <v>0</v>
      </c>
      <c r="AT31" s="0" t="n">
        <f aca="false">IF($E31=7,$U31,0)</f>
        <v>0</v>
      </c>
      <c r="AU31" s="0" t="n">
        <f aca="false">IF($E31=8,$U31,0)</f>
        <v>0</v>
      </c>
      <c r="AV31" s="0" t="n">
        <f aca="false">IF($E31=9,$U31,0)</f>
        <v>0</v>
      </c>
      <c r="AW31" s="0" t="n">
        <f aca="false">IF($E31=10,$U31,0)</f>
        <v>0</v>
      </c>
      <c r="AX31" s="0" t="n">
        <f aca="false">SUM(AN31:AS31)</f>
        <v>0</v>
      </c>
      <c r="AY31" s="1242" t="n">
        <f aca="false">T31</f>
        <v>0</v>
      </c>
      <c r="AZ31" s="0" t="n">
        <f aca="false">F31*H31*G31/36*D31/2</f>
        <v>0</v>
      </c>
      <c r="BA31" s="0" t="n">
        <f aca="false">F31*H31*G31/36*D31</f>
        <v>0</v>
      </c>
      <c r="BE31" s="915" t="n">
        <f aca="false">T31*F$72*IF(T$57="N",(1+V$57),1)</f>
        <v>0</v>
      </c>
      <c r="BF31" s="291" t="n">
        <f aca="false">(AN31*Pricing!F$3+AO31*Pricing!G$3+AP31*Pricing!H$3+AQ31*Pricing!I$3+AR31*Pricing!J$3+AS31*Pricing!K$3+AT31*Pricing!L$3+AU31*Pricing!M$3+AV31*Pricing!N$3+AW31*Pricing!O$3)*IF(T$57="N",(1+V$57),1)</f>
        <v>0</v>
      </c>
      <c r="BG31" s="915" t="n">
        <f aca="false">IF(H$83=0,0,N$82/H$83*AZ31)</f>
        <v>0</v>
      </c>
      <c r="BH31" s="291" t="n">
        <f aca="false">AZ31*(G$83)</f>
        <v>0</v>
      </c>
      <c r="BI31" s="291" t="n">
        <f aca="false">Z31*D$86</f>
        <v>0</v>
      </c>
      <c r="BJ31" s="291" t="n">
        <f aca="false">T31/2000*D$87</f>
        <v>0</v>
      </c>
      <c r="BK31" s="291" t="e">
        <f aca="false">N$88/D$54*F31</f>
        <v>#DIV/0!</v>
      </c>
      <c r="BL31" s="916" t="e">
        <f aca="false">N$89/H$86*Z31</f>
        <v>#DIV/0!</v>
      </c>
      <c r="BM31" s="918" t="n">
        <f aca="false">IF(H$83=0,0,(SUM(N$92:O$95)+SUM(N$97:O$102)+SUM(N$104:O$109)+SUM(N$75:O$80)+W$109)/H$83*AZ31)</f>
        <v>0</v>
      </c>
      <c r="BN31" s="291" t="e">
        <f aca="false">N$110/H$83*Z31</f>
        <v>#DIV/0!</v>
      </c>
      <c r="BO31" s="918" t="e">
        <f aca="false">SUM(BE31:BN31)</f>
        <v>#DIV/0!</v>
      </c>
      <c r="BP31" s="910" t="n">
        <f aca="false">V31*D31</f>
        <v>0</v>
      </c>
    </row>
    <row r="32" customFormat="false" ht="19.5" hidden="false" customHeight="true" outlineLevel="0" collapsed="false">
      <c r="A32" s="507"/>
      <c r="B32" s="1312"/>
      <c r="C32" s="78"/>
      <c r="D32" s="2081"/>
      <c r="E32" s="528"/>
      <c r="F32" s="2082"/>
      <c r="G32" s="1234"/>
      <c r="H32" s="1235"/>
      <c r="I32" s="1236"/>
      <c r="J32" s="1235"/>
      <c r="K32" s="1236"/>
      <c r="L32" s="1235"/>
      <c r="M32" s="1236"/>
      <c r="N32" s="1235"/>
      <c r="O32" s="1236"/>
      <c r="P32" s="1235"/>
      <c r="Q32" s="1236"/>
      <c r="R32" s="1237"/>
      <c r="S32" s="1923"/>
      <c r="T32" s="1240" t="n">
        <f aca="false">IF(P32=0,0,(F32*I32*J32/16*J32/16*10.680159)+((F32*K32*L32/16*L32/16*10.680159)+(M32*N32/16*N32/16*10.680159*F32)+((O32/16*O32/16)*3.145*0.2836*((((G32*2)+(H32*2))*F32*12/P32))))*(1+J$72))*D32+D32*Q32/16*Q32/16*10.703064*S32*R32*(1+J$72)</f>
        <v>0</v>
      </c>
      <c r="U32" s="1926" t="n">
        <f aca="false">ROUNDUP((F32*G32/12*H32/324)*D32*(1+J$67),0)</f>
        <v>0</v>
      </c>
      <c r="V32" s="2083" t="n">
        <f aca="false">IF(D32=0,0,SUM(BE32:BM32)/D32*(1+L$58))</f>
        <v>0</v>
      </c>
      <c r="W32" s="601" t="n">
        <f aca="false">IF(D32=0,0,V32*D32)</f>
        <v>0</v>
      </c>
      <c r="X32" s="907" t="n">
        <f aca="false">(G32*2+H32*2)/12*F32*D32</f>
        <v>0</v>
      </c>
      <c r="Y32" s="908" t="n">
        <f aca="false">T32</f>
        <v>0</v>
      </c>
      <c r="Z32" s="908" t="n">
        <f aca="false">AZ32</f>
        <v>0</v>
      </c>
      <c r="AA32" s="909" t="n">
        <f aca="false">D32</f>
        <v>0</v>
      </c>
      <c r="AN32" s="0" t="n">
        <f aca="false">IF(E32=1,U32,0)</f>
        <v>0</v>
      </c>
      <c r="AO32" s="0" t="n">
        <f aca="false">IF($E32=2,U32,0)</f>
        <v>0</v>
      </c>
      <c r="AP32" s="0" t="n">
        <f aca="false">IF($E32=3,U32,0)</f>
        <v>0</v>
      </c>
      <c r="AQ32" s="0" t="n">
        <f aca="false">IF($E32=4,U32,0)</f>
        <v>0</v>
      </c>
      <c r="AR32" s="0" t="n">
        <f aca="false">IF($E32=5,U32,0)</f>
        <v>0</v>
      </c>
      <c r="AS32" s="0" t="n">
        <f aca="false">IF($E32=6,U32,0)</f>
        <v>0</v>
      </c>
      <c r="AT32" s="0" t="n">
        <f aca="false">IF($E32=7,$U32,0)</f>
        <v>0</v>
      </c>
      <c r="AU32" s="0" t="n">
        <f aca="false">IF($E32=8,$U32,0)</f>
        <v>0</v>
      </c>
      <c r="AV32" s="0" t="n">
        <f aca="false">IF($E32=9,$U32,0)</f>
        <v>0</v>
      </c>
      <c r="AW32" s="0" t="n">
        <f aca="false">IF($E32=10,$U32,0)</f>
        <v>0</v>
      </c>
      <c r="AX32" s="0" t="n">
        <f aca="false">SUM(AN32:AS32)</f>
        <v>0</v>
      </c>
      <c r="AY32" s="1242" t="n">
        <f aca="false">T32</f>
        <v>0</v>
      </c>
      <c r="AZ32" s="0" t="n">
        <f aca="false">F32*H32*G32/36*D32/2</f>
        <v>0</v>
      </c>
      <c r="BA32" s="0" t="n">
        <f aca="false">F32*H32*G32/36*D32</f>
        <v>0</v>
      </c>
      <c r="BE32" s="915" t="n">
        <f aca="false">T32*F$72*IF(T$57="N",(1+V$57),1)</f>
        <v>0</v>
      </c>
      <c r="BF32" s="291" t="n">
        <f aca="false">(AN32*Pricing!F$3+AO32*Pricing!G$3+AP32*Pricing!H$3+AQ32*Pricing!I$3+AR32*Pricing!J$3+AS32*Pricing!K$3+AT32*Pricing!L$3+AU32*Pricing!M$3+AV32*Pricing!N$3+AW32*Pricing!O$3)*IF(T$57="N",(1+V$57),1)</f>
        <v>0</v>
      </c>
      <c r="BG32" s="915" t="n">
        <f aca="false">IF(H$83=0,0,N$82/H$83*AZ32)</f>
        <v>0</v>
      </c>
      <c r="BH32" s="291" t="n">
        <f aca="false">AZ32*(G$83)</f>
        <v>0</v>
      </c>
      <c r="BI32" s="291" t="n">
        <f aca="false">Z32*D$86</f>
        <v>0</v>
      </c>
      <c r="BJ32" s="291" t="n">
        <f aca="false">T32/2000*D$87</f>
        <v>0</v>
      </c>
      <c r="BK32" s="291" t="e">
        <f aca="false">N$88/D$54*F32</f>
        <v>#DIV/0!</v>
      </c>
      <c r="BL32" s="916" t="e">
        <f aca="false">N$89/H$86*Z32</f>
        <v>#DIV/0!</v>
      </c>
      <c r="BM32" s="918" t="n">
        <f aca="false">IF(H$83=0,0,(SUM(N$92:O$95)+SUM(N$97:O$102)+SUM(N$104:O$109)+SUM(N$75:O$80)+W$109)/H$83*AZ32)</f>
        <v>0</v>
      </c>
      <c r="BN32" s="291" t="e">
        <f aca="false">N$110/H$83*Z32</f>
        <v>#DIV/0!</v>
      </c>
      <c r="BO32" s="918" t="e">
        <f aca="false">SUM(BE32:BN32)</f>
        <v>#DIV/0!</v>
      </c>
      <c r="BP32" s="910" t="n">
        <f aca="false">V32*D32</f>
        <v>0</v>
      </c>
    </row>
    <row r="33" customFormat="false" ht="19.5" hidden="false" customHeight="true" outlineLevel="0" collapsed="false">
      <c r="A33" s="507"/>
      <c r="B33" s="1312"/>
      <c r="C33" s="78"/>
      <c r="D33" s="2081"/>
      <c r="E33" s="528"/>
      <c r="F33" s="2082"/>
      <c r="G33" s="1234"/>
      <c r="H33" s="1235"/>
      <c r="I33" s="1236"/>
      <c r="J33" s="1235"/>
      <c r="K33" s="1236"/>
      <c r="L33" s="1235"/>
      <c r="M33" s="1236"/>
      <c r="N33" s="1235"/>
      <c r="O33" s="1236"/>
      <c r="P33" s="1235"/>
      <c r="Q33" s="1236"/>
      <c r="R33" s="1237"/>
      <c r="S33" s="1923"/>
      <c r="T33" s="1240" t="n">
        <f aca="false">IF(P33=0,0,(F33*I33*J33/16*J33/16*10.680159)+((F33*K33*L33/16*L33/16*10.680159)+(M33*N33/16*N33/16*10.680159*F33)+((O33/16*O33/16)*3.145*0.2836*((((G33*2)+(H33*2))*F33*12/P33))))*(1+J$72))*D33+D33*Q33/16*Q33/16*10.703064*S33*R33*(1+J$72)</f>
        <v>0</v>
      </c>
      <c r="U33" s="1926" t="n">
        <f aca="false">ROUNDUP((F33*G33/12*H33/324)*D33*(1+J$67),0)</f>
        <v>0</v>
      </c>
      <c r="V33" s="2083" t="n">
        <f aca="false">IF(D33=0,0,SUM(BE33:BM33)/D33*(1+L$58))</f>
        <v>0</v>
      </c>
      <c r="W33" s="601" t="n">
        <f aca="false">IF(D33=0,0,V33*D33)</f>
        <v>0</v>
      </c>
      <c r="X33" s="907" t="n">
        <f aca="false">(G33*2+H33*2)/12*F33*D33</f>
        <v>0</v>
      </c>
      <c r="Y33" s="908" t="n">
        <f aca="false">T33</f>
        <v>0</v>
      </c>
      <c r="Z33" s="908" t="n">
        <f aca="false">AZ33</f>
        <v>0</v>
      </c>
      <c r="AA33" s="909" t="n">
        <f aca="false">D33</f>
        <v>0</v>
      </c>
      <c r="AN33" s="0" t="n">
        <f aca="false">IF(E33=1,U33,0)</f>
        <v>0</v>
      </c>
      <c r="AO33" s="0" t="n">
        <f aca="false">IF($E33=2,U33,0)</f>
        <v>0</v>
      </c>
      <c r="AP33" s="0" t="n">
        <f aca="false">IF($E33=3,U33,0)</f>
        <v>0</v>
      </c>
      <c r="AQ33" s="0" t="n">
        <f aca="false">IF($E33=4,U33,0)</f>
        <v>0</v>
      </c>
      <c r="AR33" s="0" t="n">
        <f aca="false">IF($E33=5,U33,0)</f>
        <v>0</v>
      </c>
      <c r="AS33" s="0" t="n">
        <f aca="false">IF($E33=6,U33,0)</f>
        <v>0</v>
      </c>
      <c r="AT33" s="0" t="n">
        <f aca="false">IF($E33=7,$U33,0)</f>
        <v>0</v>
      </c>
      <c r="AU33" s="0" t="n">
        <f aca="false">IF($E33=8,$U33,0)</f>
        <v>0</v>
      </c>
      <c r="AV33" s="0" t="n">
        <f aca="false">IF($E33=9,$U33,0)</f>
        <v>0</v>
      </c>
      <c r="AW33" s="0" t="n">
        <f aca="false">IF($E33=10,$U33,0)</f>
        <v>0</v>
      </c>
      <c r="AX33" s="0" t="n">
        <f aca="false">SUM(AN33:AS33)</f>
        <v>0</v>
      </c>
      <c r="AY33" s="1242" t="n">
        <f aca="false">T33</f>
        <v>0</v>
      </c>
      <c r="AZ33" s="0" t="n">
        <f aca="false">F33*H33*G33/36*D33/2</f>
        <v>0</v>
      </c>
      <c r="BA33" s="0" t="n">
        <f aca="false">F33*H33*G33/36*D33</f>
        <v>0</v>
      </c>
      <c r="BE33" s="915" t="n">
        <f aca="false">T33*F$72*IF(T$57="N",(1+V$57),1)</f>
        <v>0</v>
      </c>
      <c r="BF33" s="291" t="n">
        <f aca="false">(AN33*Pricing!F$3+AO33*Pricing!G$3+AP33*Pricing!H$3+AQ33*Pricing!I$3+AR33*Pricing!J$3+AS33*Pricing!K$3+AT33*Pricing!L$3+AU33*Pricing!M$3+AV33*Pricing!N$3+AW33*Pricing!O$3)*IF(T$57="N",(1+V$57),1)</f>
        <v>0</v>
      </c>
      <c r="BG33" s="915" t="n">
        <f aca="false">IF(H$83=0,0,N$82/H$83*AZ33)</f>
        <v>0</v>
      </c>
      <c r="BH33" s="291" t="n">
        <f aca="false">AZ33*(G$83)</f>
        <v>0</v>
      </c>
      <c r="BI33" s="291" t="n">
        <f aca="false">Z33*D$86</f>
        <v>0</v>
      </c>
      <c r="BJ33" s="291" t="n">
        <f aca="false">T33/2000*D$87</f>
        <v>0</v>
      </c>
      <c r="BK33" s="291" t="e">
        <f aca="false">N$88/D$54*F33</f>
        <v>#DIV/0!</v>
      </c>
      <c r="BL33" s="916" t="e">
        <f aca="false">N$89/H$86*Z33</f>
        <v>#DIV/0!</v>
      </c>
      <c r="BM33" s="918" t="n">
        <f aca="false">IF(H$83=0,0,(SUM(N$92:O$95)+SUM(N$97:O$102)+SUM(N$104:O$109)+SUM(N$75:O$80)+W$109)/H$83*AZ33)</f>
        <v>0</v>
      </c>
      <c r="BN33" s="291" t="e">
        <f aca="false">N$110/H$83*Z33</f>
        <v>#DIV/0!</v>
      </c>
      <c r="BO33" s="918" t="e">
        <f aca="false">SUM(BE33:BN33)</f>
        <v>#DIV/0!</v>
      </c>
      <c r="BP33" s="910" t="n">
        <f aca="false">V33*D33</f>
        <v>0</v>
      </c>
    </row>
    <row r="34" customFormat="false" ht="19.5" hidden="false" customHeight="true" outlineLevel="0" collapsed="false">
      <c r="A34" s="507"/>
      <c r="B34" s="1312"/>
      <c r="C34" s="78"/>
      <c r="D34" s="2081"/>
      <c r="E34" s="528"/>
      <c r="F34" s="2082"/>
      <c r="G34" s="1234"/>
      <c r="H34" s="1235"/>
      <c r="I34" s="1236"/>
      <c r="J34" s="1235"/>
      <c r="K34" s="1236"/>
      <c r="L34" s="1235"/>
      <c r="M34" s="1236"/>
      <c r="N34" s="1235"/>
      <c r="O34" s="1236"/>
      <c r="P34" s="1235"/>
      <c r="Q34" s="1236"/>
      <c r="R34" s="1237"/>
      <c r="S34" s="1923"/>
      <c r="T34" s="1240" t="n">
        <f aca="false">IF(P34=0,0,(F34*I34*J34/16*J34/16*10.680159)+((F34*K34*L34/16*L34/16*10.680159)+(M34*N34/16*N34/16*10.680159*F34)+((O34/16*O34/16)*3.145*0.2836*((((G34*2)+(H34*2))*F34*12/P34))))*(1+J$72))*D34+D34*Q34/16*Q34/16*10.703064*S34*R34*(1+J$72)</f>
        <v>0</v>
      </c>
      <c r="U34" s="1926" t="n">
        <f aca="false">ROUNDUP((F34*G34/12*H34/324)*D34*(1+J$67),0)</f>
        <v>0</v>
      </c>
      <c r="V34" s="2083" t="n">
        <f aca="false">IF(D34=0,0,SUM(BE34:BM34)/D34*(1+L$58))</f>
        <v>0</v>
      </c>
      <c r="W34" s="601" t="n">
        <f aca="false">IF(D34=0,0,V34*D34)</f>
        <v>0</v>
      </c>
      <c r="X34" s="907" t="n">
        <f aca="false">(G34*2+H34*2)/12*F34*D34</f>
        <v>0</v>
      </c>
      <c r="Y34" s="908" t="n">
        <f aca="false">T34</f>
        <v>0</v>
      </c>
      <c r="Z34" s="908" t="n">
        <f aca="false">AZ34</f>
        <v>0</v>
      </c>
      <c r="AA34" s="909" t="n">
        <f aca="false">D34</f>
        <v>0</v>
      </c>
      <c r="AN34" s="0" t="n">
        <f aca="false">IF(E34=1,U34,0)</f>
        <v>0</v>
      </c>
      <c r="AO34" s="0" t="n">
        <f aca="false">IF($E34=2,U34,0)</f>
        <v>0</v>
      </c>
      <c r="AP34" s="0" t="n">
        <f aca="false">IF($E34=3,U34,0)</f>
        <v>0</v>
      </c>
      <c r="AQ34" s="0" t="n">
        <f aca="false">IF($E34=4,U34,0)</f>
        <v>0</v>
      </c>
      <c r="AR34" s="0" t="n">
        <f aca="false">IF($E34=5,U34,0)</f>
        <v>0</v>
      </c>
      <c r="AS34" s="0" t="n">
        <f aca="false">IF($E34=6,U34,0)</f>
        <v>0</v>
      </c>
      <c r="AT34" s="0" t="n">
        <f aca="false">IF($E34=7,$U34,0)</f>
        <v>0</v>
      </c>
      <c r="AU34" s="0" t="n">
        <f aca="false">IF($E34=8,$U34,0)</f>
        <v>0</v>
      </c>
      <c r="AV34" s="0" t="n">
        <f aca="false">IF($E34=9,$U34,0)</f>
        <v>0</v>
      </c>
      <c r="AW34" s="0" t="n">
        <f aca="false">IF($E34=10,$U34,0)</f>
        <v>0</v>
      </c>
      <c r="AX34" s="0" t="n">
        <f aca="false">SUM(AN34:AS34)</f>
        <v>0</v>
      </c>
      <c r="AY34" s="1242" t="n">
        <f aca="false">T34</f>
        <v>0</v>
      </c>
      <c r="AZ34" s="0" t="n">
        <f aca="false">F34*H34*G34/36*D34/2</f>
        <v>0</v>
      </c>
      <c r="BA34" s="0" t="n">
        <f aca="false">F34*H34*G34/36*D34</f>
        <v>0</v>
      </c>
      <c r="BE34" s="915" t="n">
        <f aca="false">T34*F$72*IF(T$57="N",(1+V$57),1)</f>
        <v>0</v>
      </c>
      <c r="BF34" s="291" t="n">
        <f aca="false">(AN34*Pricing!F$3+AO34*Pricing!G$3+AP34*Pricing!H$3+AQ34*Pricing!I$3+AR34*Pricing!J$3+AS34*Pricing!K$3+AT34*Pricing!L$3+AU34*Pricing!M$3+AV34*Pricing!N$3+AW34*Pricing!O$3)*IF(T$57="N",(1+V$57),1)</f>
        <v>0</v>
      </c>
      <c r="BG34" s="915" t="n">
        <f aca="false">IF(H$83=0,0,N$82/H$83*AZ34)</f>
        <v>0</v>
      </c>
      <c r="BH34" s="291" t="n">
        <f aca="false">AZ34*(G$83)</f>
        <v>0</v>
      </c>
      <c r="BI34" s="291" t="n">
        <f aca="false">Z34*D$86</f>
        <v>0</v>
      </c>
      <c r="BJ34" s="291" t="n">
        <f aca="false">T34/2000*D$87</f>
        <v>0</v>
      </c>
      <c r="BK34" s="291" t="e">
        <f aca="false">N$88/D$54*F34</f>
        <v>#DIV/0!</v>
      </c>
      <c r="BL34" s="916" t="e">
        <f aca="false">N$89/H$86*Z34</f>
        <v>#DIV/0!</v>
      </c>
      <c r="BM34" s="918" t="n">
        <f aca="false">IF(H$83=0,0,(SUM(N$92:O$95)+SUM(N$97:O$102)+SUM(N$104:O$109)+SUM(N$75:O$80)+W$109)/H$83*AZ34)</f>
        <v>0</v>
      </c>
      <c r="BN34" s="291" t="e">
        <f aca="false">N$110/H$83*Z34</f>
        <v>#DIV/0!</v>
      </c>
      <c r="BO34" s="918" t="e">
        <f aca="false">SUM(BE34:BN34)</f>
        <v>#DIV/0!</v>
      </c>
      <c r="BP34" s="910" t="n">
        <f aca="false">V34*D34</f>
        <v>0</v>
      </c>
    </row>
    <row r="35" customFormat="false" ht="19.5" hidden="false" customHeight="true" outlineLevel="0" collapsed="false">
      <c r="A35" s="507"/>
      <c r="B35" s="1312"/>
      <c r="C35" s="78"/>
      <c r="D35" s="2081"/>
      <c r="E35" s="528"/>
      <c r="F35" s="2082"/>
      <c r="G35" s="1234"/>
      <c r="H35" s="1235"/>
      <c r="I35" s="1236"/>
      <c r="J35" s="1235"/>
      <c r="K35" s="1236"/>
      <c r="L35" s="1235"/>
      <c r="M35" s="1236"/>
      <c r="N35" s="1235"/>
      <c r="O35" s="1236"/>
      <c r="P35" s="1235"/>
      <c r="Q35" s="1236"/>
      <c r="R35" s="1237"/>
      <c r="S35" s="1923"/>
      <c r="T35" s="1240" t="n">
        <f aca="false">IF(P35=0,0,(F35*I35*J35/16*J35/16*10.680159)+((F35*K35*L35/16*L35/16*10.680159)+(M35*N35/16*N35/16*10.680159*F35)+((O35/16*O35/16)*3.145*0.2836*((((G35*2)+(H35*2))*F35*12/P35))))*(1+J$72))*D35+D35*Q35/16*Q35/16*10.703064*S35*R35*(1+J$72)</f>
        <v>0</v>
      </c>
      <c r="U35" s="1926" t="n">
        <f aca="false">ROUNDUP((F35*G35/12*H35/324)*D35*(1+J$67),0)</f>
        <v>0</v>
      </c>
      <c r="V35" s="2083" t="n">
        <f aca="false">IF(D35=0,0,SUM(BE35:BM35)/D35*(1+L$58))</f>
        <v>0</v>
      </c>
      <c r="W35" s="601" t="n">
        <f aca="false">IF(D35=0,0,V35*D35)</f>
        <v>0</v>
      </c>
      <c r="X35" s="907" t="n">
        <f aca="false">(G35*2+H35*2)/12*F35*D35</f>
        <v>0</v>
      </c>
      <c r="Y35" s="908" t="n">
        <f aca="false">T35</f>
        <v>0</v>
      </c>
      <c r="Z35" s="908" t="n">
        <f aca="false">AZ35</f>
        <v>0</v>
      </c>
      <c r="AA35" s="909" t="n">
        <f aca="false">D35</f>
        <v>0</v>
      </c>
      <c r="AN35" s="0" t="n">
        <f aca="false">IF(E35=1,U35,0)</f>
        <v>0</v>
      </c>
      <c r="AO35" s="0" t="n">
        <f aca="false">IF($E35=2,U35,0)</f>
        <v>0</v>
      </c>
      <c r="AP35" s="0" t="n">
        <f aca="false">IF($E35=3,U35,0)</f>
        <v>0</v>
      </c>
      <c r="AQ35" s="0" t="n">
        <f aca="false">IF($E35=4,U35,0)</f>
        <v>0</v>
      </c>
      <c r="AR35" s="0" t="n">
        <f aca="false">IF($E35=5,U35,0)</f>
        <v>0</v>
      </c>
      <c r="AS35" s="0" t="n">
        <f aca="false">IF($E35=6,U35,0)</f>
        <v>0</v>
      </c>
      <c r="AT35" s="0" t="n">
        <f aca="false">IF($E35=7,$U35,0)</f>
        <v>0</v>
      </c>
      <c r="AU35" s="0" t="n">
        <f aca="false">IF($E35=8,$U35,0)</f>
        <v>0</v>
      </c>
      <c r="AV35" s="0" t="n">
        <f aca="false">IF($E35=9,$U35,0)</f>
        <v>0</v>
      </c>
      <c r="AW35" s="0" t="n">
        <f aca="false">IF($E35=10,$U35,0)</f>
        <v>0</v>
      </c>
      <c r="AX35" s="0" t="n">
        <f aca="false">SUM(AN35:AS35)</f>
        <v>0</v>
      </c>
      <c r="AY35" s="1242" t="n">
        <f aca="false">T35</f>
        <v>0</v>
      </c>
      <c r="AZ35" s="0" t="n">
        <f aca="false">F35*H35*G35/36*D35/2</f>
        <v>0</v>
      </c>
      <c r="BA35" s="0" t="n">
        <f aca="false">F35*H35*G35/36*D35</f>
        <v>0</v>
      </c>
      <c r="BE35" s="915" t="n">
        <f aca="false">T35*F$72*IF(T$57="N",(1+V$57),1)</f>
        <v>0</v>
      </c>
      <c r="BF35" s="291" t="n">
        <f aca="false">(AN35*Pricing!F$3+AO35*Pricing!G$3+AP35*Pricing!H$3+AQ35*Pricing!I$3+AR35*Pricing!J$3+AS35*Pricing!K$3+AT35*Pricing!L$3+AU35*Pricing!M$3+AV35*Pricing!N$3+AW35*Pricing!O$3)*IF(T$57="N",(1+V$57),1)</f>
        <v>0</v>
      </c>
      <c r="BG35" s="915" t="n">
        <f aca="false">IF(H$83=0,0,N$82/H$83*AZ35)</f>
        <v>0</v>
      </c>
      <c r="BH35" s="291" t="n">
        <f aca="false">AZ35*(G$83)</f>
        <v>0</v>
      </c>
      <c r="BI35" s="291" t="n">
        <f aca="false">Z35*D$86</f>
        <v>0</v>
      </c>
      <c r="BJ35" s="291" t="n">
        <f aca="false">T35/2000*D$87</f>
        <v>0</v>
      </c>
      <c r="BK35" s="291" t="e">
        <f aca="false">N$88/D$54*F35</f>
        <v>#DIV/0!</v>
      </c>
      <c r="BL35" s="916" t="e">
        <f aca="false">N$89/H$86*Z35</f>
        <v>#DIV/0!</v>
      </c>
      <c r="BM35" s="918" t="n">
        <f aca="false">IF(H$83=0,0,(SUM(N$92:O$95)+SUM(N$97:O$102)+SUM(N$104:O$109)+SUM(N$75:O$80)+W$109)/H$83*AZ35)</f>
        <v>0</v>
      </c>
      <c r="BN35" s="291" t="e">
        <f aca="false">N$110/H$83*Z35</f>
        <v>#DIV/0!</v>
      </c>
      <c r="BO35" s="918" t="e">
        <f aca="false">SUM(BE35:BN35)</f>
        <v>#DIV/0!</v>
      </c>
      <c r="BP35" s="910" t="n">
        <f aca="false">V35*D35</f>
        <v>0</v>
      </c>
    </row>
    <row r="36" customFormat="false" ht="19.5" hidden="false" customHeight="true" outlineLevel="0" collapsed="false">
      <c r="A36" s="507"/>
      <c r="B36" s="1312"/>
      <c r="C36" s="78"/>
      <c r="D36" s="2081"/>
      <c r="E36" s="528"/>
      <c r="F36" s="2082"/>
      <c r="G36" s="1234"/>
      <c r="H36" s="1235"/>
      <c r="I36" s="1236"/>
      <c r="J36" s="1235"/>
      <c r="K36" s="1236"/>
      <c r="L36" s="1235"/>
      <c r="M36" s="1236"/>
      <c r="N36" s="1235"/>
      <c r="O36" s="1236"/>
      <c r="P36" s="1235"/>
      <c r="Q36" s="1236"/>
      <c r="R36" s="1237"/>
      <c r="S36" s="1923"/>
      <c r="T36" s="1240" t="n">
        <f aca="false">IF(P36=0,0,(F36*I36*J36/16*J36/16*10.680159)+((F36*K36*L36/16*L36/16*10.680159)+(M36*N36/16*N36/16*10.680159*F36)+((O36/16*O36/16)*3.145*0.2836*((((G36*2)+(H36*2))*F36*12/P36))))*(1+J$72))*D36+D36*Q36/16*Q36/16*10.703064*S36*R36*(1+J$72)</f>
        <v>0</v>
      </c>
      <c r="U36" s="1926" t="n">
        <f aca="false">ROUNDUP((F36*G36/12*H36/324)*D36*(1+J$67),0)</f>
        <v>0</v>
      </c>
      <c r="V36" s="2083" t="n">
        <f aca="false">IF(D36=0,0,SUM(BE36:BM36)/D36*(1+L$58))</f>
        <v>0</v>
      </c>
      <c r="W36" s="601" t="n">
        <f aca="false">IF(D36=0,0,V36*D36)</f>
        <v>0</v>
      </c>
      <c r="X36" s="907" t="n">
        <f aca="false">(G36*2+H36*2)/12*F36*D36</f>
        <v>0</v>
      </c>
      <c r="Y36" s="908" t="n">
        <f aca="false">T36</f>
        <v>0</v>
      </c>
      <c r="Z36" s="908" t="n">
        <f aca="false">AZ36</f>
        <v>0</v>
      </c>
      <c r="AA36" s="909" t="n">
        <f aca="false">D36</f>
        <v>0</v>
      </c>
      <c r="AN36" s="0" t="n">
        <f aca="false">IF(E36=1,U36,0)</f>
        <v>0</v>
      </c>
      <c r="AO36" s="0" t="n">
        <f aca="false">IF($E36=2,U36,0)</f>
        <v>0</v>
      </c>
      <c r="AP36" s="0" t="n">
        <f aca="false">IF($E36=3,U36,0)</f>
        <v>0</v>
      </c>
      <c r="AQ36" s="0" t="n">
        <f aca="false">IF($E36=4,U36,0)</f>
        <v>0</v>
      </c>
      <c r="AR36" s="0" t="n">
        <f aca="false">IF($E36=5,U36,0)</f>
        <v>0</v>
      </c>
      <c r="AS36" s="0" t="n">
        <f aca="false">IF($E36=6,U36,0)</f>
        <v>0</v>
      </c>
      <c r="AT36" s="0" t="n">
        <f aca="false">IF($E36=7,$U36,0)</f>
        <v>0</v>
      </c>
      <c r="AU36" s="0" t="n">
        <f aca="false">IF($E36=8,$U36,0)</f>
        <v>0</v>
      </c>
      <c r="AV36" s="0" t="n">
        <f aca="false">IF($E36=9,$U36,0)</f>
        <v>0</v>
      </c>
      <c r="AW36" s="0" t="n">
        <f aca="false">IF($E36=10,$U36,0)</f>
        <v>0</v>
      </c>
      <c r="AX36" s="0" t="n">
        <f aca="false">SUM(AN36:AS36)</f>
        <v>0</v>
      </c>
      <c r="AY36" s="1242" t="n">
        <f aca="false">T36</f>
        <v>0</v>
      </c>
      <c r="AZ36" s="0" t="n">
        <f aca="false">F36*H36*G36/36*D36/2</f>
        <v>0</v>
      </c>
      <c r="BA36" s="0" t="n">
        <f aca="false">F36*H36*G36/36*D36</f>
        <v>0</v>
      </c>
      <c r="BE36" s="915" t="n">
        <f aca="false">T36*F$72*IF(T$57="N",(1+V$57),1)</f>
        <v>0</v>
      </c>
      <c r="BF36" s="291" t="n">
        <f aca="false">(AN36*Pricing!F$3+AO36*Pricing!G$3+AP36*Pricing!H$3+AQ36*Pricing!I$3+AR36*Pricing!J$3+AS36*Pricing!K$3+AT36*Pricing!L$3+AU36*Pricing!M$3+AV36*Pricing!N$3+AW36*Pricing!O$3)*IF(T$57="N",(1+V$57),1)</f>
        <v>0</v>
      </c>
      <c r="BG36" s="915" t="n">
        <f aca="false">IF(H$83=0,0,N$82/H$83*AZ36)</f>
        <v>0</v>
      </c>
      <c r="BH36" s="291" t="n">
        <f aca="false">AZ36*(G$83)</f>
        <v>0</v>
      </c>
      <c r="BI36" s="291" t="n">
        <f aca="false">Z36*D$86</f>
        <v>0</v>
      </c>
      <c r="BJ36" s="291" t="n">
        <f aca="false">T36/2000*D$87</f>
        <v>0</v>
      </c>
      <c r="BK36" s="291" t="e">
        <f aca="false">N$88/D$54*F36</f>
        <v>#DIV/0!</v>
      </c>
      <c r="BL36" s="916" t="e">
        <f aca="false">N$89/H$86*Z36</f>
        <v>#DIV/0!</v>
      </c>
      <c r="BM36" s="918" t="n">
        <f aca="false">IF(H$83=0,0,(SUM(N$92:O$95)+SUM(N$97:O$102)+SUM(N$104:O$109)+SUM(N$75:O$80)+W$109)/H$83*AZ36)</f>
        <v>0</v>
      </c>
      <c r="BN36" s="291" t="e">
        <f aca="false">N$110/H$83*Z36</f>
        <v>#DIV/0!</v>
      </c>
      <c r="BO36" s="918" t="e">
        <f aca="false">SUM(BE36:BN36)</f>
        <v>#DIV/0!</v>
      </c>
      <c r="BP36" s="910" t="n">
        <f aca="false">V36*D36</f>
        <v>0</v>
      </c>
    </row>
    <row r="37" customFormat="false" ht="19.5" hidden="false" customHeight="true" outlineLevel="0" collapsed="false">
      <c r="A37" s="507"/>
      <c r="B37" s="1312"/>
      <c r="C37" s="78"/>
      <c r="D37" s="2081"/>
      <c r="E37" s="528"/>
      <c r="F37" s="2082"/>
      <c r="G37" s="1234"/>
      <c r="H37" s="1235"/>
      <c r="I37" s="1236"/>
      <c r="J37" s="1235"/>
      <c r="K37" s="1236"/>
      <c r="L37" s="1235"/>
      <c r="M37" s="1236"/>
      <c r="N37" s="1235"/>
      <c r="O37" s="1236"/>
      <c r="P37" s="1235"/>
      <c r="Q37" s="1236"/>
      <c r="R37" s="1237"/>
      <c r="S37" s="1923"/>
      <c r="T37" s="1240" t="n">
        <f aca="false">IF(P37=0,0,(F37*I37*J37/16*J37/16*10.680159)+((F37*K37*L37/16*L37/16*10.680159)+(M37*N37/16*N37/16*10.680159*F37)+((O37/16*O37/16)*3.145*0.2836*((((G37*2)+(H37*2))*F37*12/P37))))*(1+J$72))*D37+D37*Q37/16*Q37/16*10.703064*S37*R37*(1+J$72)</f>
        <v>0</v>
      </c>
      <c r="U37" s="1926" t="n">
        <f aca="false">ROUNDUP((F37*G37/12*H37/324)*D37*(1+J$67),0)</f>
        <v>0</v>
      </c>
      <c r="V37" s="2083" t="n">
        <f aca="false">IF(D37=0,0,SUM(BE37:BM37)/D37*(1+L$58))</f>
        <v>0</v>
      </c>
      <c r="W37" s="601" t="n">
        <f aca="false">IF(D37=0,0,V37*D37)</f>
        <v>0</v>
      </c>
      <c r="X37" s="907" t="n">
        <f aca="false">(G37*2+H37*2)/12*F37*D37</f>
        <v>0</v>
      </c>
      <c r="Y37" s="908" t="n">
        <f aca="false">T37</f>
        <v>0</v>
      </c>
      <c r="Z37" s="908" t="n">
        <f aca="false">AZ37</f>
        <v>0</v>
      </c>
      <c r="AA37" s="909" t="n">
        <f aca="false">D37</f>
        <v>0</v>
      </c>
      <c r="AN37" s="0" t="n">
        <f aca="false">IF(E37=1,U37,0)</f>
        <v>0</v>
      </c>
      <c r="AO37" s="0" t="n">
        <f aca="false">IF($E37=2,U37,0)</f>
        <v>0</v>
      </c>
      <c r="AP37" s="0" t="n">
        <f aca="false">IF($E37=3,U37,0)</f>
        <v>0</v>
      </c>
      <c r="AQ37" s="0" t="n">
        <f aca="false">IF($E37=4,U37,0)</f>
        <v>0</v>
      </c>
      <c r="AR37" s="0" t="n">
        <f aca="false">IF($E37=5,U37,0)</f>
        <v>0</v>
      </c>
      <c r="AS37" s="0" t="n">
        <f aca="false">IF($E37=6,U37,0)</f>
        <v>0</v>
      </c>
      <c r="AT37" s="0" t="n">
        <f aca="false">IF($E37=7,$U37,0)</f>
        <v>0</v>
      </c>
      <c r="AU37" s="0" t="n">
        <f aca="false">IF($E37=8,$U37,0)</f>
        <v>0</v>
      </c>
      <c r="AV37" s="0" t="n">
        <f aca="false">IF($E37=9,$U37,0)</f>
        <v>0</v>
      </c>
      <c r="AW37" s="0" t="n">
        <f aca="false">IF($E37=10,$U37,0)</f>
        <v>0</v>
      </c>
      <c r="AX37" s="0" t="n">
        <f aca="false">SUM(AN37:AS37)</f>
        <v>0</v>
      </c>
      <c r="AY37" s="1242" t="n">
        <f aca="false">T37</f>
        <v>0</v>
      </c>
      <c r="AZ37" s="0" t="n">
        <f aca="false">F37*H37*G37/36*D37/2</f>
        <v>0</v>
      </c>
      <c r="BA37" s="0" t="n">
        <f aca="false">F37*H37*G37/36*D37</f>
        <v>0</v>
      </c>
      <c r="BE37" s="915" t="n">
        <f aca="false">T37*F$72*IF(T$57="N",(1+V$57),1)</f>
        <v>0</v>
      </c>
      <c r="BF37" s="291" t="n">
        <f aca="false">(AN37*Pricing!F$3+AO37*Pricing!G$3+AP37*Pricing!H$3+AQ37*Pricing!I$3+AR37*Pricing!J$3+AS37*Pricing!K$3+AT37*Pricing!L$3+AU37*Pricing!M$3+AV37*Pricing!N$3+AW37*Pricing!O$3)*IF(T$57="N",(1+V$57),1)</f>
        <v>0</v>
      </c>
      <c r="BG37" s="915" t="n">
        <f aca="false">IF(H$83=0,0,N$82/H$83*AZ37)</f>
        <v>0</v>
      </c>
      <c r="BH37" s="291" t="n">
        <f aca="false">AZ37*(G$83)</f>
        <v>0</v>
      </c>
      <c r="BI37" s="291" t="n">
        <f aca="false">Z37*D$86</f>
        <v>0</v>
      </c>
      <c r="BJ37" s="291" t="n">
        <f aca="false">T37/2000*D$87</f>
        <v>0</v>
      </c>
      <c r="BK37" s="291" t="e">
        <f aca="false">N$88/D$54*F37</f>
        <v>#DIV/0!</v>
      </c>
      <c r="BL37" s="916" t="e">
        <f aca="false">N$89/H$86*Z37</f>
        <v>#DIV/0!</v>
      </c>
      <c r="BM37" s="918" t="n">
        <f aca="false">IF(H$83=0,0,(SUM(N$92:O$95)+SUM(N$97:O$102)+SUM(N$104:O$109)+SUM(N$75:O$80)+W$109)/H$83*AZ37)</f>
        <v>0</v>
      </c>
      <c r="BN37" s="291" t="e">
        <f aca="false">N$110/H$83*Z37</f>
        <v>#DIV/0!</v>
      </c>
      <c r="BO37" s="918" t="e">
        <f aca="false">SUM(BE37:BN37)</f>
        <v>#DIV/0!</v>
      </c>
      <c r="BP37" s="910" t="n">
        <f aca="false">V37*D37</f>
        <v>0</v>
      </c>
    </row>
    <row r="38" customFormat="false" ht="19.5" hidden="false" customHeight="true" outlineLevel="0" collapsed="false">
      <c r="A38" s="507"/>
      <c r="B38" s="1312"/>
      <c r="C38" s="78"/>
      <c r="D38" s="2081"/>
      <c r="E38" s="528"/>
      <c r="F38" s="2082"/>
      <c r="G38" s="1234"/>
      <c r="H38" s="1235"/>
      <c r="I38" s="1236"/>
      <c r="J38" s="1235"/>
      <c r="K38" s="1236"/>
      <c r="L38" s="1235"/>
      <c r="M38" s="1236"/>
      <c r="N38" s="1235"/>
      <c r="O38" s="1236"/>
      <c r="P38" s="1235"/>
      <c r="Q38" s="1236"/>
      <c r="R38" s="1237"/>
      <c r="S38" s="1923"/>
      <c r="T38" s="1240" t="n">
        <f aca="false">IF(P38=0,0,(F38*I38*J38/16*J38/16*10.680159)+((F38*K38*L38/16*L38/16*10.680159)+(M38*N38/16*N38/16*10.680159*F38)+((O38/16*O38/16)*3.145*0.2836*((((G38*2)+(H38*2))*F38*12/P38))))*(1+J$72))*D38+D38*Q38/16*Q38/16*10.703064*S38*R38*(1+J$72)</f>
        <v>0</v>
      </c>
      <c r="U38" s="1926" t="n">
        <f aca="false">ROUNDUP((F38*G38/12*H38/324)*D38*(1+J$67),0)</f>
        <v>0</v>
      </c>
      <c r="V38" s="2083" t="n">
        <f aca="false">IF(D38=0,0,SUM(BE38:BM38)/D38*(1+L$58))</f>
        <v>0</v>
      </c>
      <c r="W38" s="601" t="n">
        <f aca="false">IF(D38=0,0,V38*D38)</f>
        <v>0</v>
      </c>
      <c r="X38" s="907" t="n">
        <f aca="false">(G38*2+H38*2)/12*F38*D38</f>
        <v>0</v>
      </c>
      <c r="Y38" s="908" t="n">
        <f aca="false">T38</f>
        <v>0</v>
      </c>
      <c r="Z38" s="908" t="n">
        <f aca="false">AZ38</f>
        <v>0</v>
      </c>
      <c r="AA38" s="909" t="n">
        <f aca="false">D38</f>
        <v>0</v>
      </c>
      <c r="AN38" s="0" t="n">
        <f aca="false">IF(E38=1,U38,0)</f>
        <v>0</v>
      </c>
      <c r="AO38" s="0" t="n">
        <f aca="false">IF($E38=2,U38,0)</f>
        <v>0</v>
      </c>
      <c r="AP38" s="0" t="n">
        <f aca="false">IF($E38=3,U38,0)</f>
        <v>0</v>
      </c>
      <c r="AQ38" s="0" t="n">
        <f aca="false">IF($E38=4,U38,0)</f>
        <v>0</v>
      </c>
      <c r="AR38" s="0" t="n">
        <f aca="false">IF($E38=5,U38,0)</f>
        <v>0</v>
      </c>
      <c r="AS38" s="0" t="n">
        <f aca="false">IF($E38=6,U38,0)</f>
        <v>0</v>
      </c>
      <c r="AT38" s="0" t="n">
        <f aca="false">IF($E38=7,$U38,0)</f>
        <v>0</v>
      </c>
      <c r="AU38" s="0" t="n">
        <f aca="false">IF($E38=8,$U38,0)</f>
        <v>0</v>
      </c>
      <c r="AV38" s="0" t="n">
        <f aca="false">IF($E38=9,$U38,0)</f>
        <v>0</v>
      </c>
      <c r="AW38" s="0" t="n">
        <f aca="false">IF($E38=10,$U38,0)</f>
        <v>0</v>
      </c>
      <c r="AX38" s="0" t="n">
        <f aca="false">SUM(AN38:AS38)</f>
        <v>0</v>
      </c>
      <c r="AY38" s="1242" t="n">
        <f aca="false">T38</f>
        <v>0</v>
      </c>
      <c r="AZ38" s="0" t="n">
        <f aca="false">F38*H38*G38/36*D38/2</f>
        <v>0</v>
      </c>
      <c r="BA38" s="0" t="n">
        <f aca="false">F38*H38*G38/36*D38</f>
        <v>0</v>
      </c>
      <c r="BE38" s="915" t="n">
        <f aca="false">T38*F$72*IF(T$57="N",(1+V$57),1)</f>
        <v>0</v>
      </c>
      <c r="BF38" s="291" t="n">
        <f aca="false">(AN38*Pricing!F$3+AO38*Pricing!G$3+AP38*Pricing!H$3+AQ38*Pricing!I$3+AR38*Pricing!J$3+AS38*Pricing!K$3+AT38*Pricing!L$3+AU38*Pricing!M$3+AV38*Pricing!N$3+AW38*Pricing!O$3)*IF(T$57="N",(1+V$57),1)</f>
        <v>0</v>
      </c>
      <c r="BG38" s="915" t="n">
        <f aca="false">IF(H$83=0,0,N$82/H$83*AZ38)</f>
        <v>0</v>
      </c>
      <c r="BH38" s="291" t="n">
        <f aca="false">AZ38*(G$83)</f>
        <v>0</v>
      </c>
      <c r="BI38" s="291" t="n">
        <f aca="false">Z38*D$86</f>
        <v>0</v>
      </c>
      <c r="BJ38" s="291" t="n">
        <f aca="false">T38/2000*D$87</f>
        <v>0</v>
      </c>
      <c r="BK38" s="291" t="e">
        <f aca="false">N$88/D$54*F38</f>
        <v>#DIV/0!</v>
      </c>
      <c r="BL38" s="916" t="e">
        <f aca="false">N$89/H$86*Z38</f>
        <v>#DIV/0!</v>
      </c>
      <c r="BM38" s="918" t="n">
        <f aca="false">IF(H$83=0,0,(SUM(N$92:O$95)+SUM(N$97:O$102)+SUM(N$104:O$109)+SUM(N$75:O$80)+W$109)/H$83*AZ38)</f>
        <v>0</v>
      </c>
      <c r="BN38" s="291" t="e">
        <f aca="false">N$110/H$83*Z38</f>
        <v>#DIV/0!</v>
      </c>
      <c r="BO38" s="918" t="e">
        <f aca="false">SUM(BE38:BN38)</f>
        <v>#DIV/0!</v>
      </c>
      <c r="BP38" s="910" t="n">
        <f aca="false">V38*D38</f>
        <v>0</v>
      </c>
    </row>
    <row r="39" customFormat="false" ht="19.5" hidden="false" customHeight="true" outlineLevel="0" collapsed="false">
      <c r="A39" s="507"/>
      <c r="B39" s="1312"/>
      <c r="C39" s="78"/>
      <c r="D39" s="2081"/>
      <c r="E39" s="528"/>
      <c r="F39" s="2082"/>
      <c r="G39" s="1234"/>
      <c r="H39" s="1235"/>
      <c r="I39" s="1236"/>
      <c r="J39" s="1235"/>
      <c r="K39" s="1236"/>
      <c r="L39" s="1235"/>
      <c r="M39" s="1236"/>
      <c r="N39" s="1235"/>
      <c r="O39" s="1236"/>
      <c r="P39" s="1235"/>
      <c r="Q39" s="1236"/>
      <c r="R39" s="1237"/>
      <c r="S39" s="1923"/>
      <c r="T39" s="1240" t="n">
        <f aca="false">IF(P39=0,0,(F39*I39*J39/16*J39/16*10.680159)+((F39*K39*L39/16*L39/16*10.680159)+(M39*N39/16*N39/16*10.680159*F39)+((O39/16*O39/16)*3.145*0.2836*((((G39*2)+(H39*2))*F39*12/P39))))*(1+J$72))*D39+D39*Q39/16*Q39/16*10.703064*S39*R39*(1+J$72)</f>
        <v>0</v>
      </c>
      <c r="U39" s="1926" t="n">
        <f aca="false">ROUNDUP((F39*G39/12*H39/324)*D39*(1+J$67),0)</f>
        <v>0</v>
      </c>
      <c r="V39" s="2083" t="n">
        <f aca="false">IF(D39=0,0,SUM(BE39:BM39)/D39*(1+L$58))</f>
        <v>0</v>
      </c>
      <c r="W39" s="601" t="n">
        <f aca="false">IF(D39=0,0,V39*D39)</f>
        <v>0</v>
      </c>
      <c r="X39" s="907" t="n">
        <f aca="false">(G39*2+H39*2)/12*F39*D39</f>
        <v>0</v>
      </c>
      <c r="Y39" s="908" t="n">
        <f aca="false">T39</f>
        <v>0</v>
      </c>
      <c r="Z39" s="908" t="n">
        <f aca="false">AZ39</f>
        <v>0</v>
      </c>
      <c r="AA39" s="909" t="n">
        <f aca="false">D39</f>
        <v>0</v>
      </c>
      <c r="AN39" s="0" t="n">
        <f aca="false">IF(E39=1,U39,0)</f>
        <v>0</v>
      </c>
      <c r="AO39" s="0" t="n">
        <f aca="false">IF($E39=2,U39,0)</f>
        <v>0</v>
      </c>
      <c r="AP39" s="0" t="n">
        <f aca="false">IF($E39=3,U39,0)</f>
        <v>0</v>
      </c>
      <c r="AQ39" s="0" t="n">
        <f aca="false">IF($E39=4,U39,0)</f>
        <v>0</v>
      </c>
      <c r="AR39" s="0" t="n">
        <f aca="false">IF($E39=5,U39,0)</f>
        <v>0</v>
      </c>
      <c r="AS39" s="0" t="n">
        <f aca="false">IF($E39=6,U39,0)</f>
        <v>0</v>
      </c>
      <c r="AT39" s="0" t="n">
        <f aca="false">IF($E39=7,$U39,0)</f>
        <v>0</v>
      </c>
      <c r="AU39" s="0" t="n">
        <f aca="false">IF($E39=8,$U39,0)</f>
        <v>0</v>
      </c>
      <c r="AV39" s="0" t="n">
        <f aca="false">IF($E39=9,$U39,0)</f>
        <v>0</v>
      </c>
      <c r="AW39" s="0" t="n">
        <f aca="false">IF($E39=10,$U39,0)</f>
        <v>0</v>
      </c>
      <c r="AX39" s="0" t="n">
        <f aca="false">SUM(AN39:AS39)</f>
        <v>0</v>
      </c>
      <c r="AY39" s="1242" t="n">
        <f aca="false">T39</f>
        <v>0</v>
      </c>
      <c r="AZ39" s="0" t="n">
        <f aca="false">F39*H39*G39/36*D39/2</f>
        <v>0</v>
      </c>
      <c r="BA39" s="0" t="n">
        <f aca="false">F39*H39*G39/36*D39</f>
        <v>0</v>
      </c>
      <c r="BE39" s="915" t="n">
        <f aca="false">T39*F$72*IF(T$57="N",(1+V$57),1)</f>
        <v>0</v>
      </c>
      <c r="BF39" s="291" t="n">
        <f aca="false">(AN39*Pricing!F$3+AO39*Pricing!G$3+AP39*Pricing!H$3+AQ39*Pricing!I$3+AR39*Pricing!J$3+AS39*Pricing!K$3+AT39*Pricing!L$3+AU39*Pricing!M$3+AV39*Pricing!N$3+AW39*Pricing!O$3)*IF(T$57="N",(1+V$57),1)</f>
        <v>0</v>
      </c>
      <c r="BG39" s="915" t="n">
        <f aca="false">IF(H$83=0,0,N$82/H$83*AZ39)</f>
        <v>0</v>
      </c>
      <c r="BH39" s="291" t="n">
        <f aca="false">AZ39*(G$83)</f>
        <v>0</v>
      </c>
      <c r="BI39" s="291" t="n">
        <f aca="false">Z39*D$86</f>
        <v>0</v>
      </c>
      <c r="BJ39" s="291" t="n">
        <f aca="false">T39/2000*D$87</f>
        <v>0</v>
      </c>
      <c r="BK39" s="291" t="e">
        <f aca="false">N$88/D$54*F39</f>
        <v>#DIV/0!</v>
      </c>
      <c r="BL39" s="916" t="e">
        <f aca="false">N$89/H$86*Z39</f>
        <v>#DIV/0!</v>
      </c>
      <c r="BM39" s="918" t="n">
        <f aca="false">IF(H$83=0,0,(SUM(N$92:O$95)+SUM(N$97:O$102)+SUM(N$104:O$109)+SUM(N$75:O$80)+W$109)/H$83*AZ39)</f>
        <v>0</v>
      </c>
      <c r="BN39" s="291" t="e">
        <f aca="false">N$110/H$83*Z39</f>
        <v>#DIV/0!</v>
      </c>
      <c r="BO39" s="918" t="e">
        <f aca="false">SUM(BE39:BN39)</f>
        <v>#DIV/0!</v>
      </c>
      <c r="BP39" s="910" t="n">
        <f aca="false">V39*D39</f>
        <v>0</v>
      </c>
    </row>
    <row r="40" customFormat="false" ht="19.5" hidden="false" customHeight="true" outlineLevel="0" collapsed="false">
      <c r="A40" s="507"/>
      <c r="B40" s="1312"/>
      <c r="C40" s="78"/>
      <c r="D40" s="2081"/>
      <c r="E40" s="528"/>
      <c r="F40" s="2082"/>
      <c r="G40" s="1234"/>
      <c r="H40" s="1235"/>
      <c r="I40" s="1236"/>
      <c r="J40" s="1235"/>
      <c r="K40" s="1236"/>
      <c r="L40" s="1235"/>
      <c r="M40" s="1236"/>
      <c r="N40" s="1235"/>
      <c r="O40" s="1236"/>
      <c r="P40" s="1235"/>
      <c r="Q40" s="1236"/>
      <c r="R40" s="1237"/>
      <c r="S40" s="1923"/>
      <c r="T40" s="1240" t="n">
        <f aca="false">IF(P40=0,0,(F40*I40*J40/16*J40/16*10.680159)+((F40*K40*L40/16*L40/16*10.680159)+(M40*N40/16*N40/16*10.680159*F40)+((O40/16*O40/16)*3.145*0.2836*((((G40*2)+(H40*2))*F40*12/P40))))*(1+J$72))*D40+D40*Q40/16*Q40/16*10.703064*S40*R40*(1+J$72)</f>
        <v>0</v>
      </c>
      <c r="U40" s="1926" t="n">
        <f aca="false">ROUNDUP((F40*G40/12*H40/324)*D40*(1+J$67),0)</f>
        <v>0</v>
      </c>
      <c r="V40" s="2083" t="n">
        <f aca="false">IF(D40=0,0,SUM(BE40:BM40)/D40*(1+L$58))</f>
        <v>0</v>
      </c>
      <c r="W40" s="601" t="n">
        <f aca="false">IF(D40=0,0,V40*D40)</f>
        <v>0</v>
      </c>
      <c r="X40" s="907" t="n">
        <f aca="false">(G40*2+H40*2)/12*F40*D40</f>
        <v>0</v>
      </c>
      <c r="Y40" s="908" t="n">
        <f aca="false">T40</f>
        <v>0</v>
      </c>
      <c r="Z40" s="908" t="n">
        <f aca="false">AZ40</f>
        <v>0</v>
      </c>
      <c r="AA40" s="909" t="n">
        <f aca="false">D40</f>
        <v>0</v>
      </c>
      <c r="AN40" s="0" t="n">
        <f aca="false">IF(E40=1,U40,0)</f>
        <v>0</v>
      </c>
      <c r="AO40" s="0" t="n">
        <f aca="false">IF($E40=2,U40,0)</f>
        <v>0</v>
      </c>
      <c r="AP40" s="0" t="n">
        <f aca="false">IF($E40=3,U40,0)</f>
        <v>0</v>
      </c>
      <c r="AQ40" s="0" t="n">
        <f aca="false">IF($E40=4,U40,0)</f>
        <v>0</v>
      </c>
      <c r="AR40" s="0" t="n">
        <f aca="false">IF($E40=5,U40,0)</f>
        <v>0</v>
      </c>
      <c r="AS40" s="0" t="n">
        <f aca="false">IF($E40=6,U40,0)</f>
        <v>0</v>
      </c>
      <c r="AT40" s="0" t="n">
        <f aca="false">IF($E40=7,$U40,0)</f>
        <v>0</v>
      </c>
      <c r="AU40" s="0" t="n">
        <f aca="false">IF($E40=8,$U40,0)</f>
        <v>0</v>
      </c>
      <c r="AV40" s="0" t="n">
        <f aca="false">IF($E40=9,$U40,0)</f>
        <v>0</v>
      </c>
      <c r="AW40" s="0" t="n">
        <f aca="false">IF($E40=10,$U40,0)</f>
        <v>0</v>
      </c>
      <c r="AX40" s="0" t="n">
        <f aca="false">SUM(AN40:AS40)</f>
        <v>0</v>
      </c>
      <c r="AY40" s="1242" t="n">
        <f aca="false">T40</f>
        <v>0</v>
      </c>
      <c r="AZ40" s="0" t="n">
        <f aca="false">F40*H40*G40/36*D40/2</f>
        <v>0</v>
      </c>
      <c r="BA40" s="0" t="n">
        <f aca="false">F40*H40*G40/36*D40</f>
        <v>0</v>
      </c>
      <c r="BE40" s="915" t="n">
        <f aca="false">T40*F$72*IF(T$57="N",(1+V$57),1)</f>
        <v>0</v>
      </c>
      <c r="BF40" s="291" t="n">
        <f aca="false">(AN40*Pricing!F$3+AO40*Pricing!G$3+AP40*Pricing!H$3+AQ40*Pricing!I$3+AR40*Pricing!J$3+AS40*Pricing!K$3+AT40*Pricing!L$3+AU40*Pricing!M$3+AV40*Pricing!N$3+AW40*Pricing!O$3)*IF(T$57="N",(1+V$57),1)</f>
        <v>0</v>
      </c>
      <c r="BG40" s="915" t="n">
        <f aca="false">IF(H$83=0,0,N$82/H$83*AZ40)</f>
        <v>0</v>
      </c>
      <c r="BH40" s="291" t="n">
        <f aca="false">AZ40*(G$83)</f>
        <v>0</v>
      </c>
      <c r="BI40" s="291" t="n">
        <f aca="false">Z40*D$86</f>
        <v>0</v>
      </c>
      <c r="BJ40" s="291" t="n">
        <f aca="false">T40/2000*D$87</f>
        <v>0</v>
      </c>
      <c r="BK40" s="291" t="e">
        <f aca="false">N$88/D$54*F40</f>
        <v>#DIV/0!</v>
      </c>
      <c r="BL40" s="916" t="e">
        <f aca="false">N$89/H$86*Z40</f>
        <v>#DIV/0!</v>
      </c>
      <c r="BM40" s="918" t="n">
        <f aca="false">IF(H$83=0,0,(SUM(N$92:O$95)+SUM(N$97:O$102)+SUM(N$104:O$109)+SUM(N$75:O$80)+W$109)/H$83*AZ40)</f>
        <v>0</v>
      </c>
      <c r="BN40" s="291" t="e">
        <f aca="false">N$110/H$83*Z40</f>
        <v>#DIV/0!</v>
      </c>
      <c r="BO40" s="918" t="e">
        <f aca="false">SUM(BE40:BN40)</f>
        <v>#DIV/0!</v>
      </c>
      <c r="BP40" s="910" t="n">
        <f aca="false">V40*D40</f>
        <v>0</v>
      </c>
    </row>
    <row r="41" customFormat="false" ht="19.5" hidden="false" customHeight="true" outlineLevel="0" collapsed="false">
      <c r="A41" s="507"/>
      <c r="B41" s="1312"/>
      <c r="C41" s="78"/>
      <c r="D41" s="2081"/>
      <c r="E41" s="528"/>
      <c r="F41" s="2082"/>
      <c r="G41" s="1234"/>
      <c r="H41" s="1235"/>
      <c r="I41" s="1236"/>
      <c r="J41" s="1235"/>
      <c r="K41" s="1236"/>
      <c r="L41" s="1235"/>
      <c r="M41" s="1236"/>
      <c r="N41" s="1235"/>
      <c r="O41" s="1236"/>
      <c r="P41" s="1235"/>
      <c r="Q41" s="1236"/>
      <c r="R41" s="1237"/>
      <c r="S41" s="1923"/>
      <c r="T41" s="1240" t="n">
        <f aca="false">IF(P41=0,0,(F41*I41*J41/16*J41/16*10.680159)+((F41*K41*L41/16*L41/16*10.680159)+(M41*N41/16*N41/16*10.680159*F41)+((O41/16*O41/16)*3.145*0.2836*((((G41*2)+(H41*2))*F41*12/P41))))*(1+J$72))*D41+D41*Q41/16*Q41/16*10.703064*S41*R41*(1+J$72)</f>
        <v>0</v>
      </c>
      <c r="U41" s="1926" t="n">
        <f aca="false">ROUNDUP((F41*G41/12*H41/324)*D41*(1+J$67),0)</f>
        <v>0</v>
      </c>
      <c r="V41" s="2083" t="n">
        <f aca="false">IF(D41=0,0,SUM(BE41:BM41)/D41*(1+L$58))</f>
        <v>0</v>
      </c>
      <c r="W41" s="601" t="n">
        <f aca="false">IF(D41=0,0,V41*D41)</f>
        <v>0</v>
      </c>
      <c r="X41" s="907" t="n">
        <f aca="false">(G41*2+H41*2)/12*F41*D41</f>
        <v>0</v>
      </c>
      <c r="Y41" s="908" t="n">
        <f aca="false">T41</f>
        <v>0</v>
      </c>
      <c r="Z41" s="908" t="n">
        <f aca="false">AZ41</f>
        <v>0</v>
      </c>
      <c r="AA41" s="909" t="n">
        <f aca="false">D41</f>
        <v>0</v>
      </c>
      <c r="AN41" s="0" t="n">
        <f aca="false">IF(E41=1,U41,0)</f>
        <v>0</v>
      </c>
      <c r="AO41" s="0" t="n">
        <f aca="false">IF($E41=2,U41,0)</f>
        <v>0</v>
      </c>
      <c r="AP41" s="0" t="n">
        <f aca="false">IF($E41=3,U41,0)</f>
        <v>0</v>
      </c>
      <c r="AQ41" s="0" t="n">
        <f aca="false">IF($E41=4,U41,0)</f>
        <v>0</v>
      </c>
      <c r="AR41" s="0" t="n">
        <f aca="false">IF($E41=5,U41,0)</f>
        <v>0</v>
      </c>
      <c r="AS41" s="0" t="n">
        <f aca="false">IF($E41=6,U41,0)</f>
        <v>0</v>
      </c>
      <c r="AT41" s="0" t="n">
        <f aca="false">IF($E41=7,$U41,0)</f>
        <v>0</v>
      </c>
      <c r="AU41" s="0" t="n">
        <f aca="false">IF($E41=8,$U41,0)</f>
        <v>0</v>
      </c>
      <c r="AV41" s="0" t="n">
        <f aca="false">IF($E41=9,$U41,0)</f>
        <v>0</v>
      </c>
      <c r="AW41" s="0" t="n">
        <f aca="false">IF($E41=10,$U41,0)</f>
        <v>0</v>
      </c>
      <c r="AX41" s="0" t="n">
        <f aca="false">SUM(AN41:AS41)</f>
        <v>0</v>
      </c>
      <c r="AY41" s="1242" t="n">
        <f aca="false">T41</f>
        <v>0</v>
      </c>
      <c r="AZ41" s="0" t="n">
        <f aca="false">F41*H41*G41/36*D41/2</f>
        <v>0</v>
      </c>
      <c r="BA41" s="0" t="n">
        <f aca="false">F41*H41*G41/36*D41</f>
        <v>0</v>
      </c>
      <c r="BE41" s="915" t="n">
        <f aca="false">T41*F$72*IF(T$57="N",(1+V$57),1)</f>
        <v>0</v>
      </c>
      <c r="BF41" s="291" t="n">
        <f aca="false">(AN41*Pricing!F$3+AO41*Pricing!G$3+AP41*Pricing!H$3+AQ41*Pricing!I$3+AR41*Pricing!J$3+AS41*Pricing!K$3+AT41*Pricing!L$3+AU41*Pricing!M$3+AV41*Pricing!N$3+AW41*Pricing!O$3)*IF(T$57="N",(1+V$57),1)</f>
        <v>0</v>
      </c>
      <c r="BG41" s="915" t="n">
        <f aca="false">IF(H$83=0,0,N$82/H$83*AZ41)</f>
        <v>0</v>
      </c>
      <c r="BH41" s="291" t="n">
        <f aca="false">AZ41*(G$83)</f>
        <v>0</v>
      </c>
      <c r="BI41" s="291" t="n">
        <f aca="false">Z41*D$86</f>
        <v>0</v>
      </c>
      <c r="BJ41" s="291" t="n">
        <f aca="false">T41/2000*D$87</f>
        <v>0</v>
      </c>
      <c r="BK41" s="291" t="e">
        <f aca="false">N$88/D$54*F41</f>
        <v>#DIV/0!</v>
      </c>
      <c r="BL41" s="916" t="e">
        <f aca="false">N$89/H$86*Z41</f>
        <v>#DIV/0!</v>
      </c>
      <c r="BM41" s="918" t="n">
        <f aca="false">IF(H$83=0,0,(SUM(N$92:O$95)+SUM(N$97:O$102)+SUM(N$104:O$109)+SUM(N$75:O$80)+W$109)/H$83*AZ41)</f>
        <v>0</v>
      </c>
      <c r="BN41" s="291" t="e">
        <f aca="false">N$110/H$83*Z41</f>
        <v>#DIV/0!</v>
      </c>
      <c r="BO41" s="918" t="e">
        <f aca="false">SUM(BE41:BN41)</f>
        <v>#DIV/0!</v>
      </c>
      <c r="BP41" s="910" t="n">
        <f aca="false">V41*D41</f>
        <v>0</v>
      </c>
    </row>
    <row r="42" customFormat="false" ht="19.5" hidden="false" customHeight="true" outlineLevel="0" collapsed="false">
      <c r="A42" s="507"/>
      <c r="B42" s="1312"/>
      <c r="C42" s="78"/>
      <c r="D42" s="2081"/>
      <c r="E42" s="528"/>
      <c r="F42" s="2082"/>
      <c r="G42" s="1234"/>
      <c r="H42" s="1235"/>
      <c r="I42" s="1236"/>
      <c r="J42" s="1235"/>
      <c r="K42" s="1236"/>
      <c r="L42" s="1235"/>
      <c r="M42" s="1236"/>
      <c r="N42" s="1235"/>
      <c r="O42" s="1236"/>
      <c r="P42" s="1235"/>
      <c r="Q42" s="1236"/>
      <c r="R42" s="1237"/>
      <c r="S42" s="1923"/>
      <c r="T42" s="1240" t="n">
        <f aca="false">IF(P42=0,0,(F42*I42*J42/16*J42/16*10.680159)+((F42*K42*L42/16*L42/16*10.680159)+(M42*N42/16*N42/16*10.680159*F42)+((O42/16*O42/16)*3.145*0.2836*((((G42*2)+(H42*2))*F42*12/P42))))*(1+J$72))*D42+D42*Q42/16*Q42/16*10.703064*S42*R42*(1+J$72)</f>
        <v>0</v>
      </c>
      <c r="U42" s="1926" t="n">
        <f aca="false">ROUNDUP((F42*G42/12*H42/324)*D42*(1+J$67),0)</f>
        <v>0</v>
      </c>
      <c r="V42" s="2083" t="n">
        <f aca="false">IF(D42=0,0,SUM(BE42:BM42)/D42*(1+L$58))</f>
        <v>0</v>
      </c>
      <c r="W42" s="601" t="n">
        <f aca="false">IF(D42=0,0,V42*D42)</f>
        <v>0</v>
      </c>
      <c r="X42" s="907" t="n">
        <f aca="false">(G42*2+H42*2)/12*F42*D42</f>
        <v>0</v>
      </c>
      <c r="Y42" s="908" t="n">
        <f aca="false">T42</f>
        <v>0</v>
      </c>
      <c r="Z42" s="908" t="n">
        <f aca="false">AZ42</f>
        <v>0</v>
      </c>
      <c r="AA42" s="909" t="n">
        <f aca="false">D42</f>
        <v>0</v>
      </c>
      <c r="AN42" s="0" t="n">
        <f aca="false">IF(E42=1,U42,0)</f>
        <v>0</v>
      </c>
      <c r="AO42" s="0" t="n">
        <f aca="false">IF($E42=2,U42,0)</f>
        <v>0</v>
      </c>
      <c r="AP42" s="0" t="n">
        <f aca="false">IF($E42=3,U42,0)</f>
        <v>0</v>
      </c>
      <c r="AQ42" s="0" t="n">
        <f aca="false">IF($E42=4,U42,0)</f>
        <v>0</v>
      </c>
      <c r="AR42" s="0" t="n">
        <f aca="false">IF($E42=5,U42,0)</f>
        <v>0</v>
      </c>
      <c r="AS42" s="0" t="n">
        <f aca="false">IF($E42=6,U42,0)</f>
        <v>0</v>
      </c>
      <c r="AT42" s="0" t="n">
        <f aca="false">IF($E42=7,$U42,0)</f>
        <v>0</v>
      </c>
      <c r="AU42" s="0" t="n">
        <f aca="false">IF($E42=8,$U42,0)</f>
        <v>0</v>
      </c>
      <c r="AV42" s="0" t="n">
        <f aca="false">IF($E42=9,$U42,0)</f>
        <v>0</v>
      </c>
      <c r="AW42" s="0" t="n">
        <f aca="false">IF($E42=10,$U42,0)</f>
        <v>0</v>
      </c>
      <c r="AX42" s="0" t="n">
        <f aca="false">SUM(AN42:AS42)</f>
        <v>0</v>
      </c>
      <c r="AY42" s="1242" t="n">
        <f aca="false">T42</f>
        <v>0</v>
      </c>
      <c r="AZ42" s="0" t="n">
        <f aca="false">F42*H42*G42/36*D42/2</f>
        <v>0</v>
      </c>
      <c r="BA42" s="0" t="n">
        <f aca="false">F42*H42*G42/36*D42</f>
        <v>0</v>
      </c>
      <c r="BE42" s="915" t="n">
        <f aca="false">T42*F$72*IF(T$57="N",(1+V$57),1)</f>
        <v>0</v>
      </c>
      <c r="BF42" s="291" t="n">
        <f aca="false">(AN42*Pricing!F$3+AO42*Pricing!G$3+AP42*Pricing!H$3+AQ42*Pricing!I$3+AR42*Pricing!J$3+AS42*Pricing!K$3+AT42*Pricing!L$3+AU42*Pricing!M$3+AV42*Pricing!N$3+AW42*Pricing!O$3)*IF(T$57="N",(1+V$57),1)</f>
        <v>0</v>
      </c>
      <c r="BG42" s="915" t="n">
        <f aca="false">IF(H$83=0,0,N$82/H$83*AZ42)</f>
        <v>0</v>
      </c>
      <c r="BH42" s="291" t="n">
        <f aca="false">AZ42*(G$83)</f>
        <v>0</v>
      </c>
      <c r="BI42" s="291" t="n">
        <f aca="false">Z42*D$86</f>
        <v>0</v>
      </c>
      <c r="BJ42" s="291" t="n">
        <f aca="false">T42/2000*D$87</f>
        <v>0</v>
      </c>
      <c r="BK42" s="291" t="e">
        <f aca="false">N$88/D$54*F42</f>
        <v>#DIV/0!</v>
      </c>
      <c r="BL42" s="916" t="e">
        <f aca="false">N$89/H$86*Z42</f>
        <v>#DIV/0!</v>
      </c>
      <c r="BM42" s="918" t="n">
        <f aca="false">IF(H$83=0,0,(SUM(N$92:O$95)+SUM(N$97:O$102)+SUM(N$104:O$109)+SUM(N$75:O$80)+W$109)/H$83*AZ42)</f>
        <v>0</v>
      </c>
      <c r="BN42" s="291" t="e">
        <f aca="false">N$110/H$83*Z42</f>
        <v>#DIV/0!</v>
      </c>
      <c r="BO42" s="918" t="e">
        <f aca="false">SUM(BE42:BN42)</f>
        <v>#DIV/0!</v>
      </c>
      <c r="BP42" s="910" t="n">
        <f aca="false">V42*D42</f>
        <v>0</v>
      </c>
    </row>
    <row r="43" customFormat="false" ht="19.5" hidden="false" customHeight="true" outlineLevel="0" collapsed="false">
      <c r="A43" s="507"/>
      <c r="B43" s="1312"/>
      <c r="C43" s="78"/>
      <c r="D43" s="2081"/>
      <c r="E43" s="528"/>
      <c r="F43" s="2082"/>
      <c r="G43" s="1234"/>
      <c r="H43" s="1235"/>
      <c r="I43" s="1236"/>
      <c r="J43" s="1235"/>
      <c r="K43" s="1236"/>
      <c r="L43" s="1235"/>
      <c r="M43" s="1236"/>
      <c r="N43" s="1235"/>
      <c r="O43" s="1236"/>
      <c r="P43" s="1235"/>
      <c r="Q43" s="1236"/>
      <c r="R43" s="1234"/>
      <c r="S43" s="1923"/>
      <c r="T43" s="1240" t="n">
        <f aca="false">IF(P43=0,0,(F43*I43*J43/16*J43/16*10.680159)+((F43*K43*L43/16*L43/16*10.680159)+(M43*N43/16*N43/16*10.680159*F43)+((O43/16*O43/16)*3.145*0.2836*((((G43*2)+(H43*2))*F43*12/P43))))*(1+J$72))*D43+D43*Q43/16*Q43/16*10.703064*S43*R43*(1+J$72)</f>
        <v>0</v>
      </c>
      <c r="U43" s="1926" t="n">
        <f aca="false">ROUNDUP((F43*G43/12*H43/324)*D43*(1+J$67),0)</f>
        <v>0</v>
      </c>
      <c r="V43" s="2083" t="n">
        <f aca="false">IF(D43=0,0,SUM(BE43:BM43)/D43*(1+L$58))</f>
        <v>0</v>
      </c>
      <c r="W43" s="601" t="n">
        <f aca="false">IF(D43=0,0,V43*D43)</f>
        <v>0</v>
      </c>
      <c r="X43" s="907" t="n">
        <f aca="false">(G43*2+H43*2)/12*F43*D43</f>
        <v>0</v>
      </c>
      <c r="Y43" s="908" t="n">
        <f aca="false">T43</f>
        <v>0</v>
      </c>
      <c r="Z43" s="908" t="n">
        <f aca="false">AZ43</f>
        <v>0</v>
      </c>
      <c r="AA43" s="909" t="n">
        <f aca="false">D43</f>
        <v>0</v>
      </c>
      <c r="AN43" s="0" t="n">
        <f aca="false">IF(E43=1,U43,0)</f>
        <v>0</v>
      </c>
      <c r="AO43" s="0" t="n">
        <f aca="false">IF($E43=2,U43,0)</f>
        <v>0</v>
      </c>
      <c r="AP43" s="0" t="n">
        <f aca="false">IF($E43=3,U43,0)</f>
        <v>0</v>
      </c>
      <c r="AQ43" s="0" t="n">
        <f aca="false">IF($E43=4,U43,0)</f>
        <v>0</v>
      </c>
      <c r="AR43" s="0" t="n">
        <f aca="false">IF($E43=5,U43,0)</f>
        <v>0</v>
      </c>
      <c r="AS43" s="0" t="n">
        <f aca="false">IF($E43=6,U43,0)</f>
        <v>0</v>
      </c>
      <c r="AT43" s="0" t="n">
        <f aca="false">IF($E43=7,$U43,0)</f>
        <v>0</v>
      </c>
      <c r="AU43" s="0" t="n">
        <f aca="false">IF($E43=8,$U43,0)</f>
        <v>0</v>
      </c>
      <c r="AV43" s="0" t="n">
        <f aca="false">IF($E43=9,$U43,0)</f>
        <v>0</v>
      </c>
      <c r="AW43" s="0" t="n">
        <f aca="false">IF($E43=10,$U43,0)</f>
        <v>0</v>
      </c>
      <c r="AX43" s="0" t="n">
        <f aca="false">SUM(AN43:AS43)</f>
        <v>0</v>
      </c>
      <c r="AY43" s="1242" t="n">
        <f aca="false">T43</f>
        <v>0</v>
      </c>
      <c r="AZ43" s="0" t="n">
        <f aca="false">F43*H43*G43/36*D43/2</f>
        <v>0</v>
      </c>
      <c r="BA43" s="0" t="n">
        <f aca="false">F43*H43*G43/36*D43</f>
        <v>0</v>
      </c>
      <c r="BE43" s="915" t="n">
        <f aca="false">T43*F$72*IF(T$57="N",(1+V$57),1)</f>
        <v>0</v>
      </c>
      <c r="BF43" s="291" t="n">
        <f aca="false">(AN43*Pricing!F$3+AO43*Pricing!G$3+AP43*Pricing!H$3+AQ43*Pricing!I$3+AR43*Pricing!J$3+AS43*Pricing!K$3+AT43*Pricing!L$3+AU43*Pricing!M$3+AV43*Pricing!N$3+AW43*Pricing!O$3)*IF(T$57="N",(1+V$57),1)</f>
        <v>0</v>
      </c>
      <c r="BG43" s="915" t="n">
        <f aca="false">IF(H$83=0,0,N$82/H$83*AZ43)</f>
        <v>0</v>
      </c>
      <c r="BH43" s="291" t="n">
        <f aca="false">AZ43*(G$83)</f>
        <v>0</v>
      </c>
      <c r="BI43" s="291" t="n">
        <f aca="false">Z43*D$86</f>
        <v>0</v>
      </c>
      <c r="BJ43" s="291" t="n">
        <f aca="false">T43/2000*D$87</f>
        <v>0</v>
      </c>
      <c r="BK43" s="291" t="e">
        <f aca="false">N$88/D$54*F43</f>
        <v>#DIV/0!</v>
      </c>
      <c r="BL43" s="916" t="e">
        <f aca="false">N$89/H$86*Z43</f>
        <v>#DIV/0!</v>
      </c>
      <c r="BM43" s="918" t="n">
        <f aca="false">IF(H$83=0,0,(SUM(N$92:O$95)+SUM(N$97:O$102)+SUM(N$104:O$109)+SUM(N$75:O$80)+W$109)/H$83*AZ43)</f>
        <v>0</v>
      </c>
      <c r="BN43" s="291" t="e">
        <f aca="false">N$110/H$83*Z43</f>
        <v>#DIV/0!</v>
      </c>
      <c r="BO43" s="918" t="e">
        <f aca="false">SUM(BE43:BN43)</f>
        <v>#DIV/0!</v>
      </c>
      <c r="BP43" s="910" t="n">
        <f aca="false">V43*D43</f>
        <v>0</v>
      </c>
    </row>
    <row r="44" customFormat="false" ht="19.5" hidden="false" customHeight="true" outlineLevel="0" collapsed="false">
      <c r="A44" s="507"/>
      <c r="B44" s="1312"/>
      <c r="C44" s="78"/>
      <c r="D44" s="2081"/>
      <c r="E44" s="528"/>
      <c r="F44" s="2082"/>
      <c r="G44" s="1234"/>
      <c r="H44" s="1235"/>
      <c r="I44" s="1236"/>
      <c r="J44" s="1235"/>
      <c r="K44" s="1236"/>
      <c r="L44" s="1235"/>
      <c r="M44" s="1236"/>
      <c r="N44" s="1235"/>
      <c r="O44" s="1236"/>
      <c r="P44" s="1235"/>
      <c r="Q44" s="1236"/>
      <c r="R44" s="1234"/>
      <c r="S44" s="1923"/>
      <c r="T44" s="1240" t="n">
        <f aca="false">IF(P44=0,0,(F44*I44*J44/16*J44/16*10.680159)+((F44*K44*L44/16*L44/16*10.680159)+(M44*N44/16*N44/16*10.680159*F44)+((O44/16*O44/16)*3.145*0.2836*((((G44*2)+(H44*2))*F44*12/P44))))*(1+J$72))*D44+D44*Q44/16*Q44/16*10.703064*S44*R44*(1+J$72)</f>
        <v>0</v>
      </c>
      <c r="U44" s="1926" t="n">
        <f aca="false">ROUNDUP((F44*G44/12*H44/324)*D44*(1+J$67),0)</f>
        <v>0</v>
      </c>
      <c r="V44" s="2083" t="n">
        <f aca="false">IF(D44=0,0,SUM(BE44:BM44)/D44*(1+L$58))</f>
        <v>0</v>
      </c>
      <c r="W44" s="601" t="n">
        <f aca="false">IF(D44=0,0,V44*D44)</f>
        <v>0</v>
      </c>
      <c r="X44" s="907" t="n">
        <f aca="false">(G44*2+H44*2)/12*F44*D44</f>
        <v>0</v>
      </c>
      <c r="Y44" s="908" t="n">
        <f aca="false">T44</f>
        <v>0</v>
      </c>
      <c r="Z44" s="908" t="n">
        <f aca="false">AZ44</f>
        <v>0</v>
      </c>
      <c r="AA44" s="909" t="n">
        <f aca="false">D44</f>
        <v>0</v>
      </c>
      <c r="AN44" s="0" t="n">
        <f aca="false">IF(E44=1,U44,0)</f>
        <v>0</v>
      </c>
      <c r="AO44" s="0" t="n">
        <f aca="false">IF($E44=2,U44,0)</f>
        <v>0</v>
      </c>
      <c r="AP44" s="0" t="n">
        <f aca="false">IF($E44=3,U44,0)</f>
        <v>0</v>
      </c>
      <c r="AQ44" s="0" t="n">
        <f aca="false">IF($E44=4,U44,0)</f>
        <v>0</v>
      </c>
      <c r="AR44" s="0" t="n">
        <f aca="false">IF($E44=5,U44,0)</f>
        <v>0</v>
      </c>
      <c r="AS44" s="0" t="n">
        <f aca="false">IF($E44=6,U44,0)</f>
        <v>0</v>
      </c>
      <c r="AT44" s="0" t="n">
        <f aca="false">IF($E44=7,$U44,0)</f>
        <v>0</v>
      </c>
      <c r="AU44" s="0" t="n">
        <f aca="false">IF($E44=8,$U44,0)</f>
        <v>0</v>
      </c>
      <c r="AV44" s="0" t="n">
        <f aca="false">IF($E44=9,$U44,0)</f>
        <v>0</v>
      </c>
      <c r="AW44" s="0" t="n">
        <f aca="false">IF($E44=10,$U44,0)</f>
        <v>0</v>
      </c>
      <c r="AX44" s="0" t="n">
        <f aca="false">SUM(AN44:AS44)</f>
        <v>0</v>
      </c>
      <c r="AY44" s="1242" t="n">
        <f aca="false">T44</f>
        <v>0</v>
      </c>
      <c r="AZ44" s="0" t="n">
        <f aca="false">F44*H44*G44/36*D44/2</f>
        <v>0</v>
      </c>
      <c r="BA44" s="0" t="n">
        <f aca="false">F44*H44*G44/36*D44</f>
        <v>0</v>
      </c>
      <c r="BE44" s="915" t="n">
        <f aca="false">T44*F$72*IF(T$57="N",(1+V$57),1)</f>
        <v>0</v>
      </c>
      <c r="BF44" s="291" t="n">
        <f aca="false">(AN44*Pricing!F$3+AO44*Pricing!G$3+AP44*Pricing!H$3+AQ44*Pricing!I$3+AR44*Pricing!J$3+AS44*Pricing!K$3+AT44*Pricing!L$3+AU44*Pricing!M$3+AV44*Pricing!N$3+AW44*Pricing!O$3)*IF(T$57="N",(1+V$57),1)</f>
        <v>0</v>
      </c>
      <c r="BG44" s="915" t="n">
        <f aca="false">IF(H$83=0,0,N$82/H$83*AZ44)</f>
        <v>0</v>
      </c>
      <c r="BH44" s="291" t="n">
        <f aca="false">AZ44*(G$83)</f>
        <v>0</v>
      </c>
      <c r="BI44" s="291" t="n">
        <f aca="false">Z44*D$86</f>
        <v>0</v>
      </c>
      <c r="BJ44" s="291" t="n">
        <f aca="false">T44/2000*D$87</f>
        <v>0</v>
      </c>
      <c r="BK44" s="291" t="e">
        <f aca="false">N$88/D$54*F44</f>
        <v>#DIV/0!</v>
      </c>
      <c r="BL44" s="916" t="e">
        <f aca="false">N$89/H$86*Z44</f>
        <v>#DIV/0!</v>
      </c>
      <c r="BM44" s="918" t="n">
        <f aca="false">IF(H$83=0,0,(SUM(N$92:O$95)+SUM(N$97:O$102)+SUM(N$104:O$109)+SUM(N$75:O$80)+W$109)/H$83*AZ44)</f>
        <v>0</v>
      </c>
      <c r="BN44" s="291" t="e">
        <f aca="false">N$110/H$83*Z44</f>
        <v>#DIV/0!</v>
      </c>
      <c r="BO44" s="918" t="e">
        <f aca="false">SUM(BE44:BN44)</f>
        <v>#DIV/0!</v>
      </c>
      <c r="BP44" s="910" t="n">
        <f aca="false">V44*D44</f>
        <v>0</v>
      </c>
    </row>
    <row r="45" customFormat="false" ht="19.5" hidden="false" customHeight="true" outlineLevel="0" collapsed="false">
      <c r="A45" s="507"/>
      <c r="B45" s="1312"/>
      <c r="C45" s="78"/>
      <c r="D45" s="2081"/>
      <c r="E45" s="528"/>
      <c r="F45" s="2082"/>
      <c r="G45" s="1234"/>
      <c r="H45" s="1235"/>
      <c r="I45" s="1236"/>
      <c r="J45" s="1235"/>
      <c r="K45" s="1236"/>
      <c r="L45" s="1235"/>
      <c r="M45" s="1236"/>
      <c r="N45" s="1235"/>
      <c r="O45" s="1236"/>
      <c r="P45" s="1235"/>
      <c r="Q45" s="1236"/>
      <c r="R45" s="1234"/>
      <c r="S45" s="1923"/>
      <c r="T45" s="1240" t="n">
        <f aca="false">IF(P45=0,0,(F45*I45*J45/16*J45/16*10.680159)+((F45*K45*L45/16*L45/16*10.680159)+(M45*N45/16*N45/16*10.680159*F45)+((O45/16*O45/16)*3.145*0.2836*((((G45*2)+(H45*2))*F45*12/P45))))*(1+J$72))*D45+D45*Q45/16*Q45/16*10.703064*S45*R45*(1+J$72)</f>
        <v>0</v>
      </c>
      <c r="U45" s="1926" t="n">
        <f aca="false">ROUNDUP((F45*G45/12*H45/324)*D45*(1+J$67),0)</f>
        <v>0</v>
      </c>
      <c r="V45" s="2083" t="n">
        <f aca="false">IF(D45=0,0,SUM(BE45:BM45)/D45*(1+L$58))</f>
        <v>0</v>
      </c>
      <c r="W45" s="601" t="n">
        <f aca="false">IF(D45=0,0,V45*D45)</f>
        <v>0</v>
      </c>
      <c r="X45" s="907" t="n">
        <f aca="false">(G45*2+H45*2)/12*F45*D45</f>
        <v>0</v>
      </c>
      <c r="Y45" s="908" t="n">
        <f aca="false">T45</f>
        <v>0</v>
      </c>
      <c r="Z45" s="908" t="n">
        <f aca="false">AZ45</f>
        <v>0</v>
      </c>
      <c r="AA45" s="909" t="n">
        <f aca="false">D45</f>
        <v>0</v>
      </c>
      <c r="AN45" s="0" t="n">
        <f aca="false">IF(E45=1,U45,0)</f>
        <v>0</v>
      </c>
      <c r="AO45" s="0" t="n">
        <f aca="false">IF($E45=2,U45,0)</f>
        <v>0</v>
      </c>
      <c r="AP45" s="0" t="n">
        <f aca="false">IF($E45=3,U45,0)</f>
        <v>0</v>
      </c>
      <c r="AQ45" s="0" t="n">
        <f aca="false">IF($E45=4,U45,0)</f>
        <v>0</v>
      </c>
      <c r="AR45" s="0" t="n">
        <f aca="false">IF($E45=5,U45,0)</f>
        <v>0</v>
      </c>
      <c r="AS45" s="0" t="n">
        <f aca="false">IF($E45=6,U45,0)</f>
        <v>0</v>
      </c>
      <c r="AT45" s="0" t="n">
        <f aca="false">IF($E45=7,$U45,0)</f>
        <v>0</v>
      </c>
      <c r="AU45" s="0" t="n">
        <f aca="false">IF($E45=8,$U45,0)</f>
        <v>0</v>
      </c>
      <c r="AV45" s="0" t="n">
        <f aca="false">IF($E45=9,$U45,0)</f>
        <v>0</v>
      </c>
      <c r="AW45" s="0" t="n">
        <f aca="false">IF($E45=10,$U45,0)</f>
        <v>0</v>
      </c>
      <c r="AX45" s="0" t="n">
        <f aca="false">SUM(AN45:AS45)</f>
        <v>0</v>
      </c>
      <c r="AY45" s="1242" t="n">
        <f aca="false">T45</f>
        <v>0</v>
      </c>
      <c r="AZ45" s="0" t="n">
        <f aca="false">F45*H45*G45/36*D45/2</f>
        <v>0</v>
      </c>
      <c r="BA45" s="0" t="n">
        <f aca="false">F45*H45*G45/36*D45</f>
        <v>0</v>
      </c>
      <c r="BE45" s="915" t="n">
        <f aca="false">T45*F$72*IF(T$57="N",(1+V$57),1)</f>
        <v>0</v>
      </c>
      <c r="BF45" s="291" t="n">
        <f aca="false">(AN45*Pricing!F$3+AO45*Pricing!G$3+AP45*Pricing!H$3+AQ45*Pricing!I$3+AR45*Pricing!J$3+AS45*Pricing!K$3+AT45*Pricing!L$3+AU45*Pricing!M$3+AV45*Pricing!N$3+AW45*Pricing!O$3)*IF(T$57="N",(1+V$57),1)</f>
        <v>0</v>
      </c>
      <c r="BG45" s="915" t="n">
        <f aca="false">IF(H$83=0,0,N$82/H$83*AZ45)</f>
        <v>0</v>
      </c>
      <c r="BH45" s="291" t="n">
        <f aca="false">AZ45*(G$83)</f>
        <v>0</v>
      </c>
      <c r="BI45" s="291" t="n">
        <f aca="false">Z45*D$86</f>
        <v>0</v>
      </c>
      <c r="BJ45" s="291" t="n">
        <f aca="false">T45/2000*D$87</f>
        <v>0</v>
      </c>
      <c r="BK45" s="291" t="e">
        <f aca="false">N$88/D$54*F45</f>
        <v>#DIV/0!</v>
      </c>
      <c r="BL45" s="916" t="e">
        <f aca="false">N$89/H$86*Z45</f>
        <v>#DIV/0!</v>
      </c>
      <c r="BM45" s="918" t="n">
        <f aca="false">IF(H$83=0,0,(SUM(N$92:O$95)+SUM(N$97:O$102)+SUM(N$104:O$109)+SUM(N$75:O$80)+W$109)/H$83*AZ45)</f>
        <v>0</v>
      </c>
      <c r="BN45" s="291" t="e">
        <f aca="false">N$110/H$83*Z45</f>
        <v>#DIV/0!</v>
      </c>
      <c r="BO45" s="918" t="e">
        <f aca="false">SUM(BE45:BN45)</f>
        <v>#DIV/0!</v>
      </c>
      <c r="BP45" s="910" t="n">
        <f aca="false">V45*D45</f>
        <v>0</v>
      </c>
    </row>
    <row r="46" customFormat="false" ht="19.5" hidden="false" customHeight="true" outlineLevel="0" collapsed="false">
      <c r="A46" s="507"/>
      <c r="B46" s="1312"/>
      <c r="C46" s="78"/>
      <c r="D46" s="2081"/>
      <c r="E46" s="528"/>
      <c r="F46" s="2082"/>
      <c r="G46" s="1234"/>
      <c r="H46" s="1235"/>
      <c r="I46" s="1236"/>
      <c r="J46" s="1235"/>
      <c r="K46" s="1236"/>
      <c r="L46" s="1235"/>
      <c r="M46" s="1236"/>
      <c r="N46" s="1235"/>
      <c r="O46" s="1236"/>
      <c r="P46" s="1235"/>
      <c r="Q46" s="1236"/>
      <c r="R46" s="1234"/>
      <c r="S46" s="1923"/>
      <c r="T46" s="1240" t="n">
        <f aca="false">IF(P46=0,0,(F46*I46*J46/16*J46/16*10.680159)+((F46*K46*L46/16*L46/16*10.680159)+(M46*N46/16*N46/16*10.680159*F46)+((O46/16*O46/16)*3.145*0.2836*((((G46*2)+(H46*2))*F46*12/P46))))*(1+J$72))*D46+D46*Q46/16*Q46/16*10.703064*S46*R46*(1+J$72)</f>
        <v>0</v>
      </c>
      <c r="U46" s="1926" t="n">
        <f aca="false">ROUNDUP((F46*G46/12*H46/324)*D46*(1+J$67),0)</f>
        <v>0</v>
      </c>
      <c r="V46" s="2083" t="n">
        <f aca="false">IF(D46=0,0,SUM(BE46:BM46)/D46*(1+L$58))</f>
        <v>0</v>
      </c>
      <c r="W46" s="601" t="n">
        <f aca="false">IF(D46=0,0,V46*D46)</f>
        <v>0</v>
      </c>
      <c r="X46" s="907" t="n">
        <f aca="false">(G46*2+H46*2)/12*F46*D46</f>
        <v>0</v>
      </c>
      <c r="Y46" s="908" t="n">
        <f aca="false">T46</f>
        <v>0</v>
      </c>
      <c r="Z46" s="908" t="n">
        <f aca="false">AZ46</f>
        <v>0</v>
      </c>
      <c r="AA46" s="909" t="n">
        <f aca="false">D46</f>
        <v>0</v>
      </c>
      <c r="AN46" s="0" t="n">
        <f aca="false">IF(E46=1,U46,0)</f>
        <v>0</v>
      </c>
      <c r="AO46" s="0" t="n">
        <f aca="false">IF($E46=2,U46,0)</f>
        <v>0</v>
      </c>
      <c r="AP46" s="0" t="n">
        <f aca="false">IF($E46=3,U46,0)</f>
        <v>0</v>
      </c>
      <c r="AQ46" s="0" t="n">
        <f aca="false">IF($E46=4,U46,0)</f>
        <v>0</v>
      </c>
      <c r="AR46" s="0" t="n">
        <f aca="false">IF($E46=5,U46,0)</f>
        <v>0</v>
      </c>
      <c r="AS46" s="0" t="n">
        <f aca="false">IF($E46=6,U46,0)</f>
        <v>0</v>
      </c>
      <c r="AT46" s="0" t="n">
        <f aca="false">IF($E46=7,$U46,0)</f>
        <v>0</v>
      </c>
      <c r="AU46" s="0" t="n">
        <f aca="false">IF($E46=8,$U46,0)</f>
        <v>0</v>
      </c>
      <c r="AV46" s="0" t="n">
        <f aca="false">IF($E46=9,$U46,0)</f>
        <v>0</v>
      </c>
      <c r="AW46" s="0" t="n">
        <f aca="false">IF($E46=10,$U46,0)</f>
        <v>0</v>
      </c>
      <c r="AX46" s="0" t="n">
        <f aca="false">SUM(AN46:AS46)</f>
        <v>0</v>
      </c>
      <c r="AY46" s="1242" t="n">
        <f aca="false">T46</f>
        <v>0</v>
      </c>
      <c r="AZ46" s="0" t="n">
        <f aca="false">F46*H46*G46/36*D46/2</f>
        <v>0</v>
      </c>
      <c r="BA46" s="0" t="n">
        <f aca="false">F46*H46*G46/36*D46</f>
        <v>0</v>
      </c>
      <c r="BE46" s="915" t="n">
        <f aca="false">T46*F$72*IF(T$57="N",(1+V$57),1)</f>
        <v>0</v>
      </c>
      <c r="BF46" s="291" t="n">
        <f aca="false">(AN46*Pricing!F$3+AO46*Pricing!G$3+AP46*Pricing!H$3+AQ46*Pricing!I$3+AR46*Pricing!J$3+AS46*Pricing!K$3+AT46*Pricing!L$3+AU46*Pricing!M$3+AV46*Pricing!N$3+AW46*Pricing!O$3)*IF(T$57="N",(1+V$57),1)</f>
        <v>0</v>
      </c>
      <c r="BG46" s="915" t="n">
        <f aca="false">IF(H$83=0,0,N$82/H$83*AZ46)</f>
        <v>0</v>
      </c>
      <c r="BH46" s="291" t="n">
        <f aca="false">AZ46*(G$83)</f>
        <v>0</v>
      </c>
      <c r="BI46" s="291" t="n">
        <f aca="false">Z46*D$86</f>
        <v>0</v>
      </c>
      <c r="BJ46" s="291" t="n">
        <f aca="false">T46/2000*D$87</f>
        <v>0</v>
      </c>
      <c r="BK46" s="291" t="e">
        <f aca="false">N$88/D$54*F46</f>
        <v>#DIV/0!</v>
      </c>
      <c r="BL46" s="916" t="e">
        <f aca="false">N$89/H$86*Z46</f>
        <v>#DIV/0!</v>
      </c>
      <c r="BM46" s="918" t="n">
        <f aca="false">IF(H$83=0,0,(SUM(N$92:O$95)+SUM(N$97:O$102)+SUM(N$104:O$109)+SUM(N$75:O$80)+W$109)/H$83*AZ46)</f>
        <v>0</v>
      </c>
      <c r="BN46" s="291" t="e">
        <f aca="false">N$110/H$83*Z46</f>
        <v>#DIV/0!</v>
      </c>
      <c r="BO46" s="918" t="e">
        <f aca="false">SUM(BE46:BN46)</f>
        <v>#DIV/0!</v>
      </c>
      <c r="BP46" s="910" t="n">
        <f aca="false">V46*D46</f>
        <v>0</v>
      </c>
    </row>
    <row r="47" customFormat="false" ht="19.5" hidden="false" customHeight="true" outlineLevel="0" collapsed="false">
      <c r="A47" s="507"/>
      <c r="B47" s="1312"/>
      <c r="C47" s="78"/>
      <c r="D47" s="2081"/>
      <c r="E47" s="528"/>
      <c r="F47" s="2082"/>
      <c r="G47" s="1234"/>
      <c r="H47" s="1235"/>
      <c r="I47" s="1236"/>
      <c r="J47" s="1235"/>
      <c r="K47" s="1236"/>
      <c r="L47" s="1235"/>
      <c r="M47" s="1236"/>
      <c r="N47" s="1235"/>
      <c r="O47" s="1236"/>
      <c r="P47" s="1235"/>
      <c r="Q47" s="1236"/>
      <c r="R47" s="1234"/>
      <c r="S47" s="1923"/>
      <c r="T47" s="1240" t="n">
        <f aca="false">IF(P47=0,0,(F47*I47*J47/16*J47/16*10.680159)+((F47*K47*L47/16*L47/16*10.680159)+(M47*N47/16*N47/16*10.680159*F47)+((O47/16*O47/16)*3.145*0.2836*((((G47*2)+(H47*2))*F47*12/P47))))*(1+J$72))*D47+D47*Q47/16*Q47/16*10.703064*S47*R47*(1+J$72)</f>
        <v>0</v>
      </c>
      <c r="U47" s="1926" t="n">
        <f aca="false">ROUNDUP((F47*G47/12*H47/324)*D47*(1+J$67),0)</f>
        <v>0</v>
      </c>
      <c r="V47" s="2083" t="n">
        <f aca="false">IF(D47=0,0,SUM(BE47:BM47)/D47*(1+L$58))</f>
        <v>0</v>
      </c>
      <c r="W47" s="601" t="n">
        <f aca="false">IF(D47=0,0,V47*D47)</f>
        <v>0</v>
      </c>
      <c r="X47" s="907" t="n">
        <f aca="false">(G47*2+H47*2)/12*F47*D47</f>
        <v>0</v>
      </c>
      <c r="Y47" s="908" t="n">
        <f aca="false">T47</f>
        <v>0</v>
      </c>
      <c r="Z47" s="908" t="n">
        <f aca="false">AZ47</f>
        <v>0</v>
      </c>
      <c r="AA47" s="909" t="n">
        <f aca="false">D47</f>
        <v>0</v>
      </c>
      <c r="AN47" s="0" t="n">
        <f aca="false">IF(E47=1,U47,0)</f>
        <v>0</v>
      </c>
      <c r="AO47" s="0" t="n">
        <f aca="false">IF($E47=2,U47,0)</f>
        <v>0</v>
      </c>
      <c r="AP47" s="0" t="n">
        <f aca="false">IF($E47=3,U47,0)</f>
        <v>0</v>
      </c>
      <c r="AQ47" s="0" t="n">
        <f aca="false">IF($E47=4,U47,0)</f>
        <v>0</v>
      </c>
      <c r="AR47" s="0" t="n">
        <f aca="false">IF($E47=5,U47,0)</f>
        <v>0</v>
      </c>
      <c r="AS47" s="0" t="n">
        <f aca="false">IF($E47=6,U47,0)</f>
        <v>0</v>
      </c>
      <c r="AT47" s="0" t="n">
        <f aca="false">IF($E47=7,$U47,0)</f>
        <v>0</v>
      </c>
      <c r="AU47" s="0" t="n">
        <f aca="false">IF($E47=8,$U47,0)</f>
        <v>0</v>
      </c>
      <c r="AV47" s="0" t="n">
        <f aca="false">IF($E47=9,$U47,0)</f>
        <v>0</v>
      </c>
      <c r="AW47" s="0" t="n">
        <f aca="false">IF($E47=10,$U47,0)</f>
        <v>0</v>
      </c>
      <c r="AX47" s="0" t="n">
        <f aca="false">SUM(AN47:AS47)</f>
        <v>0</v>
      </c>
      <c r="AY47" s="1242" t="n">
        <f aca="false">T47</f>
        <v>0</v>
      </c>
      <c r="AZ47" s="0" t="n">
        <f aca="false">F47*H47*G47/36*D47/2</f>
        <v>0</v>
      </c>
      <c r="BA47" s="0" t="n">
        <f aca="false">F47*H47*G47/36*D47</f>
        <v>0</v>
      </c>
      <c r="BE47" s="915" t="n">
        <f aca="false">T47*F$72*IF(T$57="N",(1+V$57),1)</f>
        <v>0</v>
      </c>
      <c r="BF47" s="291" t="n">
        <f aca="false">(AN47*Pricing!F$3+AO47*Pricing!G$3+AP47*Pricing!H$3+AQ47*Pricing!I$3+AR47*Pricing!J$3+AS47*Pricing!K$3+AT47*Pricing!L$3+AU47*Pricing!M$3+AV47*Pricing!N$3+AW47*Pricing!O$3)*IF(T$57="N",(1+V$57),1)</f>
        <v>0</v>
      </c>
      <c r="BG47" s="915" t="n">
        <f aca="false">IF(H$83=0,0,N$82/H$83*AZ47)</f>
        <v>0</v>
      </c>
      <c r="BH47" s="291" t="n">
        <f aca="false">AZ47*(G$83)</f>
        <v>0</v>
      </c>
      <c r="BI47" s="291" t="n">
        <f aca="false">Z47*D$86</f>
        <v>0</v>
      </c>
      <c r="BJ47" s="291" t="n">
        <f aca="false">T47/2000*D$87</f>
        <v>0</v>
      </c>
      <c r="BK47" s="291" t="e">
        <f aca="false">N$88/D$54*F47</f>
        <v>#DIV/0!</v>
      </c>
      <c r="BL47" s="916" t="e">
        <f aca="false">N$89/H$86*Z47</f>
        <v>#DIV/0!</v>
      </c>
      <c r="BM47" s="918" t="n">
        <f aca="false">IF(H$83=0,0,(SUM(N$92:O$95)+SUM(N$97:O$102)+SUM(N$104:O$109)+SUM(N$75:O$80)+W$109)/H$83*AZ47)</f>
        <v>0</v>
      </c>
      <c r="BN47" s="291" t="e">
        <f aca="false">N$110/H$83*Z47</f>
        <v>#DIV/0!</v>
      </c>
      <c r="BO47" s="918" t="e">
        <f aca="false">SUM(BE47:BN47)</f>
        <v>#DIV/0!</v>
      </c>
      <c r="BP47" s="910" t="n">
        <f aca="false">V47*D47</f>
        <v>0</v>
      </c>
    </row>
    <row r="48" customFormat="false" ht="19.5" hidden="false" customHeight="true" outlineLevel="0" collapsed="false">
      <c r="A48" s="507"/>
      <c r="B48" s="1312"/>
      <c r="C48" s="78"/>
      <c r="D48" s="2081"/>
      <c r="E48" s="528"/>
      <c r="F48" s="2082"/>
      <c r="G48" s="1234"/>
      <c r="H48" s="1235"/>
      <c r="I48" s="1236"/>
      <c r="J48" s="1235"/>
      <c r="K48" s="1236"/>
      <c r="L48" s="1235"/>
      <c r="M48" s="1236"/>
      <c r="N48" s="1235"/>
      <c r="O48" s="1236"/>
      <c r="P48" s="1235"/>
      <c r="Q48" s="1236"/>
      <c r="R48" s="1234"/>
      <c r="S48" s="1923"/>
      <c r="T48" s="1240" t="n">
        <f aca="false">IF(P48=0,0,(F48*I48*J48/16*J48/16*10.680159)+((F48*K48*L48/16*L48/16*10.680159)+(M48*N48/16*N48/16*10.680159*F48)+((O48/16*O48/16)*3.145*0.2836*((((G48*2)+(H48*2))*F48*12/P48))))*(1+J$72))*D48+D48*Q48/16*Q48/16*10.703064*S48*R48*(1+J$72)</f>
        <v>0</v>
      </c>
      <c r="U48" s="1926" t="n">
        <f aca="false">ROUNDUP((F48*G48/12*H48/324)*D48*(1+J$67),0)</f>
        <v>0</v>
      </c>
      <c r="V48" s="2083" t="n">
        <f aca="false">IF(D48=0,0,SUM(BE48:BM48)/D48*(1+L$58))</f>
        <v>0</v>
      </c>
      <c r="W48" s="601" t="n">
        <f aca="false">IF(D48=0,0,V48*D48)</f>
        <v>0</v>
      </c>
      <c r="X48" s="907" t="n">
        <f aca="false">(G48*2+H48*2)/12*F48*D48</f>
        <v>0</v>
      </c>
      <c r="Y48" s="908" t="n">
        <f aca="false">T48</f>
        <v>0</v>
      </c>
      <c r="Z48" s="908" t="n">
        <f aca="false">AZ48</f>
        <v>0</v>
      </c>
      <c r="AA48" s="909" t="n">
        <f aca="false">D48</f>
        <v>0</v>
      </c>
      <c r="AN48" s="0" t="n">
        <f aca="false">IF(E48=1,U48,0)</f>
        <v>0</v>
      </c>
      <c r="AO48" s="0" t="n">
        <f aca="false">IF($E48=2,U48,0)</f>
        <v>0</v>
      </c>
      <c r="AP48" s="0" t="n">
        <f aca="false">IF($E48=3,U48,0)</f>
        <v>0</v>
      </c>
      <c r="AQ48" s="0" t="n">
        <f aca="false">IF($E48=4,U48,0)</f>
        <v>0</v>
      </c>
      <c r="AR48" s="0" t="n">
        <f aca="false">IF($E48=5,U48,0)</f>
        <v>0</v>
      </c>
      <c r="AS48" s="0" t="n">
        <f aca="false">IF($E48=6,U48,0)</f>
        <v>0</v>
      </c>
      <c r="AT48" s="0" t="n">
        <f aca="false">IF($E48=7,$U48,0)</f>
        <v>0</v>
      </c>
      <c r="AU48" s="0" t="n">
        <f aca="false">IF($E48=8,$U48,0)</f>
        <v>0</v>
      </c>
      <c r="AV48" s="0" t="n">
        <f aca="false">IF($E48=9,$U48,0)</f>
        <v>0</v>
      </c>
      <c r="AW48" s="0" t="n">
        <f aca="false">IF($E48=10,$U48,0)</f>
        <v>0</v>
      </c>
      <c r="AX48" s="0" t="n">
        <f aca="false">SUM(AN48:AS48)</f>
        <v>0</v>
      </c>
      <c r="AY48" s="1242" t="n">
        <f aca="false">T48</f>
        <v>0</v>
      </c>
      <c r="AZ48" s="0" t="n">
        <f aca="false">F48*H48*G48/36*D48/2</f>
        <v>0</v>
      </c>
      <c r="BA48" s="0" t="n">
        <f aca="false">F48*H48*G48/36*D48</f>
        <v>0</v>
      </c>
      <c r="BE48" s="915" t="n">
        <f aca="false">T48*F$72*IF(T$57="N",(1+V$57),1)</f>
        <v>0</v>
      </c>
      <c r="BF48" s="291" t="n">
        <f aca="false">(AN48*Pricing!F$3+AO48*Pricing!G$3+AP48*Pricing!H$3+AQ48*Pricing!I$3+AR48*Pricing!J$3+AS48*Pricing!K$3+AT48*Pricing!L$3+AU48*Pricing!M$3+AV48*Pricing!N$3+AW48*Pricing!O$3)*IF(T$57="N",(1+V$57),1)</f>
        <v>0</v>
      </c>
      <c r="BG48" s="915" t="n">
        <f aca="false">IF(H$83=0,0,N$82/H$83*AZ48)</f>
        <v>0</v>
      </c>
      <c r="BH48" s="291" t="n">
        <f aca="false">AZ48*(G$83)</f>
        <v>0</v>
      </c>
      <c r="BI48" s="291" t="n">
        <f aca="false">Z48*D$86</f>
        <v>0</v>
      </c>
      <c r="BJ48" s="291" t="n">
        <f aca="false">T48/2000*D$87</f>
        <v>0</v>
      </c>
      <c r="BK48" s="291" t="e">
        <f aca="false">N$88/D$54*F48</f>
        <v>#DIV/0!</v>
      </c>
      <c r="BL48" s="916" t="e">
        <f aca="false">N$89/H$86*Z48</f>
        <v>#DIV/0!</v>
      </c>
      <c r="BM48" s="918" t="n">
        <f aca="false">IF(H$83=0,0,(SUM(N$92:O$95)+SUM(N$97:O$102)+SUM(N$104:O$109)+SUM(N$75:O$80)+W$109)/H$83*AZ48)</f>
        <v>0</v>
      </c>
      <c r="BN48" s="291" t="e">
        <f aca="false">N$110/H$83*Z48</f>
        <v>#DIV/0!</v>
      </c>
      <c r="BO48" s="918" t="e">
        <f aca="false">SUM(BE48:BN48)</f>
        <v>#DIV/0!</v>
      </c>
      <c r="BP48" s="910" t="n">
        <f aca="false">V48*D48</f>
        <v>0</v>
      </c>
    </row>
    <row r="49" customFormat="false" ht="19.5" hidden="false" customHeight="true" outlineLevel="0" collapsed="false">
      <c r="A49" s="507"/>
      <c r="B49" s="1312"/>
      <c r="C49" s="78"/>
      <c r="D49" s="2081"/>
      <c r="E49" s="528"/>
      <c r="F49" s="2082"/>
      <c r="G49" s="1234"/>
      <c r="H49" s="1235"/>
      <c r="I49" s="1236"/>
      <c r="J49" s="1235"/>
      <c r="K49" s="1236"/>
      <c r="L49" s="1235"/>
      <c r="M49" s="1236"/>
      <c r="N49" s="1235"/>
      <c r="O49" s="1236"/>
      <c r="P49" s="1235"/>
      <c r="Q49" s="1236"/>
      <c r="R49" s="1234"/>
      <c r="S49" s="1923"/>
      <c r="T49" s="1240" t="n">
        <f aca="false">IF(P49=0,0,(F49*I49*J49/16*J49/16*10.680159)+((F49*K49*L49/16*L49/16*10.680159)+(M49*N49/16*N49/16*10.680159*F49)+((O49/16*O49/16)*3.145*0.2836*((((G49*2)+(H49*2))*F49*12/P49))))*(1+J$72))*D49+D49*Q49/16*Q49/16*10.703064*S49*R49*(1+J$72)</f>
        <v>0</v>
      </c>
      <c r="U49" s="1926" t="n">
        <f aca="false">ROUNDUP((F49*G49/12*H49/324)*D49*(1+J$67),0)</f>
        <v>0</v>
      </c>
      <c r="V49" s="2083" t="n">
        <f aca="false">IF(D49=0,0,SUM(BE49:BM49)/D49*(1+L$58))</f>
        <v>0</v>
      </c>
      <c r="W49" s="601" t="n">
        <f aca="false">IF(D49=0,0,V49*D49)</f>
        <v>0</v>
      </c>
      <c r="X49" s="907" t="n">
        <f aca="false">(G49*2+H49*2)/12*F49*D49</f>
        <v>0</v>
      </c>
      <c r="Y49" s="908" t="n">
        <f aca="false">T49</f>
        <v>0</v>
      </c>
      <c r="Z49" s="908" t="n">
        <f aca="false">AZ49</f>
        <v>0</v>
      </c>
      <c r="AA49" s="909" t="n">
        <f aca="false">D49</f>
        <v>0</v>
      </c>
      <c r="AN49" s="0" t="n">
        <f aca="false">IF(E49=1,U49,0)</f>
        <v>0</v>
      </c>
      <c r="AO49" s="0" t="n">
        <f aca="false">IF($E49=2,U49,0)</f>
        <v>0</v>
      </c>
      <c r="AP49" s="0" t="n">
        <f aca="false">IF($E49=3,U49,0)</f>
        <v>0</v>
      </c>
      <c r="AQ49" s="0" t="n">
        <f aca="false">IF($E49=4,U49,0)</f>
        <v>0</v>
      </c>
      <c r="AR49" s="0" t="n">
        <f aca="false">IF($E49=5,U49,0)</f>
        <v>0</v>
      </c>
      <c r="AS49" s="0" t="n">
        <f aca="false">IF($E49=6,U49,0)</f>
        <v>0</v>
      </c>
      <c r="AT49" s="0" t="n">
        <f aca="false">IF($E49=7,$U49,0)</f>
        <v>0</v>
      </c>
      <c r="AU49" s="0" t="n">
        <f aca="false">IF($E49=8,$U49,0)</f>
        <v>0</v>
      </c>
      <c r="AV49" s="0" t="n">
        <f aca="false">IF($E49=9,$U49,0)</f>
        <v>0</v>
      </c>
      <c r="AW49" s="0" t="n">
        <f aca="false">IF($E49=10,$U49,0)</f>
        <v>0</v>
      </c>
      <c r="AX49" s="0" t="n">
        <f aca="false">SUM(AN49:AS49)</f>
        <v>0</v>
      </c>
      <c r="AY49" s="1242" t="n">
        <f aca="false">T49</f>
        <v>0</v>
      </c>
      <c r="AZ49" s="0" t="n">
        <f aca="false">F49*H49*G49/36*D49/2</f>
        <v>0</v>
      </c>
      <c r="BA49" s="0" t="n">
        <f aca="false">F49*H49*G49/36*D49</f>
        <v>0</v>
      </c>
      <c r="BE49" s="915" t="n">
        <f aca="false">T49*F$72*IF(T$57="N",(1+V$57),1)</f>
        <v>0</v>
      </c>
      <c r="BF49" s="291" t="n">
        <f aca="false">(AN49*Pricing!F$3+AO49*Pricing!G$3+AP49*Pricing!H$3+AQ49*Pricing!I$3+AR49*Pricing!J$3+AS49*Pricing!K$3+AT49*Pricing!L$3+AU49*Pricing!M$3+AV49*Pricing!N$3+AW49*Pricing!O$3)*IF(T$57="N",(1+V$57),1)</f>
        <v>0</v>
      </c>
      <c r="BG49" s="915" t="n">
        <f aca="false">IF(H$83=0,0,N$82/H$83*AZ49)</f>
        <v>0</v>
      </c>
      <c r="BH49" s="291" t="n">
        <f aca="false">AZ49*(G$83)</f>
        <v>0</v>
      </c>
      <c r="BI49" s="291" t="n">
        <f aca="false">Z49*D$86</f>
        <v>0</v>
      </c>
      <c r="BJ49" s="291" t="n">
        <f aca="false">T49/2000*D$87</f>
        <v>0</v>
      </c>
      <c r="BK49" s="291" t="e">
        <f aca="false">N$88/D$54*F49</f>
        <v>#DIV/0!</v>
      </c>
      <c r="BL49" s="916" t="e">
        <f aca="false">N$89/H$86*Z49</f>
        <v>#DIV/0!</v>
      </c>
      <c r="BM49" s="918" t="n">
        <f aca="false">IF(H$83=0,0,(SUM(N$92:O$95)+SUM(N$97:O$102)+SUM(N$104:O$109)+SUM(N$75:O$80)+W$109)/H$83*AZ49)</f>
        <v>0</v>
      </c>
      <c r="BN49" s="291" t="e">
        <f aca="false">N$110/H$83*Z49</f>
        <v>#DIV/0!</v>
      </c>
      <c r="BO49" s="918" t="e">
        <f aca="false">SUM(BE49:BN49)</f>
        <v>#DIV/0!</v>
      </c>
      <c r="BP49" s="910" t="n">
        <f aca="false">V49*D49</f>
        <v>0</v>
      </c>
    </row>
    <row r="50" customFormat="false" ht="19.5" hidden="false" customHeight="true" outlineLevel="0" collapsed="false">
      <c r="A50" s="507"/>
      <c r="B50" s="1312"/>
      <c r="C50" s="78"/>
      <c r="D50" s="2081"/>
      <c r="E50" s="528"/>
      <c r="F50" s="2082"/>
      <c r="G50" s="1234"/>
      <c r="H50" s="1235"/>
      <c r="I50" s="1236"/>
      <c r="J50" s="1235"/>
      <c r="K50" s="1236"/>
      <c r="L50" s="1235"/>
      <c r="M50" s="1236"/>
      <c r="N50" s="1235"/>
      <c r="O50" s="1236"/>
      <c r="P50" s="1235"/>
      <c r="Q50" s="1236"/>
      <c r="R50" s="1234"/>
      <c r="S50" s="1923"/>
      <c r="T50" s="1240" t="n">
        <f aca="false">IF(P50=0,0,(F50*I50*J50/16*J50/16*10.680159)+((F50*K50*L50/16*L50/16*10.680159)+(M50*N50/16*N50/16*10.680159*F50)+((O50/16*O50/16)*3.145*0.2836*((((G50*2)+(H50*2))*F50*12/P50))))*(1+J$72))*D50+D50*Q50/16*Q50/16*10.703064*S50*R50*(1+J$72)</f>
        <v>0</v>
      </c>
      <c r="U50" s="1926" t="n">
        <f aca="false">ROUNDUP((F50*G50/12*H50/324)*D50*(1+J$67),0)</f>
        <v>0</v>
      </c>
      <c r="V50" s="2083" t="n">
        <f aca="false">IF(D50=0,0,SUM(BE50:BM50)/D50*(1+L$58))</f>
        <v>0</v>
      </c>
      <c r="W50" s="601" t="n">
        <f aca="false">IF(D50=0,0,V50*D50)</f>
        <v>0</v>
      </c>
      <c r="X50" s="907" t="n">
        <f aca="false">(G50*2+H50*2)/12*F50*D50</f>
        <v>0</v>
      </c>
      <c r="Y50" s="908" t="n">
        <f aca="false">T50</f>
        <v>0</v>
      </c>
      <c r="Z50" s="908" t="n">
        <f aca="false">AZ50</f>
        <v>0</v>
      </c>
      <c r="AA50" s="909" t="n">
        <f aca="false">D50</f>
        <v>0</v>
      </c>
      <c r="AN50" s="0" t="n">
        <f aca="false">IF(E50=1,U50,0)</f>
        <v>0</v>
      </c>
      <c r="AO50" s="0" t="n">
        <f aca="false">IF($E50=2,U50,0)</f>
        <v>0</v>
      </c>
      <c r="AP50" s="0" t="n">
        <f aca="false">IF($E50=3,U50,0)</f>
        <v>0</v>
      </c>
      <c r="AQ50" s="0" t="n">
        <f aca="false">IF($E50=4,U50,0)</f>
        <v>0</v>
      </c>
      <c r="AR50" s="0" t="n">
        <f aca="false">IF($E50=5,U50,0)</f>
        <v>0</v>
      </c>
      <c r="AS50" s="0" t="n">
        <f aca="false">IF($E50=6,U50,0)</f>
        <v>0</v>
      </c>
      <c r="AT50" s="0" t="n">
        <f aca="false">IF($E50=7,$U50,0)</f>
        <v>0</v>
      </c>
      <c r="AU50" s="0" t="n">
        <f aca="false">IF($E50=8,$U50,0)</f>
        <v>0</v>
      </c>
      <c r="AV50" s="0" t="n">
        <f aca="false">IF($E50=9,$U50,0)</f>
        <v>0</v>
      </c>
      <c r="AW50" s="0" t="n">
        <f aca="false">IF($E50=10,$U50,0)</f>
        <v>0</v>
      </c>
      <c r="AX50" s="0" t="n">
        <f aca="false">SUM(AN50:AS50)</f>
        <v>0</v>
      </c>
      <c r="AY50" s="1242" t="n">
        <f aca="false">T50</f>
        <v>0</v>
      </c>
      <c r="AZ50" s="0" t="n">
        <f aca="false">F50*H50*G50/36*D50/2</f>
        <v>0</v>
      </c>
      <c r="BA50" s="0" t="n">
        <f aca="false">F50*H50*G50/36*D50</f>
        <v>0</v>
      </c>
      <c r="BE50" s="915" t="n">
        <f aca="false">T50*F$72*IF(T$57="N",(1+V$57),1)</f>
        <v>0</v>
      </c>
      <c r="BF50" s="291" t="n">
        <f aca="false">(AN50*Pricing!F$3+AO50*Pricing!G$3+AP50*Pricing!H$3+AQ50*Pricing!I$3+AR50*Pricing!J$3+AS50*Pricing!K$3+AT50*Pricing!L$3+AU50*Pricing!M$3+AV50*Pricing!N$3+AW50*Pricing!O$3)*IF(T$57="N",(1+V$57),1)</f>
        <v>0</v>
      </c>
      <c r="BG50" s="915" t="n">
        <f aca="false">IF(H$83=0,0,N$82/H$83*AZ50)</f>
        <v>0</v>
      </c>
      <c r="BH50" s="291" t="n">
        <f aca="false">AZ50*(G$83)</f>
        <v>0</v>
      </c>
      <c r="BI50" s="291" t="n">
        <f aca="false">Z50*D$86</f>
        <v>0</v>
      </c>
      <c r="BJ50" s="291" t="n">
        <f aca="false">T50/2000*D$87</f>
        <v>0</v>
      </c>
      <c r="BK50" s="291" t="e">
        <f aca="false">N$88/D$54*F50</f>
        <v>#DIV/0!</v>
      </c>
      <c r="BL50" s="916" t="e">
        <f aca="false">N$89/H$86*Z50</f>
        <v>#DIV/0!</v>
      </c>
      <c r="BM50" s="918" t="n">
        <f aca="false">IF(H$83=0,0,(SUM(N$92:O$95)+SUM(N$97:O$102)+SUM(N$104:O$109)+SUM(N$75:O$80)+W$109)/H$83*AZ50)</f>
        <v>0</v>
      </c>
      <c r="BN50" s="291" t="e">
        <f aca="false">N$110/H$83*Z50</f>
        <v>#DIV/0!</v>
      </c>
      <c r="BO50" s="918" t="e">
        <f aca="false">SUM(BE50:BN50)</f>
        <v>#DIV/0!</v>
      </c>
      <c r="BP50" s="910" t="n">
        <f aca="false">V50*D50</f>
        <v>0</v>
      </c>
    </row>
    <row r="51" customFormat="false" ht="19.5" hidden="false" customHeight="true" outlineLevel="0" collapsed="false">
      <c r="A51" s="507"/>
      <c r="B51" s="1312"/>
      <c r="C51" s="78"/>
      <c r="D51" s="2081"/>
      <c r="E51" s="528"/>
      <c r="F51" s="2082"/>
      <c r="G51" s="1234"/>
      <c r="H51" s="1235"/>
      <c r="I51" s="1236"/>
      <c r="J51" s="1235"/>
      <c r="K51" s="1236"/>
      <c r="L51" s="1235"/>
      <c r="M51" s="1236"/>
      <c r="N51" s="1235"/>
      <c r="O51" s="1236"/>
      <c r="P51" s="1235"/>
      <c r="Q51" s="1236"/>
      <c r="R51" s="1234"/>
      <c r="S51" s="1923"/>
      <c r="T51" s="1240" t="n">
        <f aca="false">IF(P51=0,0,(F51*I51*J51/16*J51/16*10.680159)+((F51*K51*L51/16*L51/16*10.680159)+(M51*N51/16*N51/16*10.680159*F51)+((O51/16*O51/16)*3.145*0.2836*((((G51*2)+(H51*2))*F51*12/P51))))*(1+J$72))*D51+D51*Q51/16*Q51/16*10.703064*S51*R51*(1+J$72)</f>
        <v>0</v>
      </c>
      <c r="U51" s="1926" t="n">
        <f aca="false">ROUNDUP((F51*G51/12*H51/324)*D51*(1+J$67),0)</f>
        <v>0</v>
      </c>
      <c r="V51" s="2083" t="n">
        <f aca="false">IF(D51=0,0,SUM(BE51:BM51)/D51*(1+L$58))</f>
        <v>0</v>
      </c>
      <c r="W51" s="601" t="n">
        <f aca="false">IF(D51=0,0,V51*D51)</f>
        <v>0</v>
      </c>
      <c r="X51" s="907" t="n">
        <f aca="false">(G51*2+H51*2)/12*F51*D51</f>
        <v>0</v>
      </c>
      <c r="Y51" s="908" t="n">
        <f aca="false">T51</f>
        <v>0</v>
      </c>
      <c r="Z51" s="908" t="n">
        <f aca="false">AZ51</f>
        <v>0</v>
      </c>
      <c r="AA51" s="909" t="n">
        <f aca="false">D51</f>
        <v>0</v>
      </c>
      <c r="AN51" s="0" t="n">
        <f aca="false">IF(E51=1,U51,0)</f>
        <v>0</v>
      </c>
      <c r="AO51" s="0" t="n">
        <f aca="false">IF($E51=2,U51,0)</f>
        <v>0</v>
      </c>
      <c r="AP51" s="0" t="n">
        <f aca="false">IF($E51=3,U51,0)</f>
        <v>0</v>
      </c>
      <c r="AQ51" s="0" t="n">
        <f aca="false">IF($E51=4,U51,0)</f>
        <v>0</v>
      </c>
      <c r="AR51" s="0" t="n">
        <f aca="false">IF($E51=5,U51,0)</f>
        <v>0</v>
      </c>
      <c r="AS51" s="0" t="n">
        <f aca="false">IF($E51=6,U51,0)</f>
        <v>0</v>
      </c>
      <c r="AT51" s="0" t="n">
        <f aca="false">IF($E51=7,$U51,0)</f>
        <v>0</v>
      </c>
      <c r="AU51" s="0" t="n">
        <f aca="false">IF($E51=8,$U51,0)</f>
        <v>0</v>
      </c>
      <c r="AV51" s="0" t="n">
        <f aca="false">IF($E51=9,$U51,0)</f>
        <v>0</v>
      </c>
      <c r="AW51" s="0" t="n">
        <f aca="false">IF($E51=10,$U51,0)</f>
        <v>0</v>
      </c>
      <c r="AX51" s="0" t="n">
        <f aca="false">SUM(AN51:AS51)</f>
        <v>0</v>
      </c>
      <c r="AY51" s="1242" t="n">
        <f aca="false">T51</f>
        <v>0</v>
      </c>
      <c r="AZ51" s="0" t="n">
        <f aca="false">F51*H51*G51/36*D51/2</f>
        <v>0</v>
      </c>
      <c r="BA51" s="0" t="n">
        <f aca="false">F51*H51*G51/36*D51</f>
        <v>0</v>
      </c>
      <c r="BE51" s="915" t="n">
        <f aca="false">T51*F$72*IF(T$57="N",(1+V$57),1)</f>
        <v>0</v>
      </c>
      <c r="BF51" s="291" t="n">
        <f aca="false">(AN51*Pricing!F$3+AO51*Pricing!G$3+AP51*Pricing!H$3+AQ51*Pricing!I$3+AR51*Pricing!J$3+AS51*Pricing!K$3+AT51*Pricing!L$3+AU51*Pricing!M$3+AV51*Pricing!N$3+AW51*Pricing!O$3)*IF(T$57="N",(1+V$57),1)</f>
        <v>0</v>
      </c>
      <c r="BG51" s="915" t="n">
        <f aca="false">IF(H$83=0,0,N$82/H$83*AZ51)</f>
        <v>0</v>
      </c>
      <c r="BH51" s="291" t="n">
        <f aca="false">AZ51*(G$83)</f>
        <v>0</v>
      </c>
      <c r="BI51" s="291" t="n">
        <f aca="false">Z51*D$86</f>
        <v>0</v>
      </c>
      <c r="BJ51" s="291" t="n">
        <f aca="false">T51/2000*D$87</f>
        <v>0</v>
      </c>
      <c r="BK51" s="291" t="e">
        <f aca="false">N$88/D$54*F51</f>
        <v>#DIV/0!</v>
      </c>
      <c r="BL51" s="916" t="e">
        <f aca="false">N$89/H$86*Z51</f>
        <v>#DIV/0!</v>
      </c>
      <c r="BM51" s="918" t="n">
        <f aca="false">IF(H$83=0,0,(SUM(N$92:O$95)+SUM(N$97:O$102)+SUM(N$104:O$109)+SUM(N$75:O$80)+W$109)/H$83*AZ51)</f>
        <v>0</v>
      </c>
      <c r="BN51" s="291" t="e">
        <f aca="false">N$110/H$83*Z51</f>
        <v>#DIV/0!</v>
      </c>
      <c r="BO51" s="918" t="e">
        <f aca="false">SUM(BE51:BN51)</f>
        <v>#DIV/0!</v>
      </c>
      <c r="BP51" s="910" t="n">
        <f aca="false">V51*D51</f>
        <v>0</v>
      </c>
    </row>
    <row r="52" customFormat="false" ht="19.5" hidden="false" customHeight="true" outlineLevel="0" collapsed="false">
      <c r="A52" s="507"/>
      <c r="B52" s="1312"/>
      <c r="C52" s="78"/>
      <c r="D52" s="2081"/>
      <c r="E52" s="528"/>
      <c r="F52" s="2082"/>
      <c r="G52" s="1234"/>
      <c r="H52" s="1235"/>
      <c r="I52" s="1236"/>
      <c r="J52" s="1235"/>
      <c r="K52" s="1236"/>
      <c r="L52" s="1235"/>
      <c r="M52" s="1236"/>
      <c r="N52" s="1235"/>
      <c r="O52" s="1236"/>
      <c r="P52" s="1235"/>
      <c r="Q52" s="1236"/>
      <c r="R52" s="1234"/>
      <c r="S52" s="1923"/>
      <c r="T52" s="1240" t="n">
        <f aca="false">IF(P52=0,0,(F52*I52*J52/16*J52/16*10.680159)+((F52*K52*L52/16*L52/16*10.680159)+(M52*N52/16*N52/16*10.680159*F52)+((O52/16*O52/16)*3.145*0.2836*((((G52*2)+(H52*2))*F52*12/P52))))*(1+J$72))*D52+D52*Q52/16*Q52/16*10.703064*S52*R52*(1+J$72)</f>
        <v>0</v>
      </c>
      <c r="U52" s="1926" t="n">
        <f aca="false">ROUNDUP((F52*G52/12*H52/324)*D52*(1+J$67),0)</f>
        <v>0</v>
      </c>
      <c r="V52" s="2083" t="n">
        <f aca="false">IF(D52=0,0,SUM(BE52:BM52)/D52*(1+L$58))</f>
        <v>0</v>
      </c>
      <c r="W52" s="601" t="n">
        <f aca="false">IF(D52=0,0,V52*D52)</f>
        <v>0</v>
      </c>
      <c r="X52" s="907" t="n">
        <f aca="false">(G52*2+H52*2)/12*F52*D52</f>
        <v>0</v>
      </c>
      <c r="Y52" s="908" t="n">
        <f aca="false">T52</f>
        <v>0</v>
      </c>
      <c r="Z52" s="908" t="n">
        <f aca="false">AZ52</f>
        <v>0</v>
      </c>
      <c r="AA52" s="909" t="n">
        <f aca="false">D52</f>
        <v>0</v>
      </c>
      <c r="AN52" s="0" t="n">
        <f aca="false">IF(E52=1,U52,0)</f>
        <v>0</v>
      </c>
      <c r="AO52" s="0" t="n">
        <f aca="false">IF($E52=2,U52,0)</f>
        <v>0</v>
      </c>
      <c r="AP52" s="0" t="n">
        <f aca="false">IF($E52=3,U52,0)</f>
        <v>0</v>
      </c>
      <c r="AQ52" s="0" t="n">
        <f aca="false">IF($E52=4,U52,0)</f>
        <v>0</v>
      </c>
      <c r="AR52" s="0" t="n">
        <f aca="false">IF($E52=5,U52,0)</f>
        <v>0</v>
      </c>
      <c r="AS52" s="0" t="n">
        <f aca="false">IF($E52=6,U52,0)</f>
        <v>0</v>
      </c>
      <c r="AT52" s="0" t="n">
        <f aca="false">IF($E52=7,$U52,0)</f>
        <v>0</v>
      </c>
      <c r="AU52" s="0" t="n">
        <f aca="false">IF($E52=8,$U52,0)</f>
        <v>0</v>
      </c>
      <c r="AV52" s="0" t="n">
        <f aca="false">IF($E52=9,$U52,0)</f>
        <v>0</v>
      </c>
      <c r="AW52" s="0" t="n">
        <f aca="false">IF($E52=10,$U52,0)</f>
        <v>0</v>
      </c>
      <c r="AX52" s="0" t="n">
        <f aca="false">SUM(AN52:AS52)</f>
        <v>0</v>
      </c>
      <c r="AY52" s="1242" t="n">
        <f aca="false">T52</f>
        <v>0</v>
      </c>
      <c r="AZ52" s="0" t="n">
        <f aca="false">F52*H52*G52/36*D52/2</f>
        <v>0</v>
      </c>
      <c r="BA52" s="0" t="n">
        <f aca="false">F52*H52*G52/36*D52</f>
        <v>0</v>
      </c>
      <c r="BE52" s="915" t="n">
        <f aca="false">T52*F$72*IF(T$57="N",(1+V$57),1)</f>
        <v>0</v>
      </c>
      <c r="BF52" s="291" t="n">
        <f aca="false">(AN52*Pricing!F$3+AO52*Pricing!G$3+AP52*Pricing!H$3+AQ52*Pricing!I$3+AR52*Pricing!J$3+AS52*Pricing!K$3+AT52*Pricing!L$3+AU52*Pricing!M$3+AV52*Pricing!N$3+AW52*Pricing!O$3)*IF(T$57="N",(1+V$57),1)</f>
        <v>0</v>
      </c>
      <c r="BG52" s="915" t="n">
        <f aca="false">IF(H$83=0,0,N$82/H$83*AZ52)</f>
        <v>0</v>
      </c>
      <c r="BH52" s="291" t="n">
        <f aca="false">AZ52*(G$83)</f>
        <v>0</v>
      </c>
      <c r="BI52" s="291" t="n">
        <f aca="false">Z52*D$86</f>
        <v>0</v>
      </c>
      <c r="BJ52" s="291" t="n">
        <f aca="false">T52/2000*D$87</f>
        <v>0</v>
      </c>
      <c r="BK52" s="291" t="e">
        <f aca="false">N$88/D$54*F52</f>
        <v>#DIV/0!</v>
      </c>
      <c r="BL52" s="916" t="e">
        <f aca="false">N$89/H$86*Z52</f>
        <v>#DIV/0!</v>
      </c>
      <c r="BM52" s="918" t="n">
        <f aca="false">IF(H$83=0,0,(SUM(N$92:O$95)+SUM(N$97:O$102)+SUM(N$104:O$109)+SUM(N$75:O$80)+W$109)/H$83*AZ52)</f>
        <v>0</v>
      </c>
      <c r="BN52" s="291" t="e">
        <f aca="false">N$110/H$83*Z52</f>
        <v>#DIV/0!</v>
      </c>
      <c r="BO52" s="918" t="e">
        <f aca="false">SUM(BE52:BN52)</f>
        <v>#DIV/0!</v>
      </c>
      <c r="BP52" s="910" t="n">
        <f aca="false">V52*D52</f>
        <v>0</v>
      </c>
    </row>
    <row r="53" customFormat="false" ht="19.5" hidden="false" customHeight="true" outlineLevel="0" collapsed="false">
      <c r="A53" s="507"/>
      <c r="B53" s="1312"/>
      <c r="C53" s="78"/>
      <c r="D53" s="2081"/>
      <c r="E53" s="528"/>
      <c r="F53" s="2082"/>
      <c r="G53" s="1234"/>
      <c r="H53" s="1235"/>
      <c r="I53" s="1236"/>
      <c r="J53" s="1235"/>
      <c r="K53" s="1236"/>
      <c r="L53" s="1235"/>
      <c r="M53" s="1236"/>
      <c r="N53" s="1235"/>
      <c r="O53" s="1236"/>
      <c r="P53" s="1235"/>
      <c r="Q53" s="1236"/>
      <c r="R53" s="1234"/>
      <c r="S53" s="1923"/>
      <c r="T53" s="1240" t="n">
        <f aca="false">IF(P53=0,0,(F53*I53*J53/16*J53/16*10.680159)+((F53*K53*L53/16*L53/16*10.680159)+(M53*N53/16*N53/16*10.680159*F53)+((O53/16*O53/16)*3.145*0.2836*((((G53*2)+(H53*2))*F53*12/P53))))*(1+J$72))*D53+D53*Q53/16*Q53/16*10.703064*S53*R53*(1+J$72)</f>
        <v>0</v>
      </c>
      <c r="U53" s="1926" t="n">
        <f aca="false">ROUNDUP((F53*G53/12*H53/324)*D53*(1+J$67),0)</f>
        <v>0</v>
      </c>
      <c r="V53" s="2083" t="n">
        <f aca="false">IF(D53=0,0,SUM(BE53:BM53)/D53*(1+L$58))</f>
        <v>0</v>
      </c>
      <c r="W53" s="601" t="n">
        <f aca="false">IF(D53=0,0,V53*D53)</f>
        <v>0</v>
      </c>
      <c r="X53" s="2084" t="n">
        <f aca="false">(G53*2+H53*2)/12*F53*D53</f>
        <v>0</v>
      </c>
      <c r="Y53" s="2085" t="n">
        <f aca="false">T53</f>
        <v>0</v>
      </c>
      <c r="Z53" s="2085" t="n">
        <f aca="false">AZ53</f>
        <v>0</v>
      </c>
      <c r="AA53" s="2086" t="n">
        <f aca="false">D53</f>
        <v>0</v>
      </c>
      <c r="AB53" s="16"/>
      <c r="AC53" s="16"/>
      <c r="AD53" s="16"/>
      <c r="AE53" s="16"/>
      <c r="AN53" s="0" t="n">
        <f aca="false">IF(E53=1,U53,0)</f>
        <v>0</v>
      </c>
      <c r="AO53" s="0" t="n">
        <f aca="false">IF($E53=2,U53,0)</f>
        <v>0</v>
      </c>
      <c r="AP53" s="0" t="n">
        <f aca="false">IF($E53=3,U53,0)</f>
        <v>0</v>
      </c>
      <c r="AQ53" s="0" t="n">
        <f aca="false">IF($E53=4,U53,0)</f>
        <v>0</v>
      </c>
      <c r="AR53" s="0" t="n">
        <f aca="false">IF($E53=5,U53,0)</f>
        <v>0</v>
      </c>
      <c r="AS53" s="0" t="n">
        <f aca="false">IF($E53=6,U53,0)</f>
        <v>0</v>
      </c>
      <c r="AT53" s="0" t="n">
        <f aca="false">IF($E53=7,$U53,0)</f>
        <v>0</v>
      </c>
      <c r="AU53" s="0" t="n">
        <f aca="false">IF($E53=8,$U53,0)</f>
        <v>0</v>
      </c>
      <c r="AV53" s="0" t="n">
        <f aca="false">IF($E53=9,$U53,0)</f>
        <v>0</v>
      </c>
      <c r="AW53" s="0" t="n">
        <f aca="false">IF($E53=10,$U53,0)</f>
        <v>0</v>
      </c>
      <c r="AX53" s="0" t="n">
        <f aca="false">SUM(AN53:AS53)</f>
        <v>0</v>
      </c>
      <c r="AY53" s="1242" t="n">
        <f aca="false">T53</f>
        <v>0</v>
      </c>
      <c r="AZ53" s="0" t="n">
        <f aca="false">F53*H53*G53/36*D53/2</f>
        <v>0</v>
      </c>
      <c r="BA53" s="0" t="n">
        <f aca="false">F53*H53*G53/36*D53</f>
        <v>0</v>
      </c>
      <c r="BE53" s="915" t="n">
        <f aca="false">T53*F$72*IF(T$57="N",(1+V$57),1)</f>
        <v>0</v>
      </c>
      <c r="BF53" s="291" t="n">
        <f aca="false">(AN53*Pricing!F$3+AO53*Pricing!G$3+AP53*Pricing!H$3+AQ53*Pricing!I$3+AR53*Pricing!J$3+AS53*Pricing!K$3+AT53*Pricing!L$3+AU53*Pricing!M$3+AV53*Pricing!N$3+AW53*Pricing!O$3)*IF(T$57="N",(1+V$57),1)</f>
        <v>0</v>
      </c>
      <c r="BG53" s="915" t="n">
        <f aca="false">IF(H$83=0,0,N$82/H$83*AZ53)</f>
        <v>0</v>
      </c>
      <c r="BH53" s="291" t="n">
        <f aca="false">AZ53*(G$83)</f>
        <v>0</v>
      </c>
      <c r="BI53" s="291" t="n">
        <f aca="false">Z53*D$86</f>
        <v>0</v>
      </c>
      <c r="BJ53" s="291" t="n">
        <f aca="false">T53/2000*D$87</f>
        <v>0</v>
      </c>
      <c r="BK53" s="291" t="e">
        <f aca="false">N$88/D$54*F53</f>
        <v>#DIV/0!</v>
      </c>
      <c r="BL53" s="916" t="e">
        <f aca="false">N$89/H$86*Z53</f>
        <v>#DIV/0!</v>
      </c>
      <c r="BM53" s="918" t="n">
        <f aca="false">IF(H$83=0,0,(SUM(N$92:O$95)+SUM(N$97:O$102)+SUM(N$104:O$109)+SUM(N$75:O$80)+W$109)/H$83*AZ53)</f>
        <v>0</v>
      </c>
      <c r="BN53" s="291" t="e">
        <f aca="false">N$110/H$83*Z53</f>
        <v>#DIV/0!</v>
      </c>
      <c r="BO53" s="918" t="e">
        <f aca="false">SUM(BE53:BN53)</f>
        <v>#DIV/0!</v>
      </c>
      <c r="BP53" s="2087" t="n">
        <f aca="false">V53*D53</f>
        <v>0</v>
      </c>
    </row>
    <row r="54" customFormat="false" ht="19.5" hidden="false" customHeight="true" outlineLevel="0" collapsed="false">
      <c r="A54" s="614"/>
      <c r="B54" s="614"/>
      <c r="C54" s="614"/>
      <c r="D54" s="615" t="n">
        <f aca="false">SUM(D10:D53)</f>
        <v>0</v>
      </c>
      <c r="E54" s="1171" t="s">
        <v>1736</v>
      </c>
      <c r="F54" s="1171"/>
      <c r="G54" s="1171"/>
      <c r="H54" s="1171"/>
      <c r="I54" s="614" t="s">
        <v>1737</v>
      </c>
      <c r="J54" s="614"/>
      <c r="K54" s="2088" t="n">
        <f aca="false">IF(D58=0,0,D58/SUM(U10:U53))</f>
        <v>0</v>
      </c>
      <c r="L54" s="2088"/>
      <c r="M54" s="614"/>
      <c r="N54" s="614"/>
      <c r="O54" s="1462" t="s">
        <v>1399</v>
      </c>
      <c r="P54" s="1462"/>
      <c r="Q54" s="1462"/>
      <c r="R54" s="1462"/>
      <c r="S54" s="614"/>
      <c r="T54" s="1249" t="n">
        <f aca="false">SUM(T10:T53)</f>
        <v>0</v>
      </c>
      <c r="U54" s="2089" t="n">
        <f aca="false">SUM(U10:U53)</f>
        <v>0</v>
      </c>
      <c r="V54" s="2090" t="n">
        <f aca="false">BP54</f>
        <v>0</v>
      </c>
      <c r="W54" s="1947"/>
      <c r="X54" s="907" t="str">
        <f aca="false">E54</f>
        <v>TOTAL COLUMNS</v>
      </c>
      <c r="Y54" s="908" t="n">
        <f aca="false">R54</f>
        <v>0</v>
      </c>
      <c r="Z54" s="908" t="n">
        <f aca="false">S54</f>
        <v>0</v>
      </c>
      <c r="AA54" s="909" t="str">
        <f aca="false">E54</f>
        <v>TOTAL COLUMNS</v>
      </c>
      <c r="AB54" s="16"/>
      <c r="AC54" s="16"/>
      <c r="AD54" s="16"/>
      <c r="AE54" s="16"/>
      <c r="AN54" s="0" t="n">
        <f aca="false">SUM(AN10:AN53)</f>
        <v>0</v>
      </c>
      <c r="AO54" s="0" t="n">
        <f aca="false">SUM(AO10:AO53)</f>
        <v>0</v>
      </c>
      <c r="AP54" s="0" t="n">
        <f aca="false">SUM(AP10:AP53)</f>
        <v>0</v>
      </c>
      <c r="AQ54" s="0" t="n">
        <f aca="false">SUM(AQ10:AQ53)</f>
        <v>0</v>
      </c>
      <c r="AR54" s="0" t="n">
        <f aca="false">SUM(AR10:AR53)</f>
        <v>0</v>
      </c>
      <c r="AS54" s="0" t="n">
        <f aca="false">SUM(AS10:AS53)</f>
        <v>0</v>
      </c>
      <c r="AT54" s="0" t="n">
        <f aca="false">SUM(AT10:AT53)</f>
        <v>0</v>
      </c>
      <c r="AU54" s="0" t="n">
        <f aca="false">SUM(AU10:AU53)</f>
        <v>0</v>
      </c>
      <c r="AV54" s="0" t="n">
        <f aca="false">SUM(AV10:AV53)</f>
        <v>0</v>
      </c>
      <c r="AW54" s="0" t="n">
        <f aca="false">SUM(AW10:AW53)</f>
        <v>0</v>
      </c>
      <c r="AX54" s="0" t="n">
        <f aca="false">SUM(AX10:AX53)</f>
        <v>0</v>
      </c>
      <c r="AY54" s="0" t="n">
        <f aca="false">SUM(AY10:AY53)</f>
        <v>0</v>
      </c>
      <c r="AZ54" s="0" t="n">
        <f aca="false">SUM(AZ10:AZ53)</f>
        <v>0</v>
      </c>
      <c r="BA54" s="0" t="n">
        <f aca="false">SUM(BA10:BA53)</f>
        <v>0</v>
      </c>
      <c r="BB54" s="0" t="n">
        <f aca="false">SUM(BB10:BB53)</f>
        <v>0</v>
      </c>
      <c r="BC54" s="0" t="n">
        <f aca="false">SUM(BC10:BC53)</f>
        <v>0</v>
      </c>
      <c r="BD54" s="0" t="n">
        <f aca="false">SUM(BD10:BD53)</f>
        <v>0</v>
      </c>
      <c r="BE54" s="912" t="n">
        <f aca="false">SUM(BE10:BE53)</f>
        <v>0</v>
      </c>
      <c r="BF54" s="913" t="n">
        <f aca="false">SUM(BF10:BF53)</f>
        <v>0</v>
      </c>
      <c r="BG54" s="912" t="n">
        <f aca="false">SUM(BG10:BG53)</f>
        <v>0</v>
      </c>
      <c r="BH54" s="913" t="n">
        <f aca="false">SUM(BH10:BH53)</f>
        <v>0</v>
      </c>
      <c r="BI54" s="913" t="n">
        <f aca="false">SUM(BI10:BI53)</f>
        <v>0</v>
      </c>
      <c r="BJ54" s="913" t="n">
        <f aca="false">SUM(BJ10:BJ53)</f>
        <v>0</v>
      </c>
      <c r="BK54" s="913" t="e">
        <f aca="false">SUM(BK10:BK53)</f>
        <v>#DIV/0!</v>
      </c>
      <c r="BL54" s="914" t="e">
        <f aca="false">SUM(BL10:BL53)</f>
        <v>#DIV/0!</v>
      </c>
      <c r="BM54" s="2091" t="n">
        <f aca="false">SUM(BM10:BM53)</f>
        <v>0</v>
      </c>
      <c r="BN54" s="913" t="e">
        <f aca="false">SUM(BN10:BN53)</f>
        <v>#DIV/0!</v>
      </c>
      <c r="BO54" s="913" t="e">
        <f aca="false">SUM(BO10:BO53)</f>
        <v>#DIV/0!</v>
      </c>
      <c r="BP54" s="913" t="n">
        <f aca="false">SUM(BP10:BP53)</f>
        <v>0</v>
      </c>
    </row>
    <row r="55" customFormat="false" ht="19.5" hidden="false" customHeight="true" outlineLevel="0" collapsed="false">
      <c r="A55" s="654"/>
      <c r="B55" s="654"/>
      <c r="C55" s="654"/>
      <c r="D55" s="654"/>
      <c r="E55" s="654"/>
      <c r="F55" s="654"/>
      <c r="G55" s="654"/>
      <c r="H55" s="654"/>
      <c r="I55" s="654"/>
      <c r="J55" s="654"/>
      <c r="K55" s="654"/>
      <c r="L55" s="654"/>
      <c r="M55" s="654"/>
      <c r="N55" s="726"/>
      <c r="O55" s="655" t="s">
        <v>1400</v>
      </c>
      <c r="P55" s="655"/>
      <c r="Q55" s="655"/>
      <c r="R55" s="655"/>
      <c r="S55" s="654"/>
      <c r="T55" s="2092" t="n">
        <f aca="false">ROUNDUP(T54/2000,0)</f>
        <v>0</v>
      </c>
      <c r="U55" s="654"/>
      <c r="V55" s="2093" t="n">
        <f aca="false">V54-D58</f>
        <v>0</v>
      </c>
      <c r="W55" s="1218"/>
      <c r="X55" s="923" t="n">
        <f aca="false">E55</f>
        <v>0</v>
      </c>
      <c r="Y55" s="924" t="n">
        <f aca="false">R55</f>
        <v>0</v>
      </c>
      <c r="Z55" s="924" t="n">
        <f aca="false">S55</f>
        <v>0</v>
      </c>
      <c r="AA55" s="925" t="n">
        <f aca="false">E55</f>
        <v>0</v>
      </c>
      <c r="AB55" s="16"/>
      <c r="AC55" s="16"/>
      <c r="AD55" s="16"/>
      <c r="AE55" s="16"/>
      <c r="BE55" s="927" t="n">
        <f aca="false">N72+N73+N74</f>
        <v>0</v>
      </c>
      <c r="BF55" s="928" t="n">
        <f aca="false">N67+N68+N71</f>
        <v>0</v>
      </c>
      <c r="BG55" s="927" t="n">
        <f aca="false">N82</f>
        <v>0</v>
      </c>
      <c r="BH55" s="928" t="n">
        <f aca="false">N83+N84+N85</f>
        <v>0</v>
      </c>
      <c r="BI55" s="928" t="n">
        <f aca="false">N86</f>
        <v>0</v>
      </c>
      <c r="BJ55" s="928" t="n">
        <f aca="false">N87</f>
        <v>0</v>
      </c>
      <c r="BK55" s="928" t="n">
        <f aca="false">N88</f>
        <v>0</v>
      </c>
      <c r="BL55" s="929" t="n">
        <f aca="false">N89</f>
        <v>0</v>
      </c>
      <c r="BM55" s="947" t="n">
        <f aca="false">N77+N78+N79+N80+L93+L99+N104+N105+N106+N107+N108+N109+W109+N95</f>
        <v>0</v>
      </c>
      <c r="BN55" s="928" t="n">
        <f aca="false">N110</f>
        <v>0</v>
      </c>
      <c r="BO55" s="928" t="n">
        <f aca="false">T58</f>
        <v>0</v>
      </c>
      <c r="BP55" s="928" t="n">
        <f aca="false">D58</f>
        <v>0</v>
      </c>
    </row>
    <row r="56" customFormat="false" ht="19.5" hidden="false" customHeight="true" outlineLevel="0" collapsed="false">
      <c r="A56" s="949"/>
      <c r="B56" s="950"/>
      <c r="C56" s="951" t="s">
        <v>1261</v>
      </c>
      <c r="D56" s="952" t="n">
        <v>0</v>
      </c>
      <c r="E56" s="952"/>
      <c r="F56" s="950"/>
      <c r="G56" s="950"/>
      <c r="H56" s="950"/>
      <c r="I56" s="950"/>
      <c r="J56" s="950"/>
      <c r="K56" s="954"/>
      <c r="L56" s="950"/>
      <c r="M56" s="950"/>
      <c r="N56" s="950"/>
      <c r="O56" s="950"/>
      <c r="P56" s="950"/>
      <c r="Q56" s="950"/>
      <c r="R56" s="950"/>
      <c r="S56" s="950"/>
      <c r="T56" s="950"/>
      <c r="U56" s="950"/>
      <c r="V56" s="950"/>
      <c r="W56" s="957"/>
      <c r="Y56" s="1414"/>
      <c r="BE56" s="373" t="n">
        <f aca="false">BE54-BE55</f>
        <v>0</v>
      </c>
      <c r="BF56" s="373" t="n">
        <f aca="false">BF54-BF55</f>
        <v>0</v>
      </c>
      <c r="BG56" s="373" t="n">
        <f aca="false">BG54-BG55</f>
        <v>0</v>
      </c>
      <c r="BH56" s="373" t="n">
        <f aca="false">BH54-BH55</f>
        <v>0</v>
      </c>
      <c r="BI56" s="373" t="n">
        <f aca="false">BI54-BI55</f>
        <v>0</v>
      </c>
      <c r="BJ56" s="373" t="n">
        <f aca="false">BJ54-BJ55</f>
        <v>0</v>
      </c>
      <c r="BK56" s="373" t="e">
        <f aca="false">BK54-BK55</f>
        <v>#DIV/0!</v>
      </c>
      <c r="BL56" s="373" t="e">
        <f aca="false">BL54-BL55</f>
        <v>#DIV/0!</v>
      </c>
      <c r="BM56" s="373" t="n">
        <f aca="false">BM54-BM55</f>
        <v>0</v>
      </c>
      <c r="BN56" s="373" t="e">
        <f aca="false">BN54-BN55</f>
        <v>#DIV/0!</v>
      </c>
      <c r="BO56" s="373" t="e">
        <f aca="false">BO54-BO55</f>
        <v>#DIV/0!</v>
      </c>
      <c r="BP56" s="373" t="n">
        <f aca="false">BP54-BP55</f>
        <v>0</v>
      </c>
    </row>
    <row r="57" customFormat="false" ht="19.5" hidden="false" customHeight="true" outlineLevel="0" collapsed="false">
      <c r="A57" s="1642" t="s">
        <v>1738</v>
      </c>
      <c r="B57" s="1642"/>
      <c r="C57" s="1642"/>
      <c r="D57" s="958" t="s">
        <v>982</v>
      </c>
      <c r="E57" s="958"/>
      <c r="F57" s="1644" t="s">
        <v>1263</v>
      </c>
      <c r="G57" s="1644"/>
      <c r="H57" s="1644"/>
      <c r="I57" s="959" t="s">
        <v>1264</v>
      </c>
      <c r="J57" s="959"/>
      <c r="K57" s="959"/>
      <c r="L57" s="1170" t="s">
        <v>1265</v>
      </c>
      <c r="M57" s="1170"/>
      <c r="N57" s="1171"/>
      <c r="O57" s="1172"/>
      <c r="P57" s="961"/>
      <c r="Q57" s="599" t="s">
        <v>1266</v>
      </c>
      <c r="S57" s="16" t="s">
        <v>1739</v>
      </c>
      <c r="T57" s="962" t="str">
        <f aca="false">Summary!P62</f>
        <v>N</v>
      </c>
      <c r="U57" s="833" t="s">
        <v>1268</v>
      </c>
      <c r="V57" s="1262" t="n">
        <f aca="false">Summary!R62</f>
        <v>0.0825</v>
      </c>
      <c r="W57" s="964"/>
      <c r="Y57" s="1414"/>
    </row>
    <row r="58" customFormat="false" ht="19.5" hidden="false" customHeight="true" outlineLevel="0" collapsed="false">
      <c r="A58" s="965" t="s">
        <v>1269</v>
      </c>
      <c r="B58" s="1649" t="n">
        <f aca="false">IF(D54=0,0,D58/D54)</f>
        <v>0</v>
      </c>
      <c r="C58" s="1649"/>
      <c r="D58" s="1263" t="n">
        <f aca="false">(T58-N110)*(1+L58)</f>
        <v>0</v>
      </c>
      <c r="E58" s="1263"/>
      <c r="F58" s="1650" t="n">
        <f aca="false">IF(D58=0,0,G58/D58)</f>
        <v>0</v>
      </c>
      <c r="G58" s="736" t="n">
        <f aca="false">(D58-T58)</f>
        <v>0</v>
      </c>
      <c r="H58" s="736"/>
      <c r="I58" s="1264" t="n">
        <f aca="false">IF(D54=0,0,T58/D54)</f>
        <v>0</v>
      </c>
      <c r="J58" s="1264"/>
      <c r="K58" s="1264"/>
      <c r="L58" s="969" t="n">
        <f aca="false">Summary!P59</f>
        <v>0.18</v>
      </c>
      <c r="M58" s="969"/>
      <c r="N58" s="969"/>
      <c r="O58" s="969"/>
      <c r="P58" s="1265"/>
      <c r="Q58" s="970" t="s">
        <v>980</v>
      </c>
      <c r="T58" s="971" t="n">
        <f aca="false">SUM(N67:O79)+SUM(N82:O89)+SUM(N92:O94)+SUM(N97:O102)+SUM(N104:O110)+W109+N80+SUM(K82:L89)+N95</f>
        <v>0</v>
      </c>
      <c r="U58" s="971"/>
      <c r="W58" s="2094"/>
      <c r="Y58" s="1414"/>
    </row>
    <row r="59" customFormat="false" ht="19.5" hidden="false" customHeight="true" outlineLevel="0" collapsed="false">
      <c r="A59" s="972"/>
      <c r="B59" s="973"/>
      <c r="C59" s="1266" t="str">
        <f aca="false">IF(ROUND(D59,0)=0,"BINGO!!",IF(ROUND(D59,0)&lt;0,"To Low","T0 High"))</f>
        <v>BINGO!!</v>
      </c>
      <c r="D59" s="975" t="n">
        <f aca="false">D58-D56</f>
        <v>0</v>
      </c>
      <c r="E59" s="975"/>
      <c r="F59" s="973"/>
      <c r="G59" s="973"/>
      <c r="H59" s="976" t="s">
        <v>1270</v>
      </c>
      <c r="I59" s="977"/>
      <c r="J59" s="978"/>
      <c r="K59" s="978"/>
      <c r="L59" s="979"/>
      <c r="M59" s="1665" t="n">
        <f aca="false">IF(J59&gt;0,(J59-D58)/(1+L58),0)</f>
        <v>0</v>
      </c>
      <c r="N59" s="1665"/>
      <c r="O59" s="973"/>
      <c r="P59" s="973"/>
      <c r="Q59" s="973"/>
      <c r="R59" s="973"/>
      <c r="S59" s="973"/>
      <c r="T59" s="983" t="e">
        <f aca="false">BO54</f>
        <v>#DIV/0!</v>
      </c>
      <c r="U59" s="983"/>
      <c r="V59" s="2095" t="e">
        <f aca="false">T58-T59</f>
        <v>#DIV/0!</v>
      </c>
      <c r="W59" s="984"/>
      <c r="Y59" s="1414"/>
      <c r="Z59" s="0" t="s">
        <v>1401</v>
      </c>
      <c r="AB59" s="0" t="s">
        <v>1402</v>
      </c>
    </row>
    <row r="60" customFormat="false" ht="19.5" hidden="false" customHeight="true" outlineLevel="0" collapsed="false">
      <c r="A60" s="654"/>
      <c r="B60" s="654"/>
      <c r="C60" s="654"/>
      <c r="D60" s="654"/>
      <c r="E60" s="654"/>
      <c r="F60" s="654"/>
      <c r="G60" s="654"/>
      <c r="H60" s="654"/>
      <c r="I60" s="654"/>
      <c r="J60" s="654"/>
      <c r="K60" s="654"/>
      <c r="L60" s="654"/>
      <c r="M60" s="654"/>
      <c r="N60" s="654"/>
      <c r="O60" s="654"/>
      <c r="P60" s="654"/>
      <c r="Q60" s="654"/>
      <c r="R60" s="654"/>
      <c r="S60" s="654"/>
      <c r="T60" s="654"/>
      <c r="U60" s="654"/>
      <c r="V60" s="654"/>
      <c r="W60" s="654"/>
      <c r="X60" s="175"/>
      <c r="Y60" s="1268" t="s">
        <v>1403</v>
      </c>
      <c r="Z60" s="1269" t="n">
        <v>458</v>
      </c>
      <c r="AA60" s="1270"/>
    </row>
    <row r="61" customFormat="false" ht="19.5" hidden="false" customHeight="true" outlineLevel="0" collapsed="false">
      <c r="A61" s="16" t="s">
        <v>1697</v>
      </c>
      <c r="B61" s="994"/>
      <c r="C61" s="2096"/>
      <c r="D61" s="994"/>
      <c r="E61" s="994"/>
      <c r="F61" s="994"/>
      <c r="G61" s="994"/>
      <c r="H61" s="2097"/>
      <c r="I61" s="994"/>
      <c r="J61" s="2097"/>
      <c r="K61" s="994"/>
      <c r="L61" s="994"/>
      <c r="M61" s="994"/>
      <c r="N61" s="990" t="s">
        <v>721</v>
      </c>
      <c r="O61" s="990"/>
      <c r="P61" s="1274" t="s">
        <v>1272</v>
      </c>
      <c r="Q61" s="654"/>
      <c r="R61" s="654" t="s">
        <v>1740</v>
      </c>
      <c r="S61" s="1218"/>
      <c r="T61" s="2098" t="n">
        <f aca="false">IF(K72=0,0,K72/(U54*13231.64))</f>
        <v>0</v>
      </c>
      <c r="U61" s="654"/>
      <c r="V61" s="654"/>
      <c r="W61" s="654"/>
      <c r="Y61" s="1004" t="s">
        <v>1406</v>
      </c>
      <c r="Z61" s="1278" t="n">
        <v>-5</v>
      </c>
      <c r="AA61" s="1279"/>
      <c r="AB61" s="1280" t="n">
        <f aca="false">Z60+Z61</f>
        <v>453</v>
      </c>
    </row>
    <row r="62" customFormat="false" ht="19.5" hidden="false" customHeight="true" outlineLevel="0" collapsed="false">
      <c r="A62" s="654"/>
      <c r="B62" s="994"/>
      <c r="C62" s="2096"/>
      <c r="D62" s="994"/>
      <c r="E62" s="994"/>
      <c r="F62" s="994"/>
      <c r="G62" s="994"/>
      <c r="H62" s="994"/>
      <c r="I62" s="2097"/>
      <c r="J62" s="2097"/>
      <c r="K62" s="994"/>
      <c r="L62" s="994"/>
      <c r="M62" s="994"/>
      <c r="N62" s="1000" t="s">
        <v>1274</v>
      </c>
      <c r="O62" s="1001"/>
      <c r="P62" s="1002"/>
      <c r="Q62" s="2099" t="s">
        <v>1702</v>
      </c>
      <c r="R62" s="2100" t="n">
        <f aca="false">N83</f>
        <v>0</v>
      </c>
      <c r="S62" s="2100"/>
      <c r="T62" s="1547" t="n">
        <v>17.5</v>
      </c>
      <c r="U62" s="1547" t="n">
        <f aca="false">T62*1.3</f>
        <v>22.75</v>
      </c>
      <c r="V62" s="2101" t="n">
        <f aca="false">R62/U62</f>
        <v>0</v>
      </c>
      <c r="W62" s="2102" t="e">
        <f aca="false">H83/V62</f>
        <v>#DIV/0!</v>
      </c>
      <c r="Y62" s="1004" t="s">
        <v>1409</v>
      </c>
      <c r="Z62" s="1278" t="n">
        <v>460</v>
      </c>
      <c r="AA62" s="1279"/>
      <c r="AB62" s="1284" t="n">
        <f aca="false">Z62-Z60</f>
        <v>2</v>
      </c>
    </row>
    <row r="63" customFormat="false" ht="19.5" hidden="false" customHeight="true" outlineLevel="0" collapsed="false">
      <c r="A63" s="654"/>
      <c r="B63" s="994"/>
      <c r="C63" s="994"/>
      <c r="D63" s="994"/>
      <c r="E63" s="994"/>
      <c r="F63" s="994"/>
      <c r="G63" s="994"/>
      <c r="H63" s="994"/>
      <c r="I63" s="994"/>
      <c r="J63" s="994"/>
      <c r="K63" s="994"/>
      <c r="L63" s="994"/>
      <c r="M63" s="994"/>
      <c r="N63" s="1008" t="s">
        <v>1276</v>
      </c>
      <c r="O63" s="1009" t="n">
        <f aca="false">K72</f>
        <v>0</v>
      </c>
      <c r="P63" s="1010" t="n">
        <f aca="false">N72</f>
        <v>0</v>
      </c>
      <c r="Q63" s="2103" t="s">
        <v>1703</v>
      </c>
      <c r="R63" s="632" t="n">
        <f aca="false">N84</f>
        <v>0</v>
      </c>
      <c r="S63" s="632"/>
      <c r="T63" s="654" t="n">
        <v>17.5</v>
      </c>
      <c r="U63" s="654" t="n">
        <f aca="false">T63*1.3</f>
        <v>22.75</v>
      </c>
      <c r="V63" s="2104" t="n">
        <f aca="false">R63/U63</f>
        <v>0</v>
      </c>
      <c r="W63" s="2105" t="e">
        <f aca="false">K71/V63</f>
        <v>#DIV/0!</v>
      </c>
      <c r="X63" s="246"/>
      <c r="Y63" s="246"/>
      <c r="Z63" s="1288"/>
      <c r="AA63" s="749"/>
      <c r="AB63" s="1288"/>
    </row>
    <row r="64" customFormat="false" ht="19.5" hidden="false" customHeight="true" outlineLevel="0" collapsed="false">
      <c r="A64" s="654"/>
      <c r="B64" s="994"/>
      <c r="C64" s="994"/>
      <c r="D64" s="994"/>
      <c r="E64" s="994"/>
      <c r="F64" s="994"/>
      <c r="G64" s="994"/>
      <c r="H64" s="994"/>
      <c r="I64" s="994"/>
      <c r="J64" s="994"/>
      <c r="K64" s="994"/>
      <c r="L64" s="994"/>
      <c r="M64" s="994"/>
      <c r="N64" s="994"/>
      <c r="O64" s="994"/>
      <c r="P64" s="785"/>
      <c r="Q64" s="2106"/>
      <c r="R64" s="784"/>
      <c r="S64" s="784"/>
      <c r="T64" s="784"/>
      <c r="U64" s="784"/>
      <c r="V64" s="784"/>
      <c r="W64" s="1504"/>
      <c r="Y64" s="1414"/>
    </row>
    <row r="65" customFormat="false" ht="19.5" hidden="false" customHeight="true" outlineLevel="0" collapsed="false">
      <c r="A65" s="654"/>
      <c r="B65" s="654"/>
      <c r="C65" s="654"/>
      <c r="D65" s="654"/>
      <c r="E65" s="654"/>
      <c r="F65" s="654"/>
      <c r="G65" s="654"/>
      <c r="H65" s="654"/>
      <c r="I65" s="654"/>
      <c r="J65" s="654"/>
      <c r="K65" s="654"/>
      <c r="L65" s="654"/>
      <c r="M65" s="654"/>
      <c r="N65" s="654"/>
      <c r="O65" s="654"/>
      <c r="P65" s="654"/>
      <c r="Q65" s="654"/>
      <c r="R65" s="654"/>
      <c r="S65" s="726"/>
      <c r="T65" s="726"/>
      <c r="U65" s="726"/>
      <c r="V65" s="726"/>
      <c r="W65" s="654"/>
      <c r="X65" s="2107" t="n">
        <f aca="false">SUM(AA67:AA78)*(1+J72)</f>
        <v>0</v>
      </c>
      <c r="Y65" s="427" t="s">
        <v>612</v>
      </c>
      <c r="Z65" s="1414"/>
      <c r="AA65" s="1414"/>
    </row>
    <row r="66" customFormat="false" ht="33.75" hidden="false" customHeight="true" outlineLevel="0" collapsed="false">
      <c r="A66" s="1017" t="s">
        <v>1280</v>
      </c>
      <c r="B66" s="1296" t="s">
        <v>1413</v>
      </c>
      <c r="C66" s="2108"/>
      <c r="D66" s="2108"/>
      <c r="E66" s="2108"/>
      <c r="F66" s="2108"/>
      <c r="G66" s="2108"/>
      <c r="H66" s="2108"/>
      <c r="I66" s="2108"/>
      <c r="J66" s="1019" t="s">
        <v>1282</v>
      </c>
      <c r="K66" s="2109" t="str">
        <f aca="false">IF(ROUND(SUM(K67:K71),0)=U54,"Good","Missing Concrete!!!")</f>
        <v>Good</v>
      </c>
      <c r="L66" s="2109"/>
      <c r="M66" s="2108"/>
      <c r="N66" s="2108"/>
      <c r="O66" s="2110"/>
      <c r="P66" s="1299" t="s">
        <v>1284</v>
      </c>
      <c r="Q66" s="1022" t="s">
        <v>1283</v>
      </c>
      <c r="R66" s="1022"/>
      <c r="S66" s="1082" t="s">
        <v>835</v>
      </c>
      <c r="T66" s="397"/>
      <c r="U66" s="1300" t="s">
        <v>518</v>
      </c>
      <c r="V66" s="397"/>
      <c r="W66" s="1025"/>
      <c r="X66" s="1301" t="s">
        <v>1259</v>
      </c>
      <c r="Y66" s="1302" t="s">
        <v>1215</v>
      </c>
      <c r="Z66" s="1303" t="s">
        <v>1369</v>
      </c>
      <c r="AA66" s="1304" t="s">
        <v>1414</v>
      </c>
      <c r="AB66" s="1304" t="s">
        <v>1414</v>
      </c>
    </row>
    <row r="67" customFormat="false" ht="19.5" hidden="false" customHeight="true" outlineLevel="0" collapsed="false">
      <c r="A67" s="2004" t="n">
        <v>1</v>
      </c>
      <c r="B67" s="599" t="str">
        <f aca="false">IF(A67=1,Pricing!F$2,IF(A67=2,Pricing!G$2,IF(A67=3,Pricing!H$2,IF(A67=4,Pricing!I$2,IF(A67=5,Pricing!J$2,IF(A67=6,Pricing!K$2,IF(A67=7,Pricing!L$2,IF(A67=8,Pricing!M$2,IF(A67=9,Pricing!N$2,IF(A67=10,Pricing!O$2,0))))))))))</f>
        <v>3,000 PSI 5sk /Ash and Air</v>
      </c>
      <c r="C67" s="1726"/>
      <c r="D67" s="1726"/>
      <c r="E67" s="1726"/>
      <c r="F67" s="1048" t="n">
        <f aca="false">IF(A67=1,Pricing!F$3,IF(A67=2,Pricing!G$3,IF(A67=3,Pricing!H$3,IF(A67=4,Pricing!I$3,IF(A67=5,Pricing!J$3,IF(A67=6,Pricing!K$3,IF(A67=7,Pricing!L$3,IF(A67=8,Pricing!M$3,IF(A67=9,Pricing!N$3,IF(A67=10,Pricing!O$3,0))))))))))</f>
        <v>134</v>
      </c>
      <c r="G67" s="16" t="s">
        <v>1285</v>
      </c>
      <c r="H67" s="1030"/>
      <c r="I67" s="1030"/>
      <c r="J67" s="1031" t="n">
        <v>0.04</v>
      </c>
      <c r="K67" s="1310" t="n">
        <f aca="false">IF(A67=1,AN$54,IF(A67=2,AO$54,IF(A67=3,AP$54,IF(A67=4,AQ$54,IF(A67=5,AR$54,IF(A67=6,AS$54,IF(A67=7,AT$54,IF(A67=8,AU$54,IF(A67=9,AV$54,IF(A67=10,AW$54))))))))))</f>
        <v>0</v>
      </c>
      <c r="L67" s="1310"/>
      <c r="M67" s="15" t="s">
        <v>1286</v>
      </c>
      <c r="N67" s="1305" t="n">
        <f aca="false">K67*F67*(IF(T$57="N",1+V$57,1))</f>
        <v>0</v>
      </c>
      <c r="O67" s="1305"/>
      <c r="P67" s="1306" t="s">
        <v>1069</v>
      </c>
      <c r="Q67" s="920" t="s">
        <v>1415</v>
      </c>
      <c r="R67" s="78"/>
      <c r="S67" s="1307" t="n">
        <v>0.5</v>
      </c>
      <c r="T67" s="78"/>
      <c r="U67" s="1308" t="n">
        <f aca="false">BE88</f>
        <v>0</v>
      </c>
      <c r="V67" s="78"/>
      <c r="W67" s="1309" t="n">
        <f aca="false">U67*S67</f>
        <v>0</v>
      </c>
      <c r="X67" s="149"/>
      <c r="Y67" s="150"/>
      <c r="Z67" s="151"/>
      <c r="AA67" s="152" t="n">
        <f aca="false">X67*(Y67*Y67*0.04180884375)*Z67</f>
        <v>0</v>
      </c>
      <c r="AB67" s="152" t="n">
        <f aca="false">Y67*(Z67*Z67*0.04180884375)*AA67</f>
        <v>0</v>
      </c>
    </row>
    <row r="68" customFormat="false" ht="19.5" hidden="false" customHeight="true" outlineLevel="0" collapsed="false">
      <c r="A68" s="2006" t="n">
        <v>2</v>
      </c>
      <c r="B68" s="599" t="str">
        <f aca="false">IF(A68=1,Pricing!F$2,IF(A68=2,Pricing!G$2,IF(A68=3,Pricing!H$2,IF(A68=4,Pricing!I$2,IF(A68=5,Pricing!J$2,IF(A68=6,Pricing!K$2,IF(A68=7,Pricing!L$2,IF(A68=8,Pricing!M$2,IF(A68=9,Pricing!N$2,IF(A68=10,Pricing!O$2,0))))))))))</f>
        <v>3,000 PSI / Ash no Air</v>
      </c>
      <c r="F68" s="1048" t="n">
        <f aca="false">IF(A68=1,Pricing!F$3,IF(A68=2,Pricing!G$3,IF(A68=3,Pricing!H$3,IF(A68=4,Pricing!I$3,IF(A68=5,Pricing!J$3,IF(A68=6,Pricing!K$3,IF(A68=7,Pricing!L$3,IF(A68=8,Pricing!M$3,IF(A68=9,Pricing!N$3,IF(A68=10,Pricing!O$3,0))))))))))</f>
        <v>145</v>
      </c>
      <c r="G68" s="16" t="s">
        <v>1285</v>
      </c>
      <c r="H68" s="1030"/>
      <c r="I68" s="1030"/>
      <c r="J68" s="1031"/>
      <c r="K68" s="1310" t="n">
        <f aca="false">IF(A68=1,AN$54,IF(A68=2,AO$54,IF(A68=3,AP$54,IF(A68=4,AQ$54,IF(A68=5,AR$54,IF(A68=6,AS$54,IF(A68=7,AT$54,IF(A68=8,AU$54,IF(A68=9,AV$54,IF(A68=10,AW$54))))))))))</f>
        <v>0</v>
      </c>
      <c r="L68" s="1310"/>
      <c r="M68" s="15" t="s">
        <v>1286</v>
      </c>
      <c r="N68" s="1305" t="n">
        <f aca="false">K68*F68*(IF(T$57="N",1+V$57,1))</f>
        <v>0</v>
      </c>
      <c r="O68" s="1305"/>
      <c r="P68" s="1306" t="s">
        <v>1069</v>
      </c>
      <c r="Q68" s="920" t="s">
        <v>526</v>
      </c>
      <c r="R68" s="78"/>
      <c r="S68" s="1311" t="n">
        <f aca="false">H83*S67</f>
        <v>0</v>
      </c>
      <c r="T68" s="1312" t="s">
        <v>1416</v>
      </c>
      <c r="U68" s="1308" t="n">
        <f aca="false">Pricing!Q4</f>
        <v>0.859375</v>
      </c>
      <c r="V68" s="78" t="s">
        <v>1417</v>
      </c>
      <c r="W68" s="1309" t="n">
        <f aca="false">IF(T$57="Y",S68*U68,S68*U68*(1+V$57))</f>
        <v>0</v>
      </c>
      <c r="X68" s="149"/>
      <c r="Y68" s="150"/>
      <c r="Z68" s="151"/>
      <c r="AA68" s="152" t="n">
        <f aca="false">X68*(Y68*Y68*0.04180884375)*Z68</f>
        <v>0</v>
      </c>
      <c r="AB68" s="152" t="n">
        <f aca="false">Y68*(Z68*Z68*0.04180884375)*AA68</f>
        <v>0</v>
      </c>
    </row>
    <row r="69" customFormat="false" ht="19.5" hidden="false" customHeight="true" outlineLevel="0" collapsed="false">
      <c r="A69" s="2007" t="n">
        <v>8</v>
      </c>
      <c r="B69" s="599" t="str">
        <f aca="false">IF(A69=1,Pricing!F$2,IF(A69=2,Pricing!G$2,IF(A69=3,Pricing!H$2,IF(A69=4,Pricing!I$2,IF(A69=5,Pricing!J$2,IF(A69=6,Pricing!K$2,IF(A69=7,Pricing!L$2,IF(A69=8,Pricing!M$2,IF(A69=9,Pricing!N$2,IF(A69=10,Pricing!O$2,0))))))))))</f>
        <v>5,000 PSI / Ash no Air</v>
      </c>
      <c r="F69" s="1048" t="n">
        <f aca="false">IF(A69=1,Pricing!F$3,IF(A69=2,Pricing!G$3,IF(A69=3,Pricing!H$3,IF(A69=4,Pricing!I$3,IF(A69=5,Pricing!J$3,IF(A69=6,Pricing!K$3,IF(A69=7,Pricing!L$3,IF(A69=8,Pricing!M$3,IF(A69=9,Pricing!N$3,IF(A69=10,Pricing!O$3,0))))))))))</f>
        <v>170</v>
      </c>
      <c r="G69" s="16" t="s">
        <v>1285</v>
      </c>
      <c r="H69" s="1030"/>
      <c r="I69" s="1030"/>
      <c r="J69" s="1031"/>
      <c r="K69" s="1310" t="n">
        <f aca="false">IF(A69=1,AN$54,IF(A69=2,AO$54,IF(A69=3,AP$54,IF(A69=4,AQ$54,IF(A69=5,AR$54,IF(A69=6,AS$54,IF(A69=7,AT$54,IF(A69=8,AU$54,IF(A69=9,AV$54,IF(A69=10,AW$54))))))))))</f>
        <v>0</v>
      </c>
      <c r="L69" s="1310"/>
      <c r="M69" s="15" t="s">
        <v>1286</v>
      </c>
      <c r="N69" s="1305" t="n">
        <f aca="false">K69*F69*(IF(T$57="N",1+V$57,1))</f>
        <v>0</v>
      </c>
      <c r="O69" s="1305"/>
      <c r="P69" s="1306"/>
      <c r="Q69" s="920"/>
      <c r="R69" s="78"/>
      <c r="S69" s="1311"/>
      <c r="T69" s="1312"/>
      <c r="U69" s="1308"/>
      <c r="V69" s="78"/>
      <c r="W69" s="1309" t="n">
        <f aca="false">IF(T$57="Y",S69*U69,S69*U69*(1+V$57))</f>
        <v>0</v>
      </c>
      <c r="X69" s="149"/>
      <c r="Y69" s="150"/>
      <c r="Z69" s="151"/>
      <c r="AA69" s="152" t="n">
        <f aca="false">X69*(Y69*Y69*0.04180884375)*Z69</f>
        <v>0</v>
      </c>
      <c r="AB69" s="152" t="n">
        <f aca="false">Y69*(Z69*Z69*0.04180884375)*AA69</f>
        <v>0</v>
      </c>
    </row>
    <row r="70" customFormat="false" ht="19.5" hidden="false" customHeight="true" outlineLevel="0" collapsed="false">
      <c r="A70" s="2007" t="n">
        <v>9</v>
      </c>
      <c r="B70" s="599" t="str">
        <f aca="false">IF(A70=1,Pricing!F$2,IF(A70=2,Pricing!G$2,IF(A70=3,Pricing!H$2,IF(A70=4,Pricing!I$2,IF(A70=5,Pricing!J$2,IF(A70=6,Pricing!K$2,IF(A70=7,Pricing!L$2,IF(A70=8,Pricing!M$2,IF(A70=9,Pricing!N$2,IF(A70=10,Pricing!O$2,0))))))))))</f>
        <v>3,000 PSI /Air and intergral Color</v>
      </c>
      <c r="F70" s="1048" t="n">
        <f aca="false">IF(A70=1,Pricing!F$3,IF(A70=2,Pricing!G$3,IF(A70=3,Pricing!H$3,IF(A70=4,Pricing!I$3,IF(A70=5,Pricing!J$3,IF(A70=6,Pricing!K$3,IF(A70=7,Pricing!L$3,IF(A70=8,Pricing!M$3,IF(A70=9,Pricing!N$3,IF(A70=10,Pricing!O$3,0))))))))))</f>
        <v>240</v>
      </c>
      <c r="G70" s="16" t="s">
        <v>1285</v>
      </c>
      <c r="H70" s="1030"/>
      <c r="I70" s="1030"/>
      <c r="J70" s="1031"/>
      <c r="K70" s="1310" t="n">
        <f aca="false">IF(A70=1,AN$54,IF(A70=2,AO$54,IF(A70=3,AP$54,IF(A70=4,AQ$54,IF(A70=5,AR$54,IF(A70=6,AS$54,IF(A70=7,AT$54,IF(A70=8,AU$54,IF(A70=9,AV$54,IF(A70=10,AW$54))))))))))</f>
        <v>0</v>
      </c>
      <c r="L70" s="1310"/>
      <c r="M70" s="15" t="s">
        <v>1286</v>
      </c>
      <c r="N70" s="1305" t="n">
        <f aca="false">K70*F70*(IF(T$57="N",1+V$57,1))</f>
        <v>0</v>
      </c>
      <c r="O70" s="1305"/>
      <c r="P70" s="1306"/>
      <c r="Q70" s="920"/>
      <c r="R70" s="78"/>
      <c r="S70" s="1311"/>
      <c r="T70" s="1312"/>
      <c r="U70" s="1308"/>
      <c r="V70" s="78"/>
      <c r="W70" s="1309" t="n">
        <f aca="false">IF(T$57="Y",S70*U70,S70*U70*(1+V$57))</f>
        <v>0</v>
      </c>
      <c r="X70" s="149"/>
      <c r="Y70" s="150"/>
      <c r="Z70" s="151"/>
      <c r="AA70" s="152" t="n">
        <f aca="false">X70*(Y70*Y70*0.04180884375)*Z70</f>
        <v>0</v>
      </c>
      <c r="AB70" s="152" t="n">
        <f aca="false">Y70*(Z70*Z70*0.04180884375)*AA70</f>
        <v>0</v>
      </c>
    </row>
    <row r="71" customFormat="false" ht="19.5" hidden="false" customHeight="true" outlineLevel="0" collapsed="false">
      <c r="A71" s="2008" t="n">
        <v>10</v>
      </c>
      <c r="B71" s="1044" t="str">
        <f aca="false">IF(A71=1,Pricing!F$2,IF(A71=2,Pricing!G$2,IF(A71=3,Pricing!H$2,IF(A71=4,Pricing!I$2,IF(A71=5,Pricing!J$2,IF(A71=6,Pricing!K$2,IF(A71=7,Pricing!L$2,IF(A71=8,Pricing!M$2,IF(A71=9,Pricing!N$2,IF(A71=10,Pricing!O$2,0))))))))))</f>
        <v>3,000 PSI SideWalks </v>
      </c>
      <c r="C71" s="397"/>
      <c r="D71" s="397"/>
      <c r="E71" s="397"/>
      <c r="F71" s="1315" t="n">
        <f aca="false">IF(A71=1,Pricing!F$3,IF(A71=2,Pricing!G$3,IF(A71=3,Pricing!H$3,IF(A71=4,Pricing!I$3,IF(A71=5,Pricing!J$3,IF(A71=6,Pricing!K$3,IF(A71=7,Pricing!L$3,IF(A71=8,Pricing!M$3,IF(A71=9,Pricing!N$3,IF(A71=10,Pricing!O$3,0))))))))))</f>
        <v>121</v>
      </c>
      <c r="G71" s="397" t="s">
        <v>1285</v>
      </c>
      <c r="H71" s="1030"/>
      <c r="I71" s="1030"/>
      <c r="J71" s="1031"/>
      <c r="K71" s="1310" t="n">
        <f aca="false">IF(A71=1,AN$54,IF(A71=2,AO$54,IF(A71=3,AP$54,IF(A71=4,AQ$54,IF(A71=5,AR$54,IF(A71=6,AS$54,IF(A71=7,AT$54,IF(A71=8,AU$54,IF(A71=9,AV$54,IF(A71=10,AW$54))))))))))</f>
        <v>0</v>
      </c>
      <c r="L71" s="1310"/>
      <c r="M71" s="1046" t="s">
        <v>1286</v>
      </c>
      <c r="N71" s="1305" t="n">
        <f aca="false">K71*F71*(IF(T$57="N",1+V$57,1))</f>
        <v>0</v>
      </c>
      <c r="O71" s="1305"/>
      <c r="P71" s="1306" t="s">
        <v>1069</v>
      </c>
      <c r="Q71" s="920" t="s">
        <v>534</v>
      </c>
      <c r="R71" s="78"/>
      <c r="S71" s="1311" t="n">
        <f aca="false">S73</f>
        <v>0</v>
      </c>
      <c r="T71" s="1312" t="s">
        <v>1416</v>
      </c>
      <c r="U71" s="1308" t="n">
        <f aca="false">Pricing!Q5</f>
        <v>1.4453125</v>
      </c>
      <c r="V71" s="78" t="s">
        <v>1417</v>
      </c>
      <c r="W71" s="1309" t="n">
        <f aca="false">IF(T$57="Y",S71*U71,S71*U71*(1+V$57))</f>
        <v>0</v>
      </c>
      <c r="X71" s="149"/>
      <c r="Y71" s="150"/>
      <c r="Z71" s="151"/>
      <c r="AA71" s="152" t="n">
        <f aca="false">X71*(Y71*Y71*0.04180884375)*Z71</f>
        <v>0</v>
      </c>
      <c r="AB71" s="152" t="n">
        <f aca="false">Y71*(Z71*Z71*0.04180884375)*AA71</f>
        <v>0</v>
      </c>
    </row>
    <row r="72" customFormat="false" ht="19.5" hidden="false" customHeight="true" outlineLevel="0" collapsed="false">
      <c r="A72" s="2111" t="str">
        <f aca="false">Summary!V60</f>
        <v>Import</v>
      </c>
      <c r="B72" s="1041" t="s">
        <v>1287</v>
      </c>
      <c r="F72" s="1048" t="n">
        <f aca="false">Pricing!D23</f>
        <v>0.55</v>
      </c>
      <c r="G72" s="16" t="s">
        <v>555</v>
      </c>
      <c r="H72" s="2112"/>
      <c r="I72" s="2112"/>
      <c r="J72" s="1050" t="n">
        <v>0.1</v>
      </c>
      <c r="K72" s="1051" t="n">
        <f aca="false">T54</f>
        <v>0</v>
      </c>
      <c r="L72" s="1051"/>
      <c r="M72" s="16" t="s">
        <v>1288</v>
      </c>
      <c r="N72" s="1318" t="n">
        <f aca="false">F72*K72*(IF(T57="N",1+V57,1))</f>
        <v>0</v>
      </c>
      <c r="O72" s="1318"/>
      <c r="P72" s="1306" t="s">
        <v>1069</v>
      </c>
      <c r="Q72" s="920" t="s">
        <v>536</v>
      </c>
      <c r="R72" s="78"/>
      <c r="S72" s="1311"/>
      <c r="T72" s="1312" t="s">
        <v>1416</v>
      </c>
      <c r="U72" s="1308" t="n">
        <f aca="false">Pricing!Q6</f>
        <v>1.171875</v>
      </c>
      <c r="V72" s="78" t="s">
        <v>1417</v>
      </c>
      <c r="W72" s="1309" t="n">
        <f aca="false">IF(T$57="Y",S72*U72,S72*U72*(1+V$57))</f>
        <v>0</v>
      </c>
      <c r="X72" s="149"/>
      <c r="Y72" s="150"/>
      <c r="Z72" s="151"/>
      <c r="AA72" s="152" t="n">
        <f aca="false">X72*(Y72*Y72*0.04180884375)*Z72</f>
        <v>0</v>
      </c>
      <c r="AB72" s="152" t="n">
        <f aca="false">Y72*(Z72*Z72*0.04180884375)*AA72</f>
        <v>0</v>
      </c>
    </row>
    <row r="73" customFormat="false" ht="19.5" hidden="false" customHeight="true" outlineLevel="0" collapsed="false">
      <c r="A73" s="599"/>
      <c r="B73" s="1041"/>
      <c r="F73" s="1319" t="n">
        <f aca="false">Pricing!F6</f>
        <v>0</v>
      </c>
      <c r="G73" s="16" t="s">
        <v>600</v>
      </c>
      <c r="H73" s="1742"/>
      <c r="I73" s="1742"/>
      <c r="J73" s="1321" t="n">
        <v>0.05</v>
      </c>
      <c r="K73" s="1310"/>
      <c r="L73" s="1310"/>
      <c r="M73" s="16" t="s">
        <v>1418</v>
      </c>
      <c r="N73" s="1305" t="n">
        <f aca="false">K73*F73*(IF(T57="N",1+V57,1))*(J73+1)</f>
        <v>0</v>
      </c>
      <c r="O73" s="1305"/>
      <c r="P73" s="1306" t="s">
        <v>1069</v>
      </c>
      <c r="Q73" s="920" t="s">
        <v>538</v>
      </c>
      <c r="R73" s="78"/>
      <c r="S73" s="1311" t="n">
        <f aca="false">ROUNDUP(AK46*0.5,0)</f>
        <v>0</v>
      </c>
      <c r="T73" s="1312" t="s">
        <v>1416</v>
      </c>
      <c r="U73" s="1308" t="n">
        <f aca="false">Pricing!Q7</f>
        <v>1.09375</v>
      </c>
      <c r="V73" s="78" t="s">
        <v>1417</v>
      </c>
      <c r="W73" s="1309" t="n">
        <f aca="false">IF(T$57="Y",S73*U73,S73*U73*(1+V$57))</f>
        <v>0</v>
      </c>
      <c r="X73" s="1322"/>
      <c r="Y73" s="1323"/>
      <c r="Z73" s="1324"/>
      <c r="AA73" s="1325" t="n">
        <f aca="false">X73*(Y73*Y73*0.04180884375)*Z73</f>
        <v>0</v>
      </c>
      <c r="AB73" s="1325" t="n">
        <f aca="false">Y73*(Z73*Z73*0.04180884375)*AA73</f>
        <v>0</v>
      </c>
    </row>
    <row r="74" customFormat="false" ht="19.5" hidden="false" customHeight="true" outlineLevel="0" collapsed="false">
      <c r="A74" s="599"/>
      <c r="B74" s="1044"/>
      <c r="C74" s="397"/>
      <c r="D74" s="397"/>
      <c r="E74" s="397"/>
      <c r="F74" s="1315" t="n">
        <v>0.35</v>
      </c>
      <c r="G74" s="397" t="s">
        <v>595</v>
      </c>
      <c r="H74" s="397" t="s">
        <v>1291</v>
      </c>
      <c r="I74" s="1054" t="n">
        <v>0</v>
      </c>
      <c r="J74" s="1054"/>
      <c r="K74" s="1055"/>
      <c r="L74" s="1055"/>
      <c r="M74" s="397" t="s">
        <v>1418</v>
      </c>
      <c r="N74" s="1326" t="n">
        <f aca="false">IF(M53="y",IF(I74=0,K74*F74,I74),0)*(IF(S$81="N",1+U$81,1))</f>
        <v>0</v>
      </c>
      <c r="O74" s="1326"/>
      <c r="P74" s="1306" t="s">
        <v>1069</v>
      </c>
      <c r="Q74" s="920" t="s">
        <v>540</v>
      </c>
      <c r="R74" s="78"/>
      <c r="S74" s="1311" t="n">
        <f aca="false">H83/32*2*S67</f>
        <v>0</v>
      </c>
      <c r="T74" s="78" t="s">
        <v>1420</v>
      </c>
      <c r="U74" s="1308" t="n">
        <f aca="false">Pricing!Q8</f>
        <v>74.75</v>
      </c>
      <c r="V74" s="78" t="s">
        <v>541</v>
      </c>
      <c r="W74" s="1309" t="n">
        <f aca="false">IF(T$57="Y",S74*U74,S74*U74*(1+V$57))</f>
        <v>0</v>
      </c>
      <c r="X74" s="149"/>
      <c r="Y74" s="150"/>
      <c r="Z74" s="151"/>
      <c r="AA74" s="152" t="n">
        <f aca="false">X74*(Y74*Y74*0.04180884375)*Z74</f>
        <v>0</v>
      </c>
      <c r="AB74" s="152" t="n">
        <f aca="false">Y74*(Z74*Z74*0.04180884375)*AA74</f>
        <v>0</v>
      </c>
    </row>
    <row r="75" customFormat="false" ht="19.5" hidden="false" customHeight="true" outlineLevel="0" collapsed="false">
      <c r="A75" s="1205"/>
      <c r="B75" s="15" t="s">
        <v>1421</v>
      </c>
      <c r="F75" s="1328" t="n">
        <f aca="false">Pricing!D19</f>
        <v>25</v>
      </c>
      <c r="G75" s="16" t="s">
        <v>1285</v>
      </c>
      <c r="H75" s="1329"/>
      <c r="I75" s="1329"/>
      <c r="J75" s="1031" t="n">
        <v>0.05</v>
      </c>
      <c r="K75" s="1042" t="n">
        <f aca="false">AH46</f>
        <v>0</v>
      </c>
      <c r="L75" s="1042"/>
      <c r="M75" s="16" t="s">
        <v>1286</v>
      </c>
      <c r="N75" s="1052" t="n">
        <f aca="false">K75*F75*IF(R23="N",1+C23,1)</f>
        <v>0</v>
      </c>
      <c r="O75" s="1052"/>
      <c r="P75" s="1306" t="s">
        <v>1069</v>
      </c>
      <c r="Q75" s="920" t="s">
        <v>1422</v>
      </c>
      <c r="R75" s="78"/>
      <c r="S75" s="1311" t="n">
        <f aca="false">ROUNDUP(D54/2/25,0)</f>
        <v>0</v>
      </c>
      <c r="T75" s="78" t="s">
        <v>1423</v>
      </c>
      <c r="U75" s="1308" t="n">
        <f aca="false">Pricing!Q15</f>
        <v>24</v>
      </c>
      <c r="V75" s="78" t="s">
        <v>1300</v>
      </c>
      <c r="W75" s="1309" t="n">
        <f aca="false">IF(T$57="Y",S75*U75,S75*U75*(1+V$57))</f>
        <v>0</v>
      </c>
      <c r="X75" s="149"/>
      <c r="Y75" s="150"/>
      <c r="Z75" s="151"/>
      <c r="AA75" s="152" t="n">
        <f aca="false">X75*(Y75*Y75*0.04180884375)*Z75</f>
        <v>0</v>
      </c>
      <c r="AB75" s="152" t="n">
        <f aca="false">Y75*(Z75*Z75*0.04180884375)*AA75</f>
        <v>0</v>
      </c>
    </row>
    <row r="76" customFormat="false" ht="19.5" hidden="false" customHeight="true" outlineLevel="0" collapsed="false">
      <c r="A76" s="599"/>
      <c r="B76" s="1081" t="s">
        <v>1424</v>
      </c>
      <c r="C76" s="397"/>
      <c r="D76" s="1330"/>
      <c r="E76" s="397"/>
      <c r="F76" s="1331" t="n">
        <v>15</v>
      </c>
      <c r="G76" s="397" t="s">
        <v>1285</v>
      </c>
      <c r="H76" s="1329"/>
      <c r="I76" s="1329"/>
      <c r="J76" s="1031"/>
      <c r="K76" s="1055"/>
      <c r="L76" s="1055"/>
      <c r="M76" s="397" t="s">
        <v>1418</v>
      </c>
      <c r="N76" s="1740" t="n">
        <f aca="false">K76*F76</f>
        <v>0</v>
      </c>
      <c r="O76" s="1740"/>
      <c r="P76" s="1306" t="s">
        <v>1069</v>
      </c>
      <c r="Q76" s="920" t="s">
        <v>561</v>
      </c>
      <c r="R76" s="78"/>
      <c r="S76" s="1311" t="n">
        <f aca="false">ROUNDUP(H83/1800,0)</f>
        <v>0</v>
      </c>
      <c r="T76" s="78" t="s">
        <v>1425</v>
      </c>
      <c r="U76" s="1308" t="n">
        <f aca="false">Pricing!Q16</f>
        <v>68.2</v>
      </c>
      <c r="V76" s="78" t="s">
        <v>562</v>
      </c>
      <c r="W76" s="1309" t="n">
        <f aca="false">IF(T$57="Y",S76*U76,S76*U76*(1+V$57))</f>
        <v>0</v>
      </c>
      <c r="X76" s="149"/>
      <c r="Y76" s="150"/>
      <c r="Z76" s="151"/>
      <c r="AA76" s="152" t="n">
        <f aca="false">X76*(Y76*Y76*0.04180884375)*Z76</f>
        <v>0</v>
      </c>
      <c r="AB76" s="152" t="n">
        <f aca="false">Y76*(Z76*Z76*0.04180884375)*AA76</f>
        <v>0</v>
      </c>
    </row>
    <row r="77" customFormat="false" ht="19.5" hidden="false" customHeight="true" outlineLevel="0" collapsed="false">
      <c r="A77" s="599"/>
      <c r="B77" s="15"/>
      <c r="D77" s="833"/>
      <c r="F77" s="1333" t="n">
        <v>0.17</v>
      </c>
      <c r="G77" s="16" t="s">
        <v>600</v>
      </c>
      <c r="H77" s="1329"/>
      <c r="I77" s="1329"/>
      <c r="J77" s="1334" t="n">
        <v>0.1</v>
      </c>
      <c r="K77" s="1310"/>
      <c r="L77" s="1310"/>
      <c r="M77" s="16" t="s">
        <v>1418</v>
      </c>
      <c r="N77" s="1038" t="n">
        <f aca="false">F77*K77</f>
        <v>0</v>
      </c>
      <c r="O77" s="1038"/>
      <c r="P77" s="1306" t="s">
        <v>1069</v>
      </c>
      <c r="Q77" s="920" t="s">
        <v>563</v>
      </c>
      <c r="R77" s="78"/>
      <c r="S77" s="1311" t="n">
        <f aca="false">ROUNDUP(H83/3000,0)</f>
        <v>0</v>
      </c>
      <c r="T77" s="78" t="s">
        <v>1425</v>
      </c>
      <c r="U77" s="1308" t="n">
        <f aca="false">Pricing!Q17</f>
        <v>68.2</v>
      </c>
      <c r="V77" s="78" t="s">
        <v>562</v>
      </c>
      <c r="W77" s="1309" t="n">
        <f aca="false">IF(T$57="Y",S77*U77,S77*U77*(1+V$57))</f>
        <v>0</v>
      </c>
      <c r="X77" s="1335"/>
      <c r="Y77" s="150"/>
      <c r="Z77" s="151"/>
      <c r="AA77" s="152" t="n">
        <f aca="false">X77*(Y77*Y77*0.04180884375)*Z77</f>
        <v>0</v>
      </c>
      <c r="AB77" s="152" t="n">
        <f aca="false">Y77*(Z77*Z77*0.04180884375)*AA77</f>
        <v>0</v>
      </c>
    </row>
    <row r="78" customFormat="false" ht="19.5" hidden="false" customHeight="true" outlineLevel="0" collapsed="false">
      <c r="A78" s="1041" t="s">
        <v>1427</v>
      </c>
      <c r="B78" s="1041"/>
      <c r="C78" s="1041"/>
      <c r="D78" s="833" t="s">
        <v>1428</v>
      </c>
      <c r="E78" s="1336" t="s">
        <v>1047</v>
      </c>
      <c r="F78" s="1337" t="n">
        <v>1.75</v>
      </c>
      <c r="G78" s="16" t="s">
        <v>600</v>
      </c>
      <c r="H78" s="1329"/>
      <c r="I78" s="1329"/>
      <c r="J78" s="1334"/>
      <c r="K78" s="1310" t="n">
        <f aca="false">IF(E78="Y",D54*(1+J77),0)</f>
        <v>0</v>
      </c>
      <c r="L78" s="1310"/>
      <c r="M78" s="16" t="s">
        <v>1259</v>
      </c>
      <c r="N78" s="1038" t="n">
        <f aca="false">K78*F78</f>
        <v>0</v>
      </c>
      <c r="O78" s="1038"/>
      <c r="P78" s="1306" t="s">
        <v>1069</v>
      </c>
      <c r="Q78" s="920" t="s">
        <v>564</v>
      </c>
      <c r="R78" s="78"/>
      <c r="S78" s="1311" t="n">
        <f aca="false">S77</f>
        <v>0</v>
      </c>
      <c r="T78" s="78" t="s">
        <v>1425</v>
      </c>
      <c r="U78" s="1308" t="n">
        <f aca="false">Pricing!Q18</f>
        <v>68.2</v>
      </c>
      <c r="V78" s="78" t="s">
        <v>562</v>
      </c>
      <c r="W78" s="1309" t="n">
        <f aca="false">IF(T$57="Y",S78*U78,S78*U78*(1+V$57))</f>
        <v>0</v>
      </c>
      <c r="X78" s="1322"/>
      <c r="Y78" s="1323"/>
      <c r="Z78" s="1324"/>
      <c r="AA78" s="1325" t="n">
        <f aca="false">X78*(Y78*Y78*0.04180884375)*Z78</f>
        <v>0</v>
      </c>
      <c r="AB78" s="1325" t="n">
        <f aca="false">Y78*(Z78*Z78*0.04180884375)*AA78</f>
        <v>0</v>
      </c>
    </row>
    <row r="79" customFormat="false" ht="19.5" hidden="false" customHeight="true" outlineLevel="0" collapsed="false">
      <c r="A79" s="1081" t="s">
        <v>1707</v>
      </c>
      <c r="B79" s="1081"/>
      <c r="C79" s="1081"/>
      <c r="D79" s="2113" t="s">
        <v>1428</v>
      </c>
      <c r="E79" s="1338" t="s">
        <v>1047</v>
      </c>
      <c r="F79" s="1339" t="n">
        <v>1.8</v>
      </c>
      <c r="G79" s="397" t="s">
        <v>1430</v>
      </c>
      <c r="H79" s="1329"/>
      <c r="I79" s="1329"/>
      <c r="J79" s="1334"/>
      <c r="K79" s="1316" t="n">
        <f aca="false">IF(E79="Y",,0)*D54*2*(1+J77)</f>
        <v>0</v>
      </c>
      <c r="L79" s="1316"/>
      <c r="M79" s="397" t="s">
        <v>1259</v>
      </c>
      <c r="N79" s="1056" t="n">
        <f aca="false">K79*F79</f>
        <v>0</v>
      </c>
      <c r="O79" s="1056"/>
      <c r="P79" s="1306" t="s">
        <v>1069</v>
      </c>
      <c r="Q79" s="920" t="s">
        <v>1310</v>
      </c>
      <c r="R79" s="78"/>
      <c r="S79" s="1311" t="n">
        <f aca="false">AL46*12/48/50</f>
        <v>0</v>
      </c>
      <c r="T79" s="78" t="s">
        <v>1425</v>
      </c>
      <c r="U79" s="1308" t="n">
        <f aca="false">Pricing!Q34</f>
        <v>45.24</v>
      </c>
      <c r="V79" s="78" t="s">
        <v>562</v>
      </c>
      <c r="W79" s="1309" t="n">
        <f aca="false">IF(T$57="Y",S79*U79,S79*U79*(1+V$57))</f>
        <v>0</v>
      </c>
      <c r="Y79" s="1414"/>
    </row>
    <row r="80" customFormat="false" ht="19.5" hidden="false" customHeight="true" outlineLevel="0" collapsed="false">
      <c r="A80" s="602"/>
      <c r="B80" s="602" t="s">
        <v>1431</v>
      </c>
      <c r="C80" s="1058"/>
      <c r="D80" s="1058"/>
      <c r="E80" s="1058"/>
      <c r="F80" s="1059" t="n">
        <v>1.75</v>
      </c>
      <c r="G80" s="1058" t="s">
        <v>1741</v>
      </c>
      <c r="H80" s="1341" t="s">
        <v>1433</v>
      </c>
      <c r="I80" s="1341"/>
      <c r="J80" s="1060" t="n">
        <v>0</v>
      </c>
      <c r="K80" s="1342" t="n">
        <f aca="false">BA54</f>
        <v>0</v>
      </c>
      <c r="L80" s="1342"/>
      <c r="M80" s="1058" t="s">
        <v>1418</v>
      </c>
      <c r="N80" s="1343" t="n">
        <f aca="false">F80*J80*K80</f>
        <v>0</v>
      </c>
      <c r="O80" s="1343"/>
      <c r="P80" s="1306" t="s">
        <v>1069</v>
      </c>
      <c r="Q80" s="920" t="s">
        <v>571</v>
      </c>
      <c r="R80" s="78"/>
      <c r="S80" s="1311" t="n">
        <f aca="false">BG68+AD137</f>
        <v>0</v>
      </c>
      <c r="T80" s="78" t="s">
        <v>1416</v>
      </c>
      <c r="U80" s="1308" t="n">
        <f aca="false">Pricing!Q19</f>
        <v>0.95</v>
      </c>
      <c r="V80" s="78" t="s">
        <v>1417</v>
      </c>
      <c r="W80" s="1309" t="n">
        <f aca="false">IF(T$57="Y",S80*U80,S80*U80*(1+V$57))</f>
        <v>0</v>
      </c>
      <c r="Y80" s="1414"/>
    </row>
    <row r="81" customFormat="false" ht="19.5" hidden="false" customHeight="true" outlineLevel="0" collapsed="false">
      <c r="A81" s="1344" t="s">
        <v>1434</v>
      </c>
      <c r="B81" s="1345"/>
      <c r="C81" s="1345" t="s">
        <v>1296</v>
      </c>
      <c r="D81" s="1345" t="s">
        <v>1742</v>
      </c>
      <c r="E81" s="1345"/>
      <c r="F81" s="1345"/>
      <c r="G81" s="1345"/>
      <c r="H81" s="1345"/>
      <c r="I81" s="1345"/>
      <c r="J81" s="1345"/>
      <c r="K81" s="1345" t="s">
        <v>973</v>
      </c>
      <c r="L81" s="1345"/>
      <c r="M81" s="2114" t="s">
        <v>1297</v>
      </c>
      <c r="N81" s="2114"/>
      <c r="O81" s="2114"/>
      <c r="P81" s="1306" t="s">
        <v>1069</v>
      </c>
      <c r="Q81" s="920" t="s">
        <v>576</v>
      </c>
      <c r="R81" s="78"/>
      <c r="S81" s="1311" t="n">
        <f aca="false">SUM(F10:F53)*4</f>
        <v>0</v>
      </c>
      <c r="T81" s="78" t="s">
        <v>1416</v>
      </c>
      <c r="U81" s="1308" t="n">
        <f aca="false">Pricing!Q20</f>
        <v>0.25</v>
      </c>
      <c r="V81" s="78" t="s">
        <v>1417</v>
      </c>
      <c r="W81" s="1309" t="n">
        <f aca="false">IF(T$57="Y",S81*U81,S81*U81*(1+V$57))</f>
        <v>0</v>
      </c>
      <c r="Y81" s="1414"/>
    </row>
    <row r="82" customFormat="false" ht="19.5" hidden="false" customHeight="true" outlineLevel="0" collapsed="false">
      <c r="A82" s="1347" t="s">
        <v>1743</v>
      </c>
      <c r="B82" s="2016"/>
      <c r="C82" s="1066" t="s">
        <v>1306</v>
      </c>
      <c r="D82" s="1349" t="n">
        <v>0.5</v>
      </c>
      <c r="E82" s="1349"/>
      <c r="F82" s="2016" t="s">
        <v>1618</v>
      </c>
      <c r="G82" s="1068"/>
      <c r="H82" s="2115" t="n">
        <f aca="false">SUM(X10:X53)</f>
        <v>0</v>
      </c>
      <c r="I82" s="2115"/>
      <c r="J82" s="1068" t="s">
        <v>1744</v>
      </c>
      <c r="K82" s="1072" t="n">
        <f aca="false">IF(C82="N",D82*H82,0)</f>
        <v>0</v>
      </c>
      <c r="L82" s="1072"/>
      <c r="M82" s="175"/>
      <c r="N82" s="1351" t="n">
        <f aca="false">IF(C82="y",D82*H82,0)</f>
        <v>0</v>
      </c>
      <c r="O82" s="1351"/>
      <c r="P82" s="1306" t="s">
        <v>1069</v>
      </c>
      <c r="Q82" s="920" t="s">
        <v>583</v>
      </c>
      <c r="R82" s="78"/>
      <c r="S82" s="1311"/>
      <c r="T82" s="78" t="s">
        <v>1425</v>
      </c>
      <c r="U82" s="1308" t="n">
        <f aca="false">Pricing!Q21</f>
        <v>45</v>
      </c>
      <c r="V82" s="78" t="s">
        <v>562</v>
      </c>
      <c r="W82" s="1309" t="n">
        <f aca="false">IF(T$57="Y",S82*U82,S82*U82*(1+V$57))</f>
        <v>0</v>
      </c>
      <c r="Y82" s="1414"/>
    </row>
    <row r="83" customFormat="false" ht="19.5" hidden="false" customHeight="true" outlineLevel="0" collapsed="false">
      <c r="A83" s="920" t="s">
        <v>1437</v>
      </c>
      <c r="B83" s="528"/>
      <c r="C83" s="1352" t="s">
        <v>1302</v>
      </c>
      <c r="D83" s="1075" t="n">
        <v>2.5</v>
      </c>
      <c r="E83" s="1075"/>
      <c r="F83" s="78" t="s">
        <v>1618</v>
      </c>
      <c r="G83" s="2116" t="n">
        <f aca="false">SUM(D83:E85)</f>
        <v>4.25</v>
      </c>
      <c r="H83" s="2117" t="n">
        <f aca="false">AZ54</f>
        <v>0</v>
      </c>
      <c r="I83" s="2117"/>
      <c r="J83" s="16" t="s">
        <v>1745</v>
      </c>
      <c r="K83" s="1076" t="n">
        <f aca="false">IF(C83="N",D83*H$83,0)</f>
        <v>0</v>
      </c>
      <c r="L83" s="1076"/>
      <c r="N83" s="1355" t="n">
        <f aca="false">IF(C83="y",H$83*D83,0)</f>
        <v>0</v>
      </c>
      <c r="O83" s="1355"/>
      <c r="P83" s="1306" t="s">
        <v>1069</v>
      </c>
      <c r="Q83" s="920"/>
      <c r="R83" s="78"/>
      <c r="S83" s="78"/>
      <c r="T83" s="78"/>
      <c r="U83" s="1308"/>
      <c r="V83" s="78"/>
      <c r="W83" s="1309" t="n">
        <f aca="false">U83*S83</f>
        <v>0</v>
      </c>
      <c r="Y83" s="1414"/>
    </row>
    <row r="84" customFormat="false" ht="19.5" hidden="false" customHeight="true" outlineLevel="0" collapsed="false">
      <c r="A84" s="507" t="s">
        <v>1442</v>
      </c>
      <c r="B84" s="528"/>
      <c r="C84" s="1074" t="s">
        <v>1302</v>
      </c>
      <c r="D84" s="1075" t="n">
        <v>1.25</v>
      </c>
      <c r="E84" s="1075"/>
      <c r="F84" s="78" t="s">
        <v>1618</v>
      </c>
      <c r="G84" s="2116"/>
      <c r="H84" s="2117"/>
      <c r="I84" s="2117"/>
      <c r="J84" s="16" t="s">
        <v>1745</v>
      </c>
      <c r="K84" s="1076" t="n">
        <f aca="false">IF(C84="N",D84*H$83,0)</f>
        <v>0</v>
      </c>
      <c r="L84" s="1076"/>
      <c r="N84" s="1355" t="n">
        <f aca="false">IF(C84="y",H$83*D84,0)</f>
        <v>0</v>
      </c>
      <c r="O84" s="1355"/>
      <c r="P84" s="1306" t="s">
        <v>1069</v>
      </c>
      <c r="Q84" s="920"/>
      <c r="R84" s="78"/>
      <c r="S84" s="1311"/>
      <c r="T84" s="78"/>
      <c r="U84" s="1308"/>
      <c r="V84" s="78"/>
      <c r="W84" s="1309" t="n">
        <f aca="false">S84*U84</f>
        <v>0</v>
      </c>
      <c r="Y84" s="1414"/>
    </row>
    <row r="85" customFormat="false" ht="19.5" hidden="false" customHeight="true" outlineLevel="0" collapsed="false">
      <c r="A85" s="507" t="s">
        <v>1443</v>
      </c>
      <c r="B85" s="528"/>
      <c r="C85" s="1074" t="s">
        <v>1302</v>
      </c>
      <c r="D85" s="1075" t="n">
        <v>0.5</v>
      </c>
      <c r="E85" s="1075"/>
      <c r="F85" s="78" t="s">
        <v>1618</v>
      </c>
      <c r="G85" s="2116"/>
      <c r="H85" s="2117"/>
      <c r="I85" s="2117"/>
      <c r="J85" s="16" t="s">
        <v>1745</v>
      </c>
      <c r="K85" s="1076" t="n">
        <f aca="false">IF(C85="N",D85*H$83,0)</f>
        <v>0</v>
      </c>
      <c r="L85" s="1076"/>
      <c r="N85" s="1355" t="n">
        <f aca="false">IF(C85="y",H$83*D85,0)</f>
        <v>0</v>
      </c>
      <c r="O85" s="1355"/>
      <c r="P85" s="1306" t="s">
        <v>1069</v>
      </c>
      <c r="Q85" s="920"/>
      <c r="R85" s="78"/>
      <c r="S85" s="1311"/>
      <c r="T85" s="78"/>
      <c r="U85" s="1308"/>
      <c r="V85" s="78"/>
      <c r="W85" s="1309" t="n">
        <f aca="false">S85*U85</f>
        <v>0</v>
      </c>
      <c r="Y85" s="1414"/>
    </row>
    <row r="86" customFormat="false" ht="19.5" hidden="false" customHeight="true" outlineLevel="0" collapsed="false">
      <c r="A86" s="507" t="s">
        <v>1444</v>
      </c>
      <c r="B86" s="528"/>
      <c r="C86" s="1074" t="s">
        <v>1302</v>
      </c>
      <c r="D86" s="1075" t="n">
        <v>0.25</v>
      </c>
      <c r="E86" s="1075"/>
      <c r="F86" s="78" t="s">
        <v>1618</v>
      </c>
      <c r="H86" s="2118" t="n">
        <f aca="false">SUM(Z10:Z53)</f>
        <v>0</v>
      </c>
      <c r="I86" s="2118"/>
      <c r="J86" s="16" t="s">
        <v>1439</v>
      </c>
      <c r="K86" s="1076" t="n">
        <f aca="false">IF(C86="N",D86*H$83,0)</f>
        <v>0</v>
      </c>
      <c r="L86" s="1076"/>
      <c r="N86" s="1355" t="n">
        <f aca="false">IF(C86="y",H$86*D86,0)</f>
        <v>0</v>
      </c>
      <c r="O86" s="1355"/>
      <c r="P86" s="1306" t="s">
        <v>1069</v>
      </c>
      <c r="Q86" s="1357"/>
      <c r="R86" s="1358"/>
      <c r="S86" s="1359"/>
      <c r="T86" s="1358"/>
      <c r="U86" s="1360"/>
      <c r="V86" s="1358"/>
      <c r="W86" s="1326" t="n">
        <f aca="false">S86*U86</f>
        <v>0</v>
      </c>
      <c r="Y86" s="1414"/>
    </row>
    <row r="87" customFormat="false" ht="19.5" hidden="false" customHeight="true" outlineLevel="0" collapsed="false">
      <c r="A87" s="507" t="s">
        <v>1307</v>
      </c>
      <c r="B87" s="528"/>
      <c r="C87" s="1074" t="s">
        <v>1302</v>
      </c>
      <c r="D87" s="1075" t="n">
        <v>450</v>
      </c>
      <c r="E87" s="1075"/>
      <c r="F87" s="78" t="s">
        <v>1308</v>
      </c>
      <c r="H87" s="1042" t="n">
        <f aca="false">(K72/2000)</f>
        <v>0</v>
      </c>
      <c r="I87" s="1042"/>
      <c r="J87" s="16" t="s">
        <v>1309</v>
      </c>
      <c r="K87" s="1076" t="n">
        <f aca="false">IF(C87="N",D87*H87,0)</f>
        <v>0</v>
      </c>
      <c r="L87" s="1076"/>
      <c r="N87" s="1355" t="n">
        <f aca="false">IF(C87="y",H87*D87,0)</f>
        <v>0</v>
      </c>
      <c r="O87" s="1355"/>
      <c r="P87" s="1306" t="s">
        <v>1077</v>
      </c>
      <c r="Q87" s="920" t="s">
        <v>1453</v>
      </c>
      <c r="R87" s="78"/>
      <c r="S87" s="78" t="n">
        <v>0</v>
      </c>
      <c r="T87" s="78" t="s">
        <v>1454</v>
      </c>
      <c r="U87" s="1308" t="n">
        <f aca="false">BM80</f>
        <v>0</v>
      </c>
      <c r="V87" s="78" t="s">
        <v>630</v>
      </c>
      <c r="W87" s="1309" t="n">
        <f aca="false">U87*S87</f>
        <v>0</v>
      </c>
      <c r="Y87" s="1414"/>
    </row>
    <row r="88" customFormat="false" ht="19.5" hidden="false" customHeight="true" outlineLevel="0" collapsed="false">
      <c r="A88" s="507" t="s">
        <v>1733</v>
      </c>
      <c r="B88" s="528"/>
      <c r="C88" s="1074" t="s">
        <v>1302</v>
      </c>
      <c r="D88" s="1075"/>
      <c r="E88" s="1075"/>
      <c r="F88" s="78" t="s">
        <v>1019</v>
      </c>
      <c r="H88" s="1042" t="n">
        <v>500</v>
      </c>
      <c r="I88" s="1042"/>
      <c r="J88" s="16" t="s">
        <v>1308</v>
      </c>
      <c r="K88" s="1076" t="n">
        <f aca="false">IF(C88="N",D88*H88,0)</f>
        <v>0</v>
      </c>
      <c r="L88" s="1076"/>
      <c r="N88" s="1355" t="n">
        <f aca="false">IF(C88="y",H88*D88,0)</f>
        <v>0</v>
      </c>
      <c r="O88" s="1355"/>
      <c r="P88" s="1306" t="s">
        <v>1077</v>
      </c>
      <c r="Q88" s="920"/>
      <c r="R88" s="78"/>
      <c r="S88" s="1311"/>
      <c r="T88" s="78"/>
      <c r="U88" s="1308"/>
      <c r="V88" s="78"/>
      <c r="W88" s="1309" t="n">
        <f aca="false">S88*U88</f>
        <v>0</v>
      </c>
      <c r="Y88" s="1414"/>
    </row>
    <row r="89" customFormat="false" ht="19.5" hidden="false" customHeight="true" outlineLevel="0" collapsed="false">
      <c r="A89" s="1747" t="s">
        <v>1313</v>
      </c>
      <c r="B89" s="1053"/>
      <c r="C89" s="1083" t="s">
        <v>1302</v>
      </c>
      <c r="D89" s="1084"/>
      <c r="E89" s="1084"/>
      <c r="F89" s="1358"/>
      <c r="G89" s="397"/>
      <c r="H89" s="1055"/>
      <c r="I89" s="1055"/>
      <c r="J89" s="397"/>
      <c r="K89" s="1085" t="n">
        <f aca="false">IF(C89="N",D89,0)</f>
        <v>0</v>
      </c>
      <c r="L89" s="1085"/>
      <c r="M89" s="265"/>
      <c r="N89" s="1365" t="n">
        <f aca="false">IF(C89="y",D89,0)</f>
        <v>0</v>
      </c>
      <c r="O89" s="1365"/>
      <c r="P89" s="1306" t="s">
        <v>1077</v>
      </c>
      <c r="Q89" s="920"/>
      <c r="R89" s="78"/>
      <c r="S89" s="1311"/>
      <c r="T89" s="78"/>
      <c r="U89" s="1308"/>
      <c r="V89" s="78"/>
      <c r="W89" s="1309" t="n">
        <f aca="false">S89*U89</f>
        <v>0</v>
      </c>
      <c r="Y89" s="1414"/>
    </row>
    <row r="90" customFormat="false" ht="19.5" hidden="false" customHeight="true" outlineLevel="0" collapsed="false">
      <c r="A90" s="1087" t="s">
        <v>1746</v>
      </c>
      <c r="B90" s="1088"/>
      <c r="C90" s="1089"/>
      <c r="D90" s="2119" t="n">
        <f aca="false">IF(D54=0,0,(N90-N89)/D54)</f>
        <v>0</v>
      </c>
      <c r="E90" s="2119"/>
      <c r="F90" s="855"/>
      <c r="G90" s="1058"/>
      <c r="H90" s="1088" t="s">
        <v>980</v>
      </c>
      <c r="I90" s="1088"/>
      <c r="J90" s="1088"/>
      <c r="K90" s="1091" t="n">
        <f aca="false">SUM(K82:L89)</f>
        <v>0</v>
      </c>
      <c r="L90" s="1091"/>
      <c r="M90" s="246"/>
      <c r="N90" s="2120" t="n">
        <f aca="false">SUM(N82:O89)</f>
        <v>0</v>
      </c>
      <c r="O90" s="2120"/>
      <c r="P90" s="1306" t="s">
        <v>1077</v>
      </c>
      <c r="Q90" s="1357"/>
      <c r="R90" s="1358"/>
      <c r="S90" s="1359"/>
      <c r="T90" s="2021"/>
      <c r="U90" s="1360"/>
      <c r="V90" s="1358"/>
      <c r="W90" s="1326" t="n">
        <f aca="false">S90*U90</f>
        <v>0</v>
      </c>
      <c r="Y90" s="1414"/>
    </row>
    <row r="91" customFormat="false" ht="19.5" hidden="false" customHeight="true" outlineLevel="0" collapsed="false">
      <c r="A91" s="1792" t="s">
        <v>1449</v>
      </c>
      <c r="B91" s="1792"/>
      <c r="C91" s="1792"/>
      <c r="D91" s="1792"/>
      <c r="E91" s="1792"/>
      <c r="F91" s="1792"/>
      <c r="G91" s="1792"/>
      <c r="H91" s="1792"/>
      <c r="I91" s="1792"/>
      <c r="J91" s="1792"/>
      <c r="K91" s="1792"/>
      <c r="L91" s="1792"/>
      <c r="M91" s="1792"/>
      <c r="N91" s="1792"/>
      <c r="O91" s="1792"/>
      <c r="P91" s="1306" t="s">
        <v>1448</v>
      </c>
      <c r="Q91" s="920" t="s">
        <v>601</v>
      </c>
      <c r="R91" s="78"/>
      <c r="S91" s="1311"/>
      <c r="T91" s="78"/>
      <c r="U91" s="1308" t="n">
        <f aca="false">Pricing!Q4</f>
        <v>0.859375</v>
      </c>
      <c r="V91" s="78" t="s">
        <v>1312</v>
      </c>
      <c r="W91" s="1309" t="n">
        <f aca="false">S91*U91</f>
        <v>0</v>
      </c>
      <c r="Y91" s="1414"/>
    </row>
    <row r="92" customFormat="false" ht="19.5" hidden="false" customHeight="true" outlineLevel="0" collapsed="false">
      <c r="A92" s="1794" t="s">
        <v>1316</v>
      </c>
      <c r="B92" s="2016"/>
      <c r="C92" s="1097"/>
      <c r="D92" s="1098"/>
      <c r="E92" s="2016" t="s">
        <v>1317</v>
      </c>
      <c r="F92" s="1368" t="n">
        <v>425</v>
      </c>
      <c r="G92" s="2024" t="s">
        <v>1450</v>
      </c>
      <c r="H92" s="1068"/>
      <c r="I92" s="1068"/>
      <c r="J92" s="1068"/>
      <c r="K92" s="1068"/>
      <c r="L92" s="1101" t="n">
        <f aca="false">IF(D58=0,0,(SUM(N92:O94))/D58)</f>
        <v>0</v>
      </c>
      <c r="M92" s="1101"/>
      <c r="N92" s="1369" t="n">
        <f aca="false">D92*F92</f>
        <v>0</v>
      </c>
      <c r="O92" s="1369"/>
      <c r="P92" s="1306" t="s">
        <v>1448</v>
      </c>
      <c r="Q92" s="920" t="s">
        <v>604</v>
      </c>
      <c r="R92" s="78"/>
      <c r="S92" s="1311"/>
      <c r="T92" s="78"/>
      <c r="U92" s="1308" t="n">
        <f aca="false">Pricing!Q5</f>
        <v>1.4453125</v>
      </c>
      <c r="V92" s="78" t="s">
        <v>1312</v>
      </c>
      <c r="W92" s="1309" t="n">
        <f aca="false">S92*U92</f>
        <v>0</v>
      </c>
      <c r="Y92" s="1414"/>
    </row>
    <row r="93" customFormat="false" ht="19.5" hidden="false" customHeight="true" outlineLevel="0" collapsed="false">
      <c r="A93" s="507" t="s">
        <v>1318</v>
      </c>
      <c r="B93" s="78"/>
      <c r="C93" s="78"/>
      <c r="D93" s="2031" t="n">
        <f aca="false">D92</f>
        <v>0</v>
      </c>
      <c r="E93" s="2026" t="s">
        <v>1317</v>
      </c>
      <c r="F93" s="2121" t="n">
        <v>250</v>
      </c>
      <c r="G93" s="901" t="s">
        <v>1450</v>
      </c>
      <c r="L93" s="1106" t="n">
        <f aca="false">SUM(N92:O94)</f>
        <v>0</v>
      </c>
      <c r="M93" s="1106"/>
      <c r="N93" s="1309" t="n">
        <f aca="false">D93*F93</f>
        <v>0</v>
      </c>
      <c r="O93" s="1309"/>
      <c r="P93" s="1306" t="s">
        <v>1077</v>
      </c>
      <c r="Q93" s="920" t="s">
        <v>606</v>
      </c>
      <c r="R93" s="78"/>
      <c r="S93" s="1311"/>
      <c r="T93" s="78" t="s">
        <v>1452</v>
      </c>
      <c r="U93" s="1308" t="n">
        <f aca="false">Pricing!Q28</f>
        <v>45</v>
      </c>
      <c r="V93" s="78" t="s">
        <v>607</v>
      </c>
      <c r="W93" s="1309" t="n">
        <f aca="false">S93*U93</f>
        <v>0</v>
      </c>
      <c r="Y93" s="1414"/>
    </row>
    <row r="94" customFormat="false" ht="19.5" hidden="false" customHeight="true" outlineLevel="0" collapsed="false">
      <c r="A94" s="507" t="s">
        <v>1320</v>
      </c>
      <c r="B94" s="78"/>
      <c r="C94" s="78"/>
      <c r="D94" s="1103" t="n">
        <f aca="false">D92</f>
        <v>0</v>
      </c>
      <c r="E94" s="78" t="s">
        <v>1317</v>
      </c>
      <c r="F94" s="1370" t="n">
        <v>100</v>
      </c>
      <c r="G94" s="78" t="s">
        <v>1450</v>
      </c>
      <c r="N94" s="1309" t="n">
        <f aca="false">D94*F94</f>
        <v>0</v>
      </c>
      <c r="O94" s="1309"/>
      <c r="P94" s="1306" t="s">
        <v>1077</v>
      </c>
      <c r="Q94" s="920"/>
      <c r="R94" s="78"/>
      <c r="S94" s="1311"/>
      <c r="T94" s="78"/>
      <c r="U94" s="1308"/>
      <c r="V94" s="78"/>
      <c r="W94" s="1309" t="n">
        <f aca="false">S94*U94</f>
        <v>0</v>
      </c>
      <c r="Y94" s="1414"/>
    </row>
    <row r="95" customFormat="false" ht="19.5" hidden="false" customHeight="true" outlineLevel="0" collapsed="false">
      <c r="A95" s="1312" t="s">
        <v>1321</v>
      </c>
      <c r="B95" s="78"/>
      <c r="C95" s="1826"/>
      <c r="D95" s="1110" t="n">
        <f aca="false">D92</f>
        <v>0</v>
      </c>
      <c r="E95" s="1826"/>
      <c r="F95" s="1371" t="n">
        <v>200</v>
      </c>
      <c r="G95" s="78"/>
      <c r="L95" s="1372" t="n">
        <f aca="false">IF(D58=0,0,N95/D58)</f>
        <v>0</v>
      </c>
      <c r="M95" s="1372"/>
      <c r="N95" s="1309" t="n">
        <f aca="false">D95*F95</f>
        <v>0</v>
      </c>
      <c r="O95" s="1309"/>
      <c r="P95" s="1306"/>
      <c r="Q95" s="920"/>
      <c r="R95" s="78"/>
      <c r="S95" s="1311"/>
      <c r="T95" s="78"/>
      <c r="U95" s="1308"/>
      <c r="V95" s="78"/>
      <c r="W95" s="1309" t="n">
        <f aca="false">S95*U95</f>
        <v>0</v>
      </c>
      <c r="Y95" s="1414"/>
    </row>
    <row r="96" customFormat="false" ht="19.5" hidden="false" customHeight="true" outlineLevel="0" collapsed="false">
      <c r="A96" s="1765" t="s">
        <v>1325</v>
      </c>
      <c r="B96" s="1765"/>
      <c r="C96" s="1063"/>
      <c r="D96" s="1063"/>
      <c r="E96" s="1063"/>
      <c r="F96" s="1063"/>
      <c r="G96" s="1765"/>
      <c r="H96" s="1765"/>
      <c r="I96" s="1765"/>
      <c r="J96" s="1765"/>
      <c r="K96" s="1765"/>
      <c r="L96" s="1765"/>
      <c r="M96" s="1765"/>
      <c r="N96" s="1765"/>
      <c r="O96" s="1765"/>
      <c r="P96" s="1306" t="s">
        <v>1077</v>
      </c>
      <c r="Q96" s="2122" t="s">
        <v>1643</v>
      </c>
      <c r="R96" s="397"/>
      <c r="S96" s="2035"/>
      <c r="T96" s="397" t="s">
        <v>1323</v>
      </c>
      <c r="U96" s="1108" t="n">
        <v>250</v>
      </c>
      <c r="V96" s="397" t="s">
        <v>1747</v>
      </c>
      <c r="W96" s="1326" t="n">
        <f aca="false">S96*U96</f>
        <v>0</v>
      </c>
      <c r="Y96" s="1414"/>
    </row>
    <row r="97" customFormat="false" ht="19.5" hidden="false" customHeight="true" outlineLevel="0" collapsed="false">
      <c r="A97" s="1347" t="s">
        <v>1326</v>
      </c>
      <c r="B97" s="2016"/>
      <c r="C97" s="2123"/>
      <c r="D97" s="1098" t="n">
        <f aca="false">D100</f>
        <v>0</v>
      </c>
      <c r="E97" s="2016" t="s">
        <v>1327</v>
      </c>
      <c r="F97" s="1099" t="n">
        <f aca="false">Pricing!D32</f>
        <v>425</v>
      </c>
      <c r="G97" s="2016" t="s">
        <v>620</v>
      </c>
      <c r="H97" s="1068"/>
      <c r="I97" s="1068"/>
      <c r="J97" s="1068"/>
      <c r="K97" s="1068"/>
      <c r="L97" s="1068"/>
      <c r="M97" s="1068"/>
      <c r="N97" s="1369" t="n">
        <f aca="false">(IF(AND(D97&gt;0,D97&lt;4),D97*F97,0)+IF(AND(D97&gt;3,D97&lt;8),F97*3,0)+IF(AND(D97&gt;7,D97&lt;21),D97/7*F97*3,0)+IF(AND(D97&gt;20,D97&lt;30),F97*9,0)+IF(D97&gt;29,D97/30*F97*9,0))*(1+V$57+I$99)</f>
        <v>0</v>
      </c>
      <c r="O97" s="1369"/>
      <c r="P97" s="1306" t="s">
        <v>1073</v>
      </c>
      <c r="Q97" s="920" t="s">
        <v>618</v>
      </c>
      <c r="R97" s="78"/>
      <c r="S97" s="78" t="n">
        <f aca="false">ROUNDUP(H83/12000,0)</f>
        <v>0</v>
      </c>
      <c r="T97" s="78" t="s">
        <v>1452</v>
      </c>
      <c r="U97" s="1308" t="n">
        <f aca="false">BM84</f>
        <v>0</v>
      </c>
      <c r="V97" s="78" t="s">
        <v>607</v>
      </c>
      <c r="W97" s="1309" t="n">
        <f aca="false">S97*U97</f>
        <v>0</v>
      </c>
      <c r="Y97" s="1414"/>
    </row>
    <row r="98" customFormat="false" ht="19.5" hidden="false" customHeight="true" outlineLevel="0" collapsed="false">
      <c r="A98" s="920" t="s">
        <v>1748</v>
      </c>
      <c r="B98" s="78"/>
      <c r="C98" s="900"/>
      <c r="D98" s="1115" t="n">
        <f aca="false">D100</f>
        <v>0</v>
      </c>
      <c r="E98" s="78" t="s">
        <v>1327</v>
      </c>
      <c r="F98" s="1105" t="n">
        <f aca="false">Pricing!D33</f>
        <v>475</v>
      </c>
      <c r="G98" s="78" t="s">
        <v>620</v>
      </c>
      <c r="I98" s="1118" t="s">
        <v>1329</v>
      </c>
      <c r="J98" s="1118"/>
      <c r="L98" s="1119" t="n">
        <f aca="false">IF(D58=0,0,(SUM(N97:O102))/D58)</f>
        <v>0</v>
      </c>
      <c r="M98" s="1119"/>
      <c r="N98" s="1309" t="n">
        <f aca="false">(IF(AND(D98&gt;0,D98&lt;4),D98*F98,0)+IF(AND(D98&gt;3,D98&lt;8),F98*3,0)+IF(AND(D98&gt;7,D98&lt;21),D98/7*F98*3,0)+IF(AND(D98&gt;20,D98&lt;30),F98*9,0)+IF(D98&gt;29,D98/30*F98*9,0))*(1+V$57+I$99)</f>
        <v>0</v>
      </c>
      <c r="O98" s="1309"/>
      <c r="P98" s="1306" t="s">
        <v>1073</v>
      </c>
      <c r="Q98" s="920" t="s">
        <v>1457</v>
      </c>
      <c r="R98" s="78"/>
      <c r="S98" s="78"/>
      <c r="T98" s="78"/>
      <c r="U98" s="1308" t="n">
        <v>0</v>
      </c>
      <c r="V98" s="78" t="s">
        <v>1417</v>
      </c>
      <c r="W98" s="1309" t="n">
        <f aca="false">U98*S98</f>
        <v>0</v>
      </c>
      <c r="Y98" s="1414"/>
    </row>
    <row r="99" customFormat="false" ht="19.5" hidden="false" customHeight="true" outlineLevel="0" collapsed="false">
      <c r="A99" s="920"/>
      <c r="B99" s="78"/>
      <c r="C99" s="900"/>
      <c r="D99" s="1115"/>
      <c r="E99" s="78" t="s">
        <v>1327</v>
      </c>
      <c r="F99" s="1105"/>
      <c r="G99" s="78" t="s">
        <v>620</v>
      </c>
      <c r="I99" s="2124" t="n">
        <v>0.5</v>
      </c>
      <c r="J99" s="2124"/>
      <c r="L99" s="1106" t="n">
        <f aca="false">SUM(N97:O102)</f>
        <v>0</v>
      </c>
      <c r="M99" s="1106"/>
      <c r="N99" s="1309" t="n">
        <f aca="false">(IF(AND(D99&gt;0,D99&lt;4),D99*F99,0)+IF(AND(D99&gt;3,D99&lt;8),F99*3,0)+IF(AND(D99&gt;7,D99&lt;21),D99/7*F99*3,0)+IF(AND(D99&gt;20,D99&lt;30),F99*9,0)+IF(D99&gt;29,D99/30*F99*9,0))*(1+V$57+I$99)</f>
        <v>0</v>
      </c>
      <c r="O99" s="1309"/>
      <c r="P99" s="1306" t="s">
        <v>1073</v>
      </c>
      <c r="Q99" s="1357" t="s">
        <v>554</v>
      </c>
      <c r="R99" s="1358"/>
      <c r="S99" s="1376" t="n">
        <f aca="false">K72</f>
        <v>0</v>
      </c>
      <c r="T99" s="1358" t="s">
        <v>1288</v>
      </c>
      <c r="U99" s="1360" t="n">
        <v>0.02</v>
      </c>
      <c r="V99" s="1358" t="s">
        <v>555</v>
      </c>
      <c r="W99" s="1326" t="n">
        <f aca="false">U99*S99</f>
        <v>0</v>
      </c>
      <c r="Y99" s="1414"/>
    </row>
    <row r="100" customFormat="false" ht="19.5" hidden="false" customHeight="true" outlineLevel="0" collapsed="false">
      <c r="A100" s="920" t="s">
        <v>626</v>
      </c>
      <c r="B100" s="78"/>
      <c r="C100" s="900"/>
      <c r="D100" s="1115"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78" t="s">
        <v>1327</v>
      </c>
      <c r="F100" s="1105" t="n">
        <f aca="false">Pricing!D35</f>
        <v>325</v>
      </c>
      <c r="G100" s="78" t="s">
        <v>620</v>
      </c>
      <c r="I100" s="2124"/>
      <c r="J100" s="2124"/>
      <c r="N100" s="1309" t="n">
        <f aca="false">(IF(AND(D100&gt;0,D100&lt;4),D100*F100,0)+IF(AND(D100&gt;3,D100&lt;8),F100*3,0)+IF(AND(D100&gt;7,D100&lt;21),D100/7*F100*3,0)+IF(AND(D100&gt;20,D100&lt;30),F100*9,0)+IF(D100&gt;29,D100/30*F100*9,0))*(1+V$57+I$99)</f>
        <v>0</v>
      </c>
      <c r="O100" s="1309"/>
      <c r="P100" s="1306" t="s">
        <v>1078</v>
      </c>
      <c r="Q100" s="920" t="s">
        <v>1105</v>
      </c>
      <c r="R100" s="78"/>
      <c r="S100" s="78"/>
      <c r="T100" s="78" t="s">
        <v>1000</v>
      </c>
      <c r="U100" s="1308" t="n">
        <v>0</v>
      </c>
      <c r="V100" s="78"/>
      <c r="W100" s="1309" t="n">
        <f aca="false">U100*S100</f>
        <v>0</v>
      </c>
      <c r="Y100" s="1414"/>
    </row>
    <row r="101" customFormat="false" ht="19.5" hidden="false" customHeight="true" outlineLevel="0" collapsed="false">
      <c r="A101" s="920" t="s">
        <v>1749</v>
      </c>
      <c r="B101" s="78"/>
      <c r="C101" s="900"/>
      <c r="D101" s="1115"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78" t="s">
        <v>1327</v>
      </c>
      <c r="F101" s="1105" t="n">
        <v>105</v>
      </c>
      <c r="G101" s="78" t="s">
        <v>620</v>
      </c>
      <c r="N101" s="1309" t="n">
        <f aca="false">(IF(AND(D101&gt;0,D101&lt;4),D101*F101,0)+IF(AND(D101&gt;3,D101&lt;8),F101*3,0)+IF(AND(D101&gt;7,D101&lt;21),D101/7*F101*3,0)+IF(AND(D101&gt;20,D101&lt;30),F101*9,0)+IF(D101&gt;29,D101/30*F101*9,0))*(1+V$57+I$99)</f>
        <v>0</v>
      </c>
      <c r="O101" s="1309"/>
      <c r="P101" s="1306" t="s">
        <v>1328</v>
      </c>
      <c r="Q101" s="920" t="s">
        <v>1105</v>
      </c>
      <c r="R101" s="78"/>
      <c r="S101" s="78"/>
      <c r="T101" s="78" t="s">
        <v>1000</v>
      </c>
      <c r="U101" s="1308" t="n">
        <v>0</v>
      </c>
      <c r="V101" s="78"/>
      <c r="W101" s="1309" t="n">
        <f aca="false">U101*S101</f>
        <v>0</v>
      </c>
      <c r="Y101" s="1414"/>
    </row>
    <row r="102" customFormat="false" ht="19.5" hidden="false" customHeight="true" outlineLevel="0" collapsed="false">
      <c r="A102" s="1599" t="s">
        <v>1067</v>
      </c>
      <c r="B102" s="1826"/>
      <c r="C102" s="2125"/>
      <c r="D102" s="2037" t="n">
        <f aca="false">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1826" t="s">
        <v>1327</v>
      </c>
      <c r="F102" s="1126" t="n">
        <v>35</v>
      </c>
      <c r="G102" s="1826" t="s">
        <v>620</v>
      </c>
      <c r="H102" s="1058"/>
      <c r="I102" s="1058"/>
      <c r="J102" s="1058"/>
      <c r="K102" s="1058"/>
      <c r="L102" s="1127"/>
      <c r="M102" s="1058"/>
      <c r="N102" s="730" t="n">
        <f aca="false">(IF(AND(D102&gt;0,D102&lt;4),D102*F102,0)+IF(AND(D102&gt;3,D102&lt;8),F102*3,0)+IF(AND(D102&gt;7,D102&lt;21),D102/7*F102*3,0)+IF(AND(D102&gt;20,D102&lt;30),F102*9,0)+IF(D102&gt;29,D102/30*F102*9,0))</f>
        <v>0</v>
      </c>
      <c r="O102" s="730"/>
      <c r="P102" s="1306" t="s">
        <v>1330</v>
      </c>
      <c r="Q102" s="1357" t="s">
        <v>1108</v>
      </c>
      <c r="R102" s="1358"/>
      <c r="S102" s="1358"/>
      <c r="T102" s="1358" t="s">
        <v>1018</v>
      </c>
      <c r="U102" s="1360" t="n">
        <v>0</v>
      </c>
      <c r="V102" s="1358"/>
      <c r="W102" s="1326" t="n">
        <f aca="false">U102*S102</f>
        <v>0</v>
      </c>
      <c r="Y102" s="1414"/>
    </row>
    <row r="103" customFormat="false" ht="19.5" hidden="false" customHeight="true" outlineLevel="0" collapsed="false">
      <c r="A103" s="1367" t="s">
        <v>1336</v>
      </c>
      <c r="B103" s="1063"/>
      <c r="C103" s="1063"/>
      <c r="D103" s="1063"/>
      <c r="E103" s="1063"/>
      <c r="F103" s="1063"/>
      <c r="G103" s="1063"/>
      <c r="H103" s="1063"/>
      <c r="I103" s="1063"/>
      <c r="J103" s="1063"/>
      <c r="K103" s="1063"/>
      <c r="L103" s="1063"/>
      <c r="M103" s="1063"/>
      <c r="N103" s="1063"/>
      <c r="O103" s="1063"/>
      <c r="P103" s="1306" t="s">
        <v>1342</v>
      </c>
      <c r="Q103" s="920"/>
      <c r="R103" s="78"/>
      <c r="S103" s="78"/>
      <c r="T103" s="78"/>
      <c r="U103" s="1308" t="n">
        <f aca="false">BE87</f>
        <v>0</v>
      </c>
      <c r="V103" s="78"/>
      <c r="W103" s="2011" t="n">
        <f aca="false">U103*S103</f>
        <v>0</v>
      </c>
      <c r="Y103" s="1414"/>
    </row>
    <row r="104" customFormat="false" ht="19.5" hidden="false" customHeight="true" outlineLevel="0" collapsed="false">
      <c r="A104" s="2126" t="s">
        <v>1458</v>
      </c>
      <c r="B104" s="2126"/>
      <c r="C104" s="2126"/>
      <c r="D104" s="2127" t="n">
        <f aca="false">SUM(K67:L71)</f>
        <v>0</v>
      </c>
      <c r="E104" s="1800" t="s">
        <v>1285</v>
      </c>
      <c r="F104" s="1383" t="n">
        <v>20</v>
      </c>
      <c r="G104" s="2016" t="s">
        <v>1285</v>
      </c>
      <c r="H104" s="1068"/>
      <c r="I104" s="1068"/>
      <c r="J104" s="1068"/>
      <c r="K104" s="1068"/>
      <c r="L104" s="1068"/>
      <c r="M104" s="2128"/>
      <c r="N104" s="1369" t="n">
        <f aca="false">D104*F104</f>
        <v>0</v>
      </c>
      <c r="O104" s="1369"/>
      <c r="P104" s="1306" t="s">
        <v>1342</v>
      </c>
      <c r="Q104" s="920" t="s">
        <v>646</v>
      </c>
      <c r="R104" s="78"/>
      <c r="S104" s="1384"/>
      <c r="T104" s="78" t="s">
        <v>1460</v>
      </c>
      <c r="U104" s="1308" t="n">
        <f aca="false">Pricing!Q44</f>
        <v>567.5</v>
      </c>
      <c r="V104" s="78" t="s">
        <v>647</v>
      </c>
      <c r="W104" s="1309" t="n">
        <f aca="false">U104*S104</f>
        <v>0</v>
      </c>
      <c r="Y104" s="1414"/>
    </row>
    <row r="105" customFormat="false" ht="19.5" hidden="false" customHeight="true" outlineLevel="0" collapsed="false">
      <c r="A105" s="2129" t="s">
        <v>1750</v>
      </c>
      <c r="B105" s="2129"/>
      <c r="C105" s="2129"/>
      <c r="D105" s="857"/>
      <c r="E105" s="78" t="s">
        <v>600</v>
      </c>
      <c r="F105" s="1337" t="n">
        <v>0.5</v>
      </c>
      <c r="G105" s="78" t="s">
        <v>600</v>
      </c>
      <c r="M105" s="170"/>
      <c r="N105" s="1309" t="n">
        <f aca="false">D105*F105</f>
        <v>0</v>
      </c>
      <c r="O105" s="1309"/>
      <c r="P105" s="1306" t="s">
        <v>1342</v>
      </c>
      <c r="Q105" s="1357" t="s">
        <v>649</v>
      </c>
      <c r="R105" s="1358"/>
      <c r="S105" s="1358" t="n">
        <f aca="false">ROUNDUP(H83/300/55,0)</f>
        <v>0</v>
      </c>
      <c r="T105" s="1358" t="s">
        <v>1460</v>
      </c>
      <c r="U105" s="1386" t="n">
        <f aca="false">Pricing!Q45</f>
        <v>542</v>
      </c>
      <c r="V105" s="1358" t="s">
        <v>647</v>
      </c>
      <c r="W105" s="1326" t="n">
        <f aca="false">U105*S105</f>
        <v>0</v>
      </c>
      <c r="Y105" s="1414"/>
    </row>
    <row r="106" customFormat="false" ht="19.5" hidden="false" customHeight="true" outlineLevel="0" collapsed="false">
      <c r="A106" s="2129" t="s">
        <v>1462</v>
      </c>
      <c r="B106" s="2129"/>
      <c r="C106" s="2129"/>
      <c r="D106" s="857"/>
      <c r="E106" s="2026" t="s">
        <v>1341</v>
      </c>
      <c r="F106" s="1337" t="n">
        <v>2.5</v>
      </c>
      <c r="G106" s="78" t="s">
        <v>1341</v>
      </c>
      <c r="M106" s="170"/>
      <c r="N106" s="1309" t="n">
        <f aca="false">D106*F106</f>
        <v>0</v>
      </c>
      <c r="O106" s="1309"/>
      <c r="P106" s="1306"/>
      <c r="Q106" s="599"/>
      <c r="W106" s="1146"/>
      <c r="Y106" s="1414"/>
    </row>
    <row r="107" customFormat="false" ht="19.5" hidden="false" customHeight="true" outlineLevel="0" collapsed="false">
      <c r="A107" s="2129" t="s">
        <v>1067</v>
      </c>
      <c r="B107" s="2129"/>
      <c r="C107" s="2129"/>
      <c r="D107" s="2130"/>
      <c r="E107" s="2046"/>
      <c r="F107" s="1105" t="n">
        <v>1000</v>
      </c>
      <c r="G107" s="2048" t="s">
        <v>1348</v>
      </c>
      <c r="H107" s="16" t="s">
        <v>1751</v>
      </c>
      <c r="M107" s="170"/>
      <c r="N107" s="1309" t="n">
        <f aca="false">D107*F107</f>
        <v>0</v>
      </c>
      <c r="O107" s="1309"/>
      <c r="P107" s="1306"/>
      <c r="Q107" s="1151" t="s">
        <v>1349</v>
      </c>
      <c r="R107" s="1151"/>
      <c r="S107" s="16" t="n">
        <v>18</v>
      </c>
      <c r="T107" s="16" t="s">
        <v>1350</v>
      </c>
      <c r="W107" s="1388"/>
      <c r="Y107" s="1414"/>
    </row>
    <row r="108" customFormat="false" ht="19.5" hidden="false" customHeight="true" outlineLevel="0" collapsed="false">
      <c r="A108" s="2129" t="s">
        <v>1234</v>
      </c>
      <c r="B108" s="2129"/>
      <c r="C108" s="2129"/>
      <c r="D108" s="2131"/>
      <c r="E108" s="1308" t="s">
        <v>1285</v>
      </c>
      <c r="F108" s="1390" t="n">
        <v>6</v>
      </c>
      <c r="G108" s="78" t="s">
        <v>1285</v>
      </c>
      <c r="M108" s="170"/>
      <c r="N108" s="1309" t="n">
        <f aca="false">D108*F108</f>
        <v>0</v>
      </c>
      <c r="O108" s="1309"/>
      <c r="P108" s="1306" t="s">
        <v>1072</v>
      </c>
      <c r="Q108" s="602" t="s">
        <v>1353</v>
      </c>
      <c r="R108" s="1058"/>
      <c r="S108" s="1058" t="n">
        <f aca="false">S80*12/S107</f>
        <v>0</v>
      </c>
      <c r="T108" s="1058" t="s">
        <v>1354</v>
      </c>
      <c r="U108" s="1162" t="n">
        <f aca="false">BM86</f>
        <v>0</v>
      </c>
      <c r="V108" s="1162"/>
      <c r="W108" s="730" t="n">
        <f aca="false">U108*S108</f>
        <v>0</v>
      </c>
      <c r="Y108" s="1414"/>
    </row>
    <row r="109" customFormat="false" ht="19.5" hidden="false" customHeight="true" outlineLevel="0" collapsed="false">
      <c r="A109" s="2132" t="s">
        <v>1346</v>
      </c>
      <c r="B109" s="2132"/>
      <c r="C109" s="2132"/>
      <c r="D109" s="2133"/>
      <c r="E109" s="2051" t="s">
        <v>1347</v>
      </c>
      <c r="F109" s="1059" t="n">
        <v>200</v>
      </c>
      <c r="G109" s="1826" t="s">
        <v>620</v>
      </c>
      <c r="H109" s="1058"/>
      <c r="I109" s="1058"/>
      <c r="J109" s="1058"/>
      <c r="K109" s="1058"/>
      <c r="L109" s="1058"/>
      <c r="M109" s="2134"/>
      <c r="N109" s="730" t="n">
        <f aca="false">D109*F109</f>
        <v>0</v>
      </c>
      <c r="O109" s="730"/>
      <c r="W109" s="1164" t="n">
        <f aca="false">SUM(W68:W108)</f>
        <v>0</v>
      </c>
      <c r="Y109" s="1414"/>
    </row>
    <row r="110" customFormat="false" ht="19.5" hidden="false" customHeight="true" outlineLevel="0" collapsed="false">
      <c r="A110" s="2135" t="s">
        <v>1191</v>
      </c>
      <c r="B110" s="2135"/>
      <c r="C110" s="2135"/>
      <c r="D110" s="2136" t="n">
        <f aca="false">Summary!P60</f>
        <v>0</v>
      </c>
      <c r="E110" s="2137" t="s">
        <v>1465</v>
      </c>
      <c r="F110" s="2138" t="n">
        <f aca="false">(SUM(N67:O80)+SUM(N82:O89)+SUM(K82:L89)+SUM(N92:O94)+SUM(N97:O102)+SUM(N104:O109))*D110</f>
        <v>0</v>
      </c>
      <c r="G110" s="2139" t="s">
        <v>1039</v>
      </c>
      <c r="H110" s="1398"/>
      <c r="I110" s="1398"/>
      <c r="J110" s="1398"/>
      <c r="K110" s="1398"/>
      <c r="L110" s="1398"/>
      <c r="M110" s="2140"/>
      <c r="N110" s="1399" t="n">
        <f aca="false">F110</f>
        <v>0</v>
      </c>
      <c r="O110" s="1399"/>
      <c r="Y110" s="1414"/>
    </row>
    <row r="111" customFormat="false" ht="15" hidden="false" customHeight="false" outlineLevel="0" collapsed="false">
      <c r="A111" s="949"/>
      <c r="B111" s="950"/>
      <c r="C111" s="950"/>
      <c r="D111" s="950"/>
      <c r="E111" s="950"/>
      <c r="F111" s="950"/>
      <c r="G111" s="950"/>
      <c r="H111" s="950"/>
      <c r="I111" s="950"/>
      <c r="J111" s="950"/>
      <c r="K111" s="954"/>
      <c r="L111" s="950"/>
      <c r="M111" s="950"/>
      <c r="N111" s="950"/>
      <c r="O111" s="950"/>
      <c r="P111" s="950"/>
      <c r="Q111" s="950"/>
      <c r="R111" s="950"/>
      <c r="S111" s="950"/>
      <c r="T111" s="950"/>
      <c r="U111" s="950"/>
      <c r="V111" s="950"/>
      <c r="W111" s="957"/>
      <c r="Y111" s="1414"/>
    </row>
    <row r="112" customFormat="false" ht="15" hidden="false" customHeight="true" outlineLevel="0" collapsed="false">
      <c r="A112" s="958" t="s">
        <v>1262</v>
      </c>
      <c r="B112" s="958"/>
      <c r="C112" s="958"/>
      <c r="D112" s="958" t="s">
        <v>982</v>
      </c>
      <c r="E112" s="958"/>
      <c r="F112" s="958" t="s">
        <v>1263</v>
      </c>
      <c r="G112" s="958"/>
      <c r="H112" s="958"/>
      <c r="I112" s="959" t="s">
        <v>1264</v>
      </c>
      <c r="J112" s="959"/>
      <c r="K112" s="959"/>
      <c r="L112" s="1170" t="s">
        <v>1265</v>
      </c>
      <c r="M112" s="1170"/>
      <c r="N112" s="1171"/>
      <c r="O112" s="1172"/>
      <c r="P112" s="961"/>
      <c r="Q112" s="599" t="s">
        <v>1266</v>
      </c>
      <c r="S112" s="16" t="s">
        <v>1739</v>
      </c>
      <c r="T112" s="1173" t="str">
        <f aca="false">T57</f>
        <v>N</v>
      </c>
      <c r="U112" s="833" t="s">
        <v>1268</v>
      </c>
      <c r="V112" s="1401" t="n">
        <f aca="false">V57</f>
        <v>0.0825</v>
      </c>
      <c r="W112" s="964"/>
      <c r="Y112" s="1414"/>
    </row>
    <row r="113" customFormat="false" ht="15" hidden="false" customHeight="false" outlineLevel="0" collapsed="false">
      <c r="A113" s="965" t="s">
        <v>1269</v>
      </c>
      <c r="B113" s="966" t="n">
        <f aca="false">B58</f>
        <v>0</v>
      </c>
      <c r="C113" s="966"/>
      <c r="D113" s="967" t="n">
        <f aca="false">D58</f>
        <v>0</v>
      </c>
      <c r="E113" s="967"/>
      <c r="F113" s="968" t="n">
        <f aca="false">F58</f>
        <v>0</v>
      </c>
      <c r="G113" s="736" t="n">
        <f aca="false">G58</f>
        <v>0</v>
      </c>
      <c r="H113" s="736"/>
      <c r="I113" s="1264" t="n">
        <f aca="false">I58</f>
        <v>0</v>
      </c>
      <c r="J113" s="1264"/>
      <c r="K113" s="1264"/>
      <c r="L113" s="1402" t="n">
        <f aca="false">L58</f>
        <v>0.18</v>
      </c>
      <c r="M113" s="1402"/>
      <c r="N113" s="1402"/>
      <c r="O113" s="1402"/>
      <c r="P113" s="1265"/>
      <c r="Q113" s="970" t="s">
        <v>980</v>
      </c>
      <c r="T113" s="971" t="n">
        <f aca="false">T58</f>
        <v>0</v>
      </c>
      <c r="U113" s="971"/>
      <c r="W113" s="964"/>
    </row>
    <row r="114" customFormat="false" ht="15" hidden="false" customHeight="false" outlineLevel="0" collapsed="false">
      <c r="A114" s="972"/>
      <c r="B114" s="973"/>
      <c r="C114" s="973"/>
      <c r="D114" s="973"/>
      <c r="E114" s="973"/>
      <c r="F114" s="973"/>
      <c r="G114" s="973"/>
      <c r="H114" s="973"/>
      <c r="I114" s="973"/>
      <c r="J114" s="973"/>
      <c r="K114" s="973"/>
      <c r="L114" s="973"/>
      <c r="M114" s="973"/>
      <c r="N114" s="973"/>
      <c r="O114" s="973"/>
      <c r="P114" s="973"/>
      <c r="Q114" s="973"/>
      <c r="R114" s="973"/>
      <c r="S114" s="973"/>
      <c r="T114" s="973"/>
      <c r="U114" s="973"/>
      <c r="V114" s="973"/>
      <c r="W114" s="984"/>
    </row>
    <row r="115" customFormat="false" ht="15" hidden="false" customHeight="false" outlineLevel="0" collapsed="false">
      <c r="A115" s="654"/>
      <c r="B115" s="654"/>
      <c r="C115" s="654"/>
      <c r="D115" s="654"/>
      <c r="E115" s="654"/>
      <c r="F115" s="654"/>
      <c r="G115" s="654"/>
      <c r="H115" s="654"/>
      <c r="I115" s="654"/>
      <c r="J115" s="654"/>
      <c r="K115" s="654"/>
      <c r="L115" s="654"/>
      <c r="M115" s="654"/>
      <c r="N115" s="654"/>
      <c r="O115" s="654"/>
      <c r="P115" s="654"/>
      <c r="Q115" s="654"/>
      <c r="R115" s="654"/>
      <c r="S115" s="654"/>
      <c r="T115" s="654"/>
      <c r="U115" s="654"/>
      <c r="V115" s="654"/>
      <c r="W115" s="654"/>
    </row>
    <row r="116" customFormat="false" ht="15" hidden="false" customHeight="false" outlineLevel="0" collapsed="false">
      <c r="A116" s="654"/>
      <c r="B116" s="654"/>
      <c r="C116" s="654"/>
      <c r="D116" s="654"/>
      <c r="E116" s="654"/>
      <c r="F116" s="654"/>
      <c r="G116" s="654"/>
      <c r="H116" s="654"/>
      <c r="I116" s="654"/>
      <c r="J116" s="654"/>
      <c r="K116" s="654"/>
      <c r="L116" s="654"/>
      <c r="M116" s="654"/>
      <c r="N116" s="654"/>
      <c r="O116" s="654"/>
      <c r="P116" s="654"/>
      <c r="Q116" s="654"/>
      <c r="R116" s="654"/>
      <c r="S116" s="654"/>
      <c r="T116" s="654"/>
      <c r="U116" s="654"/>
      <c r="V116" s="654"/>
      <c r="W116" s="654"/>
    </row>
    <row r="117" customFormat="false" ht="15" hidden="false" customHeight="false" outlineLevel="0" collapsed="false">
      <c r="A117" s="654"/>
      <c r="B117" s="654"/>
      <c r="C117" s="654"/>
      <c r="D117" s="654"/>
      <c r="E117" s="654"/>
      <c r="F117" s="654"/>
      <c r="G117" s="654"/>
      <c r="H117" s="654"/>
      <c r="I117" s="654"/>
      <c r="J117" s="654"/>
      <c r="K117" s="654"/>
      <c r="L117" s="654"/>
      <c r="M117" s="654"/>
      <c r="N117" s="654"/>
      <c r="O117" s="654"/>
      <c r="P117" s="654"/>
      <c r="Q117" s="654"/>
      <c r="R117" s="654"/>
      <c r="S117" s="654"/>
      <c r="T117" s="654"/>
      <c r="U117" s="654"/>
      <c r="V117" s="654"/>
      <c r="W117" s="654"/>
    </row>
    <row r="118" customFormat="false" ht="15" hidden="false" customHeight="false" outlineLevel="0" collapsed="false">
      <c r="A118" s="713" t="s">
        <v>1055</v>
      </c>
      <c r="B118" s="725" t="s">
        <v>797</v>
      </c>
      <c r="C118" s="412"/>
      <c r="D118" s="723" t="n">
        <f aca="false">T113-D119</f>
        <v>0</v>
      </c>
    </row>
    <row r="119" customFormat="false" ht="15" hidden="false" customHeight="false" outlineLevel="0" collapsed="false">
      <c r="A119" s="733" t="s">
        <v>1074</v>
      </c>
      <c r="B119" s="694"/>
      <c r="C119" s="686"/>
      <c r="D119" s="2141" t="n">
        <f aca="false">SUM(D120:D178)-D152-D162</f>
        <v>0</v>
      </c>
    </row>
    <row r="120" customFormat="false" ht="15" hidden="false" customHeight="false" outlineLevel="0" collapsed="false">
      <c r="A120" s="1404" t="n">
        <f aca="false">Summary!AV74</f>
        <v>70001</v>
      </c>
      <c r="B120" s="741" t="str">
        <f aca="false">Summary!AW74</f>
        <v>General Requirements</v>
      </c>
      <c r="C120" s="318"/>
      <c r="D120" s="1187"/>
    </row>
    <row r="121" customFormat="false" ht="15" hidden="false" customHeight="false" outlineLevel="0" collapsed="false">
      <c r="A121" s="1404" t="n">
        <f aca="false">Summary!AV75</f>
        <v>70002</v>
      </c>
      <c r="B121" s="741" t="str">
        <f aca="false">Summary!AW75</f>
        <v>Lumber</v>
      </c>
      <c r="C121" s="318"/>
      <c r="D121" s="1188" t="n">
        <f aca="false">SUM(W67:W86)</f>
        <v>0</v>
      </c>
    </row>
    <row r="122" customFormat="false" ht="15" hidden="false" customHeight="false" outlineLevel="0" collapsed="false">
      <c r="A122" s="1404" t="n">
        <f aca="false">Summary!AV76</f>
        <v>70003</v>
      </c>
      <c r="B122" s="741" t="str">
        <f aca="false">Summary!AW76</f>
        <v>Sand Material</v>
      </c>
      <c r="C122" s="318"/>
      <c r="D122" s="1188" t="n">
        <f aca="false">N75</f>
        <v>0</v>
      </c>
    </row>
    <row r="123" customFormat="false" ht="15" hidden="false" customHeight="false" outlineLevel="0" collapsed="false">
      <c r="A123" s="1404" t="n">
        <f aca="false">Summary!AV77</f>
        <v>70004</v>
      </c>
      <c r="B123" s="741" t="str">
        <f aca="false">Summary!AW77</f>
        <v>Rock Material</v>
      </c>
      <c r="C123" s="318"/>
      <c r="D123" s="1188" t="n">
        <f aca="false">N76</f>
        <v>0</v>
      </c>
    </row>
    <row r="124" customFormat="false" ht="15" hidden="false" customHeight="false" outlineLevel="0" collapsed="false">
      <c r="A124" s="1404" t="n">
        <f aca="false">Summary!AV78</f>
        <v>70005</v>
      </c>
      <c r="B124" s="741" t="str">
        <f aca="false">Summary!AW78</f>
        <v>Reinforcement Material</v>
      </c>
      <c r="C124" s="318"/>
      <c r="D124" s="1188" t="n">
        <f aca="false">N72+N73</f>
        <v>0</v>
      </c>
    </row>
    <row r="125" customFormat="false" ht="15" hidden="false" customHeight="false" outlineLevel="0" collapsed="false">
      <c r="A125" s="1404" t="n">
        <f aca="false">Summary!AV79</f>
        <v>70006</v>
      </c>
      <c r="B125" s="741" t="str">
        <f aca="false">Summary!AW79</f>
        <v>Reinforcement Accessories</v>
      </c>
      <c r="C125" s="318"/>
      <c r="D125" s="1188" t="n">
        <f aca="false">SUM(W97:W99)+W108</f>
        <v>0</v>
      </c>
    </row>
    <row r="126" customFormat="false" ht="15" hidden="false" customHeight="false" outlineLevel="0" collapsed="false">
      <c r="A126" s="1404" t="n">
        <f aca="false">Summary!AV80</f>
        <v>70007</v>
      </c>
      <c r="B126" s="741" t="str">
        <f aca="false">Summary!AW80</f>
        <v>PT Cables</v>
      </c>
      <c r="C126" s="318"/>
      <c r="D126" s="1188" t="n">
        <f aca="false">N74</f>
        <v>0</v>
      </c>
    </row>
    <row r="127" customFormat="false" ht="15" hidden="false" customHeight="false" outlineLevel="0" collapsed="false">
      <c r="A127" s="1404" t="n">
        <f aca="false">Summary!AV81</f>
        <v>70008</v>
      </c>
      <c r="B127" s="741" t="str">
        <f aca="false">Summary!AW81</f>
        <v>Concrete Material</v>
      </c>
      <c r="C127" s="318"/>
      <c r="D127" s="1188" t="n">
        <f aca="false">SUM(N67:O71)</f>
        <v>0</v>
      </c>
    </row>
    <row r="128" customFormat="false" ht="15" hidden="false" customHeight="false" outlineLevel="0" collapsed="false">
      <c r="A128" s="1404" t="n">
        <f aca="false">Summary!AV82</f>
        <v>70009</v>
      </c>
      <c r="B128" s="741" t="str">
        <f aca="false">Summary!AW82</f>
        <v>Carton Forms</v>
      </c>
      <c r="C128" s="318"/>
      <c r="D128" s="1188" t="n">
        <f aca="false">SUM(N77:O79)</f>
        <v>0</v>
      </c>
    </row>
    <row r="129" customFormat="false" ht="15" hidden="false" customHeight="false" outlineLevel="0" collapsed="false">
      <c r="A129" s="1404" t="n">
        <f aca="false">Summary!AV83</f>
        <v>70010</v>
      </c>
      <c r="B129" s="741" t="str">
        <f aca="false">Summary!AW83</f>
        <v>Cure/Sealers</v>
      </c>
      <c r="C129" s="318"/>
      <c r="D129" s="1188" t="n">
        <f aca="false">SUM(W103:W105)</f>
        <v>0</v>
      </c>
    </row>
    <row r="130" customFormat="false" ht="15" hidden="false" customHeight="false" outlineLevel="0" collapsed="false">
      <c r="A130" s="1404" t="n">
        <f aca="false">Summary!AV84</f>
        <v>70011</v>
      </c>
      <c r="B130" s="741" t="str">
        <f aca="false">Summary!AW84</f>
        <v>Patch/Grout</v>
      </c>
      <c r="C130" s="318"/>
      <c r="D130" s="1188"/>
    </row>
    <row r="131" customFormat="false" ht="15" hidden="false" customHeight="false" outlineLevel="0" collapsed="false">
      <c r="A131" s="1404" t="n">
        <f aca="false">Summary!AV85</f>
        <v>70012</v>
      </c>
      <c r="B131" s="741" t="str">
        <f aca="false">Summary!AW85</f>
        <v>Poly/Vapor Barrier</v>
      </c>
      <c r="C131" s="318"/>
      <c r="D131" s="1188"/>
    </row>
    <row r="132" customFormat="false" ht="15" hidden="false" customHeight="false" outlineLevel="0" collapsed="false">
      <c r="A132" s="1404" t="n">
        <f aca="false">Summary!AV86</f>
        <v>70013</v>
      </c>
      <c r="B132" s="741" t="str">
        <f aca="false">Summary!AW86</f>
        <v>Special Material</v>
      </c>
      <c r="C132" s="318"/>
      <c r="D132" s="1188" t="n">
        <f aca="false">W100</f>
        <v>0</v>
      </c>
    </row>
    <row r="133" customFormat="false" ht="15" hidden="false" customHeight="false" outlineLevel="0" collapsed="false">
      <c r="A133" s="1404" t="n">
        <f aca="false">Summary!AV87</f>
        <v>70014</v>
      </c>
      <c r="B133" s="741" t="str">
        <f aca="false">Summary!AW87</f>
        <v>Special Material</v>
      </c>
      <c r="C133" s="318"/>
      <c r="D133" s="1188" t="n">
        <f aca="false">W101</f>
        <v>0</v>
      </c>
    </row>
    <row r="134" customFormat="false" ht="15" hidden="false" customHeight="false" outlineLevel="0" collapsed="false">
      <c r="A134" s="1404" t="n">
        <f aca="false">Summary!AV88</f>
        <v>70015</v>
      </c>
      <c r="B134" s="741" t="str">
        <f aca="false">Summary!AW88</f>
        <v>PPE/Safety</v>
      </c>
      <c r="C134" s="318"/>
      <c r="D134" s="1188" t="n">
        <f aca="false">W102</f>
        <v>0</v>
      </c>
    </row>
    <row r="135" customFormat="false" ht="15" hidden="false" customHeight="false" outlineLevel="0" collapsed="false">
      <c r="A135" s="1404" t="n">
        <f aca="false">Summary!AV89</f>
        <v>70020</v>
      </c>
      <c r="B135" s="741" t="str">
        <f aca="false">Summary!AW89</f>
        <v>Supervision</v>
      </c>
      <c r="C135" s="318"/>
      <c r="D135" s="2142" t="n">
        <f aca="false">SUM(N92:O93)</f>
        <v>0</v>
      </c>
    </row>
    <row r="136" customFormat="false" ht="15" hidden="false" customHeight="false" outlineLevel="0" collapsed="false">
      <c r="A136" s="1404" t="n">
        <f aca="false">Summary!AV90</f>
        <v>70021</v>
      </c>
      <c r="B136" s="741" t="str">
        <f aca="false">Summary!AW90</f>
        <v>Supervision Expense</v>
      </c>
      <c r="C136" s="318"/>
      <c r="D136" s="1188" t="n">
        <f aca="false">SUM(N94)</f>
        <v>0</v>
      </c>
    </row>
    <row r="137" customFormat="false" ht="15" hidden="false" customHeight="false" outlineLevel="0" collapsed="false">
      <c r="A137" s="1404" t="n">
        <f aca="false">Summary!AV91</f>
        <v>70022</v>
      </c>
      <c r="B137" s="741" t="str">
        <f aca="false">Summary!AW91</f>
        <v>Project Management</v>
      </c>
      <c r="C137" s="318"/>
      <c r="D137" s="1188" t="n">
        <f aca="false">N95</f>
        <v>0</v>
      </c>
    </row>
    <row r="138" customFormat="false" ht="15" hidden="false" customHeight="false" outlineLevel="0" collapsed="false">
      <c r="A138" s="1404" t="n">
        <f aca="false">Summary!AV92</f>
        <v>70023</v>
      </c>
      <c r="B138" s="741" t="str">
        <f aca="false">Summary!AW92</f>
        <v>Labor Grade, Poly, Reinf.</v>
      </c>
      <c r="C138" s="318"/>
      <c r="D138" s="1188"/>
    </row>
    <row r="139" customFormat="false" ht="15" hidden="false" customHeight="false" outlineLevel="0" collapsed="false">
      <c r="A139" s="1404" t="n">
        <f aca="false">Summary!AV93</f>
        <v>70024</v>
      </c>
      <c r="B139" s="741" t="str">
        <f aca="false">Summary!AW93</f>
        <v>Labor Place &amp; Finish</v>
      </c>
      <c r="C139" s="318"/>
      <c r="D139" s="1188" t="n">
        <f aca="false">SUM(K84)</f>
        <v>0</v>
      </c>
    </row>
    <row r="140" customFormat="false" ht="15" hidden="false" customHeight="false" outlineLevel="0" collapsed="false">
      <c r="A140" s="1404" t="n">
        <f aca="false">Summary!AV94</f>
        <v>70025</v>
      </c>
      <c r="B140" s="741" t="str">
        <f aca="false">Summary!AW94</f>
        <v>Labor Drops</v>
      </c>
      <c r="C140" s="318"/>
      <c r="D140" s="1188"/>
    </row>
    <row r="141" customFormat="false" ht="15" hidden="false" customHeight="false" outlineLevel="0" collapsed="false">
      <c r="A141" s="1404" t="n">
        <f aca="false">Summary!AV95</f>
        <v>70026</v>
      </c>
      <c r="B141" s="741" t="str">
        <f aca="false">Summary!AW95</f>
        <v>Labor Strip Forms</v>
      </c>
      <c r="C141" s="318"/>
      <c r="D141" s="1188" t="n">
        <f aca="false">SUM(K85:L86)</f>
        <v>0</v>
      </c>
    </row>
    <row r="142" customFormat="false" ht="15" hidden="false" customHeight="false" outlineLevel="0" collapsed="false">
      <c r="A142" s="1404" t="n">
        <f aca="false">Summary!AV96</f>
        <v>70027</v>
      </c>
      <c r="B142" s="741" t="str">
        <f aca="false">Summary!AW96</f>
        <v>Labor Burden</v>
      </c>
      <c r="C142" s="318"/>
      <c r="D142" s="1188"/>
    </row>
    <row r="143" customFormat="false" ht="15" hidden="false" customHeight="false" outlineLevel="0" collapsed="false">
      <c r="A143" s="1404" t="n">
        <f aca="false">Summary!AV98</f>
        <v>70030</v>
      </c>
      <c r="B143" s="741" t="str">
        <f aca="false">Summary!AW98</f>
        <v>Pumping</v>
      </c>
      <c r="C143" s="318"/>
      <c r="D143" s="1188" t="n">
        <f aca="false">N104</f>
        <v>0</v>
      </c>
    </row>
    <row r="144" customFormat="false" ht="15" hidden="false" customHeight="false" outlineLevel="0" collapsed="false">
      <c r="A144" s="1404" t="n">
        <f aca="false">Summary!AV99</f>
        <v>70031</v>
      </c>
      <c r="B144" s="741" t="str">
        <f aca="false">Summary!AW99</f>
        <v>Earth Work/Excavation</v>
      </c>
      <c r="C144" s="318"/>
      <c r="D144" s="1188"/>
    </row>
    <row r="145" customFormat="false" ht="15" hidden="false" customHeight="false" outlineLevel="0" collapsed="false">
      <c r="A145" s="1404" t="n">
        <f aca="false">Summary!AV100</f>
        <v>70032</v>
      </c>
      <c r="B145" s="741" t="str">
        <f aca="false">Summary!AW100</f>
        <v>Drilling</v>
      </c>
      <c r="C145" s="318"/>
      <c r="D145" s="1188"/>
    </row>
    <row r="146" customFormat="false" ht="15" hidden="false" customHeight="false" outlineLevel="0" collapsed="false">
      <c r="A146" s="1404" t="n">
        <f aca="false">Summary!AV101</f>
        <v>70033</v>
      </c>
      <c r="B146" s="741" t="str">
        <f aca="false">Summary!AW101</f>
        <v>Haul off</v>
      </c>
      <c r="C146" s="318"/>
      <c r="D146" s="1188" t="n">
        <f aca="false">N108+W96</f>
        <v>0</v>
      </c>
    </row>
    <row r="147" customFormat="false" ht="15" hidden="false" customHeight="false" outlineLevel="0" collapsed="false">
      <c r="A147" s="1404" t="n">
        <f aca="false">Summary!AV102</f>
        <v>70034</v>
      </c>
      <c r="B147" s="741" t="str">
        <f aca="false">Summary!AW102</f>
        <v>Saw Cutting/Sealing</v>
      </c>
      <c r="C147" s="318"/>
      <c r="D147" s="1188" t="n">
        <f aca="false">N106</f>
        <v>0</v>
      </c>
    </row>
    <row r="148" customFormat="false" ht="15" hidden="false" customHeight="false" outlineLevel="0" collapsed="false">
      <c r="A148" s="1404" t="n">
        <f aca="false">Summary!AV103</f>
        <v>70035</v>
      </c>
      <c r="B148" s="741" t="str">
        <f aca="false">Summary!AW103</f>
        <v>Demolition</v>
      </c>
      <c r="C148" s="318"/>
      <c r="D148" s="1188"/>
    </row>
    <row r="149" customFormat="false" ht="15" hidden="false" customHeight="false" outlineLevel="0" collapsed="false">
      <c r="A149" s="1404" t="n">
        <f aca="false">Summary!AV104</f>
        <v>70037</v>
      </c>
      <c r="B149" s="741" t="str">
        <f aca="false">Summary!AW104</f>
        <v>Waterproofing</v>
      </c>
      <c r="C149" s="318"/>
      <c r="D149" s="1188"/>
    </row>
    <row r="150" customFormat="false" ht="15" hidden="false" customHeight="false" outlineLevel="0" collapsed="false">
      <c r="A150" s="1404" t="n">
        <f aca="false">Summary!AV105</f>
        <v>70038</v>
      </c>
      <c r="B150" s="741" t="str">
        <f aca="false">Summary!AW105</f>
        <v>Crain/Hoisting</v>
      </c>
      <c r="C150" s="318"/>
      <c r="D150" s="1188"/>
    </row>
    <row r="151" customFormat="false" ht="15" hidden="false" customHeight="false" outlineLevel="0" collapsed="false">
      <c r="A151" s="1406" t="n">
        <f aca="false">Summary!AV106</f>
        <v>70039</v>
      </c>
      <c r="B151" s="788" t="str">
        <f aca="false">Summary!AW106</f>
        <v>Forming Systems</v>
      </c>
      <c r="C151" s="800"/>
      <c r="D151" s="1192" t="n">
        <f aca="false">N80</f>
        <v>0</v>
      </c>
    </row>
    <row r="152" customFormat="false" ht="15" hidden="false" customHeight="false" outlineLevel="0" collapsed="false">
      <c r="A152" s="2055" t="n">
        <f aca="false">Summary!AV107</f>
        <v>70040</v>
      </c>
      <c r="B152" s="2056" t="str">
        <f aca="false">Summary!AW107</f>
        <v>Total Sub Labor</v>
      </c>
      <c r="C152" s="2057"/>
      <c r="D152" s="2143" t="n">
        <f aca="false">SUM(D153:D160)</f>
        <v>0</v>
      </c>
    </row>
    <row r="153" customFormat="false" ht="15" hidden="false" customHeight="false" outlineLevel="0" collapsed="false">
      <c r="A153" s="1404" t="n">
        <f aca="false">Summary!AV108</f>
        <v>70041</v>
      </c>
      <c r="B153" s="741" t="str">
        <f aca="false">Summary!AW108</f>
        <v>Labor Forming</v>
      </c>
      <c r="C153" s="318"/>
      <c r="D153" s="1187" t="n">
        <f aca="false">N82+N83</f>
        <v>0</v>
      </c>
    </row>
    <row r="154" customFormat="false" ht="15" hidden="false" customHeight="false" outlineLevel="0" collapsed="false">
      <c r="A154" s="1404" t="n">
        <f aca="false">Summary!AV109</f>
        <v>70042</v>
      </c>
      <c r="B154" s="741" t="str">
        <f aca="false">Summary!AW109</f>
        <v>Labor Grade, Poly, Reinf.</v>
      </c>
      <c r="C154" s="749"/>
      <c r="D154" s="1188"/>
    </row>
    <row r="155" customFormat="false" ht="15" hidden="false" customHeight="false" outlineLevel="0" collapsed="false">
      <c r="A155" s="1404" t="n">
        <f aca="false">Summary!AV110</f>
        <v>70043</v>
      </c>
      <c r="B155" s="741" t="str">
        <f aca="false">Summary!AW110</f>
        <v>Labor Place &amp; Finish</v>
      </c>
      <c r="C155" s="749"/>
      <c r="D155" s="1188" t="n">
        <f aca="false">N84</f>
        <v>0</v>
      </c>
    </row>
    <row r="156" customFormat="false" ht="15" hidden="false" customHeight="false" outlineLevel="0" collapsed="false">
      <c r="A156" s="1404" t="n">
        <f aca="false">Summary!AV111</f>
        <v>70044</v>
      </c>
      <c r="B156" s="741" t="str">
        <f aca="false">Summary!AW111</f>
        <v>Labor Drops</v>
      </c>
      <c r="C156" s="749"/>
      <c r="D156" s="1188"/>
    </row>
    <row r="157" customFormat="false" ht="15" hidden="false" customHeight="false" outlineLevel="0" collapsed="false">
      <c r="A157" s="1404" t="n">
        <f aca="false">Summary!AV112</f>
        <v>70045</v>
      </c>
      <c r="B157" s="741" t="str">
        <f aca="false">Summary!AW112</f>
        <v>Labor Strip Forms</v>
      </c>
      <c r="C157" s="749"/>
      <c r="D157" s="1188" t="n">
        <f aca="false">N85</f>
        <v>0</v>
      </c>
    </row>
    <row r="158" customFormat="false" ht="15" hidden="false" customHeight="false" outlineLevel="0" collapsed="false">
      <c r="A158" s="1404" t="n">
        <f aca="false">Summary!AV113</f>
        <v>70046</v>
      </c>
      <c r="B158" s="741" t="str">
        <f aca="false">Summary!AW113</f>
        <v>Labor Burden</v>
      </c>
      <c r="C158" s="318"/>
      <c r="D158" s="1188" t="n">
        <f aca="false">N86</f>
        <v>0</v>
      </c>
    </row>
    <row r="159" customFormat="false" ht="15" hidden="false" customHeight="false" outlineLevel="0" collapsed="false">
      <c r="A159" s="1404" t="n">
        <f aca="false">Summary!AV114</f>
        <v>70047</v>
      </c>
      <c r="B159" s="741" t="str">
        <f aca="false">Summary!AW114</f>
        <v>Rebar</v>
      </c>
      <c r="C159" s="749"/>
      <c r="D159" s="1188" t="n">
        <f aca="false">N87</f>
        <v>0</v>
      </c>
    </row>
    <row r="160" customFormat="false" ht="15" hidden="false" customHeight="false" outlineLevel="0" collapsed="false">
      <c r="A160" s="1406" t="n">
        <f aca="false">Summary!AV115</f>
        <v>70048</v>
      </c>
      <c r="B160" s="788" t="str">
        <f aca="false">Summary!AW115</f>
        <v>PT Installation</v>
      </c>
      <c r="C160" s="800"/>
      <c r="D160" s="1192" t="n">
        <f aca="false">N88</f>
        <v>0</v>
      </c>
    </row>
    <row r="161" customFormat="false" ht="15" hidden="false" customHeight="false" outlineLevel="0" collapsed="false">
      <c r="A161" s="1406" t="n">
        <f aca="false">Summary!AV116</f>
        <v>70049</v>
      </c>
      <c r="B161" s="788" t="str">
        <f aca="false">Summary!AW116</f>
        <v>Extra Hours</v>
      </c>
      <c r="C161" s="800"/>
      <c r="D161" s="1192" t="n">
        <f aca="false">N89</f>
        <v>0</v>
      </c>
    </row>
    <row r="162" customFormat="false" ht="15" hidden="false" customHeight="false" outlineLevel="0" collapsed="false">
      <c r="A162" s="2055" t="n">
        <f aca="false">Summary!AV117</f>
        <v>70060</v>
      </c>
      <c r="B162" s="2056" t="str">
        <f aca="false">Summary!AW117</f>
        <v>Total Equipment Rental</v>
      </c>
      <c r="C162" s="2057"/>
      <c r="D162" s="2143" t="n">
        <f aca="false">SUM(D163:D170)</f>
        <v>0</v>
      </c>
    </row>
    <row r="163" customFormat="false" ht="15" hidden="false" customHeight="false" outlineLevel="0" collapsed="false">
      <c r="A163" s="1404" t="n">
        <f aca="false">Summary!AV118</f>
        <v>70061</v>
      </c>
      <c r="B163" s="741" t="str">
        <f aca="false">Summary!AW118</f>
        <v>SkyTrack</v>
      </c>
      <c r="C163" s="318"/>
      <c r="D163" s="1187" t="n">
        <f aca="false">N97/(1+V$57+I$99)</f>
        <v>0</v>
      </c>
    </row>
    <row r="164" customFormat="false" ht="15" hidden="false" customHeight="false" outlineLevel="0" collapsed="false">
      <c r="A164" s="1404" t="n">
        <f aca="false">Summary!AV119</f>
        <v>70062</v>
      </c>
      <c r="B164" s="741" t="str">
        <f aca="false">Summary!AW119</f>
        <v>Mini Excavator</v>
      </c>
      <c r="C164" s="318"/>
      <c r="D164" s="1187" t="n">
        <f aca="false">N98</f>
        <v>0</v>
      </c>
    </row>
    <row r="165" customFormat="false" ht="15" hidden="false" customHeight="false" outlineLevel="0" collapsed="false">
      <c r="A165" s="1404" t="n">
        <f aca="false">Summary!AV120</f>
        <v>70063</v>
      </c>
      <c r="B165" s="741" t="str">
        <f aca="false">Summary!AW120</f>
        <v>Trencher</v>
      </c>
      <c r="C165" s="318"/>
      <c r="D165" s="1187" t="n">
        <f aca="false">N99/(1+V$57+I$99)</f>
        <v>0</v>
      </c>
    </row>
    <row r="166" customFormat="false" ht="15" hidden="false" customHeight="false" outlineLevel="0" collapsed="false">
      <c r="A166" s="1404" t="n">
        <f aca="false">Summary!AV121</f>
        <v>70064</v>
      </c>
      <c r="B166" s="741" t="str">
        <f aca="false">Summary!AW121</f>
        <v>Skid Steer</v>
      </c>
      <c r="C166" s="318"/>
      <c r="D166" s="1187" t="n">
        <f aca="false">N100/(1+V$57+I$99)</f>
        <v>0</v>
      </c>
    </row>
    <row r="167" customFormat="false" ht="15" hidden="false" customHeight="false" outlineLevel="0" collapsed="false">
      <c r="A167" s="1404" t="n">
        <f aca="false">Summary!AV122</f>
        <v>70065</v>
      </c>
      <c r="B167" s="741" t="str">
        <f aca="false">Summary!AW122</f>
        <v>General Equipment Rental</v>
      </c>
      <c r="C167" s="318"/>
      <c r="D167" s="1187" t="n">
        <f aca="false">(N101+N102)/(1+V$57+I$99)</f>
        <v>0</v>
      </c>
    </row>
    <row r="168" customFormat="false" ht="15" hidden="false" customHeight="false" outlineLevel="0" collapsed="false">
      <c r="A168" s="1404" t="n">
        <f aca="false">Summary!AV123</f>
        <v>70066</v>
      </c>
      <c r="B168" s="741" t="str">
        <f aca="false">Summary!AW123</f>
        <v>Fuel</v>
      </c>
      <c r="C168" s="318"/>
      <c r="D168" s="1188" t="n">
        <f aca="false">L99-SUM(D163:D167)-D150</f>
        <v>0</v>
      </c>
    </row>
    <row r="169" customFormat="false" ht="15" hidden="false" customHeight="false" outlineLevel="0" collapsed="false">
      <c r="A169" s="1404" t="n">
        <f aca="false">Summary!AV124</f>
        <v>70067</v>
      </c>
      <c r="B169" s="741" t="str">
        <f aca="false">Summary!AW124</f>
        <v>Purchased Tools</v>
      </c>
      <c r="C169" s="318"/>
      <c r="D169" s="1187"/>
    </row>
    <row r="170" s="397" customFormat="true" ht="15" hidden="false" customHeight="false" outlineLevel="0" collapsed="false">
      <c r="A170" s="1404" t="n">
        <f aca="false">Summary!AV125</f>
        <v>70068</v>
      </c>
      <c r="B170" s="741" t="str">
        <f aca="false">Summary!AW125</f>
        <v>Stolen/Damaged</v>
      </c>
      <c r="C170" s="318"/>
      <c r="D170" s="1187"/>
    </row>
    <row r="171" customFormat="false" ht="15" hidden="false" customHeight="false" outlineLevel="0" collapsed="false">
      <c r="A171" s="1404" t="n">
        <f aca="false">Summary!AV126</f>
        <v>70070</v>
      </c>
      <c r="B171" s="741" t="str">
        <f aca="false">Summary!AW126</f>
        <v>Out of Town Expense</v>
      </c>
      <c r="C171" s="318"/>
      <c r="D171" s="1187" t="n">
        <f aca="false">N109</f>
        <v>0</v>
      </c>
    </row>
    <row r="172" customFormat="false" ht="15" hidden="false" customHeight="false" outlineLevel="0" collapsed="false">
      <c r="A172" s="1404" t="n">
        <f aca="false">Summary!AV127</f>
        <v>70071</v>
      </c>
      <c r="B172" s="741" t="str">
        <f aca="false">Summary!AW127</f>
        <v>Miscellaneous</v>
      </c>
      <c r="C172" s="318"/>
      <c r="D172" s="1187" t="n">
        <f aca="false">N107</f>
        <v>0</v>
      </c>
    </row>
    <row r="173" customFormat="false" ht="15" hidden="false" customHeight="false" outlineLevel="0" collapsed="false">
      <c r="A173" s="1404" t="n">
        <f aca="false">Summary!AV128</f>
        <v>70072</v>
      </c>
      <c r="B173" s="741" t="str">
        <f aca="false">Summary!AW128</f>
        <v>Repairs</v>
      </c>
      <c r="C173" s="318"/>
      <c r="D173" s="1187"/>
    </row>
    <row r="174" customFormat="false" ht="15" hidden="false" customHeight="false" outlineLevel="0" collapsed="false">
      <c r="A174" s="1404" t="n">
        <f aca="false">Summary!AV129</f>
        <v>70073</v>
      </c>
      <c r="B174" s="741" t="str">
        <f aca="false">Summary!AW129</f>
        <v>Engineering</v>
      </c>
      <c r="C174" s="318"/>
      <c r="D174" s="1187"/>
    </row>
    <row r="175" customFormat="false" ht="15" hidden="false" customHeight="false" outlineLevel="0" collapsed="false">
      <c r="A175" s="1404" t="n">
        <f aca="false">Summary!AV130</f>
        <v>70090</v>
      </c>
      <c r="B175" s="741" t="str">
        <f aca="false">Summary!AW130</f>
        <v>Not Used</v>
      </c>
      <c r="C175" s="318"/>
      <c r="D175" s="1188"/>
    </row>
    <row r="176" customFormat="false" ht="15" hidden="false" customHeight="false" outlineLevel="0" collapsed="false">
      <c r="A176" s="1404" t="n">
        <f aca="false">Summary!AV131</f>
        <v>70091</v>
      </c>
      <c r="B176" s="741" t="str">
        <f aca="false">Summary!AW131</f>
        <v>Margin Contingency</v>
      </c>
      <c r="C176" s="318"/>
      <c r="D176" s="1188" t="n">
        <f aca="false">N110</f>
        <v>0</v>
      </c>
    </row>
  </sheetData>
  <mergeCells count="181">
    <mergeCell ref="T1:U1"/>
    <mergeCell ref="V1:W1"/>
    <mergeCell ref="A2:D2"/>
    <mergeCell ref="N2:O2"/>
    <mergeCell ref="P2:Q2"/>
    <mergeCell ref="A3:D3"/>
    <mergeCell ref="I3:M3"/>
    <mergeCell ref="N3:O3"/>
    <mergeCell ref="P3:Q3"/>
    <mergeCell ref="A4:D4"/>
    <mergeCell ref="I4:M4"/>
    <mergeCell ref="N4:O4"/>
    <mergeCell ref="P4:Q4"/>
    <mergeCell ref="C5:D5"/>
    <mergeCell ref="I5:M5"/>
    <mergeCell ref="N5:O5"/>
    <mergeCell ref="P5:Q5"/>
    <mergeCell ref="C6:D6"/>
    <mergeCell ref="I6:M6"/>
    <mergeCell ref="N6:O6"/>
    <mergeCell ref="P6:Q6"/>
    <mergeCell ref="C7:D7"/>
    <mergeCell ref="F7:H7"/>
    <mergeCell ref="I7:M7"/>
    <mergeCell ref="E8:E9"/>
    <mergeCell ref="F8:H8"/>
    <mergeCell ref="I8:J8"/>
    <mergeCell ref="K8:L8"/>
    <mergeCell ref="M8:N8"/>
    <mergeCell ref="O8:P8"/>
    <mergeCell ref="Q8:S8"/>
    <mergeCell ref="T8:T9"/>
    <mergeCell ref="U8:U9"/>
    <mergeCell ref="X8:AA8"/>
    <mergeCell ref="BG8:BL8"/>
    <mergeCell ref="A9:B9"/>
    <mergeCell ref="E54:H54"/>
    <mergeCell ref="K54:L54"/>
    <mergeCell ref="O54:R54"/>
    <mergeCell ref="O55:R55"/>
    <mergeCell ref="D56:E56"/>
    <mergeCell ref="A57:C57"/>
    <mergeCell ref="D57:E57"/>
    <mergeCell ref="F57:H57"/>
    <mergeCell ref="I57:K57"/>
    <mergeCell ref="L57:M57"/>
    <mergeCell ref="B58:C58"/>
    <mergeCell ref="D58:E58"/>
    <mergeCell ref="G58:H58"/>
    <mergeCell ref="I58:K58"/>
    <mergeCell ref="L58:O58"/>
    <mergeCell ref="T58:U58"/>
    <mergeCell ref="D59:E59"/>
    <mergeCell ref="J59:K59"/>
    <mergeCell ref="M59:N59"/>
    <mergeCell ref="T59:U59"/>
    <mergeCell ref="N61:O61"/>
    <mergeCell ref="R62:S62"/>
    <mergeCell ref="R63:S63"/>
    <mergeCell ref="K66:L66"/>
    <mergeCell ref="Q66:R66"/>
    <mergeCell ref="H67:I71"/>
    <mergeCell ref="J67:J71"/>
    <mergeCell ref="K67:L67"/>
    <mergeCell ref="N67:O67"/>
    <mergeCell ref="K68:L68"/>
    <mergeCell ref="N68:O68"/>
    <mergeCell ref="K69:L69"/>
    <mergeCell ref="N69:O69"/>
    <mergeCell ref="K70:L70"/>
    <mergeCell ref="N70:O70"/>
    <mergeCell ref="K71:L71"/>
    <mergeCell ref="N71:O71"/>
    <mergeCell ref="H72:I72"/>
    <mergeCell ref="K72:L72"/>
    <mergeCell ref="N72:O72"/>
    <mergeCell ref="H73:I73"/>
    <mergeCell ref="K73:L73"/>
    <mergeCell ref="N73:O73"/>
    <mergeCell ref="I74:J74"/>
    <mergeCell ref="K74:L74"/>
    <mergeCell ref="N74:O74"/>
    <mergeCell ref="H75:I76"/>
    <mergeCell ref="J75:J76"/>
    <mergeCell ref="K75:L75"/>
    <mergeCell ref="N75:O75"/>
    <mergeCell ref="K76:L76"/>
    <mergeCell ref="N76:O76"/>
    <mergeCell ref="H77:I79"/>
    <mergeCell ref="J77:J79"/>
    <mergeCell ref="K77:L77"/>
    <mergeCell ref="N77:O77"/>
    <mergeCell ref="A78:C78"/>
    <mergeCell ref="K78:L78"/>
    <mergeCell ref="N78:O78"/>
    <mergeCell ref="A79:C79"/>
    <mergeCell ref="K79:L79"/>
    <mergeCell ref="N79:O79"/>
    <mergeCell ref="H80:I80"/>
    <mergeCell ref="K80:L80"/>
    <mergeCell ref="N80:O80"/>
    <mergeCell ref="K81:L81"/>
    <mergeCell ref="M81:O81"/>
    <mergeCell ref="D82:E82"/>
    <mergeCell ref="H82:I82"/>
    <mergeCell ref="K82:L82"/>
    <mergeCell ref="N82:O82"/>
    <mergeCell ref="D83:E83"/>
    <mergeCell ref="G83:G85"/>
    <mergeCell ref="H83:I85"/>
    <mergeCell ref="K83:L83"/>
    <mergeCell ref="N83:O83"/>
    <mergeCell ref="D84:E84"/>
    <mergeCell ref="K84:L84"/>
    <mergeCell ref="N84:O84"/>
    <mergeCell ref="D85:E85"/>
    <mergeCell ref="K85:L85"/>
    <mergeCell ref="N85:O85"/>
    <mergeCell ref="D86:E86"/>
    <mergeCell ref="H86:I86"/>
    <mergeCell ref="K86:L86"/>
    <mergeCell ref="N86:O86"/>
    <mergeCell ref="D87:E87"/>
    <mergeCell ref="H87:I87"/>
    <mergeCell ref="K87:L87"/>
    <mergeCell ref="N87:O87"/>
    <mergeCell ref="D88:E88"/>
    <mergeCell ref="H88:I88"/>
    <mergeCell ref="K88:L88"/>
    <mergeCell ref="N88:O88"/>
    <mergeCell ref="D89:E89"/>
    <mergeCell ref="K89:L89"/>
    <mergeCell ref="N89:O89"/>
    <mergeCell ref="D90:E90"/>
    <mergeCell ref="H90:J90"/>
    <mergeCell ref="K90:L90"/>
    <mergeCell ref="N90:O90"/>
    <mergeCell ref="L92:M92"/>
    <mergeCell ref="N92:O92"/>
    <mergeCell ref="L93:M93"/>
    <mergeCell ref="N93:O93"/>
    <mergeCell ref="N94:O94"/>
    <mergeCell ref="L95:M95"/>
    <mergeCell ref="N95:O95"/>
    <mergeCell ref="N97:O97"/>
    <mergeCell ref="I98:J98"/>
    <mergeCell ref="L98:M98"/>
    <mergeCell ref="N98:O98"/>
    <mergeCell ref="I99:J100"/>
    <mergeCell ref="L99:M99"/>
    <mergeCell ref="N99:O99"/>
    <mergeCell ref="N100:O100"/>
    <mergeCell ref="N101:O101"/>
    <mergeCell ref="N102:O102"/>
    <mergeCell ref="A104:C104"/>
    <mergeCell ref="N104:O104"/>
    <mergeCell ref="A105:C105"/>
    <mergeCell ref="N105:O105"/>
    <mergeCell ref="A106:C106"/>
    <mergeCell ref="N106:O106"/>
    <mergeCell ref="A107:C107"/>
    <mergeCell ref="N107:O107"/>
    <mergeCell ref="Q107:R107"/>
    <mergeCell ref="A108:C108"/>
    <mergeCell ref="N108:O108"/>
    <mergeCell ref="U108:V108"/>
    <mergeCell ref="A109:C109"/>
    <mergeCell ref="N109:O109"/>
    <mergeCell ref="A110:C110"/>
    <mergeCell ref="N110:O110"/>
    <mergeCell ref="A112:C112"/>
    <mergeCell ref="D112:E112"/>
    <mergeCell ref="F112:H112"/>
    <mergeCell ref="I112:K112"/>
    <mergeCell ref="L112:M112"/>
    <mergeCell ref="B113:C113"/>
    <mergeCell ref="D113:E113"/>
    <mergeCell ref="G113:H113"/>
    <mergeCell ref="I113:K113"/>
    <mergeCell ref="L113:O113"/>
    <mergeCell ref="T113:U113"/>
  </mergeCells>
  <conditionalFormatting sqref="K66:L66">
    <cfRule type="containsText" priority="2" operator="containsText" aboveAverage="0" equalAverage="0" bottom="0" percent="0" rank="0" text="Missing Concrete" dxfId="15">
      <formula>NOT(ISERROR(SEARCH("Missing Concrete",K66)))</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59" man="true" max="16383" min="0"/>
  </row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DN156"/>
  <sheetViews>
    <sheetView showFormulas="false" showGridLines="true" showRowColHeaders="true" showZeros="true" rightToLeft="false" tabSelected="false" showOutlineSymbols="true" defaultGridColor="true" view="normal" topLeftCell="A46" colorId="64" zoomScale="55" zoomScaleNormal="55" zoomScalePageLayoutView="70" workbookViewId="0">
      <selection pane="topLeft" activeCell="B35" activeCellId="0" sqref="B35"/>
    </sheetView>
  </sheetViews>
  <sheetFormatPr defaultColWidth="9.18359375" defaultRowHeight="15" customHeight="false" zeroHeight="false" outlineLevelRow="0" outlineLevelCol="0"/>
  <cols>
    <col collapsed="false" customWidth="true" hidden="false" outlineLevel="0" max="1" min="1" style="16" width="27.82"/>
    <col collapsed="false" customWidth="true" hidden="false" outlineLevel="0" max="2" min="2" style="16" width="11.45"/>
    <col collapsed="false" customWidth="true" hidden="false" outlineLevel="0" max="15" min="3" style="16" width="12.82"/>
    <col collapsed="false" customWidth="true" hidden="false" outlineLevel="0" max="20" min="16" style="16" width="15.82"/>
    <col collapsed="false" customWidth="true" hidden="false" outlineLevel="0" max="21" min="21" style="16" width="11.82"/>
    <col collapsed="false" customWidth="true" hidden="false" outlineLevel="0" max="22" min="22" style="16" width="20.45"/>
    <col collapsed="false" customWidth="true" hidden="false" outlineLevel="0" max="23" min="23" style="0" width="5.18"/>
    <col collapsed="false" customWidth="true" hidden="false" outlineLevel="0" max="24" min="24" style="0" width="0.18"/>
    <col collapsed="false" customWidth="true" hidden="false" outlineLevel="0" max="30" min="30" style="0" width="12.45"/>
    <col collapsed="false" customWidth="true" hidden="false" outlineLevel="0" max="33" min="33" style="0" width="10.18"/>
    <col collapsed="false" customWidth="true" hidden="false" outlineLevel="0" max="48" min="48" style="0" width="12.54"/>
    <col collapsed="false" customWidth="true" hidden="false" outlineLevel="0" max="49" min="49" style="0" width="22"/>
    <col collapsed="false" customWidth="true" hidden="false" outlineLevel="0" max="51" min="50" style="0" width="15.18"/>
    <col collapsed="false" customWidth="true" hidden="false" outlineLevel="0" max="56" min="52" style="0" width="13.18"/>
    <col collapsed="false" customWidth="true" hidden="false" outlineLevel="0" max="57" min="57" style="0" width="12.82"/>
    <col collapsed="false" customWidth="true" hidden="false" outlineLevel="0" max="58" min="58" style="0" width="12"/>
    <col collapsed="false" customWidth="true" hidden="false" outlineLevel="0" max="59" min="59" style="0" width="12.82"/>
    <col collapsed="false" customWidth="true" hidden="false" outlineLevel="0" max="60" min="60" style="0" width="12"/>
    <col collapsed="false" customWidth="true" hidden="false" outlineLevel="0" max="61" min="61" style="0" width="11.82"/>
    <col collapsed="false" customWidth="true" hidden="false" outlineLevel="0" max="64" min="62" style="0" width="13.18"/>
    <col collapsed="false" customWidth="true" hidden="false" outlineLevel="0" max="65" min="65" style="0" width="18.45"/>
    <col collapsed="false" customWidth="false" hidden="true" outlineLevel="0" max="113" min="73" style="0" width="9.18"/>
    <col collapsed="false" customWidth="true" hidden="false" outlineLevel="0" max="117" min="117" style="0" width="10.82"/>
    <col collapsed="false" customWidth="true" hidden="false" outlineLevel="0" max="126" min="126" style="0" width="5.82"/>
    <col collapsed="false" customWidth="true" hidden="false" outlineLevel="0" max="127" min="127" style="0" width="8.54"/>
    <col collapsed="false" customWidth="true" hidden="false" outlineLevel="0" max="128" min="128" style="0" width="9.45"/>
    <col collapsed="false" customWidth="true" hidden="false" outlineLevel="0" max="129" min="129" style="0" width="12.82"/>
    <col collapsed="false" customWidth="false" hidden="false" outlineLevel="0" max="16384" min="130" style="16" width="9.18"/>
  </cols>
  <sheetData>
    <row r="1" s="654" customFormat="true" ht="33" hidden="false" customHeight="true" outlineLevel="0" collapsed="false">
      <c r="A1" s="829" t="s">
        <v>1355</v>
      </c>
      <c r="B1" s="16"/>
      <c r="S1" s="830" t="s">
        <v>1193</v>
      </c>
      <c r="T1" s="830"/>
      <c r="U1" s="831" t="n">
        <v>37456</v>
      </c>
      <c r="V1" s="831"/>
      <c r="W1" s="1414"/>
      <c r="X1" s="1414"/>
      <c r="AE1" s="1414"/>
      <c r="AF1" s="1414"/>
      <c r="AG1" s="1414"/>
      <c r="AH1" s="1414"/>
      <c r="AI1" s="1414"/>
      <c r="AJ1" s="1414"/>
      <c r="AK1" s="1414"/>
      <c r="AL1" s="1414"/>
      <c r="AM1" s="1414"/>
      <c r="AN1" s="1414"/>
      <c r="AO1" s="1414"/>
      <c r="AP1" s="1414"/>
      <c r="AQ1" s="1414"/>
      <c r="AR1" s="1414"/>
      <c r="AS1" s="1414"/>
      <c r="AT1" s="1414"/>
      <c r="AU1" s="1414"/>
      <c r="AV1" s="1414"/>
      <c r="AW1" s="1414"/>
      <c r="AX1" s="1414"/>
      <c r="AY1" s="1414"/>
      <c r="AZ1" s="1414"/>
      <c r="BA1" s="1414"/>
      <c r="BB1" s="1414"/>
      <c r="BC1" s="1414"/>
      <c r="BD1" s="1414"/>
      <c r="BE1" s="1414"/>
      <c r="BF1" s="1414"/>
      <c r="BG1" s="1414"/>
      <c r="BH1" s="1414"/>
      <c r="BI1" s="1414"/>
      <c r="BJ1" s="1414"/>
      <c r="BK1" s="1414"/>
      <c r="BL1" s="1414"/>
      <c r="BM1" s="1414"/>
      <c r="BN1" s="1414"/>
      <c r="BO1" s="1414"/>
      <c r="BP1" s="1414"/>
      <c r="BQ1" s="1414"/>
      <c r="BR1" s="1414"/>
      <c r="BS1" s="1414"/>
      <c r="BT1" s="1414"/>
      <c r="BU1" s="1414"/>
      <c r="BV1" s="1414"/>
      <c r="BW1" s="1414"/>
      <c r="BX1" s="1414"/>
      <c r="BY1" s="1414"/>
      <c r="BZ1" s="1414"/>
      <c r="CA1" s="1414"/>
      <c r="CB1" s="1414"/>
      <c r="CC1" s="1414"/>
      <c r="CD1" s="1414"/>
      <c r="CE1" s="1414"/>
      <c r="CF1" s="1414"/>
      <c r="CG1" s="1414"/>
      <c r="CH1" s="1414"/>
      <c r="CI1" s="1414"/>
      <c r="CJ1" s="1414"/>
      <c r="CK1" s="1414"/>
      <c r="CL1" s="1414"/>
      <c r="CM1" s="1414"/>
      <c r="CN1" s="1414"/>
      <c r="CO1" s="1414"/>
      <c r="CP1" s="1414"/>
      <c r="CQ1" s="1414"/>
      <c r="CR1" s="1414"/>
      <c r="CS1" s="1414"/>
      <c r="CT1" s="1414"/>
      <c r="CU1" s="1414"/>
      <c r="CV1" s="1414"/>
      <c r="CW1" s="1414"/>
      <c r="CX1" s="1414"/>
      <c r="CY1" s="1414"/>
      <c r="CZ1" s="1414"/>
      <c r="DA1" s="1414"/>
      <c r="DB1" s="1414"/>
      <c r="DC1" s="1414"/>
      <c r="DD1" s="1414"/>
      <c r="DE1" s="1414"/>
      <c r="DF1" s="1414"/>
      <c r="DG1" s="1414"/>
      <c r="DH1" s="1414"/>
      <c r="DI1" s="1414"/>
      <c r="DJ1" s="1414"/>
      <c r="DK1" s="1414"/>
      <c r="DL1" s="1414"/>
      <c r="DM1" s="1414"/>
      <c r="DN1" s="1414"/>
    </row>
    <row r="2" s="654" customFormat="true" ht="24" hidden="false" customHeight="true" outlineLevel="0" collapsed="false">
      <c r="A2" s="1200" t="str">
        <f aca="false">Summary!C1</f>
        <v>Trammell Crow – LBJ</v>
      </c>
      <c r="B2" s="1200"/>
      <c r="C2" s="1200"/>
      <c r="D2" s="1200"/>
      <c r="G2" s="406"/>
      <c r="H2" s="1268" t="s">
        <v>56</v>
      </c>
      <c r="I2" s="1068"/>
      <c r="J2" s="1202" t="s">
        <v>57</v>
      </c>
      <c r="K2" s="1068"/>
      <c r="L2" s="1068"/>
      <c r="M2" s="1068"/>
      <c r="N2" s="1202" t="s">
        <v>1</v>
      </c>
      <c r="O2" s="1202"/>
      <c r="P2" s="865" t="s">
        <v>1194</v>
      </c>
      <c r="Q2" s="865"/>
      <c r="S2" s="836" t="s">
        <v>957</v>
      </c>
      <c r="T2" s="695"/>
      <c r="U2" s="837" t="n">
        <f aca="false">Information!C7</f>
        <v>0</v>
      </c>
      <c r="V2" s="838"/>
      <c r="W2" s="1414"/>
      <c r="X2" s="1414"/>
      <c r="AE2" s="1414"/>
      <c r="AF2" s="1414"/>
      <c r="AG2" s="1414"/>
      <c r="AH2" s="1414"/>
      <c r="AI2" s="1414"/>
      <c r="AJ2" s="1414"/>
      <c r="AK2" s="1414"/>
      <c r="AL2" s="1414"/>
      <c r="AM2" s="1414"/>
      <c r="AN2" s="1414"/>
      <c r="AO2" s="1414"/>
      <c r="AP2" s="1414"/>
      <c r="AQ2" s="1414"/>
      <c r="AR2" s="1414"/>
      <c r="AS2" s="1414"/>
      <c r="AT2" s="1414"/>
      <c r="AU2" s="1414"/>
      <c r="AV2" s="1414"/>
      <c r="AW2" s="1414"/>
      <c r="AX2" s="1414"/>
      <c r="AY2" s="1414"/>
      <c r="AZ2" s="1414"/>
      <c r="BA2" s="1414"/>
      <c r="BB2" s="1414"/>
      <c r="BC2" s="1414"/>
      <c r="BD2" s="1414"/>
      <c r="BE2" s="1414"/>
      <c r="BF2" s="1414"/>
      <c r="BG2" s="1414"/>
      <c r="BH2" s="1414"/>
      <c r="BI2" s="1414"/>
      <c r="BJ2" s="1414"/>
      <c r="BK2" s="1414"/>
      <c r="BL2" s="1414"/>
      <c r="BM2" s="1414"/>
      <c r="BN2" s="1414"/>
      <c r="BO2" s="1414"/>
      <c r="BP2" s="1414"/>
      <c r="BQ2" s="1414"/>
      <c r="BR2" s="1414"/>
      <c r="BS2" s="1414"/>
      <c r="BT2" s="1414"/>
      <c r="BU2" s="1414"/>
      <c r="BV2" s="1414"/>
      <c r="BW2" s="1414"/>
      <c r="BX2" s="1414"/>
      <c r="BY2" s="1414"/>
      <c r="BZ2" s="1414"/>
      <c r="CA2" s="1414"/>
      <c r="CB2" s="1414"/>
      <c r="CC2" s="1414"/>
      <c r="CD2" s="1414"/>
      <c r="CE2" s="1414"/>
      <c r="CF2" s="1414"/>
      <c r="CG2" s="1414"/>
      <c r="CH2" s="1414"/>
      <c r="CI2" s="1414"/>
      <c r="CJ2" s="1414"/>
      <c r="CK2" s="1414"/>
      <c r="CL2" s="1414"/>
      <c r="CM2" s="1414"/>
      <c r="CN2" s="1414"/>
      <c r="CO2" s="1414"/>
      <c r="CP2" s="1414"/>
      <c r="CQ2" s="1414"/>
      <c r="CR2" s="1414"/>
      <c r="CS2" s="1414"/>
      <c r="CT2" s="1414"/>
      <c r="CU2" s="1414"/>
      <c r="CV2" s="1414"/>
      <c r="CW2" s="1414"/>
      <c r="CX2" s="1414"/>
      <c r="CY2" s="1414"/>
      <c r="CZ2" s="1414"/>
      <c r="DA2" s="1414"/>
      <c r="DB2" s="1414"/>
      <c r="DC2" s="1414"/>
      <c r="DD2" s="1414"/>
      <c r="DE2" s="1414"/>
      <c r="DF2" s="1414"/>
      <c r="DG2" s="1414"/>
      <c r="DH2" s="1414"/>
      <c r="DI2" s="1414"/>
      <c r="DJ2" s="1414"/>
      <c r="DK2" s="1414"/>
      <c r="DL2" s="1414"/>
      <c r="DM2" s="1414"/>
      <c r="DN2" s="1414"/>
    </row>
    <row r="3" s="654" customFormat="true" ht="24" hidden="false" customHeight="true" outlineLevel="0" collapsed="false">
      <c r="A3" s="1204" t="n">
        <f aca="false">Summary!C2</f>
        <v>0</v>
      </c>
      <c r="B3" s="1204"/>
      <c r="C3" s="1204"/>
      <c r="D3" s="1204"/>
      <c r="G3" s="421"/>
      <c r="H3" s="1004" t="s">
        <v>955</v>
      </c>
      <c r="I3" s="1876" t="n">
        <f aca="false">Summary!K2</f>
        <v>0</v>
      </c>
      <c r="J3" s="1876"/>
      <c r="K3" s="1876"/>
      <c r="L3" s="1876"/>
      <c r="M3" s="1876"/>
      <c r="N3" s="1878" t="n">
        <f aca="false">Summary!O2</f>
        <v>0</v>
      </c>
      <c r="O3" s="1878"/>
      <c r="P3" s="2144" t="n">
        <f aca="false">Summary!P2</f>
        <v>0</v>
      </c>
      <c r="Q3" s="2144"/>
      <c r="S3" s="599"/>
      <c r="T3" s="16"/>
      <c r="U3" s="16"/>
      <c r="V3" s="843"/>
      <c r="W3" s="1414"/>
      <c r="X3" s="1414"/>
      <c r="AE3" s="1414"/>
      <c r="AF3" s="1414"/>
      <c r="AG3" s="1414"/>
      <c r="AH3" s="1414"/>
      <c r="AI3" s="1414"/>
      <c r="AJ3" s="1414"/>
      <c r="AK3" s="1414"/>
      <c r="AL3" s="1414"/>
      <c r="AM3" s="1414"/>
      <c r="AN3" s="1414"/>
      <c r="AO3" s="1414"/>
      <c r="AP3" s="1414"/>
      <c r="AQ3" s="1414"/>
      <c r="AR3" s="1414"/>
      <c r="AS3" s="1414"/>
      <c r="AT3" s="1414"/>
      <c r="AU3" s="1414"/>
      <c r="AV3" s="1414"/>
      <c r="AW3" s="1414"/>
      <c r="AX3" s="1414"/>
      <c r="AY3" s="1414"/>
      <c r="AZ3" s="1414"/>
      <c r="BA3" s="1414"/>
      <c r="BB3" s="1414"/>
      <c r="BC3" s="1414"/>
      <c r="BD3" s="1414"/>
      <c r="BE3" s="1414"/>
      <c r="BF3" s="1414"/>
      <c r="BG3" s="1414"/>
      <c r="BH3" s="1414"/>
      <c r="BI3" s="1414"/>
      <c r="BJ3" s="1414"/>
      <c r="BK3" s="1414"/>
      <c r="BL3" s="1414"/>
      <c r="BM3" s="1414"/>
      <c r="BN3" s="1414"/>
      <c r="BO3" s="1414"/>
      <c r="BP3" s="1414"/>
      <c r="BQ3" s="1414"/>
      <c r="BR3" s="1414"/>
      <c r="BS3" s="1414"/>
      <c r="BT3" s="1414"/>
      <c r="BU3" s="1414"/>
      <c r="BV3" s="1414"/>
      <c r="BW3" s="1414"/>
      <c r="BX3" s="1414"/>
      <c r="BY3" s="1414"/>
      <c r="BZ3" s="1414"/>
      <c r="CA3" s="1414"/>
      <c r="CB3" s="1414"/>
      <c r="CC3" s="1414"/>
      <c r="CD3" s="1414"/>
      <c r="CE3" s="1414"/>
      <c r="CF3" s="1414"/>
      <c r="CG3" s="1414"/>
      <c r="CH3" s="1414"/>
      <c r="CI3" s="1414"/>
      <c r="CJ3" s="1414"/>
      <c r="CK3" s="1414"/>
      <c r="CL3" s="1414"/>
      <c r="CM3" s="1414"/>
      <c r="CN3" s="1414"/>
      <c r="CO3" s="1414"/>
      <c r="CP3" s="1414"/>
      <c r="CQ3" s="1414"/>
      <c r="CR3" s="1414"/>
      <c r="CS3" s="1414"/>
      <c r="CT3" s="1414"/>
      <c r="CU3" s="1414"/>
      <c r="CV3" s="1414"/>
      <c r="CW3" s="1414"/>
      <c r="CX3" s="1414"/>
      <c r="CY3" s="1414"/>
      <c r="CZ3" s="1414"/>
      <c r="DA3" s="1414"/>
      <c r="DB3" s="1414"/>
      <c r="DC3" s="1414"/>
      <c r="DD3" s="1414"/>
      <c r="DE3" s="1414"/>
      <c r="DF3" s="1414"/>
      <c r="DG3" s="1414"/>
      <c r="DH3" s="1414"/>
      <c r="DI3" s="1414"/>
      <c r="DJ3" s="1414"/>
      <c r="DK3" s="1414"/>
      <c r="DL3" s="1414"/>
      <c r="DM3" s="1414"/>
      <c r="DN3" s="1414"/>
    </row>
    <row r="4" s="654" customFormat="true" ht="24" hidden="false" customHeight="true" outlineLevel="0" collapsed="false">
      <c r="A4" s="1208" t="str">
        <f aca="false">Summary!C3</f>
        <v>Dallas, TX</v>
      </c>
      <c r="B4" s="1208"/>
      <c r="C4" s="1208"/>
      <c r="D4" s="1208"/>
      <c r="G4" s="421"/>
      <c r="H4" s="1004" t="s">
        <v>71</v>
      </c>
      <c r="I4" s="1879" t="n">
        <f aca="false">Summary!K3</f>
        <v>0</v>
      </c>
      <c r="J4" s="1879"/>
      <c r="K4" s="1879"/>
      <c r="L4" s="1879"/>
      <c r="M4" s="1879"/>
      <c r="N4" s="1881" t="n">
        <f aca="false">Summary!O3</f>
        <v>0</v>
      </c>
      <c r="O4" s="1881"/>
      <c r="P4" s="2145" t="n">
        <f aca="false">Summary!P3</f>
        <v>0</v>
      </c>
      <c r="Q4" s="2145"/>
      <c r="S4" s="599" t="s">
        <v>958</v>
      </c>
      <c r="T4" s="16"/>
      <c r="U4" s="848"/>
      <c r="V4" s="849"/>
      <c r="W4" s="1414"/>
      <c r="X4" s="1414"/>
      <c r="AE4" s="1414"/>
      <c r="AF4" s="1414"/>
      <c r="AG4" s="1414"/>
      <c r="AH4" s="1414"/>
      <c r="AI4" s="1414"/>
      <c r="AJ4" s="1414"/>
      <c r="AK4" s="1414"/>
      <c r="AL4" s="1414"/>
      <c r="AM4" s="1414"/>
      <c r="AN4" s="1414"/>
      <c r="AO4" s="1414"/>
      <c r="AP4" s="1414"/>
      <c r="AQ4" s="1414"/>
      <c r="AR4" s="1414"/>
      <c r="AS4" s="1414"/>
      <c r="AT4" s="1414"/>
      <c r="AU4" s="1414"/>
      <c r="AV4" s="1414"/>
      <c r="AW4" s="1414"/>
      <c r="AX4" s="1414"/>
      <c r="AY4" s="1414"/>
      <c r="AZ4" s="1414"/>
      <c r="BA4" s="1414"/>
      <c r="BB4" s="1414"/>
      <c r="BC4" s="1414"/>
      <c r="BD4" s="1414"/>
      <c r="BE4" s="1414"/>
      <c r="BF4" s="1414"/>
      <c r="BG4" s="1414"/>
      <c r="BH4" s="1414"/>
      <c r="BI4" s="1414"/>
      <c r="BJ4" s="1414"/>
      <c r="BK4" s="1414"/>
      <c r="BL4" s="1414"/>
      <c r="BM4" s="1414"/>
      <c r="BN4" s="1414"/>
      <c r="BO4" s="1414"/>
      <c r="BP4" s="1414"/>
      <c r="BQ4" s="1414"/>
      <c r="BR4" s="1414"/>
      <c r="BS4" s="1414"/>
      <c r="BT4" s="1414"/>
      <c r="BU4" s="1414"/>
      <c r="BV4" s="1414"/>
      <c r="BW4" s="1414"/>
      <c r="BX4" s="1414"/>
      <c r="BY4" s="1414"/>
      <c r="BZ4" s="1414"/>
      <c r="CA4" s="1414"/>
      <c r="CB4" s="1414"/>
      <c r="CC4" s="1414"/>
      <c r="CD4" s="1414"/>
      <c r="CE4" s="1414"/>
      <c r="CF4" s="1414"/>
      <c r="CG4" s="1414"/>
      <c r="CH4" s="1414"/>
      <c r="CI4" s="1414"/>
      <c r="CJ4" s="1414"/>
      <c r="CK4" s="1414"/>
      <c r="CL4" s="1414"/>
      <c r="CM4" s="1414"/>
      <c r="CN4" s="1414"/>
      <c r="CO4" s="1414"/>
      <c r="CP4" s="1414"/>
      <c r="CQ4" s="1414"/>
      <c r="CR4" s="1414"/>
      <c r="CS4" s="1414"/>
      <c r="CT4" s="1414"/>
      <c r="CU4" s="1414"/>
      <c r="CV4" s="1414"/>
      <c r="CW4" s="1414"/>
      <c r="CX4" s="1414"/>
      <c r="CY4" s="1414"/>
      <c r="CZ4" s="1414"/>
      <c r="DA4" s="1414"/>
      <c r="DB4" s="1414"/>
      <c r="DC4" s="1414"/>
      <c r="DD4" s="1414"/>
      <c r="DE4" s="1414"/>
      <c r="DF4" s="1414"/>
      <c r="DG4" s="1414"/>
      <c r="DH4" s="1414"/>
      <c r="DI4" s="1414"/>
      <c r="DJ4" s="1414"/>
      <c r="DK4" s="1414"/>
      <c r="DL4" s="1414"/>
      <c r="DM4" s="1414"/>
      <c r="DN4" s="1414"/>
    </row>
    <row r="5" s="654" customFormat="true" ht="24" hidden="false" customHeight="true" outlineLevel="0" collapsed="false">
      <c r="A5" s="405" t="s">
        <v>0</v>
      </c>
      <c r="B5" s="16"/>
      <c r="C5" s="405" t="s">
        <v>1</v>
      </c>
      <c r="D5" s="16"/>
      <c r="G5" s="421"/>
      <c r="H5" s="1004" t="s">
        <v>79</v>
      </c>
      <c r="I5" s="1879" t="n">
        <f aca="false">Summary!K4</f>
        <v>0</v>
      </c>
      <c r="J5" s="1879"/>
      <c r="K5" s="1879"/>
      <c r="L5" s="1879"/>
      <c r="M5" s="1879"/>
      <c r="N5" s="1881" t="n">
        <f aca="false">Summary!O4</f>
        <v>0</v>
      </c>
      <c r="O5" s="1881"/>
      <c r="P5" s="2145" t="n">
        <f aca="false">Summary!P4</f>
        <v>0</v>
      </c>
      <c r="Q5" s="2145"/>
      <c r="S5" s="599"/>
      <c r="T5" s="16"/>
      <c r="U5" s="16"/>
      <c r="V5" s="843"/>
      <c r="W5" s="1414"/>
      <c r="X5" s="1414"/>
      <c r="AE5" s="1414"/>
      <c r="AF5" s="1414"/>
      <c r="AG5" s="1414"/>
      <c r="AH5" s="1414"/>
      <c r="AI5" s="1414"/>
      <c r="AJ5" s="1414"/>
      <c r="AK5" s="1414"/>
      <c r="AL5" s="1414"/>
      <c r="AM5" s="1414"/>
      <c r="AN5" s="1414"/>
      <c r="AO5" s="1414"/>
      <c r="AP5" s="1414"/>
      <c r="AQ5" s="1414"/>
      <c r="AR5" s="1414"/>
      <c r="AS5" s="1414"/>
      <c r="AT5" s="1414"/>
      <c r="AU5" s="1414"/>
      <c r="AV5" s="1414"/>
      <c r="AW5" s="1414"/>
      <c r="AX5" s="1414"/>
      <c r="AY5" s="1414"/>
      <c r="AZ5" s="1414"/>
      <c r="BA5" s="1414"/>
      <c r="BB5" s="1414"/>
      <c r="BC5" s="1414"/>
      <c r="BD5" s="1414"/>
      <c r="BE5" s="1414"/>
      <c r="BF5" s="1414"/>
      <c r="BG5" s="1414"/>
      <c r="BH5" s="1414"/>
      <c r="BI5" s="1414"/>
      <c r="BJ5" s="1414"/>
      <c r="BK5" s="1414"/>
      <c r="BL5" s="1414"/>
      <c r="BM5" s="1414"/>
      <c r="BN5" s="1414"/>
      <c r="BO5" s="1414"/>
      <c r="BP5" s="1414"/>
      <c r="BQ5" s="1414"/>
      <c r="BR5" s="1414"/>
      <c r="BS5" s="1414"/>
      <c r="BT5" s="1414"/>
      <c r="BU5" s="1414"/>
      <c r="BV5" s="1414"/>
      <c r="BW5" s="1414"/>
      <c r="BX5" s="1414"/>
      <c r="BY5" s="1414"/>
      <c r="BZ5" s="1414"/>
      <c r="CA5" s="1414"/>
      <c r="CB5" s="1414"/>
      <c r="CC5" s="1414"/>
      <c r="CD5" s="1414"/>
      <c r="CE5" s="1414"/>
      <c r="CF5" s="1414"/>
      <c r="CG5" s="1414"/>
      <c r="CH5" s="1414"/>
      <c r="CI5" s="1414"/>
      <c r="CJ5" s="1414"/>
      <c r="CK5" s="1414"/>
      <c r="CL5" s="1414"/>
      <c r="CM5" s="1414"/>
      <c r="CN5" s="1414"/>
      <c r="CO5" s="1414"/>
      <c r="CP5" s="1414"/>
      <c r="CQ5" s="1414"/>
      <c r="CR5" s="1414"/>
      <c r="CS5" s="1414"/>
      <c r="CT5" s="1414"/>
      <c r="CU5" s="1414"/>
      <c r="CV5" s="1414"/>
      <c r="CW5" s="1414"/>
      <c r="CX5" s="1414"/>
      <c r="CY5" s="1414"/>
      <c r="CZ5" s="1414"/>
      <c r="DA5" s="1414"/>
      <c r="DB5" s="1414"/>
      <c r="DC5" s="1414"/>
      <c r="DD5" s="1414"/>
      <c r="DE5" s="1414"/>
      <c r="DF5" s="1414"/>
      <c r="DG5" s="1414"/>
      <c r="DH5" s="1414"/>
      <c r="DI5" s="1414"/>
      <c r="DJ5" s="1414"/>
      <c r="DK5" s="1414"/>
      <c r="DL5" s="1414"/>
      <c r="DM5" s="1414"/>
      <c r="DN5" s="1414"/>
    </row>
    <row r="6" s="654" customFormat="true" ht="24" hidden="false" customHeight="true" outlineLevel="0" collapsed="false">
      <c r="A6" s="857" t="n">
        <v>0</v>
      </c>
      <c r="C6" s="851" t="n">
        <v>0</v>
      </c>
      <c r="D6" s="851"/>
      <c r="G6" s="685"/>
      <c r="H6" s="1212" t="s">
        <v>87</v>
      </c>
      <c r="I6" s="2146" t="n">
        <f aca="false">Summary!K5</f>
        <v>0</v>
      </c>
      <c r="J6" s="2146"/>
      <c r="K6" s="2146"/>
      <c r="L6" s="2146"/>
      <c r="M6" s="2146"/>
      <c r="N6" s="2147" t="n">
        <f aca="false">Summary!O5</f>
        <v>0</v>
      </c>
      <c r="O6" s="2147"/>
      <c r="P6" s="2148" t="n">
        <f aca="false">Summary!P5</f>
        <v>0</v>
      </c>
      <c r="Q6" s="2148"/>
      <c r="S6" s="602" t="s">
        <v>958</v>
      </c>
      <c r="T6" s="855"/>
      <c r="U6" s="855"/>
      <c r="V6" s="856"/>
      <c r="W6" s="1414"/>
      <c r="X6" s="1414"/>
      <c r="AE6" s="1414"/>
      <c r="AF6" s="1414"/>
      <c r="AG6" s="1414"/>
      <c r="AH6" s="1414"/>
      <c r="AI6" s="1414"/>
      <c r="AJ6" s="1414"/>
      <c r="AK6" s="1414"/>
      <c r="AL6" s="1414"/>
      <c r="AM6" s="1414"/>
      <c r="AN6" s="1414"/>
      <c r="AO6" s="1414"/>
      <c r="AP6" s="1414"/>
      <c r="AQ6" s="1414"/>
      <c r="AR6" s="1414"/>
      <c r="AS6" s="1414"/>
      <c r="AT6" s="1414"/>
      <c r="AU6" s="1414"/>
      <c r="AV6" s="1414"/>
      <c r="AW6" s="1414"/>
      <c r="AX6" s="1414"/>
      <c r="AY6" s="1414"/>
      <c r="AZ6" s="1414"/>
      <c r="BA6" s="1414"/>
      <c r="BB6" s="1414"/>
      <c r="BC6" s="1948" t="n">
        <f aca="false">N67</f>
        <v>0</v>
      </c>
      <c r="BD6" s="1414"/>
      <c r="BE6" s="1414"/>
      <c r="BF6" s="1414"/>
      <c r="BG6" s="1414"/>
      <c r="BH6" s="1414"/>
      <c r="BI6" s="1414"/>
      <c r="BJ6" s="1414"/>
      <c r="BK6" s="1414"/>
      <c r="BL6" s="1414"/>
      <c r="BM6" s="1414"/>
      <c r="BN6" s="1414"/>
      <c r="BO6" s="1414"/>
      <c r="BP6" s="1414"/>
      <c r="BQ6" s="1414"/>
      <c r="BR6" s="1414"/>
      <c r="BS6" s="1414"/>
      <c r="BT6" s="1414"/>
      <c r="BU6" s="1414"/>
      <c r="BV6" s="1414"/>
      <c r="BW6" s="1414"/>
      <c r="BX6" s="1414"/>
      <c r="BY6" s="1414"/>
      <c r="BZ6" s="1414"/>
      <c r="CA6" s="1414"/>
      <c r="CB6" s="1414"/>
      <c r="CC6" s="1414"/>
      <c r="CD6" s="1414"/>
      <c r="CE6" s="1414"/>
      <c r="CF6" s="1414"/>
      <c r="CG6" s="1414"/>
      <c r="CH6" s="1414"/>
      <c r="CI6" s="1414"/>
      <c r="CJ6" s="1414"/>
      <c r="CK6" s="1414"/>
      <c r="CL6" s="1414"/>
      <c r="CM6" s="1414"/>
      <c r="CN6" s="1414"/>
      <c r="CO6" s="1414"/>
      <c r="CP6" s="1414"/>
      <c r="CQ6" s="1414"/>
      <c r="CR6" s="1414"/>
      <c r="CS6" s="1414"/>
      <c r="CT6" s="1414"/>
      <c r="CU6" s="1414"/>
      <c r="CV6" s="1414"/>
      <c r="CW6" s="1414"/>
      <c r="CX6" s="1414"/>
      <c r="CY6" s="1414"/>
      <c r="CZ6" s="1414"/>
      <c r="DA6" s="1414"/>
      <c r="DB6" s="1414"/>
      <c r="DC6" s="1414"/>
      <c r="DD6" s="1414"/>
      <c r="DE6" s="1414"/>
      <c r="DF6" s="1414"/>
      <c r="DG6" s="1414"/>
      <c r="DH6" s="1414"/>
      <c r="DI6" s="1414"/>
      <c r="DJ6" s="1414"/>
      <c r="DK6" s="1414"/>
      <c r="DL6" s="1414"/>
      <c r="DM6" s="1414"/>
      <c r="DN6" s="1414"/>
    </row>
    <row r="7" s="654" customFormat="true" ht="24" hidden="false" customHeight="true" outlineLevel="0" collapsed="false">
      <c r="A7" s="850" t="n">
        <v>0</v>
      </c>
      <c r="C7" s="1215" t="n">
        <v>0</v>
      </c>
      <c r="D7" s="1215"/>
      <c r="E7" s="726"/>
      <c r="F7" s="1212" t="s">
        <v>1196</v>
      </c>
      <c r="G7" s="1212"/>
      <c r="H7" s="1212"/>
      <c r="I7" s="2149" t="str">
        <f aca="false">Pricing!A3</f>
        <v>SRM</v>
      </c>
      <c r="J7" s="2149"/>
      <c r="K7" s="2149"/>
      <c r="L7" s="2149"/>
      <c r="M7" s="2149"/>
      <c r="N7" s="726"/>
      <c r="O7" s="726"/>
      <c r="P7" s="726"/>
      <c r="Q7" s="726"/>
      <c r="R7" s="726"/>
      <c r="S7" s="726"/>
      <c r="W7" s="1414"/>
      <c r="X7" s="1414"/>
      <c r="AE7" s="1414"/>
      <c r="AF7" s="1414"/>
      <c r="AG7" s="1414"/>
      <c r="AH7" s="1414"/>
      <c r="AI7" s="1414"/>
      <c r="AJ7" s="1414"/>
      <c r="AK7" s="1414"/>
      <c r="AL7" s="1414"/>
      <c r="AM7" s="1414"/>
      <c r="AN7" s="1414"/>
      <c r="AO7" s="1414"/>
      <c r="AP7" s="1414"/>
      <c r="AQ7" s="1414"/>
      <c r="AR7" s="1414"/>
      <c r="AS7" s="1414"/>
      <c r="AT7" s="1414"/>
      <c r="AU7" s="1414"/>
      <c r="AV7" s="1414"/>
      <c r="AW7" s="1414"/>
      <c r="AX7" s="1414"/>
      <c r="AY7" s="1414"/>
      <c r="AZ7" s="1414"/>
      <c r="BA7" s="1414"/>
      <c r="BB7" s="1414"/>
      <c r="BC7" s="1414"/>
      <c r="BD7" s="1414"/>
      <c r="BE7" s="1414"/>
      <c r="BF7" s="1414"/>
      <c r="BG7" s="1414"/>
      <c r="BH7" s="1414"/>
      <c r="BI7" s="1414"/>
      <c r="BJ7" s="1414"/>
      <c r="BK7" s="1414"/>
      <c r="BL7" s="1414"/>
      <c r="BM7" s="1414"/>
      <c r="BN7" s="1414"/>
      <c r="BO7" s="1414"/>
      <c r="BP7" s="1414"/>
      <c r="BQ7" s="1414"/>
      <c r="BR7" s="1414"/>
      <c r="BS7" s="1414"/>
      <c r="BT7" s="1414"/>
      <c r="BU7" s="1414"/>
      <c r="BV7" s="1414"/>
      <c r="BW7" s="1414"/>
      <c r="BX7" s="1414"/>
      <c r="BY7" s="1414"/>
      <c r="BZ7" s="1414"/>
      <c r="CA7" s="1414"/>
      <c r="CB7" s="1414"/>
      <c r="CC7" s="1414"/>
      <c r="CD7" s="1414"/>
      <c r="CE7" s="1414"/>
      <c r="CF7" s="1414"/>
      <c r="CG7" s="1414"/>
      <c r="CH7" s="1414"/>
      <c r="CI7" s="1414"/>
      <c r="CJ7" s="1414"/>
      <c r="CK7" s="1414"/>
      <c r="CL7" s="1414"/>
      <c r="CM7" s="1414"/>
      <c r="CN7" s="1414"/>
      <c r="CO7" s="1414"/>
      <c r="CP7" s="1414"/>
      <c r="CQ7" s="1414"/>
      <c r="CR7" s="1414"/>
      <c r="CS7" s="1414"/>
      <c r="CT7" s="1414"/>
      <c r="CU7" s="1414"/>
      <c r="CV7" s="1414"/>
      <c r="CW7" s="1414"/>
      <c r="CX7" s="1414"/>
      <c r="CY7" s="1414"/>
      <c r="CZ7" s="1414"/>
      <c r="DA7" s="1414"/>
      <c r="DB7" s="1414"/>
      <c r="DC7" s="1414"/>
      <c r="DD7" s="1414"/>
      <c r="DE7" s="1414"/>
      <c r="DF7" s="1414"/>
      <c r="DG7" s="1414"/>
      <c r="DH7" s="1414"/>
      <c r="DI7" s="1414"/>
      <c r="DJ7" s="1414"/>
      <c r="DK7" s="1414"/>
      <c r="DL7" s="1414"/>
      <c r="DM7" s="1414"/>
      <c r="DN7" s="1414"/>
    </row>
    <row r="8" s="654" customFormat="true" ht="29.25" hidden="false" customHeight="true" outlineLevel="0" collapsed="false">
      <c r="A8" s="2150" t="s">
        <v>1752</v>
      </c>
      <c r="B8" s="2069" t="s">
        <v>1753</v>
      </c>
      <c r="C8" s="2151" t="s">
        <v>1754</v>
      </c>
      <c r="D8" s="2151"/>
      <c r="E8" s="2152" t="s">
        <v>1755</v>
      </c>
      <c r="F8" s="2153" t="s">
        <v>1756</v>
      </c>
      <c r="G8" s="2153" t="s">
        <v>1757</v>
      </c>
      <c r="H8" s="2153" t="s">
        <v>1758</v>
      </c>
      <c r="I8" s="2153" t="s">
        <v>1759</v>
      </c>
      <c r="J8" s="2154" t="s">
        <v>1209</v>
      </c>
      <c r="K8" s="2153" t="s">
        <v>1760</v>
      </c>
      <c r="L8" s="2155" t="s">
        <v>1761</v>
      </c>
      <c r="M8" s="2156" t="s">
        <v>1762</v>
      </c>
      <c r="N8" s="2156"/>
      <c r="O8" s="2153" t="s">
        <v>1763</v>
      </c>
      <c r="P8" s="1223" t="s">
        <v>1764</v>
      </c>
      <c r="Q8" s="1223" t="s">
        <v>1765</v>
      </c>
      <c r="R8" s="1223" t="s">
        <v>1483</v>
      </c>
      <c r="S8" s="1223" t="s">
        <v>1219</v>
      </c>
      <c r="T8" s="1223" t="s">
        <v>1766</v>
      </c>
      <c r="U8" s="880" t="s">
        <v>1767</v>
      </c>
      <c r="V8" s="880"/>
      <c r="W8" s="1414"/>
      <c r="X8" s="1414"/>
      <c r="AE8" s="1414"/>
      <c r="AF8" s="1414"/>
      <c r="AG8" s="1414"/>
      <c r="AH8" s="1414"/>
      <c r="AI8" s="1414"/>
      <c r="AJ8" s="1414"/>
      <c r="AK8" s="1414"/>
      <c r="AL8" s="1414"/>
      <c r="AM8" s="1414"/>
      <c r="AN8" s="1414"/>
      <c r="AO8" s="1414"/>
      <c r="AP8" s="1414"/>
      <c r="AQ8" s="1414"/>
      <c r="AR8" s="1414"/>
      <c r="AS8" s="1414"/>
      <c r="AT8" s="1414"/>
      <c r="AU8" s="1414"/>
      <c r="AV8" s="1414"/>
      <c r="AW8" s="2157"/>
      <c r="AX8" s="1247"/>
      <c r="AY8" s="1247"/>
      <c r="AZ8" s="2158" t="s">
        <v>1146</v>
      </c>
      <c r="BA8" s="2158"/>
      <c r="BB8" s="2158"/>
      <c r="BC8" s="2158"/>
      <c r="BD8" s="1247"/>
      <c r="BE8" s="1247" t="n">
        <f aca="false">SUM(AZ10:BE10)</f>
        <v>0</v>
      </c>
      <c r="BF8" s="412" t="s">
        <v>1507</v>
      </c>
      <c r="BG8" s="1247"/>
      <c r="BH8" s="1247"/>
      <c r="BI8" s="1247"/>
      <c r="BJ8" s="1247"/>
      <c r="BK8" s="1247"/>
      <c r="BL8" s="1247"/>
      <c r="BM8" s="1247"/>
      <c r="BN8" s="1905"/>
      <c r="BO8" s="1414"/>
      <c r="BP8" s="1414"/>
      <c r="BQ8" s="1414"/>
      <c r="BR8" s="1414"/>
      <c r="BS8" s="1414"/>
      <c r="BT8" s="1414"/>
      <c r="BU8" s="1414"/>
      <c r="BV8" s="1414"/>
      <c r="BW8" s="1414"/>
      <c r="BX8" s="1414"/>
      <c r="BY8" s="1414"/>
      <c r="BZ8" s="1414"/>
      <c r="CA8" s="1414"/>
      <c r="CB8" s="1414"/>
      <c r="CC8" s="1414"/>
      <c r="CD8" s="1414"/>
      <c r="CE8" s="1414"/>
      <c r="CF8" s="1414"/>
      <c r="CG8" s="1414"/>
      <c r="CH8" s="1414"/>
      <c r="CI8" s="1414"/>
      <c r="CJ8" s="1414"/>
      <c r="CK8" s="1414"/>
      <c r="CL8" s="1414"/>
      <c r="CM8" s="1414"/>
      <c r="CN8" s="1414"/>
      <c r="CO8" s="1414"/>
      <c r="CP8" s="1414"/>
      <c r="CQ8" s="1414"/>
      <c r="CR8" s="1414"/>
      <c r="CS8" s="1414"/>
      <c r="CT8" s="1414"/>
      <c r="CU8" s="1414"/>
      <c r="CV8" s="1414"/>
      <c r="CW8" s="1414"/>
      <c r="CX8" s="1414"/>
      <c r="CY8" s="1414"/>
      <c r="CZ8" s="1414"/>
      <c r="DA8" s="1414"/>
      <c r="DB8" s="1414"/>
      <c r="DC8" s="1414"/>
      <c r="DD8" s="1414"/>
      <c r="DE8" s="1414"/>
      <c r="DF8" s="1414"/>
      <c r="DG8" s="1414"/>
      <c r="DH8" s="1414"/>
      <c r="DI8" s="1414"/>
      <c r="DJ8" s="2159" t="s">
        <v>1021</v>
      </c>
      <c r="DK8" s="2159"/>
      <c r="DL8" s="2159"/>
      <c r="DM8" s="2159"/>
      <c r="DN8" s="2159"/>
    </row>
    <row r="9" s="654" customFormat="true" ht="24" hidden="false" customHeight="true" outlineLevel="0" collapsed="false">
      <c r="A9" s="1908"/>
      <c r="B9" s="2069"/>
      <c r="C9" s="2151"/>
      <c r="D9" s="2151"/>
      <c r="E9" s="2152"/>
      <c r="F9" s="2153"/>
      <c r="G9" s="2153"/>
      <c r="H9" s="2153"/>
      <c r="I9" s="2153"/>
      <c r="J9" s="2154"/>
      <c r="K9" s="2153"/>
      <c r="L9" s="2155"/>
      <c r="M9" s="1229" t="s">
        <v>1215</v>
      </c>
      <c r="N9" s="1478" t="s">
        <v>1216</v>
      </c>
      <c r="O9" s="2153"/>
      <c r="P9" s="1223"/>
      <c r="Q9" s="1223"/>
      <c r="R9" s="1223"/>
      <c r="S9" s="1223"/>
      <c r="T9" s="1223"/>
      <c r="U9" s="1223"/>
      <c r="V9" s="880"/>
      <c r="W9" s="1414"/>
      <c r="X9" s="1414"/>
      <c r="AE9" s="1414"/>
      <c r="AF9" s="1414"/>
      <c r="AG9" s="2160" t="s">
        <v>1521</v>
      </c>
      <c r="AH9" s="2161" t="s">
        <v>1374</v>
      </c>
      <c r="AI9" s="2161" t="s">
        <v>1375</v>
      </c>
      <c r="AJ9" s="2161" t="s">
        <v>1376</v>
      </c>
      <c r="AK9" s="2161" t="s">
        <v>1377</v>
      </c>
      <c r="AL9" s="2161" t="s">
        <v>1378</v>
      </c>
      <c r="AM9" s="2161" t="s">
        <v>1522</v>
      </c>
      <c r="AN9" s="2161" t="s">
        <v>1523</v>
      </c>
      <c r="AO9" s="2161" t="s">
        <v>1524</v>
      </c>
      <c r="AP9" s="2161" t="s">
        <v>1525</v>
      </c>
      <c r="AQ9" s="2161" t="s">
        <v>1526</v>
      </c>
      <c r="AR9" s="2161" t="s">
        <v>1527</v>
      </c>
      <c r="AS9" s="2161" t="s">
        <v>1768</v>
      </c>
      <c r="AT9" s="2161" t="s">
        <v>1769</v>
      </c>
      <c r="AU9" s="2161" t="s">
        <v>1770</v>
      </c>
      <c r="AV9" s="413" t="s">
        <v>1734</v>
      </c>
      <c r="AW9" s="2160" t="s">
        <v>1384</v>
      </c>
      <c r="AX9" s="2161" t="s">
        <v>1385</v>
      </c>
      <c r="AY9" s="2161" t="s">
        <v>1539</v>
      </c>
      <c r="AZ9" s="2162" t="s">
        <v>1771</v>
      </c>
      <c r="BA9" s="2163" t="s">
        <v>1772</v>
      </c>
      <c r="BB9" s="2163" t="s">
        <v>721</v>
      </c>
      <c r="BC9" s="530" t="str">
        <f aca="false">A67</f>
        <v>EXTRA HOURS</v>
      </c>
      <c r="BD9" s="2161" t="s">
        <v>1773</v>
      </c>
      <c r="BE9" s="2161" t="s">
        <v>1340</v>
      </c>
      <c r="BF9" s="2161" t="s">
        <v>1540</v>
      </c>
      <c r="BG9" s="2161" t="s">
        <v>1541</v>
      </c>
      <c r="BH9" s="2161" t="s">
        <v>976</v>
      </c>
      <c r="BI9" s="2161" t="s">
        <v>1542</v>
      </c>
      <c r="BJ9" s="2161" t="s">
        <v>1513</v>
      </c>
      <c r="BK9" s="2161" t="s">
        <v>1774</v>
      </c>
      <c r="BL9" s="2163" t="s">
        <v>1039</v>
      </c>
      <c r="BM9" s="2161" t="s">
        <v>1775</v>
      </c>
      <c r="BN9" s="2164"/>
      <c r="BO9" s="1414"/>
      <c r="BP9" s="1414"/>
      <c r="BQ9" s="1414"/>
      <c r="BR9" s="1414"/>
      <c r="BS9" s="1414" t="str">
        <f aca="false">A88</f>
        <v>SLIP FORMING</v>
      </c>
      <c r="BT9" s="1414"/>
      <c r="BU9" s="1414"/>
      <c r="BV9" s="1414"/>
      <c r="BW9" s="1414"/>
      <c r="BX9" s="1414"/>
      <c r="BY9" s="1414"/>
      <c r="BZ9" s="1414"/>
      <c r="CA9" s="1414"/>
      <c r="CB9" s="1414"/>
      <c r="CC9" s="1414"/>
      <c r="CD9" s="1414"/>
      <c r="CE9" s="1414"/>
      <c r="CF9" s="1414"/>
      <c r="CG9" s="1414"/>
      <c r="CH9" s="1414"/>
      <c r="CI9" s="1414"/>
      <c r="CJ9" s="1414"/>
      <c r="CK9" s="1414"/>
      <c r="CL9" s="1414"/>
      <c r="CM9" s="1414"/>
      <c r="CN9" s="1414"/>
      <c r="CO9" s="1414"/>
      <c r="CP9" s="1414"/>
      <c r="CQ9" s="1414"/>
      <c r="CR9" s="1414"/>
      <c r="CS9" s="1414"/>
      <c r="CT9" s="1414"/>
      <c r="CU9" s="1414"/>
      <c r="CV9" s="1414"/>
      <c r="CW9" s="1414"/>
      <c r="CX9" s="1414"/>
      <c r="CY9" s="1414"/>
      <c r="CZ9" s="1414"/>
      <c r="DA9" s="1414"/>
      <c r="DB9" s="1414"/>
      <c r="DC9" s="1414"/>
      <c r="DD9" s="1414"/>
      <c r="DE9" s="1414"/>
      <c r="DF9" s="1414"/>
      <c r="DG9" s="1414"/>
      <c r="DH9" s="1414"/>
      <c r="DI9" s="1414"/>
      <c r="DJ9" s="2165" t="s">
        <v>568</v>
      </c>
      <c r="DK9" s="2166" t="s">
        <v>1776</v>
      </c>
      <c r="DL9" s="2166" t="s">
        <v>721</v>
      </c>
      <c r="DM9" s="2167" t="s">
        <v>1777</v>
      </c>
      <c r="DN9" s="2168" t="s">
        <v>1418</v>
      </c>
    </row>
    <row r="10" s="654" customFormat="true" ht="24" hidden="false" customHeight="true" outlineLevel="0" collapsed="false">
      <c r="A10" s="2169"/>
      <c r="B10" s="2170"/>
      <c r="C10" s="2171"/>
      <c r="D10" s="2172"/>
      <c r="E10" s="2170"/>
      <c r="F10" s="2173"/>
      <c r="G10" s="2174"/>
      <c r="H10" s="2175"/>
      <c r="I10" s="2176"/>
      <c r="J10" s="2177"/>
      <c r="K10" s="2178"/>
      <c r="L10" s="2179"/>
      <c r="M10" s="2180"/>
      <c r="N10" s="2174"/>
      <c r="O10" s="1320"/>
      <c r="P10" s="2181" t="n">
        <f aca="false">C10*L10/324*(1+J$57)</f>
        <v>0</v>
      </c>
      <c r="Q10" s="2182" t="n">
        <v>0</v>
      </c>
      <c r="R10" s="1515" t="n">
        <f aca="false">IF(N10=0,0,(N10/12+N10/12)/(N10/12*N10/12)*C10*((M10/16*M10/16)*10.6870159))*(1+J$54)</f>
        <v>0</v>
      </c>
      <c r="S10" s="1516" t="n">
        <f aca="false">(C10*E10/324+I10/108+K10*1.5*0.18/27)*(1+J$47)</f>
        <v>0</v>
      </c>
      <c r="T10" s="2183" t="n">
        <f aca="false">IF(C10=0,0,U10/C10)</f>
        <v>0</v>
      </c>
      <c r="U10" s="2184" t="n">
        <f aca="false">(SUM(AW10:BM10)-BL10)*(1+L$39)</f>
        <v>0</v>
      </c>
      <c r="V10" s="2184"/>
      <c r="W10" s="1414"/>
      <c r="X10" s="1414"/>
      <c r="AE10" s="1414"/>
      <c r="AF10" s="1414"/>
      <c r="AG10" s="2185" t="n">
        <f aca="false">IF(G10="y",C10,0)</f>
        <v>0</v>
      </c>
      <c r="AH10" s="2186" t="n">
        <f aca="false">IF($J10=1,$S10,0)</f>
        <v>0</v>
      </c>
      <c r="AI10" s="2187" t="n">
        <f aca="false">IF($J10=2,$S10,0)</f>
        <v>0</v>
      </c>
      <c r="AJ10" s="2187" t="n">
        <f aca="false">IF($J10=3,$S10,0)</f>
        <v>0</v>
      </c>
      <c r="AK10" s="2187" t="n">
        <f aca="false">IF($J10=4,$S10,0)</f>
        <v>0</v>
      </c>
      <c r="AL10" s="2187" t="n">
        <f aca="false">IF($J10=5,$S10,0)</f>
        <v>0</v>
      </c>
      <c r="AM10" s="2187" t="n">
        <f aca="false">IF($J10=6,$S10,0)</f>
        <v>0</v>
      </c>
      <c r="AN10" s="2187" t="n">
        <f aca="false">IF($J10=7,$S10,0)</f>
        <v>0</v>
      </c>
      <c r="AO10" s="2187" t="n">
        <f aca="false">IF($J10=8,$S10,0)</f>
        <v>0</v>
      </c>
      <c r="AP10" s="2187" t="n">
        <f aca="false">IF($J10=9,$S10,0)</f>
        <v>0</v>
      </c>
      <c r="AQ10" s="2188" t="n">
        <f aca="false">IF($J10=10,$S10,0)</f>
        <v>0</v>
      </c>
      <c r="AR10" s="1414" t="n">
        <f aca="false">SUM(AH10:AM10)</f>
        <v>0</v>
      </c>
      <c r="AS10" s="1414" t="n">
        <f aca="false">IF(F10="N",C10,0)</f>
        <v>0</v>
      </c>
      <c r="AT10" s="1414" t="n">
        <f aca="false">IF(C10=0,0,IF(E10&lt;8,C10/M$82,0))</f>
        <v>0</v>
      </c>
      <c r="AU10" s="1414" t="n">
        <f aca="false">IF(C10=0,0,IF(E10&gt;8,C10/M$82,0))</f>
        <v>0</v>
      </c>
      <c r="AV10" s="2189" t="n">
        <f aca="false">IF(SUM(AW10:BN10)=0,0,SUM(AW10:BN10))</f>
        <v>0</v>
      </c>
      <c r="AW10" s="1932" t="n">
        <f aca="false">(AH10*Pricing!F$3+AI10*Pricing!G$3+AJ10*Pricing!H$3+AK10*Pricing!I$3+AL10*Pricing!J$3+AM10*Pricing!K$3+AN10*Pricing!L$3+AO10*Pricing!M$3+AP10*Pricing!N$3+AQ10*Pricing!O$3)*IF(T$38="N",(1+V$38),1)</f>
        <v>0</v>
      </c>
      <c r="AX10" s="1932" t="n">
        <f aca="false">R10*F$54*IF(T$38="n",1+V$38,1)</f>
        <v>0</v>
      </c>
      <c r="AY10" s="1932" t="n">
        <f aca="false">IF(SUM(I$10:I$34)=0,0,N$66/SUM(I$10:I$34)*I10)</f>
        <v>0</v>
      </c>
      <c r="AZ10" s="2190" t="n">
        <f aca="false">C10*SUM(D$61:E$63)</f>
        <v>0</v>
      </c>
      <c r="BA10" s="1932" t="n">
        <f aca="false">C10*F10</f>
        <v>0</v>
      </c>
      <c r="BB10" s="1932" t="n">
        <f aca="false">IF(R10="",0,R10*D$65)</f>
        <v>0</v>
      </c>
      <c r="BC10" s="1934" t="n">
        <f aca="false">IF(N$67=0,0,N$67/H$61*C10)</f>
        <v>0</v>
      </c>
      <c r="BD10" s="1932"/>
      <c r="BE10" s="1932" t="n">
        <f aca="false">H10*D$87</f>
        <v>0</v>
      </c>
      <c r="BF10" s="1932" t="n">
        <f aca="false">IF(C10=0,0,SUM(N$70:O$73)/C$35*C10)</f>
        <v>0</v>
      </c>
      <c r="BG10" s="1932" t="n">
        <f aca="false">IF(C10=0,0,SUM(V$47:V$90)/C$35*C10)</f>
        <v>0</v>
      </c>
      <c r="BH10" s="1932" t="n">
        <f aca="false">IF(C10=0,0,(SUM(N$75:O$80)-N$80)/C$35*C10)</f>
        <v>0</v>
      </c>
      <c r="BI10" s="1932" t="n">
        <f aca="false">IF(C10=0,0,(SUM(N$82:N$90)+N$59-N$87-N$88)/C$35)*C10</f>
        <v>0</v>
      </c>
      <c r="BJ10" s="1932" t="n">
        <f aca="false">(P10*F$57)*IF(T$38="N",1+V$38,1)+IF(C$35=0,0,(N$58/C$35*C10))</f>
        <v>0</v>
      </c>
      <c r="BK10" s="1932" t="n">
        <f aca="false">IF(BS10&gt;0,N$88/BS$36*BS10,0)</f>
        <v>0</v>
      </c>
      <c r="BL10" s="1932" t="n">
        <f aca="false">IF(N$72=0,0,N$91/H$61*C10)</f>
        <v>0</v>
      </c>
      <c r="BM10" s="1932" t="n">
        <f aca="false">IF(G10="y",N$80/AG$35*C10,0)</f>
        <v>0</v>
      </c>
      <c r="BN10" s="1934"/>
      <c r="BO10" s="1414"/>
      <c r="BP10" s="1414"/>
      <c r="BQ10" s="1414"/>
      <c r="BR10" s="1414"/>
      <c r="BS10" s="1414" t="n">
        <f aca="false">IF(B10="Y",C10,0)</f>
        <v>0</v>
      </c>
      <c r="BT10" s="1414"/>
      <c r="BU10" s="1414"/>
      <c r="BV10" s="1414"/>
      <c r="BW10" s="1414"/>
      <c r="BX10" s="1414"/>
      <c r="BY10" s="1414"/>
      <c r="BZ10" s="1414"/>
      <c r="CA10" s="1414"/>
      <c r="CB10" s="1414"/>
      <c r="CC10" s="1414"/>
      <c r="CD10" s="1414"/>
      <c r="CE10" s="1414"/>
      <c r="CF10" s="1414"/>
      <c r="CG10" s="1414"/>
      <c r="CH10" s="1414"/>
      <c r="CI10" s="1414"/>
      <c r="CJ10" s="1414"/>
      <c r="CK10" s="1414"/>
      <c r="CL10" s="1414"/>
      <c r="CM10" s="1414"/>
      <c r="CN10" s="1414"/>
      <c r="CO10" s="1414"/>
      <c r="CP10" s="1414"/>
      <c r="CQ10" s="1414"/>
      <c r="CR10" s="1414"/>
      <c r="CS10" s="1414"/>
      <c r="CT10" s="1414"/>
      <c r="CU10" s="1414"/>
      <c r="CV10" s="1414"/>
      <c r="CW10" s="1414"/>
      <c r="CX10" s="1414"/>
      <c r="CY10" s="1414"/>
      <c r="CZ10" s="1414"/>
      <c r="DA10" s="1414"/>
      <c r="DB10" s="1414"/>
      <c r="DC10" s="1414"/>
      <c r="DD10" s="1414"/>
      <c r="DE10" s="1414"/>
      <c r="DF10" s="1414"/>
      <c r="DG10" s="1414"/>
      <c r="DH10" s="1414"/>
      <c r="DI10" s="1414"/>
      <c r="DJ10" s="1414" t="n">
        <f aca="false">A10</f>
        <v>0</v>
      </c>
      <c r="DK10" s="2191" t="n">
        <f aca="false">K10</f>
        <v>0</v>
      </c>
      <c r="DL10" s="1928" t="n">
        <f aca="false">R10</f>
        <v>0</v>
      </c>
      <c r="DM10" s="1414" t="n">
        <f aca="false">IF(F10="Y",C10,0)</f>
        <v>0</v>
      </c>
      <c r="DN10" s="2192" t="n">
        <f aca="false">C10</f>
        <v>0</v>
      </c>
    </row>
    <row r="11" s="654" customFormat="true" ht="24" hidden="false" customHeight="true" outlineLevel="0" collapsed="false">
      <c r="A11" s="2169"/>
      <c r="B11" s="2170"/>
      <c r="C11" s="2171"/>
      <c r="D11" s="2193"/>
      <c r="E11" s="2194"/>
      <c r="F11" s="2195"/>
      <c r="G11" s="2194"/>
      <c r="H11" s="2196"/>
      <c r="I11" s="2197"/>
      <c r="J11" s="2198"/>
      <c r="K11" s="2199"/>
      <c r="L11" s="2200"/>
      <c r="M11" s="2201"/>
      <c r="N11" s="2170"/>
      <c r="O11" s="1320"/>
      <c r="P11" s="2181" t="n">
        <f aca="false">C11*L11/324*(1+J$57)</f>
        <v>0</v>
      </c>
      <c r="Q11" s="2182" t="n">
        <v>0</v>
      </c>
      <c r="R11" s="1515" t="n">
        <f aca="false">IF(N11=0,0,(N11/12+N11/12)/(N11/12*N11/12)*C11*((M11/16*M11/16)*10.6870159))*(1+J$54)</f>
        <v>0</v>
      </c>
      <c r="S11" s="1516" t="n">
        <f aca="false">(C11*E11/324+I11/108+K11*1.5*0.18/27)*(1+J$47)</f>
        <v>0</v>
      </c>
      <c r="T11" s="2202" t="n">
        <f aca="false">IF(C11=0,0,U11/C11)</f>
        <v>0</v>
      </c>
      <c r="U11" s="2184" t="n">
        <f aca="false">(SUM(AW11:BM11)-BL11)*(1+L$39)</f>
        <v>0</v>
      </c>
      <c r="V11" s="2184"/>
      <c r="W11" s="1414"/>
      <c r="X11" s="1414"/>
      <c r="AE11" s="1414"/>
      <c r="AF11" s="1414"/>
      <c r="AG11" s="2185" t="n">
        <f aca="false">IF(G11="y",C11,0)</f>
        <v>0</v>
      </c>
      <c r="AH11" s="2185" t="n">
        <f aca="false">IF($J11=1,$S11,0)</f>
        <v>0</v>
      </c>
      <c r="AI11" s="1414" t="n">
        <f aca="false">IF($J11=2,$S11,0)</f>
        <v>0</v>
      </c>
      <c r="AJ11" s="1414" t="n">
        <f aca="false">IF($J11=3,$S11,0)</f>
        <v>0</v>
      </c>
      <c r="AK11" s="1414" t="n">
        <f aca="false">IF($J11=4,$S11,0)</f>
        <v>0</v>
      </c>
      <c r="AL11" s="1414" t="n">
        <f aca="false">IF($J11=5,$S11,0)</f>
        <v>0</v>
      </c>
      <c r="AM11" s="1414" t="n">
        <f aca="false">IF($J11=6,$S11,0)</f>
        <v>0</v>
      </c>
      <c r="AN11" s="1414" t="n">
        <f aca="false">IF($J11=7,$S11,0)</f>
        <v>0</v>
      </c>
      <c r="AO11" s="1414" t="n">
        <f aca="false">IF($J11=8,$S11,0)</f>
        <v>0</v>
      </c>
      <c r="AP11" s="1414" t="n">
        <f aca="false">IF($J11=9,$S11,0)</f>
        <v>0</v>
      </c>
      <c r="AQ11" s="2203" t="n">
        <f aca="false">IF($J11=10,$S11,0)</f>
        <v>0</v>
      </c>
      <c r="AR11" s="1414" t="n">
        <f aca="false">SUM(AH11:AM11)</f>
        <v>0</v>
      </c>
      <c r="AS11" s="1414" t="n">
        <f aca="false">IF(F11="N",C11,0)</f>
        <v>0</v>
      </c>
      <c r="AT11" s="1414" t="n">
        <f aca="false">IF(C11=0,0,IF(E11&lt;8,C11/M$82,0))</f>
        <v>0</v>
      </c>
      <c r="AU11" s="1414" t="n">
        <f aca="false">IF(C11=0,0,IF(E11&gt;8,C11/M$82,0))</f>
        <v>0</v>
      </c>
      <c r="AV11" s="2189" t="n">
        <f aca="false">SUM(AW11:BN11)</f>
        <v>0</v>
      </c>
      <c r="AW11" s="1932" t="n">
        <f aca="false">(AH11*Pricing!F$3+AI11*Pricing!G$3+AJ11*Pricing!H$3+AK11*Pricing!I$3+AL11*Pricing!J$3+AM11*Pricing!K$3+AN11*Pricing!L$3+AO11*Pricing!M$3+AP11*Pricing!N$3+AQ11*Pricing!O$3)*IF(T$38="N",(1+V$38),1)</f>
        <v>0</v>
      </c>
      <c r="AX11" s="1932" t="n">
        <f aca="false">R11*F$54*IF(T$38="n",1+V$38,1)</f>
        <v>0</v>
      </c>
      <c r="AY11" s="1932" t="n">
        <f aca="false">IF(SUM(I$10:I$34)=0,0,N$66/SUM(I$10:I$34)*I11)</f>
        <v>0</v>
      </c>
      <c r="AZ11" s="2190" t="n">
        <f aca="false">C11*SUM(D$61:E$63)</f>
        <v>0</v>
      </c>
      <c r="BA11" s="1932" t="n">
        <f aca="false">C11*F11</f>
        <v>0</v>
      </c>
      <c r="BB11" s="1932" t="n">
        <f aca="false">IF(R11="",0,R11*D$65)</f>
        <v>0</v>
      </c>
      <c r="BC11" s="1934" t="n">
        <f aca="false">IF(N$67=0,0,N$67/H$61*C11)</f>
        <v>0</v>
      </c>
      <c r="BD11" s="1932"/>
      <c r="BE11" s="1932" t="n">
        <f aca="false">H11*D$87</f>
        <v>0</v>
      </c>
      <c r="BF11" s="1932" t="n">
        <f aca="false">IF(C11=0,0,SUM(N$70:O$73)/C$35*C11)</f>
        <v>0</v>
      </c>
      <c r="BG11" s="1932" t="n">
        <f aca="false">IF(C11=0,0,SUM(V$47:V$90)/C$35*C11)</f>
        <v>0</v>
      </c>
      <c r="BH11" s="1932" t="n">
        <f aca="false">IF(C11=0,0,(SUM(N$75:O$80)-N$80)/C$35*C11)</f>
        <v>0</v>
      </c>
      <c r="BI11" s="1932" t="n">
        <f aca="false">IF(C11=0,0,(SUM(N$82:N$90)+N$59-N$87-N$88)/C$35)*C11</f>
        <v>0</v>
      </c>
      <c r="BJ11" s="1932" t="n">
        <f aca="false">(P11*F$57)*IF(T$38="N",1+V$38,1)+IF(C$35=0,0,(N$58/C$35*C11))</f>
        <v>0</v>
      </c>
      <c r="BK11" s="1932" t="n">
        <f aca="false">IF(BS11&gt;0,N$88/BS$36*BS11,0)</f>
        <v>0</v>
      </c>
      <c r="BL11" s="1932" t="n">
        <f aca="false">IF(N$72=0,0,N$91/H$61*C11)</f>
        <v>0</v>
      </c>
      <c r="BM11" s="1932" t="n">
        <f aca="false">IF(G11="y",N$80/AG$35*C11,0)</f>
        <v>0</v>
      </c>
      <c r="BN11" s="1934"/>
      <c r="BO11" s="1414"/>
      <c r="BP11" s="1414"/>
      <c r="BQ11" s="1414"/>
      <c r="BR11" s="1414"/>
      <c r="BS11" s="1414" t="n">
        <f aca="false">IF(B11="Y",C11,0)</f>
        <v>0</v>
      </c>
      <c r="BT11" s="1414"/>
      <c r="BU11" s="1414"/>
      <c r="BV11" s="1414"/>
      <c r="BW11" s="1414"/>
      <c r="BX11" s="1414"/>
      <c r="BY11" s="1414"/>
      <c r="BZ11" s="1414"/>
      <c r="CA11" s="1414"/>
      <c r="CB11" s="1414"/>
      <c r="CC11" s="1414"/>
      <c r="CD11" s="1414"/>
      <c r="CE11" s="1414"/>
      <c r="CF11" s="1414"/>
      <c r="CG11" s="1414"/>
      <c r="CH11" s="1414"/>
      <c r="CI11" s="1414"/>
      <c r="CJ11" s="1414"/>
      <c r="CK11" s="1414"/>
      <c r="CL11" s="1414"/>
      <c r="CM11" s="1414"/>
      <c r="CN11" s="1414"/>
      <c r="CO11" s="1414"/>
      <c r="CP11" s="1414"/>
      <c r="CQ11" s="1414"/>
      <c r="CR11" s="1414"/>
      <c r="CS11" s="1414"/>
      <c r="CT11" s="1414"/>
      <c r="CU11" s="1414"/>
      <c r="CV11" s="1414"/>
      <c r="CW11" s="1414"/>
      <c r="CX11" s="1414"/>
      <c r="CY11" s="1414"/>
      <c r="CZ11" s="1414"/>
      <c r="DA11" s="1414"/>
      <c r="DB11" s="1414"/>
      <c r="DC11" s="1414"/>
      <c r="DD11" s="1414"/>
      <c r="DE11" s="1414"/>
      <c r="DF11" s="1414"/>
      <c r="DG11" s="1414"/>
      <c r="DH11" s="1414"/>
      <c r="DI11" s="1414"/>
      <c r="DJ11" s="1414" t="n">
        <f aca="false">A11</f>
        <v>0</v>
      </c>
      <c r="DK11" s="2191" t="n">
        <f aca="false">K11</f>
        <v>0</v>
      </c>
      <c r="DL11" s="1928" t="n">
        <f aca="false">R11</f>
        <v>0</v>
      </c>
      <c r="DM11" s="1414" t="n">
        <f aca="false">IF(F11="Y",C11,0)</f>
        <v>0</v>
      </c>
      <c r="DN11" s="2192" t="n">
        <f aca="false">C11</f>
        <v>0</v>
      </c>
    </row>
    <row r="12" s="654" customFormat="true" ht="24" hidden="false" customHeight="true" outlineLevel="0" collapsed="false">
      <c r="A12" s="2169"/>
      <c r="B12" s="2170"/>
      <c r="C12" s="2171"/>
      <c r="D12" s="2193"/>
      <c r="E12" s="2194"/>
      <c r="F12" s="2195"/>
      <c r="G12" s="2194"/>
      <c r="H12" s="2196"/>
      <c r="I12" s="2197"/>
      <c r="J12" s="2198"/>
      <c r="K12" s="2199"/>
      <c r="L12" s="2200"/>
      <c r="M12" s="2201"/>
      <c r="N12" s="2170"/>
      <c r="O12" s="1320"/>
      <c r="P12" s="2181" t="n">
        <f aca="false">C12*L12/324*(1+J$57)</f>
        <v>0</v>
      </c>
      <c r="Q12" s="2182" t="n">
        <v>0</v>
      </c>
      <c r="R12" s="1515" t="n">
        <f aca="false">IF(N12=0,0,(N12/12+N12/12)/(N12/12*N12/12)*C12*((M12/16*M12/16)*10.6870159))*(1+J$54)</f>
        <v>0</v>
      </c>
      <c r="S12" s="1516" t="n">
        <f aca="false">(C12*E12/324+I12/108+K12*1.5*0.18/27)*(1+J$47)</f>
        <v>0</v>
      </c>
      <c r="T12" s="2202" t="n">
        <f aca="false">IF(C12=0,0,U12/C12)</f>
        <v>0</v>
      </c>
      <c r="U12" s="2184" t="n">
        <f aca="false">(SUM(AW12:BM12)-BL12)*(1+L$39)</f>
        <v>0</v>
      </c>
      <c r="V12" s="2184"/>
      <c r="W12" s="1414"/>
      <c r="X12" s="1414"/>
      <c r="AE12" s="1414"/>
      <c r="AF12" s="1414"/>
      <c r="AG12" s="2185" t="n">
        <f aca="false">IF(G12="y",C12,0)</f>
        <v>0</v>
      </c>
      <c r="AH12" s="2185" t="n">
        <f aca="false">IF($J12=1,$S12,0)</f>
        <v>0</v>
      </c>
      <c r="AI12" s="1414" t="n">
        <f aca="false">IF($J12=2,$S12,0)</f>
        <v>0</v>
      </c>
      <c r="AJ12" s="1414" t="n">
        <f aca="false">IF($J12=3,$S12,0)</f>
        <v>0</v>
      </c>
      <c r="AK12" s="1414" t="n">
        <f aca="false">IF($J12=4,$S12,0)</f>
        <v>0</v>
      </c>
      <c r="AL12" s="1414" t="n">
        <f aca="false">IF($J12=5,$S12,0)</f>
        <v>0</v>
      </c>
      <c r="AM12" s="1414" t="n">
        <f aca="false">IF($J12=6,$S12,0)</f>
        <v>0</v>
      </c>
      <c r="AN12" s="1414" t="n">
        <f aca="false">IF($J12=7,$S12,0)</f>
        <v>0</v>
      </c>
      <c r="AO12" s="1414" t="n">
        <f aca="false">IF($J12=8,$S12,0)</f>
        <v>0</v>
      </c>
      <c r="AP12" s="1414" t="n">
        <f aca="false">IF($J12=9,$S12,0)</f>
        <v>0</v>
      </c>
      <c r="AQ12" s="2203" t="n">
        <f aca="false">IF($J12=10,$S12,0)</f>
        <v>0</v>
      </c>
      <c r="AR12" s="1414" t="n">
        <f aca="false">SUM(AH12:AM12)</f>
        <v>0</v>
      </c>
      <c r="AS12" s="1414" t="n">
        <f aca="false">IF(F12="N",C12,0)</f>
        <v>0</v>
      </c>
      <c r="AT12" s="1414" t="n">
        <f aca="false">IF(C12=0,0,IF(E12&lt;8,C12/M$82,0))</f>
        <v>0</v>
      </c>
      <c r="AU12" s="1414" t="n">
        <f aca="false">IF(C12=0,0,IF(E12&gt;8,C12/M$82,0))</f>
        <v>0</v>
      </c>
      <c r="AV12" s="2189" t="n">
        <f aca="false">SUM(AW12:BN12)</f>
        <v>0</v>
      </c>
      <c r="AW12" s="1932" t="n">
        <f aca="false">(AH12*Pricing!F$3+AI12*Pricing!G$3+AJ12*Pricing!H$3+AK12*Pricing!I$3+AL12*Pricing!J$3+AM12*Pricing!K$3+AN12*Pricing!L$3+AO12*Pricing!M$3+AP12*Pricing!N$3+AQ12*Pricing!O$3)*IF(T$38="N",(1+V$38),1)</f>
        <v>0</v>
      </c>
      <c r="AX12" s="1932" t="n">
        <f aca="false">R12*F$54*IF(T$38="n",1+V$38,1)</f>
        <v>0</v>
      </c>
      <c r="AY12" s="1932" t="n">
        <f aca="false">IF(SUM(I$10:I$34)=0,0,N$66/SUM(I$10:I$34)*I12)</f>
        <v>0</v>
      </c>
      <c r="AZ12" s="2190" t="n">
        <f aca="false">C12*SUM(D$61:E$63)</f>
        <v>0</v>
      </c>
      <c r="BA12" s="1932" t="n">
        <f aca="false">C12*F12</f>
        <v>0</v>
      </c>
      <c r="BB12" s="1932" t="n">
        <f aca="false">IF(R12="",0,R12*D$65)</f>
        <v>0</v>
      </c>
      <c r="BC12" s="1934" t="n">
        <f aca="false">IF(N$67=0,0,N$67/H$61*C12)</f>
        <v>0</v>
      </c>
      <c r="BD12" s="1932"/>
      <c r="BE12" s="1932" t="n">
        <f aca="false">H12*D$87</f>
        <v>0</v>
      </c>
      <c r="BF12" s="1932" t="n">
        <f aca="false">IF(C12=0,0,SUM(N$70:O$73)/C$35*C12)</f>
        <v>0</v>
      </c>
      <c r="BG12" s="1932" t="n">
        <f aca="false">IF(C12=0,0,SUM(V$47:V$90)/C$35*C12)</f>
        <v>0</v>
      </c>
      <c r="BH12" s="1932" t="n">
        <f aca="false">IF(C12=0,0,(SUM(N$75:O$80)-N$80)/C$35*C12)</f>
        <v>0</v>
      </c>
      <c r="BI12" s="1932" t="n">
        <f aca="false">IF(C12=0,0,(SUM(N$82:N$90)+N$59-N$87-N$88)/C$35)*C12</f>
        <v>0</v>
      </c>
      <c r="BJ12" s="1932" t="n">
        <f aca="false">(P12*F$57)*IF(T$38="N",1+V$38,1)+IF(C$35=0,0,(N$58/C$35*C12))</f>
        <v>0</v>
      </c>
      <c r="BK12" s="1932" t="n">
        <f aca="false">IF(BS12&gt;0,N$88/BS$36*BS12,0)</f>
        <v>0</v>
      </c>
      <c r="BL12" s="1932" t="n">
        <f aca="false">IF(N$72=0,0,N$91/H$61*C12)</f>
        <v>0</v>
      </c>
      <c r="BM12" s="1932" t="n">
        <f aca="false">IF(G12="y",N$80/AG$35*C12,0)</f>
        <v>0</v>
      </c>
      <c r="BN12" s="1934"/>
      <c r="BO12" s="1414"/>
      <c r="BP12" s="1414"/>
      <c r="BQ12" s="1414"/>
      <c r="BR12" s="1414"/>
      <c r="BS12" s="1414" t="n">
        <f aca="false">IF(B12="Y",C12,0)</f>
        <v>0</v>
      </c>
      <c r="BT12" s="1414"/>
      <c r="BU12" s="1414"/>
      <c r="BV12" s="1414"/>
      <c r="BW12" s="1414"/>
      <c r="BX12" s="1414"/>
      <c r="BY12" s="1414"/>
      <c r="BZ12" s="1414"/>
      <c r="CA12" s="1414"/>
      <c r="CB12" s="1414"/>
      <c r="CC12" s="1414"/>
      <c r="CD12" s="1414"/>
      <c r="CE12" s="1414"/>
      <c r="CF12" s="1414"/>
      <c r="CG12" s="1414"/>
      <c r="CH12" s="1414"/>
      <c r="CI12" s="1414"/>
      <c r="CJ12" s="1414"/>
      <c r="CK12" s="1414"/>
      <c r="CL12" s="1414"/>
      <c r="CM12" s="1414"/>
      <c r="CN12" s="1414"/>
      <c r="CO12" s="1414"/>
      <c r="CP12" s="1414"/>
      <c r="CQ12" s="1414"/>
      <c r="CR12" s="1414"/>
      <c r="CS12" s="1414"/>
      <c r="CT12" s="1414"/>
      <c r="CU12" s="1414"/>
      <c r="CV12" s="1414"/>
      <c r="CW12" s="1414"/>
      <c r="CX12" s="1414"/>
      <c r="CY12" s="1414"/>
      <c r="CZ12" s="1414"/>
      <c r="DA12" s="1414"/>
      <c r="DB12" s="1414"/>
      <c r="DC12" s="1414"/>
      <c r="DD12" s="1414"/>
      <c r="DE12" s="1414"/>
      <c r="DF12" s="1414"/>
      <c r="DG12" s="1414"/>
      <c r="DH12" s="1414"/>
      <c r="DI12" s="1414"/>
      <c r="DJ12" s="1414" t="n">
        <f aca="false">A12</f>
        <v>0</v>
      </c>
      <c r="DK12" s="2191" t="n">
        <f aca="false">K12</f>
        <v>0</v>
      </c>
      <c r="DL12" s="1928" t="n">
        <f aca="false">R12</f>
        <v>0</v>
      </c>
      <c r="DM12" s="1414" t="n">
        <f aca="false">IF(F12="Y",C12,0)</f>
        <v>0</v>
      </c>
      <c r="DN12" s="2192" t="n">
        <f aca="false">C12</f>
        <v>0</v>
      </c>
    </row>
    <row r="13" s="654" customFormat="true" ht="24" hidden="false" customHeight="true" outlineLevel="0" collapsed="false">
      <c r="A13" s="2169"/>
      <c r="B13" s="2170"/>
      <c r="C13" s="2171"/>
      <c r="D13" s="2193"/>
      <c r="E13" s="2194"/>
      <c r="F13" s="2195"/>
      <c r="G13" s="2194"/>
      <c r="H13" s="2204"/>
      <c r="I13" s="2197"/>
      <c r="J13" s="2205"/>
      <c r="K13" s="2199"/>
      <c r="L13" s="2200"/>
      <c r="M13" s="2206"/>
      <c r="N13" s="2207"/>
      <c r="O13" s="1320"/>
      <c r="P13" s="2181" t="n">
        <f aca="false">C13*L13/324*(1+J$57)</f>
        <v>0</v>
      </c>
      <c r="Q13" s="2182" t="n">
        <v>0</v>
      </c>
      <c r="R13" s="1515" t="n">
        <f aca="false">IF(N13=0,0,(N13/12+N13/12)/(N13/12*N13/12)*C13*((M13/16*M13/16)*10.6870159))*(1+J$54)</f>
        <v>0</v>
      </c>
      <c r="S13" s="1516" t="n">
        <f aca="false">(C13*E13/324+I13/108+K13*1.5*0.18/27)*(1+J$47)</f>
        <v>0</v>
      </c>
      <c r="T13" s="2202" t="n">
        <f aca="false">IF(C13=0,0,U13/C13)</f>
        <v>0</v>
      </c>
      <c r="U13" s="2184" t="n">
        <f aca="false">(SUM(AW13:BM13)-BL13)*(1+L$39)</f>
        <v>0</v>
      </c>
      <c r="V13" s="2184"/>
      <c r="W13" s="1414"/>
      <c r="X13" s="1414"/>
      <c r="AE13" s="1414"/>
      <c r="AF13" s="1414"/>
      <c r="AG13" s="2185" t="n">
        <f aca="false">IF(G13="y",C13,0)</f>
        <v>0</v>
      </c>
      <c r="AH13" s="2185" t="n">
        <f aca="false">IF($J13=1,$S13,0)</f>
        <v>0</v>
      </c>
      <c r="AI13" s="1414" t="n">
        <f aca="false">IF($J13=2,$S13,0)</f>
        <v>0</v>
      </c>
      <c r="AJ13" s="1414" t="n">
        <f aca="false">IF($J13=3,$S13,0)</f>
        <v>0</v>
      </c>
      <c r="AK13" s="1414" t="n">
        <f aca="false">IF($J13=4,$S13,0)</f>
        <v>0</v>
      </c>
      <c r="AL13" s="1414" t="n">
        <f aca="false">IF($J13=5,$S13,0)</f>
        <v>0</v>
      </c>
      <c r="AM13" s="1414" t="n">
        <f aca="false">IF($J13=6,$S13,0)</f>
        <v>0</v>
      </c>
      <c r="AN13" s="1414" t="n">
        <f aca="false">IF($J13=7,$S13,0)</f>
        <v>0</v>
      </c>
      <c r="AO13" s="1414" t="n">
        <f aca="false">IF($J13=8,$S13,0)</f>
        <v>0</v>
      </c>
      <c r="AP13" s="1414" t="n">
        <f aca="false">IF($J13=9,$S13,0)</f>
        <v>0</v>
      </c>
      <c r="AQ13" s="2203" t="n">
        <f aca="false">IF($J13=10,$S13,0)</f>
        <v>0</v>
      </c>
      <c r="AR13" s="1414" t="n">
        <f aca="false">SUM(AH13:AM13)</f>
        <v>0</v>
      </c>
      <c r="AS13" s="1414" t="n">
        <f aca="false">IF(F13="N",C13,0)</f>
        <v>0</v>
      </c>
      <c r="AT13" s="1414" t="n">
        <f aca="false">IF(C13=0,0,IF(E13&lt;8,C13/M$82,0))</f>
        <v>0</v>
      </c>
      <c r="AU13" s="1414" t="n">
        <f aca="false">IF(C13=0,0,IF(E13&gt;8,C13/M$82,0))</f>
        <v>0</v>
      </c>
      <c r="AV13" s="2189" t="n">
        <f aca="false">SUM(AW13:BN13)</f>
        <v>0</v>
      </c>
      <c r="AW13" s="1932" t="n">
        <f aca="false">(AH13*Pricing!F$3+AI13*Pricing!G$3+AJ13*Pricing!H$3+AK13*Pricing!I$3+AL13*Pricing!J$3+AM13*Pricing!K$3+AN13*Pricing!L$3+AO13*Pricing!M$3+AP13*Pricing!N$3+AQ13*Pricing!O$3)*IF(T$38="N",(1+V$38),1)</f>
        <v>0</v>
      </c>
      <c r="AX13" s="1932" t="n">
        <f aca="false">R13*F$54*IF(T$38="n",1+V$38,1)</f>
        <v>0</v>
      </c>
      <c r="AY13" s="1932" t="n">
        <f aca="false">IF(SUM(I$10:I$34)=0,0,N$66/SUM(I$10:I$34)*I13)</f>
        <v>0</v>
      </c>
      <c r="AZ13" s="2190" t="n">
        <f aca="false">C13*SUM(D$61:E$63)</f>
        <v>0</v>
      </c>
      <c r="BA13" s="1932" t="n">
        <f aca="false">C13*F13</f>
        <v>0</v>
      </c>
      <c r="BB13" s="1932" t="n">
        <f aca="false">IF(R13="",0,R13*D$65)</f>
        <v>0</v>
      </c>
      <c r="BC13" s="1934" t="n">
        <f aca="false">IF(N$67=0,0,N$67/H$61*C13)</f>
        <v>0</v>
      </c>
      <c r="BD13" s="1932"/>
      <c r="BE13" s="1932" t="n">
        <f aca="false">H13*D$87</f>
        <v>0</v>
      </c>
      <c r="BF13" s="1932" t="n">
        <f aca="false">IF(C13=0,0,SUM(N$70:O$73)/C$35*C13)</f>
        <v>0</v>
      </c>
      <c r="BG13" s="1932" t="n">
        <f aca="false">IF(C13=0,0,SUM(V$47:V$90)/C$35*C13)</f>
        <v>0</v>
      </c>
      <c r="BH13" s="1932" t="n">
        <f aca="false">IF(C13=0,0,(SUM(N$75:O$80)-N$80)/C$35*C13)</f>
        <v>0</v>
      </c>
      <c r="BI13" s="1932" t="n">
        <f aca="false">IF(C13=0,0,(SUM(N$82:N$90)+N$59-N$87-N$88)/C$35)*C13</f>
        <v>0</v>
      </c>
      <c r="BJ13" s="1932" t="n">
        <f aca="false">(P13*F$57)*IF(T$38="N",1+V$38,1)+IF(C$35=0,0,(N$58/C$35*C13))</f>
        <v>0</v>
      </c>
      <c r="BK13" s="1932" t="n">
        <f aca="false">IF(BS13&gt;0,N$88/BS$36*BS13,0)</f>
        <v>0</v>
      </c>
      <c r="BL13" s="1932" t="n">
        <f aca="false">IF(N$72=0,0,N$91/H$61*C13)</f>
        <v>0</v>
      </c>
      <c r="BM13" s="1932" t="n">
        <f aca="false">IF(G13="y",N$80/AG$35*C13,0)</f>
        <v>0</v>
      </c>
      <c r="BN13" s="1934"/>
      <c r="BO13" s="1414"/>
      <c r="BP13" s="1414"/>
      <c r="BQ13" s="1414"/>
      <c r="BR13" s="1414"/>
      <c r="BS13" s="1414" t="n">
        <f aca="false">IF(B13="Y",C13,0)</f>
        <v>0</v>
      </c>
      <c r="BT13" s="1414"/>
      <c r="BU13" s="1414"/>
      <c r="BV13" s="1414"/>
      <c r="BW13" s="1414"/>
      <c r="BX13" s="1414"/>
      <c r="BY13" s="1414"/>
      <c r="BZ13" s="1414"/>
      <c r="CA13" s="1414"/>
      <c r="CB13" s="1414"/>
      <c r="CC13" s="1414"/>
      <c r="CD13" s="1414"/>
      <c r="CE13" s="1414"/>
      <c r="CF13" s="1414"/>
      <c r="CG13" s="1414"/>
      <c r="CH13" s="1414"/>
      <c r="CI13" s="1414"/>
      <c r="CJ13" s="1414"/>
      <c r="CK13" s="1414"/>
      <c r="CL13" s="1414"/>
      <c r="CM13" s="1414"/>
      <c r="CN13" s="1414"/>
      <c r="CO13" s="1414"/>
      <c r="CP13" s="1414"/>
      <c r="CQ13" s="1414"/>
      <c r="CR13" s="1414"/>
      <c r="CS13" s="1414"/>
      <c r="CT13" s="1414"/>
      <c r="CU13" s="1414"/>
      <c r="CV13" s="1414"/>
      <c r="CW13" s="1414"/>
      <c r="CX13" s="1414"/>
      <c r="CY13" s="1414"/>
      <c r="CZ13" s="1414"/>
      <c r="DA13" s="1414"/>
      <c r="DB13" s="1414"/>
      <c r="DC13" s="1414"/>
      <c r="DD13" s="1414"/>
      <c r="DE13" s="1414"/>
      <c r="DF13" s="1414"/>
      <c r="DG13" s="1414"/>
      <c r="DH13" s="1414"/>
      <c r="DI13" s="1414"/>
      <c r="DJ13" s="1414" t="n">
        <f aca="false">A13</f>
        <v>0</v>
      </c>
      <c r="DK13" s="2191" t="n">
        <f aca="false">K13</f>
        <v>0</v>
      </c>
      <c r="DL13" s="1928" t="n">
        <f aca="false">R13</f>
        <v>0</v>
      </c>
      <c r="DM13" s="1414" t="n">
        <f aca="false">IF(F13="Y",C13,0)</f>
        <v>0</v>
      </c>
      <c r="DN13" s="2192" t="n">
        <f aca="false">C13</f>
        <v>0</v>
      </c>
    </row>
    <row r="14" s="654" customFormat="true" ht="24" hidden="false" customHeight="true" outlineLevel="0" collapsed="false">
      <c r="A14" s="2169"/>
      <c r="B14" s="1320"/>
      <c r="C14" s="2208"/>
      <c r="D14" s="2193"/>
      <c r="E14" s="2209"/>
      <c r="F14" s="2195"/>
      <c r="G14" s="2209"/>
      <c r="H14" s="2210"/>
      <c r="I14" s="2197"/>
      <c r="J14" s="2211"/>
      <c r="K14" s="2212"/>
      <c r="L14" s="2213"/>
      <c r="M14" s="41"/>
      <c r="N14" s="2209"/>
      <c r="O14" s="1320"/>
      <c r="P14" s="2181" t="n">
        <f aca="false">C14*L14/324*(1+J$57)</f>
        <v>0</v>
      </c>
      <c r="Q14" s="2182" t="n">
        <v>0</v>
      </c>
      <c r="R14" s="1515" t="n">
        <f aca="false">IF(N14=0,0,(N14/12+N14/12)/(N14/12*N14/12)*C14*((M14/16*M14/16)*10.6870159))*(1+J$54)</f>
        <v>0</v>
      </c>
      <c r="S14" s="1516" t="n">
        <f aca="false">(C14*E14/324+I14/108+K14*1.5*0.18/27)*(1+J$47)</f>
        <v>0</v>
      </c>
      <c r="T14" s="2202" t="n">
        <f aca="false">IF(C14=0,0,U14/C14)</f>
        <v>0</v>
      </c>
      <c r="U14" s="2184" t="n">
        <f aca="false">(SUM(AW14:BM14)-BL14)*(1+L$39)</f>
        <v>0</v>
      </c>
      <c r="V14" s="2184"/>
      <c r="W14" s="1414"/>
      <c r="X14" s="1414"/>
      <c r="AE14" s="1414"/>
      <c r="AF14" s="1414"/>
      <c r="AG14" s="2185" t="n">
        <f aca="false">IF(G14="y",C14,0)</f>
        <v>0</v>
      </c>
      <c r="AH14" s="2185" t="n">
        <f aca="false">IF($J14=1,$S14,0)</f>
        <v>0</v>
      </c>
      <c r="AI14" s="1414" t="n">
        <f aca="false">IF($J14=2,$S14,0)</f>
        <v>0</v>
      </c>
      <c r="AJ14" s="1414" t="n">
        <f aca="false">IF($J14=3,$S14,0)</f>
        <v>0</v>
      </c>
      <c r="AK14" s="1414" t="n">
        <f aca="false">IF($J14=4,$S14,0)</f>
        <v>0</v>
      </c>
      <c r="AL14" s="1414" t="n">
        <f aca="false">IF($J14=5,$S14,0)</f>
        <v>0</v>
      </c>
      <c r="AM14" s="1414" t="n">
        <f aca="false">IF($J14=6,$S14,0)</f>
        <v>0</v>
      </c>
      <c r="AN14" s="1414" t="n">
        <f aca="false">IF($J14=7,$S14,0)</f>
        <v>0</v>
      </c>
      <c r="AO14" s="1414" t="n">
        <f aca="false">IF($J14=8,$S14,0)</f>
        <v>0</v>
      </c>
      <c r="AP14" s="1414" t="n">
        <f aca="false">IF($J14=9,$S14,0)</f>
        <v>0</v>
      </c>
      <c r="AQ14" s="2203" t="n">
        <f aca="false">IF($J14=10,$S14,0)</f>
        <v>0</v>
      </c>
      <c r="AR14" s="1414" t="n">
        <f aca="false">SUM(AH14:AM14)</f>
        <v>0</v>
      </c>
      <c r="AS14" s="1414" t="n">
        <f aca="false">IF(F14="N",C14,0)</f>
        <v>0</v>
      </c>
      <c r="AT14" s="1414" t="n">
        <f aca="false">IF(C14=0,0,IF(E14&lt;8,C14/M$82,0))</f>
        <v>0</v>
      </c>
      <c r="AU14" s="1414" t="n">
        <f aca="false">IF(C14=0,0,IF(E14&gt;8,C14/M$82,0))</f>
        <v>0</v>
      </c>
      <c r="AV14" s="2189" t="n">
        <f aca="false">SUM(AW14:BN14)</f>
        <v>0</v>
      </c>
      <c r="AW14" s="1932" t="n">
        <f aca="false">(AH14*Pricing!F$3+AI14*Pricing!G$3+AJ14*Pricing!H$3+AK14*Pricing!I$3+AL14*Pricing!J$3+AM14*Pricing!K$3+AN14*Pricing!L$3+AO14*Pricing!M$3+AP14*Pricing!N$3+AQ14*Pricing!O$3)*IF(T$38="N",(1+V$38),1)</f>
        <v>0</v>
      </c>
      <c r="AX14" s="1932" t="n">
        <f aca="false">R14*F$54*IF(T$38="n",1+V$38,1)</f>
        <v>0</v>
      </c>
      <c r="AY14" s="1932" t="n">
        <f aca="false">IF(SUM(I$10:I$34)=0,0,N$66/SUM(I$10:I$34)*I14)</f>
        <v>0</v>
      </c>
      <c r="AZ14" s="2190" t="n">
        <f aca="false">C14*SUM(D$61:E$63)</f>
        <v>0</v>
      </c>
      <c r="BA14" s="1932" t="n">
        <f aca="false">C14*F14</f>
        <v>0</v>
      </c>
      <c r="BB14" s="1932" t="n">
        <f aca="false">IF(R14="",0,R14*D$65)</f>
        <v>0</v>
      </c>
      <c r="BC14" s="1934" t="n">
        <f aca="false">IF(N$67=0,0,N$67/H$61*C14)</f>
        <v>0</v>
      </c>
      <c r="BD14" s="1932"/>
      <c r="BE14" s="1932" t="n">
        <f aca="false">H14*D$87</f>
        <v>0</v>
      </c>
      <c r="BF14" s="1932" t="n">
        <f aca="false">IF(C14=0,0,SUM(N$70:O$73)/C$35*C14)</f>
        <v>0</v>
      </c>
      <c r="BG14" s="1932" t="n">
        <f aca="false">IF(C14=0,0,SUM(V$47:V$90)/C$35*C14)</f>
        <v>0</v>
      </c>
      <c r="BH14" s="1932" t="n">
        <f aca="false">IF(C14=0,0,(SUM(N$75:O$80)-N$80)/C$35*C14)</f>
        <v>0</v>
      </c>
      <c r="BI14" s="1932" t="n">
        <f aca="false">IF(C14=0,0,(SUM(N$82:N$90)+N$59-N$87-N$88)/C$35)*C14</f>
        <v>0</v>
      </c>
      <c r="BJ14" s="1932" t="n">
        <f aca="false">(P14*F$57)*IF(T$38="N",1+V$38,1)+IF(C$35=0,0,(N$58/C$35*C14))</f>
        <v>0</v>
      </c>
      <c r="BK14" s="1932" t="n">
        <f aca="false">IF(BS14&gt;0,N$88/BS$36*BS14,0)</f>
        <v>0</v>
      </c>
      <c r="BL14" s="1932" t="n">
        <f aca="false">IF(N$72=0,0,N$91/H$61*C14)</f>
        <v>0</v>
      </c>
      <c r="BM14" s="1932" t="n">
        <f aca="false">IF(G14="y",N$80/AG$35*C14,0)</f>
        <v>0</v>
      </c>
      <c r="BN14" s="1934"/>
      <c r="BO14" s="1414"/>
      <c r="BP14" s="1414"/>
      <c r="BQ14" s="1414"/>
      <c r="BR14" s="1414"/>
      <c r="BS14" s="1414" t="n">
        <f aca="false">IF(B14="Y",C14,0)</f>
        <v>0</v>
      </c>
      <c r="BT14" s="1414"/>
      <c r="BU14" s="1414"/>
      <c r="BV14" s="1414"/>
      <c r="BW14" s="1414"/>
      <c r="BX14" s="1414"/>
      <c r="BY14" s="1414"/>
      <c r="BZ14" s="1414"/>
      <c r="CA14" s="1414"/>
      <c r="CB14" s="1414"/>
      <c r="CC14" s="1414"/>
      <c r="CD14" s="1414"/>
      <c r="CE14" s="1414"/>
      <c r="CF14" s="1414"/>
      <c r="CG14" s="1414"/>
      <c r="CH14" s="1414"/>
      <c r="CI14" s="1414"/>
      <c r="CJ14" s="1414"/>
      <c r="CK14" s="1414"/>
      <c r="CL14" s="1414"/>
      <c r="CM14" s="1414"/>
      <c r="CN14" s="1414"/>
      <c r="CO14" s="1414"/>
      <c r="CP14" s="1414"/>
      <c r="CQ14" s="1414"/>
      <c r="CR14" s="1414"/>
      <c r="CS14" s="1414"/>
      <c r="CT14" s="1414"/>
      <c r="CU14" s="1414"/>
      <c r="CV14" s="1414"/>
      <c r="CW14" s="1414"/>
      <c r="CX14" s="1414"/>
      <c r="CY14" s="1414"/>
      <c r="CZ14" s="1414"/>
      <c r="DA14" s="1414"/>
      <c r="DB14" s="1414"/>
      <c r="DC14" s="1414"/>
      <c r="DD14" s="1414"/>
      <c r="DE14" s="1414"/>
      <c r="DF14" s="1414"/>
      <c r="DG14" s="1414"/>
      <c r="DH14" s="1414"/>
      <c r="DI14" s="1414"/>
      <c r="DJ14" s="1414" t="n">
        <f aca="false">A14</f>
        <v>0</v>
      </c>
      <c r="DK14" s="2191" t="n">
        <f aca="false">K14</f>
        <v>0</v>
      </c>
      <c r="DL14" s="1928" t="n">
        <f aca="false">R14</f>
        <v>0</v>
      </c>
      <c r="DM14" s="1414" t="n">
        <f aca="false">IF(F14="Y",C14,0)</f>
        <v>0</v>
      </c>
      <c r="DN14" s="2192" t="n">
        <f aca="false">C14</f>
        <v>0</v>
      </c>
    </row>
    <row r="15" s="654" customFormat="true" ht="24" hidden="false" customHeight="true" outlineLevel="0" collapsed="false">
      <c r="A15" s="2169"/>
      <c r="B15" s="1320"/>
      <c r="C15" s="2214"/>
      <c r="D15" s="2193"/>
      <c r="E15" s="2209"/>
      <c r="F15" s="2195"/>
      <c r="G15" s="2209"/>
      <c r="H15" s="2210"/>
      <c r="I15" s="2197"/>
      <c r="J15" s="2211"/>
      <c r="K15" s="2212"/>
      <c r="L15" s="2213"/>
      <c r="M15" s="41"/>
      <c r="N15" s="2209"/>
      <c r="O15" s="1320"/>
      <c r="P15" s="2181" t="n">
        <f aca="false">C15*L15/324*(1+J$57)</f>
        <v>0</v>
      </c>
      <c r="Q15" s="2182" t="n">
        <v>0</v>
      </c>
      <c r="R15" s="1515" t="n">
        <f aca="false">IF(N15=0,0,(N15/12+N15/12)/(N15/12*N15/12)*C15*((M15/16*M15/16)*10.6870159))*(1+J$54)</f>
        <v>0</v>
      </c>
      <c r="S15" s="1516" t="n">
        <f aca="false">(C15*E15/324+I15/108+K15*1.5*0.18/27)*(1+J$47)</f>
        <v>0</v>
      </c>
      <c r="T15" s="2202" t="n">
        <f aca="false">IF(C15=0,0,U15/C15)</f>
        <v>0</v>
      </c>
      <c r="U15" s="2184" t="n">
        <f aca="false">(SUM(AW15:BM15)-BL15)*(1+L$39)</f>
        <v>0</v>
      </c>
      <c r="V15" s="2184"/>
      <c r="W15" s="1414"/>
      <c r="X15" s="1414"/>
      <c r="AE15" s="1414"/>
      <c r="AF15" s="1414"/>
      <c r="AG15" s="2185" t="n">
        <f aca="false">IF(G15="y",C15,0)</f>
        <v>0</v>
      </c>
      <c r="AH15" s="2185" t="n">
        <f aca="false">IF($J15=1,$S15,0)</f>
        <v>0</v>
      </c>
      <c r="AI15" s="1414" t="n">
        <f aca="false">IF($J15=2,$S15,0)</f>
        <v>0</v>
      </c>
      <c r="AJ15" s="1414" t="n">
        <f aca="false">IF($J15=3,$S15,0)</f>
        <v>0</v>
      </c>
      <c r="AK15" s="1414" t="n">
        <f aca="false">IF($J15=4,$S15,0)</f>
        <v>0</v>
      </c>
      <c r="AL15" s="1414" t="n">
        <f aca="false">IF($J15=5,$S15,0)</f>
        <v>0</v>
      </c>
      <c r="AM15" s="1414" t="n">
        <f aca="false">IF($J15=6,$S15,0)</f>
        <v>0</v>
      </c>
      <c r="AN15" s="1414" t="n">
        <f aca="false">IF($J15=7,$S15,0)</f>
        <v>0</v>
      </c>
      <c r="AO15" s="1414" t="n">
        <f aca="false">IF($J15=8,$S15,0)</f>
        <v>0</v>
      </c>
      <c r="AP15" s="1414" t="n">
        <f aca="false">IF($J15=9,$S15,0)</f>
        <v>0</v>
      </c>
      <c r="AQ15" s="2203" t="n">
        <f aca="false">IF($J15=10,$S15,0)</f>
        <v>0</v>
      </c>
      <c r="AR15" s="1414" t="n">
        <f aca="false">SUM(AH15:AM15)</f>
        <v>0</v>
      </c>
      <c r="AS15" s="1414" t="n">
        <f aca="false">IF(F15="N",C15,0)</f>
        <v>0</v>
      </c>
      <c r="AT15" s="1414" t="n">
        <f aca="false">IF(C15=0,0,IF(E15&lt;8,C15/M$82,0))</f>
        <v>0</v>
      </c>
      <c r="AU15" s="1414" t="n">
        <f aca="false">IF(C15=0,0,IF(E15&gt;8,C15/M$82,0))</f>
        <v>0</v>
      </c>
      <c r="AV15" s="2189" t="n">
        <f aca="false">SUM(AW15:BN15)</f>
        <v>0</v>
      </c>
      <c r="AW15" s="1932" t="n">
        <f aca="false">(AH15*Pricing!F$3+AI15*Pricing!G$3+AJ15*Pricing!H$3+AK15*Pricing!I$3+AL15*Pricing!J$3+AM15*Pricing!K$3+AN15*Pricing!L$3+AO15*Pricing!M$3+AP15*Pricing!N$3+AQ15*Pricing!O$3)*IF(T$38="N",(1+V$38),1)</f>
        <v>0</v>
      </c>
      <c r="AX15" s="1932" t="n">
        <f aca="false">R15*F$54*IF(T$38="n",1+V$38,1)</f>
        <v>0</v>
      </c>
      <c r="AY15" s="1932" t="n">
        <f aca="false">IF(SUM(I$10:I$34)=0,0,N$66/SUM(I$10:I$34)*I15)</f>
        <v>0</v>
      </c>
      <c r="AZ15" s="2190" t="n">
        <f aca="false">C15*SUM(D$61:E$63)</f>
        <v>0</v>
      </c>
      <c r="BA15" s="1932" t="n">
        <f aca="false">C15*F15</f>
        <v>0</v>
      </c>
      <c r="BB15" s="1932" t="n">
        <f aca="false">IF(R15="",0,R15*D$65)</f>
        <v>0</v>
      </c>
      <c r="BC15" s="1934" t="n">
        <f aca="false">IF(N$67=0,0,N$67/H$61*C15)</f>
        <v>0</v>
      </c>
      <c r="BD15" s="1932"/>
      <c r="BE15" s="1932" t="n">
        <f aca="false">H15*D$87</f>
        <v>0</v>
      </c>
      <c r="BF15" s="1932" t="n">
        <f aca="false">IF(C15=0,0,SUM(N$70:O$73)/C$35*C15)</f>
        <v>0</v>
      </c>
      <c r="BG15" s="1932" t="n">
        <f aca="false">IF(C15=0,0,SUM(V$47:V$90)/C$35*C15)</f>
        <v>0</v>
      </c>
      <c r="BH15" s="1932" t="n">
        <f aca="false">IF(C15=0,0,(SUM(N$75:O$80)-N$80)/C$35*C15)</f>
        <v>0</v>
      </c>
      <c r="BI15" s="1932" t="n">
        <f aca="false">IF(C15=0,0,(SUM(N$82:N$90)+N$59-N$87-N$88)/C$35)*C15</f>
        <v>0</v>
      </c>
      <c r="BJ15" s="1932" t="n">
        <f aca="false">(P15*F$57)*IF(T$38="N",1+V$38,1)+IF(C$35=0,0,(N$58/C$35*C15))</f>
        <v>0</v>
      </c>
      <c r="BK15" s="1932" t="n">
        <f aca="false">IF(BS15&gt;0,N$88/BS$36*BS15,0)</f>
        <v>0</v>
      </c>
      <c r="BL15" s="1932" t="n">
        <f aca="false">IF(N$72=0,0,N$91/H$61*C15)</f>
        <v>0</v>
      </c>
      <c r="BM15" s="1932" t="n">
        <f aca="false">IF(G15="y",N$80/AG$35*C15,0)</f>
        <v>0</v>
      </c>
      <c r="BN15" s="1934"/>
      <c r="BO15" s="1414"/>
      <c r="BP15" s="1414"/>
      <c r="BQ15" s="1414"/>
      <c r="BR15" s="1414"/>
      <c r="BS15" s="1414" t="n">
        <f aca="false">IF(B15="Y",C15,0)</f>
        <v>0</v>
      </c>
      <c r="BT15" s="1414"/>
      <c r="BU15" s="1414"/>
      <c r="BV15" s="1414"/>
      <c r="BW15" s="1414"/>
      <c r="BX15" s="1414"/>
      <c r="BY15" s="1414"/>
      <c r="BZ15" s="1414"/>
      <c r="CA15" s="1414"/>
      <c r="CB15" s="1414"/>
      <c r="CC15" s="1414"/>
      <c r="CD15" s="1414"/>
      <c r="CE15" s="1414"/>
      <c r="CF15" s="1414"/>
      <c r="CG15" s="1414"/>
      <c r="CH15" s="1414"/>
      <c r="CI15" s="1414"/>
      <c r="CJ15" s="1414"/>
      <c r="CK15" s="1414"/>
      <c r="CL15" s="1414"/>
      <c r="CM15" s="1414"/>
      <c r="CN15" s="1414"/>
      <c r="CO15" s="1414"/>
      <c r="CP15" s="1414"/>
      <c r="CQ15" s="1414"/>
      <c r="CR15" s="1414"/>
      <c r="CS15" s="1414"/>
      <c r="CT15" s="1414"/>
      <c r="CU15" s="1414"/>
      <c r="CV15" s="1414"/>
      <c r="CW15" s="1414"/>
      <c r="CX15" s="1414"/>
      <c r="CY15" s="1414"/>
      <c r="CZ15" s="1414"/>
      <c r="DA15" s="1414"/>
      <c r="DB15" s="1414"/>
      <c r="DC15" s="1414"/>
      <c r="DD15" s="1414"/>
      <c r="DE15" s="1414"/>
      <c r="DF15" s="1414"/>
      <c r="DG15" s="1414"/>
      <c r="DH15" s="1414"/>
      <c r="DI15" s="1414"/>
      <c r="DJ15" s="1414" t="n">
        <f aca="false">A15</f>
        <v>0</v>
      </c>
      <c r="DK15" s="2191" t="n">
        <f aca="false">K15</f>
        <v>0</v>
      </c>
      <c r="DL15" s="1928" t="n">
        <f aca="false">R15</f>
        <v>0</v>
      </c>
      <c r="DM15" s="1414" t="n">
        <f aca="false">IF(F15="Y",C15,0)</f>
        <v>0</v>
      </c>
      <c r="DN15" s="2192" t="n">
        <f aca="false">C15</f>
        <v>0</v>
      </c>
    </row>
    <row r="16" s="654" customFormat="true" ht="24" hidden="false" customHeight="true" outlineLevel="0" collapsed="false">
      <c r="A16" s="2169"/>
      <c r="B16" s="1320"/>
      <c r="C16" s="2214"/>
      <c r="D16" s="2193"/>
      <c r="E16" s="2209"/>
      <c r="F16" s="2195"/>
      <c r="G16" s="2209"/>
      <c r="H16" s="2210"/>
      <c r="I16" s="2197"/>
      <c r="J16" s="2211"/>
      <c r="K16" s="2212"/>
      <c r="L16" s="2213"/>
      <c r="M16" s="41"/>
      <c r="N16" s="2209"/>
      <c r="O16" s="1320"/>
      <c r="P16" s="2181" t="n">
        <f aca="false">C16*L16/324*(1+J$57)</f>
        <v>0</v>
      </c>
      <c r="Q16" s="2182" t="n">
        <v>0</v>
      </c>
      <c r="R16" s="1515" t="n">
        <f aca="false">IF(N16=0,0,(N16/12+N16/12)/(N16/12*N16/12)*C16*((M16/16*M16/16)*10.6870159))*(1+J$54)</f>
        <v>0</v>
      </c>
      <c r="S16" s="1516" t="n">
        <f aca="false">(C16*E16/324+I16/108+K16*1.5*0.18/27)*(1+J$47)</f>
        <v>0</v>
      </c>
      <c r="T16" s="2202" t="n">
        <f aca="false">IF(C16=0,0,U16/C16)</f>
        <v>0</v>
      </c>
      <c r="U16" s="2184" t="n">
        <f aca="false">(SUM(AW16:BM16)-BL16)*(1+L$39)</f>
        <v>0</v>
      </c>
      <c r="V16" s="2184"/>
      <c r="W16" s="1414"/>
      <c r="X16" s="1414"/>
      <c r="AE16" s="1414"/>
      <c r="AF16" s="1414"/>
      <c r="AG16" s="2185" t="n">
        <f aca="false">IF(G16="y",C16,0)</f>
        <v>0</v>
      </c>
      <c r="AH16" s="2185" t="n">
        <f aca="false">IF($J16=1,$S16,0)</f>
        <v>0</v>
      </c>
      <c r="AI16" s="1414" t="n">
        <f aca="false">IF($J16=2,$S16,0)</f>
        <v>0</v>
      </c>
      <c r="AJ16" s="1414" t="n">
        <f aca="false">IF($J16=3,$S16,0)</f>
        <v>0</v>
      </c>
      <c r="AK16" s="1414" t="n">
        <f aca="false">IF($J16=4,$S16,0)</f>
        <v>0</v>
      </c>
      <c r="AL16" s="1414" t="n">
        <f aca="false">IF($J16=5,$S16,0)</f>
        <v>0</v>
      </c>
      <c r="AM16" s="1414" t="n">
        <f aca="false">IF($J16=6,$S16,0)</f>
        <v>0</v>
      </c>
      <c r="AN16" s="1414" t="n">
        <f aca="false">IF($J16=7,$S16,0)</f>
        <v>0</v>
      </c>
      <c r="AO16" s="1414" t="n">
        <f aca="false">IF($J16=8,$S16,0)</f>
        <v>0</v>
      </c>
      <c r="AP16" s="1414" t="n">
        <f aca="false">IF($J16=9,$S16,0)</f>
        <v>0</v>
      </c>
      <c r="AQ16" s="2203" t="n">
        <f aca="false">IF($J16=10,$S16,0)</f>
        <v>0</v>
      </c>
      <c r="AR16" s="1414" t="n">
        <f aca="false">SUM(AH16:AM16)</f>
        <v>0</v>
      </c>
      <c r="AS16" s="1414" t="n">
        <f aca="false">IF(F16="N",C16,0)</f>
        <v>0</v>
      </c>
      <c r="AT16" s="1414" t="n">
        <f aca="false">IF(C16=0,0,IF(E16&lt;8,C16/M$82,0))</f>
        <v>0</v>
      </c>
      <c r="AU16" s="1414" t="n">
        <f aca="false">IF(C16=0,0,IF(E16&gt;8,C16/M$82,0))</f>
        <v>0</v>
      </c>
      <c r="AV16" s="2189" t="n">
        <f aca="false">SUM(AW16:BN16)</f>
        <v>0</v>
      </c>
      <c r="AW16" s="1932" t="n">
        <f aca="false">(AH16*Pricing!F$3+AI16*Pricing!G$3+AJ16*Pricing!H$3+AK16*Pricing!I$3+AL16*Pricing!J$3+AM16*Pricing!K$3+AN16*Pricing!L$3+AO16*Pricing!M$3+AP16*Pricing!N$3+AQ16*Pricing!O$3)*IF(T$38="N",(1+V$38),1)</f>
        <v>0</v>
      </c>
      <c r="AX16" s="1932" t="n">
        <f aca="false">R16*F$54*IF(T$38="n",1+V$38,1)</f>
        <v>0</v>
      </c>
      <c r="AY16" s="1932" t="n">
        <f aca="false">IF(SUM(I$10:I$34)=0,0,N$66/SUM(I$10:I$34)*I16)</f>
        <v>0</v>
      </c>
      <c r="AZ16" s="2190" t="n">
        <f aca="false">C16*SUM(D$61:E$63)</f>
        <v>0</v>
      </c>
      <c r="BA16" s="1932" t="n">
        <f aca="false">C16*F16</f>
        <v>0</v>
      </c>
      <c r="BB16" s="1932" t="n">
        <f aca="false">IF(R16="",0,R16*D$65)</f>
        <v>0</v>
      </c>
      <c r="BC16" s="1934" t="n">
        <f aca="false">IF(N$67=0,0,N$67/H$61*C16)</f>
        <v>0</v>
      </c>
      <c r="BD16" s="1932"/>
      <c r="BE16" s="1932" t="n">
        <f aca="false">H16*D$87</f>
        <v>0</v>
      </c>
      <c r="BF16" s="1932" t="n">
        <f aca="false">IF(C16=0,0,SUM(N$70:O$73)/C$35*C16)</f>
        <v>0</v>
      </c>
      <c r="BG16" s="1932" t="n">
        <f aca="false">IF(C16=0,0,SUM(V$47:V$90)/C$35*C16)</f>
        <v>0</v>
      </c>
      <c r="BH16" s="1932" t="n">
        <f aca="false">IF(C16=0,0,(SUM(N$75:O$80)-N$80)/C$35*C16)</f>
        <v>0</v>
      </c>
      <c r="BI16" s="1932" t="n">
        <f aca="false">IF(C16=0,0,(SUM(N$82:N$90)+N$59-N$87-N$88)/C$35)*C16</f>
        <v>0</v>
      </c>
      <c r="BJ16" s="1932" t="n">
        <f aca="false">(P16*F$57)*IF(T$38="N",1+V$38,1)+IF(C$35=0,0,(N$58/C$35*C16))</f>
        <v>0</v>
      </c>
      <c r="BK16" s="1932" t="n">
        <f aca="false">IF(BS16&gt;0,N$88/BS$36*BS16,0)</f>
        <v>0</v>
      </c>
      <c r="BL16" s="1932" t="n">
        <f aca="false">IF(N$72=0,0,N$91/H$61*C16)</f>
        <v>0</v>
      </c>
      <c r="BM16" s="1932" t="n">
        <f aca="false">IF(G16="y",N$80/AG$35*C16,0)</f>
        <v>0</v>
      </c>
      <c r="BN16" s="1934"/>
      <c r="BO16" s="1414"/>
      <c r="BP16" s="1414"/>
      <c r="BQ16" s="1414"/>
      <c r="BR16" s="1414"/>
      <c r="BS16" s="1414" t="n">
        <f aca="false">IF(B16="Y",C16,0)</f>
        <v>0</v>
      </c>
      <c r="BT16" s="1414"/>
      <c r="BU16" s="1414"/>
      <c r="BV16" s="1414"/>
      <c r="BW16" s="1414"/>
      <c r="BX16" s="1414"/>
      <c r="BY16" s="1414"/>
      <c r="BZ16" s="1414"/>
      <c r="CA16" s="1414"/>
      <c r="CB16" s="1414"/>
      <c r="CC16" s="1414"/>
      <c r="CD16" s="1414"/>
      <c r="CE16" s="1414"/>
      <c r="CF16" s="1414"/>
      <c r="CG16" s="1414"/>
      <c r="CH16" s="1414"/>
      <c r="CI16" s="1414"/>
      <c r="CJ16" s="1414"/>
      <c r="CK16" s="1414"/>
      <c r="CL16" s="1414"/>
      <c r="CM16" s="1414"/>
      <c r="CN16" s="1414"/>
      <c r="CO16" s="1414"/>
      <c r="CP16" s="1414"/>
      <c r="CQ16" s="1414"/>
      <c r="CR16" s="1414"/>
      <c r="CS16" s="1414"/>
      <c r="CT16" s="1414"/>
      <c r="CU16" s="1414"/>
      <c r="CV16" s="1414"/>
      <c r="CW16" s="1414"/>
      <c r="CX16" s="1414"/>
      <c r="CY16" s="1414"/>
      <c r="CZ16" s="1414"/>
      <c r="DA16" s="1414"/>
      <c r="DB16" s="1414"/>
      <c r="DC16" s="1414"/>
      <c r="DD16" s="1414"/>
      <c r="DE16" s="1414"/>
      <c r="DF16" s="1414"/>
      <c r="DG16" s="1414"/>
      <c r="DH16" s="1414"/>
      <c r="DI16" s="1414"/>
      <c r="DJ16" s="1414" t="n">
        <f aca="false">A16</f>
        <v>0</v>
      </c>
      <c r="DK16" s="2191" t="n">
        <f aca="false">K16</f>
        <v>0</v>
      </c>
      <c r="DL16" s="1928" t="n">
        <f aca="false">R16</f>
        <v>0</v>
      </c>
      <c r="DM16" s="1414" t="n">
        <f aca="false">IF(F16="Y",C16,0)</f>
        <v>0</v>
      </c>
      <c r="DN16" s="2192" t="n">
        <f aca="false">C16</f>
        <v>0</v>
      </c>
    </row>
    <row r="17" s="654" customFormat="true" ht="24" hidden="false" customHeight="true" outlineLevel="0" collapsed="false">
      <c r="A17" s="2169"/>
      <c r="B17" s="1320"/>
      <c r="C17" s="2214"/>
      <c r="D17" s="2193"/>
      <c r="E17" s="2209"/>
      <c r="F17" s="2195"/>
      <c r="G17" s="2209"/>
      <c r="H17" s="2210"/>
      <c r="I17" s="2197"/>
      <c r="J17" s="2211"/>
      <c r="K17" s="2212"/>
      <c r="L17" s="2213"/>
      <c r="M17" s="41"/>
      <c r="N17" s="2209"/>
      <c r="O17" s="1320"/>
      <c r="P17" s="2181" t="n">
        <f aca="false">C17*L17/324*(1+J$57)</f>
        <v>0</v>
      </c>
      <c r="Q17" s="2182" t="n">
        <v>0</v>
      </c>
      <c r="R17" s="1515" t="n">
        <f aca="false">IF(N17=0,0,(N17/12+N17/12)/(N17/12*N17/12)*C17*((M17/16*M17/16)*10.6870159))*(1+J$54)</f>
        <v>0</v>
      </c>
      <c r="S17" s="1516" t="n">
        <f aca="false">(C17*E17/324+I17/108+K17*1.5*0.18/27)*(1+J$47)</f>
        <v>0</v>
      </c>
      <c r="T17" s="2202" t="n">
        <f aca="false">IF(C17=0,0,U17/C17)</f>
        <v>0</v>
      </c>
      <c r="U17" s="2184" t="n">
        <f aca="false">(SUM(AW17:BM17)-BL17)*(1+L$39)</f>
        <v>0</v>
      </c>
      <c r="V17" s="2184"/>
      <c r="W17" s="1414"/>
      <c r="X17" s="1414"/>
      <c r="AE17" s="1414"/>
      <c r="AF17" s="1414"/>
      <c r="AG17" s="2185" t="n">
        <f aca="false">IF(G17="y",C17,0)</f>
        <v>0</v>
      </c>
      <c r="AH17" s="2185" t="n">
        <f aca="false">IF($J17=1,$S17,0)</f>
        <v>0</v>
      </c>
      <c r="AI17" s="1414" t="n">
        <f aca="false">IF($J17=2,$S17,0)</f>
        <v>0</v>
      </c>
      <c r="AJ17" s="1414" t="n">
        <f aca="false">IF($J17=3,$S17,0)</f>
        <v>0</v>
      </c>
      <c r="AK17" s="1414" t="n">
        <f aca="false">IF($J17=4,$S17,0)</f>
        <v>0</v>
      </c>
      <c r="AL17" s="1414" t="n">
        <f aca="false">IF($J17=5,$S17,0)</f>
        <v>0</v>
      </c>
      <c r="AM17" s="1414" t="n">
        <f aca="false">IF($J17=6,$S17,0)</f>
        <v>0</v>
      </c>
      <c r="AN17" s="1414" t="n">
        <f aca="false">IF($J17=7,$S17,0)</f>
        <v>0</v>
      </c>
      <c r="AO17" s="1414" t="n">
        <f aca="false">IF($J17=8,$S17,0)</f>
        <v>0</v>
      </c>
      <c r="AP17" s="1414" t="n">
        <f aca="false">IF($J17=9,$S17,0)</f>
        <v>0</v>
      </c>
      <c r="AQ17" s="2203" t="n">
        <f aca="false">IF($J17=10,$S17,0)</f>
        <v>0</v>
      </c>
      <c r="AR17" s="1414" t="n">
        <f aca="false">SUM(AH17:AM17)</f>
        <v>0</v>
      </c>
      <c r="AS17" s="1414" t="n">
        <f aca="false">IF(F17="N",C17,0)</f>
        <v>0</v>
      </c>
      <c r="AT17" s="1414" t="n">
        <f aca="false">IF(C17=0,0,IF(E17&lt;8,C17/M$82,0))</f>
        <v>0</v>
      </c>
      <c r="AU17" s="1414" t="n">
        <f aca="false">IF(C17=0,0,IF(E17&gt;8,C17/M$82,0))</f>
        <v>0</v>
      </c>
      <c r="AV17" s="2189" t="n">
        <f aca="false">SUM(AW17:BN17)</f>
        <v>0</v>
      </c>
      <c r="AW17" s="1932" t="n">
        <f aca="false">(AH17*Pricing!F$3+AI17*Pricing!G$3+AJ17*Pricing!H$3+AK17*Pricing!I$3+AL17*Pricing!J$3+AM17*Pricing!K$3+AN17*Pricing!L$3+AO17*Pricing!M$3+AP17*Pricing!N$3+AQ17*Pricing!O$3)*IF(T$38="N",(1+V$38),1)</f>
        <v>0</v>
      </c>
      <c r="AX17" s="1932" t="n">
        <f aca="false">R17*F$54*IF(T$38="n",1+V$38,1)</f>
        <v>0</v>
      </c>
      <c r="AY17" s="1932" t="n">
        <f aca="false">IF(SUM(I$10:I$34)=0,0,N$66/SUM(I$10:I$34)*I17)</f>
        <v>0</v>
      </c>
      <c r="AZ17" s="2190" t="n">
        <f aca="false">C17*SUM(D$61:E$63)</f>
        <v>0</v>
      </c>
      <c r="BA17" s="1932" t="n">
        <f aca="false">C17*F17</f>
        <v>0</v>
      </c>
      <c r="BB17" s="1932" t="n">
        <f aca="false">IF(R17="",0,R17*D$65)</f>
        <v>0</v>
      </c>
      <c r="BC17" s="1934" t="n">
        <f aca="false">IF(N$67=0,0,N$67/H$61*C17)</f>
        <v>0</v>
      </c>
      <c r="BD17" s="1932"/>
      <c r="BE17" s="1932" t="n">
        <f aca="false">H17*D$87</f>
        <v>0</v>
      </c>
      <c r="BF17" s="1932" t="n">
        <f aca="false">IF(C17=0,0,SUM(N$70:O$73)/C$35*C17)</f>
        <v>0</v>
      </c>
      <c r="BG17" s="1932" t="n">
        <f aca="false">IF(C17=0,0,SUM(V$47:V$90)/C$35*C17)</f>
        <v>0</v>
      </c>
      <c r="BH17" s="1932" t="n">
        <f aca="false">IF(C17=0,0,(SUM(N$75:O$80)-N$80)/C$35*C17)</f>
        <v>0</v>
      </c>
      <c r="BI17" s="1932" t="n">
        <f aca="false">IF(C17=0,0,(SUM(N$82:N$90)+N$59-N$87-N$88)/C$35)*C17</f>
        <v>0</v>
      </c>
      <c r="BJ17" s="1932" t="n">
        <f aca="false">(P17*F$57)*IF(T$38="N",1+V$38,1)+IF(C$35=0,0,(N$58/C$35*C17))</f>
        <v>0</v>
      </c>
      <c r="BK17" s="1932" t="n">
        <f aca="false">IF(BS17&gt;0,N$88/BS$36*BS17,0)</f>
        <v>0</v>
      </c>
      <c r="BL17" s="1932" t="n">
        <f aca="false">IF(N$72=0,0,N$91/H$61*C17)</f>
        <v>0</v>
      </c>
      <c r="BM17" s="1932" t="n">
        <f aca="false">IF(G17="y",N$80/AG$35*C17,0)</f>
        <v>0</v>
      </c>
      <c r="BN17" s="1934"/>
      <c r="BO17" s="1414"/>
      <c r="BP17" s="1414"/>
      <c r="BQ17" s="1414"/>
      <c r="BR17" s="1414"/>
      <c r="BS17" s="1414" t="n">
        <f aca="false">IF(B17="Y",C17,0)</f>
        <v>0</v>
      </c>
      <c r="BT17" s="1414"/>
      <c r="BU17" s="1414"/>
      <c r="BV17" s="1414"/>
      <c r="BW17" s="1414"/>
      <c r="BX17" s="1414"/>
      <c r="BY17" s="1414"/>
      <c r="BZ17" s="1414"/>
      <c r="CA17" s="1414"/>
      <c r="CB17" s="1414"/>
      <c r="CC17" s="1414"/>
      <c r="CD17" s="1414"/>
      <c r="CE17" s="1414"/>
      <c r="CF17" s="1414"/>
      <c r="CG17" s="1414"/>
      <c r="CH17" s="1414"/>
      <c r="CI17" s="1414"/>
      <c r="CJ17" s="1414"/>
      <c r="CK17" s="1414"/>
      <c r="CL17" s="1414"/>
      <c r="CM17" s="1414"/>
      <c r="CN17" s="1414"/>
      <c r="CO17" s="1414"/>
      <c r="CP17" s="1414"/>
      <c r="CQ17" s="1414"/>
      <c r="CR17" s="1414"/>
      <c r="CS17" s="1414"/>
      <c r="CT17" s="1414"/>
      <c r="CU17" s="1414"/>
      <c r="CV17" s="1414"/>
      <c r="CW17" s="1414"/>
      <c r="CX17" s="1414"/>
      <c r="CY17" s="1414"/>
      <c r="CZ17" s="1414"/>
      <c r="DA17" s="1414"/>
      <c r="DB17" s="1414"/>
      <c r="DC17" s="1414"/>
      <c r="DD17" s="1414"/>
      <c r="DE17" s="1414"/>
      <c r="DF17" s="1414"/>
      <c r="DG17" s="1414"/>
      <c r="DH17" s="1414"/>
      <c r="DI17" s="1414"/>
      <c r="DJ17" s="1414" t="n">
        <f aca="false">A17</f>
        <v>0</v>
      </c>
      <c r="DK17" s="2191" t="n">
        <f aca="false">K17</f>
        <v>0</v>
      </c>
      <c r="DL17" s="1928" t="n">
        <f aca="false">R17</f>
        <v>0</v>
      </c>
      <c r="DM17" s="1414" t="n">
        <f aca="false">IF(F17="Y",C17,0)</f>
        <v>0</v>
      </c>
      <c r="DN17" s="2192" t="n">
        <f aca="false">C17</f>
        <v>0</v>
      </c>
    </row>
    <row r="18" s="654" customFormat="true" ht="24" hidden="false" customHeight="true" outlineLevel="0" collapsed="false">
      <c r="A18" s="2169"/>
      <c r="B18" s="2170"/>
      <c r="C18" s="2214"/>
      <c r="D18" s="2193"/>
      <c r="E18" s="2194"/>
      <c r="F18" s="2195"/>
      <c r="G18" s="2209"/>
      <c r="H18" s="2210"/>
      <c r="I18" s="2197"/>
      <c r="J18" s="2215"/>
      <c r="K18" s="2199"/>
      <c r="L18" s="2213"/>
      <c r="M18" s="41"/>
      <c r="N18" s="2209"/>
      <c r="O18" s="1320"/>
      <c r="P18" s="2181" t="n">
        <f aca="false">C18*L18/324*(1+J$57)</f>
        <v>0</v>
      </c>
      <c r="Q18" s="2182" t="n">
        <v>0</v>
      </c>
      <c r="R18" s="1515" t="n">
        <f aca="false">IF(N18=0,0,(N18/12+N18/12)/(N18/12*N18/12)*C18*((M18/16*M18/16)*10.6870159))*(1+J$54)</f>
        <v>0</v>
      </c>
      <c r="S18" s="1516" t="n">
        <f aca="false">(C18*E18/324+I18/108+K18*1.5*0.18/27)*(1+J$47)</f>
        <v>0</v>
      </c>
      <c r="T18" s="2202" t="n">
        <f aca="false">IF(C18=0,0,U18/C18)</f>
        <v>0</v>
      </c>
      <c r="U18" s="2184" t="n">
        <f aca="false">(SUM(AW18:BM18)-BL18)*(1+L$39)</f>
        <v>0</v>
      </c>
      <c r="V18" s="2184"/>
      <c r="W18" s="1414"/>
      <c r="X18" s="1414"/>
      <c r="AE18" s="1414"/>
      <c r="AF18" s="1414"/>
      <c r="AG18" s="2185" t="n">
        <f aca="false">IF(G18="y",C18,0)</f>
        <v>0</v>
      </c>
      <c r="AH18" s="2185" t="n">
        <f aca="false">IF($J18=1,$S18,0)</f>
        <v>0</v>
      </c>
      <c r="AI18" s="1414" t="n">
        <f aca="false">IF($J18=2,$S18,0)</f>
        <v>0</v>
      </c>
      <c r="AJ18" s="1414" t="n">
        <f aca="false">IF($J18=3,$S18,0)</f>
        <v>0</v>
      </c>
      <c r="AK18" s="1414" t="n">
        <f aca="false">IF($J18=4,$S18,0)</f>
        <v>0</v>
      </c>
      <c r="AL18" s="1414" t="n">
        <f aca="false">IF($J18=5,$S18,0)</f>
        <v>0</v>
      </c>
      <c r="AM18" s="1414" t="n">
        <f aca="false">IF($J18=6,$S18,0)</f>
        <v>0</v>
      </c>
      <c r="AN18" s="1414" t="n">
        <f aca="false">IF($J18=7,$S18,0)</f>
        <v>0</v>
      </c>
      <c r="AO18" s="1414" t="n">
        <f aca="false">IF($J18=8,$S18,0)</f>
        <v>0</v>
      </c>
      <c r="AP18" s="1414" t="n">
        <f aca="false">IF($J18=9,$S18,0)</f>
        <v>0</v>
      </c>
      <c r="AQ18" s="2203" t="n">
        <f aca="false">IF($J18=10,$S18,0)</f>
        <v>0</v>
      </c>
      <c r="AR18" s="1414" t="n">
        <f aca="false">SUM(AH18:AM18)</f>
        <v>0</v>
      </c>
      <c r="AS18" s="1414" t="n">
        <f aca="false">IF(F18="N",C18,0)</f>
        <v>0</v>
      </c>
      <c r="AT18" s="1414" t="n">
        <f aca="false">IF(C18=0,0,IF(E18&lt;8,C18/M$82,0))</f>
        <v>0</v>
      </c>
      <c r="AU18" s="1414" t="n">
        <f aca="false">IF(C18=0,0,IF(E18&gt;8,C18/M$82,0))</f>
        <v>0</v>
      </c>
      <c r="AV18" s="2189" t="n">
        <f aca="false">SUM(AW18:BN18)</f>
        <v>0</v>
      </c>
      <c r="AW18" s="1932" t="n">
        <f aca="false">(AH18*Pricing!F$3+AI18*Pricing!G$3+AJ18*Pricing!H$3+AK18*Pricing!I$3+AL18*Pricing!J$3+AM18*Pricing!K$3+AN18*Pricing!L$3+AO18*Pricing!M$3+AP18*Pricing!N$3+AQ18*Pricing!O$3)*IF(T$38="N",(1+V$38),1)</f>
        <v>0</v>
      </c>
      <c r="AX18" s="1932" t="n">
        <f aca="false">R18*F$54*IF(T$38="n",1+V$38,1)</f>
        <v>0</v>
      </c>
      <c r="AY18" s="1932" t="n">
        <f aca="false">IF(SUM(I$10:I$34)=0,0,N$66/SUM(I$10:I$34)*I18)</f>
        <v>0</v>
      </c>
      <c r="AZ18" s="2190" t="n">
        <f aca="false">C18*SUM(D$61:E$63)</f>
        <v>0</v>
      </c>
      <c r="BA18" s="1932" t="n">
        <f aca="false">C18*F18</f>
        <v>0</v>
      </c>
      <c r="BB18" s="1932" t="n">
        <f aca="false">IF(R18="",0,R18*D$65)</f>
        <v>0</v>
      </c>
      <c r="BC18" s="1934" t="n">
        <f aca="false">IF(N$67=0,0,N$67/H$61*C18)</f>
        <v>0</v>
      </c>
      <c r="BD18" s="1932"/>
      <c r="BE18" s="1932" t="n">
        <f aca="false">H18*D$87</f>
        <v>0</v>
      </c>
      <c r="BF18" s="1932" t="n">
        <f aca="false">IF(C18=0,0,SUM(N$70:O$73)/C$35*C18)</f>
        <v>0</v>
      </c>
      <c r="BG18" s="1932" t="n">
        <f aca="false">IF(C18=0,0,SUM(V$47:V$90)/C$35*C18)</f>
        <v>0</v>
      </c>
      <c r="BH18" s="1932" t="n">
        <f aca="false">IF(C18=0,0,(SUM(N$75:O$80)-N$80)/C$35*C18)</f>
        <v>0</v>
      </c>
      <c r="BI18" s="1932" t="n">
        <f aca="false">IF(C18=0,0,(SUM(N$82:N$90)+N$59-N$87-N$88)/C$35)*C18</f>
        <v>0</v>
      </c>
      <c r="BJ18" s="1932" t="n">
        <f aca="false">(P18*F$57)*IF(T$38="N",1+V$38,1)+IF(C$35=0,0,(N$58/C$35*C18))</f>
        <v>0</v>
      </c>
      <c r="BK18" s="1932" t="n">
        <f aca="false">IF(BS18&gt;0,N$88/BS$36*BS18,0)</f>
        <v>0</v>
      </c>
      <c r="BL18" s="1932" t="n">
        <f aca="false">IF(N$72=0,0,N$91/H$61*C18)</f>
        <v>0</v>
      </c>
      <c r="BM18" s="1932" t="n">
        <f aca="false">IF(G18="y",N$80/AG$35*C18,0)</f>
        <v>0</v>
      </c>
      <c r="BN18" s="1934"/>
      <c r="BO18" s="1414"/>
      <c r="BP18" s="1414"/>
      <c r="BQ18" s="1414"/>
      <c r="BR18" s="1414"/>
      <c r="BS18" s="1414" t="n">
        <f aca="false">IF(B18="Y",C18,0)</f>
        <v>0</v>
      </c>
      <c r="BT18" s="1414"/>
      <c r="BU18" s="1414"/>
      <c r="BV18" s="1414"/>
      <c r="BW18" s="1414"/>
      <c r="BX18" s="1414"/>
      <c r="BY18" s="1414"/>
      <c r="BZ18" s="1414"/>
      <c r="CA18" s="1414"/>
      <c r="CB18" s="1414"/>
      <c r="CC18" s="1414"/>
      <c r="CD18" s="1414"/>
      <c r="CE18" s="1414"/>
      <c r="CF18" s="1414"/>
      <c r="CG18" s="1414"/>
      <c r="CH18" s="1414"/>
      <c r="CI18" s="1414"/>
      <c r="CJ18" s="1414"/>
      <c r="CK18" s="1414"/>
      <c r="CL18" s="1414"/>
      <c r="CM18" s="1414"/>
      <c r="CN18" s="1414"/>
      <c r="CO18" s="1414"/>
      <c r="CP18" s="1414"/>
      <c r="CQ18" s="1414"/>
      <c r="CR18" s="1414"/>
      <c r="CS18" s="1414"/>
      <c r="CT18" s="1414"/>
      <c r="CU18" s="1414"/>
      <c r="CV18" s="1414"/>
      <c r="CW18" s="1414"/>
      <c r="CX18" s="1414"/>
      <c r="CY18" s="1414"/>
      <c r="CZ18" s="1414"/>
      <c r="DA18" s="1414"/>
      <c r="DB18" s="1414"/>
      <c r="DC18" s="1414"/>
      <c r="DD18" s="1414"/>
      <c r="DE18" s="1414"/>
      <c r="DF18" s="1414"/>
      <c r="DG18" s="1414"/>
      <c r="DH18" s="1414"/>
      <c r="DI18" s="1414"/>
      <c r="DJ18" s="1414" t="n">
        <f aca="false">A18</f>
        <v>0</v>
      </c>
      <c r="DK18" s="2191" t="n">
        <f aca="false">K18</f>
        <v>0</v>
      </c>
      <c r="DL18" s="1928" t="n">
        <f aca="false">R18</f>
        <v>0</v>
      </c>
      <c r="DM18" s="1414" t="n">
        <f aca="false">IF(F18="Y",C18,0)</f>
        <v>0</v>
      </c>
      <c r="DN18" s="2192" t="n">
        <f aca="false">C18</f>
        <v>0</v>
      </c>
    </row>
    <row r="19" s="654" customFormat="true" ht="24" hidden="false" customHeight="true" outlineLevel="0" collapsed="false">
      <c r="A19" s="2169"/>
      <c r="B19" s="2170"/>
      <c r="C19" s="2214"/>
      <c r="D19" s="2193"/>
      <c r="E19" s="2194"/>
      <c r="F19" s="2195"/>
      <c r="G19" s="2209"/>
      <c r="H19" s="2210"/>
      <c r="I19" s="2197"/>
      <c r="J19" s="2205"/>
      <c r="K19" s="2199"/>
      <c r="L19" s="2213"/>
      <c r="M19" s="41"/>
      <c r="N19" s="2209"/>
      <c r="O19" s="1320"/>
      <c r="P19" s="2181" t="n">
        <f aca="false">C19*L19/324*(1+J$57)</f>
        <v>0</v>
      </c>
      <c r="Q19" s="2182" t="n">
        <v>0</v>
      </c>
      <c r="R19" s="1515" t="n">
        <f aca="false">IF(N19=0,0,(N19/12+N19/12)/(N19/12*N19/12)*C19*((M19/16*M19/16)*10.6870159))*(1+J$54)</f>
        <v>0</v>
      </c>
      <c r="S19" s="1516" t="n">
        <f aca="false">(C19*E19/324+I19/108+K19*1.5*0.18/27)*(1+J$47)</f>
        <v>0</v>
      </c>
      <c r="T19" s="2202" t="n">
        <f aca="false">IF(C19=0,0,U19/C19)</f>
        <v>0</v>
      </c>
      <c r="U19" s="2184" t="n">
        <f aca="false">(SUM(AW19:BM19)-BL19)*(1+L$39)</f>
        <v>0</v>
      </c>
      <c r="V19" s="2184"/>
      <c r="W19" s="1414"/>
      <c r="X19" s="1414"/>
      <c r="AE19" s="1414"/>
      <c r="AF19" s="1414"/>
      <c r="AG19" s="2185" t="n">
        <f aca="false">IF(G19="y",C19,0)</f>
        <v>0</v>
      </c>
      <c r="AH19" s="2185" t="n">
        <f aca="false">IF($J19=1,$S19,0)</f>
        <v>0</v>
      </c>
      <c r="AI19" s="1414" t="n">
        <f aca="false">IF($J19=2,$S19,0)</f>
        <v>0</v>
      </c>
      <c r="AJ19" s="1414" t="n">
        <f aca="false">IF($J19=3,$S19,0)</f>
        <v>0</v>
      </c>
      <c r="AK19" s="1414" t="n">
        <f aca="false">IF($J19=4,$S19,0)</f>
        <v>0</v>
      </c>
      <c r="AL19" s="1414" t="n">
        <f aca="false">IF($J19=5,$S19,0)</f>
        <v>0</v>
      </c>
      <c r="AM19" s="1414" t="n">
        <f aca="false">IF($J19=6,$S19,0)</f>
        <v>0</v>
      </c>
      <c r="AN19" s="1414" t="n">
        <f aca="false">IF($J19=7,$S19,0)</f>
        <v>0</v>
      </c>
      <c r="AO19" s="1414" t="n">
        <f aca="false">IF($J19=8,$S19,0)</f>
        <v>0</v>
      </c>
      <c r="AP19" s="1414" t="n">
        <f aca="false">IF($J19=9,$S19,0)</f>
        <v>0</v>
      </c>
      <c r="AQ19" s="2203" t="n">
        <f aca="false">IF($J19=10,$S19,0)</f>
        <v>0</v>
      </c>
      <c r="AR19" s="1414" t="n">
        <f aca="false">SUM(AH19:AM19)</f>
        <v>0</v>
      </c>
      <c r="AS19" s="1414" t="n">
        <f aca="false">IF(F19="N",C19,0)</f>
        <v>0</v>
      </c>
      <c r="AT19" s="1414" t="n">
        <f aca="false">IF(C19=0,0,IF(E19&lt;8,C19/M$82,0))</f>
        <v>0</v>
      </c>
      <c r="AU19" s="1414" t="n">
        <f aca="false">IF(C19=0,0,IF(E19&gt;8,C19/M$82,0))</f>
        <v>0</v>
      </c>
      <c r="AV19" s="2189" t="n">
        <f aca="false">SUM(AW19:BN19)</f>
        <v>0</v>
      </c>
      <c r="AW19" s="1932" t="n">
        <f aca="false">(AH19*Pricing!F$3+AI19*Pricing!G$3+AJ19*Pricing!H$3+AK19*Pricing!I$3+AL19*Pricing!J$3+AM19*Pricing!K$3+AN19*Pricing!L$3+AO19*Pricing!M$3+AP19*Pricing!N$3+AQ19*Pricing!O$3)*IF(T$38="N",(1+V$38),1)</f>
        <v>0</v>
      </c>
      <c r="AX19" s="1932" t="n">
        <f aca="false">R19*F$54*IF(T$38="n",1+V$38,1)</f>
        <v>0</v>
      </c>
      <c r="AY19" s="1932" t="n">
        <f aca="false">IF(SUM(I$10:I$34)=0,0,N$66/SUM(I$10:I$34)*I19)</f>
        <v>0</v>
      </c>
      <c r="AZ19" s="2190" t="n">
        <f aca="false">C19*SUM(D$61:E$63)</f>
        <v>0</v>
      </c>
      <c r="BA19" s="1932" t="n">
        <f aca="false">C19*F19</f>
        <v>0</v>
      </c>
      <c r="BB19" s="1932" t="n">
        <f aca="false">IF(R19="",0,R19*D$65)</f>
        <v>0</v>
      </c>
      <c r="BC19" s="1934" t="n">
        <f aca="false">IF(N$67=0,0,N$67/H$61*C19)</f>
        <v>0</v>
      </c>
      <c r="BD19" s="1932"/>
      <c r="BE19" s="1932" t="n">
        <f aca="false">H19*D$87</f>
        <v>0</v>
      </c>
      <c r="BF19" s="1932" t="n">
        <f aca="false">IF(C19=0,0,SUM(N$70:O$73)/C$35*C19)</f>
        <v>0</v>
      </c>
      <c r="BG19" s="1932" t="n">
        <f aca="false">IF(C19=0,0,SUM(V$47:V$90)/C$35*C19)</f>
        <v>0</v>
      </c>
      <c r="BH19" s="1932" t="n">
        <f aca="false">IF(C19=0,0,(SUM(N$75:O$80)-N$80)/C$35*C19)</f>
        <v>0</v>
      </c>
      <c r="BI19" s="1932" t="n">
        <f aca="false">IF(C19=0,0,(SUM(N$82:N$90)+N$59-N$87-N$88)/C$35)*C19</f>
        <v>0</v>
      </c>
      <c r="BJ19" s="1932" t="n">
        <f aca="false">(P19*F$57)*IF(T$38="N",1+V$38,1)+IF(C$35=0,0,(N$58/C$35*C19))</f>
        <v>0</v>
      </c>
      <c r="BK19" s="1932" t="n">
        <f aca="false">IF(BS19&gt;0,N$88/BS$36*BS19,0)</f>
        <v>0</v>
      </c>
      <c r="BL19" s="1932" t="n">
        <f aca="false">IF(N$72=0,0,N$91/H$61*C19)</f>
        <v>0</v>
      </c>
      <c r="BM19" s="1932" t="n">
        <f aca="false">IF(G19="y",N$80/AG$35*C19,0)</f>
        <v>0</v>
      </c>
      <c r="BN19" s="1934"/>
      <c r="BO19" s="1414"/>
      <c r="BP19" s="1414"/>
      <c r="BQ19" s="1414"/>
      <c r="BR19" s="1414"/>
      <c r="BS19" s="1414" t="n">
        <f aca="false">IF(B19="Y",C19,0)</f>
        <v>0</v>
      </c>
      <c r="BT19" s="1414"/>
      <c r="BU19" s="1414"/>
      <c r="BV19" s="1414"/>
      <c r="BW19" s="1414"/>
      <c r="BX19" s="1414"/>
      <c r="BY19" s="1414"/>
      <c r="BZ19" s="1414"/>
      <c r="CA19" s="1414"/>
      <c r="CB19" s="1414"/>
      <c r="CC19" s="1414"/>
      <c r="CD19" s="1414"/>
      <c r="CE19" s="1414"/>
      <c r="CF19" s="1414"/>
      <c r="CG19" s="1414"/>
      <c r="CH19" s="1414"/>
      <c r="CI19" s="1414"/>
      <c r="CJ19" s="1414"/>
      <c r="CK19" s="1414"/>
      <c r="CL19" s="1414"/>
      <c r="CM19" s="1414"/>
      <c r="CN19" s="1414"/>
      <c r="CO19" s="1414"/>
      <c r="CP19" s="1414"/>
      <c r="CQ19" s="1414"/>
      <c r="CR19" s="1414"/>
      <c r="CS19" s="1414"/>
      <c r="CT19" s="1414"/>
      <c r="CU19" s="1414"/>
      <c r="CV19" s="1414"/>
      <c r="CW19" s="1414"/>
      <c r="CX19" s="1414"/>
      <c r="CY19" s="1414"/>
      <c r="CZ19" s="1414"/>
      <c r="DA19" s="1414"/>
      <c r="DB19" s="1414"/>
      <c r="DC19" s="1414"/>
      <c r="DD19" s="1414"/>
      <c r="DE19" s="1414"/>
      <c r="DF19" s="1414"/>
      <c r="DG19" s="1414"/>
      <c r="DH19" s="1414"/>
      <c r="DI19" s="1414"/>
      <c r="DJ19" s="1414" t="n">
        <f aca="false">A19</f>
        <v>0</v>
      </c>
      <c r="DK19" s="2191" t="n">
        <f aca="false">K19</f>
        <v>0</v>
      </c>
      <c r="DL19" s="1928" t="n">
        <f aca="false">R19</f>
        <v>0</v>
      </c>
      <c r="DM19" s="1414" t="n">
        <f aca="false">IF(F19="Y",C19,0)</f>
        <v>0</v>
      </c>
      <c r="DN19" s="2192" t="n">
        <f aca="false">C19</f>
        <v>0</v>
      </c>
    </row>
    <row r="20" s="654" customFormat="true" ht="24" hidden="false" customHeight="true" outlineLevel="0" collapsed="false">
      <c r="A20" s="2169"/>
      <c r="B20" s="2170"/>
      <c r="C20" s="2214"/>
      <c r="D20" s="2193"/>
      <c r="E20" s="2194"/>
      <c r="F20" s="2195"/>
      <c r="G20" s="2209"/>
      <c r="H20" s="2210"/>
      <c r="I20" s="2197"/>
      <c r="J20" s="2205"/>
      <c r="K20" s="2199"/>
      <c r="L20" s="2213"/>
      <c r="M20" s="41"/>
      <c r="N20" s="2194"/>
      <c r="O20" s="1320"/>
      <c r="P20" s="2181" t="n">
        <f aca="false">C20*L20/324*(1+J$57)</f>
        <v>0</v>
      </c>
      <c r="Q20" s="2182" t="n">
        <v>0</v>
      </c>
      <c r="R20" s="1515" t="n">
        <f aca="false">IF(N20=0,0,(N20/12+N20/12)/(N20/12*N20/12)*C20*((M20/16*M20/16)*10.6870159))*(1+J$54)</f>
        <v>0</v>
      </c>
      <c r="S20" s="1516" t="n">
        <f aca="false">(C20*E20/324+I20/108+K20*1.5*0.18/27)*(1+J$47)</f>
        <v>0</v>
      </c>
      <c r="T20" s="2202" t="n">
        <f aca="false">IF(C20=0,0,U20/C20)</f>
        <v>0</v>
      </c>
      <c r="U20" s="2184" t="n">
        <f aca="false">(SUM(AW20:BM20)-BL20)*(1+L$39)</f>
        <v>0</v>
      </c>
      <c r="V20" s="2184"/>
      <c r="W20" s="1414"/>
      <c r="X20" s="1414"/>
      <c r="AE20" s="1414"/>
      <c r="AF20" s="1414"/>
      <c r="AG20" s="2185" t="n">
        <f aca="false">IF(G20="y",C20,0)</f>
        <v>0</v>
      </c>
      <c r="AH20" s="2185" t="n">
        <f aca="false">IF($J20=1,$S20,0)</f>
        <v>0</v>
      </c>
      <c r="AI20" s="1414" t="n">
        <f aca="false">IF($J20=2,$S20,0)</f>
        <v>0</v>
      </c>
      <c r="AJ20" s="1414" t="n">
        <f aca="false">IF($J20=3,$S20,0)</f>
        <v>0</v>
      </c>
      <c r="AK20" s="1414" t="n">
        <f aca="false">IF($J20=4,$S20,0)</f>
        <v>0</v>
      </c>
      <c r="AL20" s="1414" t="n">
        <f aca="false">IF($J20=5,$S20,0)</f>
        <v>0</v>
      </c>
      <c r="AM20" s="1414" t="n">
        <f aca="false">IF($J20=6,$S20,0)</f>
        <v>0</v>
      </c>
      <c r="AN20" s="1414" t="n">
        <f aca="false">IF($J20=7,$S20,0)</f>
        <v>0</v>
      </c>
      <c r="AO20" s="1414" t="n">
        <f aca="false">IF($J20=8,$S20,0)</f>
        <v>0</v>
      </c>
      <c r="AP20" s="1414" t="n">
        <f aca="false">IF($J20=9,$S20,0)</f>
        <v>0</v>
      </c>
      <c r="AQ20" s="2203" t="n">
        <f aca="false">IF($J20=10,$S20,0)</f>
        <v>0</v>
      </c>
      <c r="AR20" s="1414" t="n">
        <f aca="false">SUM(AH20:AM20)</f>
        <v>0</v>
      </c>
      <c r="AS20" s="1414" t="n">
        <f aca="false">IF(F20="N",C20,0)</f>
        <v>0</v>
      </c>
      <c r="AT20" s="1414" t="n">
        <f aca="false">IF(C20=0,0,IF(E20&lt;8,C20/M$82,0))</f>
        <v>0</v>
      </c>
      <c r="AU20" s="1414" t="n">
        <f aca="false">IF(C20=0,0,IF(E20&gt;8,C20/M$82,0))</f>
        <v>0</v>
      </c>
      <c r="AV20" s="2189" t="n">
        <f aca="false">SUM(AW20:BN20)</f>
        <v>0</v>
      </c>
      <c r="AW20" s="1932" t="n">
        <f aca="false">(AH20*Pricing!F$3+AI20*Pricing!G$3+AJ20*Pricing!H$3+AK20*Pricing!I$3+AL20*Pricing!J$3+AM20*Pricing!K$3+AN20*Pricing!L$3+AO20*Pricing!M$3+AP20*Pricing!N$3+AQ20*Pricing!O$3)*IF(T$38="N",(1+V$38),1)</f>
        <v>0</v>
      </c>
      <c r="AX20" s="1932" t="n">
        <f aca="false">R20*F$54*IF(T$38="n",1+V$38,1)</f>
        <v>0</v>
      </c>
      <c r="AY20" s="1932" t="n">
        <f aca="false">IF(SUM(I$10:I$34)=0,0,N$66/SUM(I$10:I$34)*I20)</f>
        <v>0</v>
      </c>
      <c r="AZ20" s="2190" t="n">
        <f aca="false">C20*SUM(D$61:E$63)</f>
        <v>0</v>
      </c>
      <c r="BA20" s="1932" t="n">
        <f aca="false">C20*F20</f>
        <v>0</v>
      </c>
      <c r="BB20" s="1932" t="n">
        <f aca="false">IF(R20="",0,R20*D$65)</f>
        <v>0</v>
      </c>
      <c r="BC20" s="1934" t="n">
        <f aca="false">IF(N$67=0,0,N$67/H$61*C20)</f>
        <v>0</v>
      </c>
      <c r="BD20" s="1932"/>
      <c r="BE20" s="1932" t="n">
        <f aca="false">H20*D$87</f>
        <v>0</v>
      </c>
      <c r="BF20" s="1932" t="n">
        <f aca="false">IF(C20=0,0,SUM(N$70:O$73)/C$35*C20)</f>
        <v>0</v>
      </c>
      <c r="BG20" s="1932" t="n">
        <f aca="false">IF(C20=0,0,SUM(V$47:V$90)/C$35*C20)</f>
        <v>0</v>
      </c>
      <c r="BH20" s="1932" t="n">
        <f aca="false">IF(C20=0,0,(SUM(N$75:O$80)-N$80)/C$35*C20)</f>
        <v>0</v>
      </c>
      <c r="BI20" s="1932" t="n">
        <f aca="false">IF(C20=0,0,(SUM(N$82:N$90)+N$59-N$87-N$88)/C$35)*C20</f>
        <v>0</v>
      </c>
      <c r="BJ20" s="1932" t="n">
        <f aca="false">(P20*F$57)*IF(T$38="N",1+V$38,1)+IF(C$35=0,0,(N$58/C$35*C20))</f>
        <v>0</v>
      </c>
      <c r="BK20" s="1932" t="n">
        <f aca="false">IF(BS20&gt;0,N$88/BS$36*BS20,0)</f>
        <v>0</v>
      </c>
      <c r="BL20" s="1932" t="n">
        <f aca="false">IF(N$72=0,0,N$91/H$61*C20)</f>
        <v>0</v>
      </c>
      <c r="BM20" s="1932" t="n">
        <f aca="false">IF(G20="y",N$80/AG$35*C20,0)</f>
        <v>0</v>
      </c>
      <c r="BN20" s="1934"/>
      <c r="BO20" s="1414"/>
      <c r="BP20" s="1414"/>
      <c r="BQ20" s="1414"/>
      <c r="BR20" s="1414"/>
      <c r="BS20" s="1414" t="n">
        <f aca="false">IF(B20="Y",C20,0)</f>
        <v>0</v>
      </c>
      <c r="BT20" s="1414"/>
      <c r="BU20" s="1414"/>
      <c r="BV20" s="1414"/>
      <c r="BW20" s="1414"/>
      <c r="BX20" s="1414"/>
      <c r="BY20" s="1414"/>
      <c r="BZ20" s="1414"/>
      <c r="CA20" s="1414"/>
      <c r="CB20" s="1414"/>
      <c r="CC20" s="1414"/>
      <c r="CD20" s="1414"/>
      <c r="CE20" s="1414"/>
      <c r="CF20" s="1414"/>
      <c r="CG20" s="1414"/>
      <c r="CH20" s="1414"/>
      <c r="CI20" s="1414"/>
      <c r="CJ20" s="1414"/>
      <c r="CK20" s="1414"/>
      <c r="CL20" s="1414"/>
      <c r="CM20" s="1414"/>
      <c r="CN20" s="1414"/>
      <c r="CO20" s="1414"/>
      <c r="CP20" s="1414"/>
      <c r="CQ20" s="1414"/>
      <c r="CR20" s="1414"/>
      <c r="CS20" s="1414"/>
      <c r="CT20" s="1414"/>
      <c r="CU20" s="1414"/>
      <c r="CV20" s="1414"/>
      <c r="CW20" s="1414"/>
      <c r="CX20" s="1414"/>
      <c r="CY20" s="1414"/>
      <c r="CZ20" s="1414"/>
      <c r="DA20" s="1414"/>
      <c r="DB20" s="1414"/>
      <c r="DC20" s="1414"/>
      <c r="DD20" s="1414"/>
      <c r="DE20" s="1414"/>
      <c r="DF20" s="1414"/>
      <c r="DG20" s="1414"/>
      <c r="DH20" s="1414"/>
      <c r="DI20" s="1414"/>
      <c r="DJ20" s="1414" t="n">
        <f aca="false">A20</f>
        <v>0</v>
      </c>
      <c r="DK20" s="2191" t="n">
        <f aca="false">K20</f>
        <v>0</v>
      </c>
      <c r="DL20" s="1928" t="n">
        <f aca="false">R20</f>
        <v>0</v>
      </c>
      <c r="DM20" s="1414" t="n">
        <f aca="false">IF(F20="Y",C20,0)</f>
        <v>0</v>
      </c>
      <c r="DN20" s="2192" t="n">
        <f aca="false">C20</f>
        <v>0</v>
      </c>
    </row>
    <row r="21" s="654" customFormat="true" ht="24" hidden="false" customHeight="true" outlineLevel="0" collapsed="false">
      <c r="A21" s="2169"/>
      <c r="B21" s="2170"/>
      <c r="C21" s="2171"/>
      <c r="D21" s="2193"/>
      <c r="E21" s="2194"/>
      <c r="F21" s="2195"/>
      <c r="G21" s="2209"/>
      <c r="H21" s="2210"/>
      <c r="I21" s="2197"/>
      <c r="J21" s="2205"/>
      <c r="K21" s="2199"/>
      <c r="L21" s="2213"/>
      <c r="M21" s="2216"/>
      <c r="N21" s="2194"/>
      <c r="O21" s="1320"/>
      <c r="P21" s="2181" t="n">
        <f aca="false">C21*L21/324*(1+J$57)</f>
        <v>0</v>
      </c>
      <c r="Q21" s="2182" t="n">
        <v>0</v>
      </c>
      <c r="R21" s="1515" t="n">
        <f aca="false">IF(N21=0,0,(N21/12+N21/12)/(N21/12*N21/12)*C21*((M21/16*M21/16)*10.6870159))*(1+J$54)</f>
        <v>0</v>
      </c>
      <c r="S21" s="1516" t="n">
        <f aca="false">(C21*E21/324+I21/108+K21*1.5*0.18/27)*(1+J$47)</f>
        <v>0</v>
      </c>
      <c r="T21" s="2202" t="n">
        <f aca="false">IF(C21=0,0,U21/C21)</f>
        <v>0</v>
      </c>
      <c r="U21" s="2184" t="n">
        <f aca="false">(SUM(AW21:BM21)-BL21)*(1+L$39)</f>
        <v>0</v>
      </c>
      <c r="V21" s="2184"/>
      <c r="W21" s="1414"/>
      <c r="X21" s="1414"/>
      <c r="AE21" s="1414"/>
      <c r="AF21" s="1414"/>
      <c r="AG21" s="2185" t="n">
        <f aca="false">IF(G21="y",C21,0)</f>
        <v>0</v>
      </c>
      <c r="AH21" s="2185" t="n">
        <f aca="false">IF($J21=1,$S21,0)</f>
        <v>0</v>
      </c>
      <c r="AI21" s="1414" t="n">
        <f aca="false">IF($J21=2,$S21,0)</f>
        <v>0</v>
      </c>
      <c r="AJ21" s="1414" t="n">
        <f aca="false">IF($J21=3,$S21,0)</f>
        <v>0</v>
      </c>
      <c r="AK21" s="1414" t="n">
        <f aca="false">IF($J21=4,$S21,0)</f>
        <v>0</v>
      </c>
      <c r="AL21" s="1414" t="n">
        <f aca="false">IF($J21=5,$S21,0)</f>
        <v>0</v>
      </c>
      <c r="AM21" s="1414" t="n">
        <f aca="false">IF($J21=6,$S21,0)</f>
        <v>0</v>
      </c>
      <c r="AN21" s="1414" t="n">
        <f aca="false">IF($J21=7,$S21,0)</f>
        <v>0</v>
      </c>
      <c r="AO21" s="1414" t="n">
        <f aca="false">IF($J21=8,$S21,0)</f>
        <v>0</v>
      </c>
      <c r="AP21" s="1414" t="n">
        <f aca="false">IF($J21=9,$S21,0)</f>
        <v>0</v>
      </c>
      <c r="AQ21" s="2203" t="n">
        <f aca="false">IF($J21=10,$S21,0)</f>
        <v>0</v>
      </c>
      <c r="AR21" s="1414" t="n">
        <f aca="false">SUM(AH21:AM21)</f>
        <v>0</v>
      </c>
      <c r="AS21" s="1414" t="n">
        <f aca="false">IF(F21="N",C21,0)</f>
        <v>0</v>
      </c>
      <c r="AT21" s="1414" t="n">
        <f aca="false">IF(C21=0,0,IF(E21&lt;8,C21/M$82,0))</f>
        <v>0</v>
      </c>
      <c r="AU21" s="1414" t="n">
        <f aca="false">IF(C21=0,0,IF(E21&gt;8,C21/M$82,0))</f>
        <v>0</v>
      </c>
      <c r="AV21" s="2189" t="n">
        <f aca="false">SUM(AW21:BN21)</f>
        <v>0</v>
      </c>
      <c r="AW21" s="1932" t="n">
        <f aca="false">(AH21*Pricing!F$3+AI21*Pricing!G$3+AJ21*Pricing!H$3+AK21*Pricing!I$3+AL21*Pricing!J$3+AM21*Pricing!K$3+AN21*Pricing!L$3+AO21*Pricing!M$3+AP21*Pricing!N$3+AQ21*Pricing!O$3)*IF(T$38="N",(1+V$38),1)</f>
        <v>0</v>
      </c>
      <c r="AX21" s="1932" t="n">
        <f aca="false">R21*F$54*IF(T$38="n",1+V$38,1)</f>
        <v>0</v>
      </c>
      <c r="AY21" s="1932" t="n">
        <f aca="false">IF(SUM(I$10:I$34)=0,0,N$66/SUM(I$10:I$34)*I21)</f>
        <v>0</v>
      </c>
      <c r="AZ21" s="2190" t="n">
        <f aca="false">C21*SUM(D$61:E$63)</f>
        <v>0</v>
      </c>
      <c r="BA21" s="1932" t="n">
        <f aca="false">C21*F21</f>
        <v>0</v>
      </c>
      <c r="BB21" s="1932" t="n">
        <f aca="false">IF(R21="",0,R21*D$65)</f>
        <v>0</v>
      </c>
      <c r="BC21" s="1934" t="n">
        <f aca="false">IF(N$67=0,0,N$67/H$61*C21)</f>
        <v>0</v>
      </c>
      <c r="BD21" s="1932"/>
      <c r="BE21" s="1932" t="n">
        <f aca="false">H21*D$87</f>
        <v>0</v>
      </c>
      <c r="BF21" s="1932" t="n">
        <f aca="false">IF(C21=0,0,SUM(N$70:O$73)/C$35*C21)</f>
        <v>0</v>
      </c>
      <c r="BG21" s="1932" t="n">
        <f aca="false">IF(C21=0,0,SUM(V$47:V$90)/C$35*C21)</f>
        <v>0</v>
      </c>
      <c r="BH21" s="1932" t="n">
        <f aca="false">IF(C21=0,0,(SUM(N$75:O$80)-N$80)/C$35*C21)</f>
        <v>0</v>
      </c>
      <c r="BI21" s="1932" t="n">
        <f aca="false">IF(C21=0,0,(SUM(N$82:N$90)+N$59-N$87-N$88)/C$35)*C21</f>
        <v>0</v>
      </c>
      <c r="BJ21" s="1932" t="n">
        <f aca="false">(P21*F$57)*IF(T$38="N",1+V$38,1)+IF(C$35=0,0,(N$58/C$35*C21))</f>
        <v>0</v>
      </c>
      <c r="BK21" s="1932" t="n">
        <f aca="false">IF(BS21&gt;0,N$88/BS$36*BS21,0)</f>
        <v>0</v>
      </c>
      <c r="BL21" s="1932" t="n">
        <f aca="false">IF(N$72=0,0,N$91/H$61*C21)</f>
        <v>0</v>
      </c>
      <c r="BM21" s="1932" t="n">
        <f aca="false">IF(G21="y",N$80/AG$35*C21,0)</f>
        <v>0</v>
      </c>
      <c r="BN21" s="1934"/>
      <c r="BO21" s="1414"/>
      <c r="BP21" s="1414"/>
      <c r="BQ21" s="1414"/>
      <c r="BR21" s="1414"/>
      <c r="BS21" s="1414" t="n">
        <f aca="false">IF(B21="Y",C21,0)</f>
        <v>0</v>
      </c>
      <c r="BT21" s="1414"/>
      <c r="BU21" s="1414"/>
      <c r="BV21" s="1414"/>
      <c r="BW21" s="1414"/>
      <c r="BX21" s="1414"/>
      <c r="BY21" s="1414"/>
      <c r="BZ21" s="1414"/>
      <c r="CA21" s="1414"/>
      <c r="CB21" s="1414"/>
      <c r="CC21" s="1414"/>
      <c r="CD21" s="1414"/>
      <c r="CE21" s="1414"/>
      <c r="CF21" s="1414"/>
      <c r="CG21" s="1414"/>
      <c r="CH21" s="1414"/>
      <c r="CI21" s="1414"/>
      <c r="CJ21" s="1414"/>
      <c r="CK21" s="1414"/>
      <c r="CL21" s="1414"/>
      <c r="CM21" s="1414"/>
      <c r="CN21" s="1414"/>
      <c r="CO21" s="1414"/>
      <c r="CP21" s="1414"/>
      <c r="CQ21" s="1414"/>
      <c r="CR21" s="1414"/>
      <c r="CS21" s="1414"/>
      <c r="CT21" s="1414"/>
      <c r="CU21" s="1414"/>
      <c r="CV21" s="1414"/>
      <c r="CW21" s="1414"/>
      <c r="CX21" s="1414"/>
      <c r="CY21" s="1414"/>
      <c r="CZ21" s="1414"/>
      <c r="DA21" s="1414"/>
      <c r="DB21" s="1414"/>
      <c r="DC21" s="1414"/>
      <c r="DD21" s="1414"/>
      <c r="DE21" s="1414"/>
      <c r="DF21" s="1414"/>
      <c r="DG21" s="1414"/>
      <c r="DH21" s="1414"/>
      <c r="DI21" s="1414"/>
      <c r="DJ21" s="1414" t="n">
        <f aca="false">A21</f>
        <v>0</v>
      </c>
      <c r="DK21" s="2191" t="n">
        <f aca="false">K21</f>
        <v>0</v>
      </c>
      <c r="DL21" s="1928" t="n">
        <f aca="false">R21</f>
        <v>0</v>
      </c>
      <c r="DM21" s="1414" t="n">
        <f aca="false">IF(F21="Y",C21,0)</f>
        <v>0</v>
      </c>
      <c r="DN21" s="2192" t="n">
        <f aca="false">C21</f>
        <v>0</v>
      </c>
    </row>
    <row r="22" s="654" customFormat="true" ht="24" hidden="false" customHeight="true" outlineLevel="0" collapsed="false">
      <c r="A22" s="2169"/>
      <c r="B22" s="1320"/>
      <c r="C22" s="2208"/>
      <c r="D22" s="2193"/>
      <c r="E22" s="2209"/>
      <c r="F22" s="2195"/>
      <c r="G22" s="2209"/>
      <c r="H22" s="2210"/>
      <c r="I22" s="2197"/>
      <c r="J22" s="2211"/>
      <c r="K22" s="2212"/>
      <c r="L22" s="2213"/>
      <c r="M22" s="41"/>
      <c r="N22" s="2209"/>
      <c r="O22" s="1320"/>
      <c r="P22" s="2181" t="n">
        <f aca="false">C22*L22/324*(1+J$57)</f>
        <v>0</v>
      </c>
      <c r="Q22" s="2182" t="n">
        <v>0</v>
      </c>
      <c r="R22" s="1515" t="n">
        <f aca="false">IF(N22=0,0,(N22/12+N22/12)/(N22/12*N22/12)*C22*((M22/16*M22/16)*10.6870159))*(1+J$54)</f>
        <v>0</v>
      </c>
      <c r="S22" s="1516" t="n">
        <f aca="false">(C22*E22/324+I22/108+K22*1.5*0.18/27)*(1+J$47)</f>
        <v>0</v>
      </c>
      <c r="T22" s="2202" t="n">
        <f aca="false">IF(C22=0,0,U22/C22)</f>
        <v>0</v>
      </c>
      <c r="U22" s="2184" t="n">
        <f aca="false">(SUM(AW22:BM22)-BL22)*(1+L$39)</f>
        <v>0</v>
      </c>
      <c r="V22" s="2184"/>
      <c r="W22" s="1414"/>
      <c r="X22" s="1414"/>
      <c r="AE22" s="1414"/>
      <c r="AF22" s="1414"/>
      <c r="AG22" s="2185" t="n">
        <f aca="false">IF(G22="y",C22,0)</f>
        <v>0</v>
      </c>
      <c r="AH22" s="2185" t="n">
        <f aca="false">IF($J22=1,$S22,0)</f>
        <v>0</v>
      </c>
      <c r="AI22" s="1414" t="n">
        <f aca="false">IF($J22=2,$S22,0)</f>
        <v>0</v>
      </c>
      <c r="AJ22" s="1414" t="n">
        <f aca="false">IF($J22=3,$S22,0)</f>
        <v>0</v>
      </c>
      <c r="AK22" s="1414" t="n">
        <f aca="false">IF($J22=4,$S22,0)</f>
        <v>0</v>
      </c>
      <c r="AL22" s="1414" t="n">
        <f aca="false">IF($J22=5,$S22,0)</f>
        <v>0</v>
      </c>
      <c r="AM22" s="1414" t="n">
        <f aca="false">IF($J22=6,$S22,0)</f>
        <v>0</v>
      </c>
      <c r="AN22" s="1414" t="n">
        <f aca="false">IF($J22=7,$S22,0)</f>
        <v>0</v>
      </c>
      <c r="AO22" s="1414" t="n">
        <f aca="false">IF($J22=8,$S22,0)</f>
        <v>0</v>
      </c>
      <c r="AP22" s="1414" t="n">
        <f aca="false">IF($J22=9,$S22,0)</f>
        <v>0</v>
      </c>
      <c r="AQ22" s="2203" t="n">
        <f aca="false">IF($J22=10,$S22,0)</f>
        <v>0</v>
      </c>
      <c r="AR22" s="1414" t="n">
        <f aca="false">SUM(AH22:AM22)</f>
        <v>0</v>
      </c>
      <c r="AS22" s="1414" t="n">
        <f aca="false">IF(F22="N",C22,0)</f>
        <v>0</v>
      </c>
      <c r="AT22" s="1414" t="n">
        <f aca="false">IF(C22=0,0,IF(E22&lt;8,C22/M$82,0))</f>
        <v>0</v>
      </c>
      <c r="AU22" s="1414" t="n">
        <f aca="false">IF(C22=0,0,IF(E22&gt;8,C22/M$82,0))</f>
        <v>0</v>
      </c>
      <c r="AV22" s="2189" t="n">
        <f aca="false">SUM(AW22:BN22)</f>
        <v>0</v>
      </c>
      <c r="AW22" s="1932" t="n">
        <f aca="false">(AH22*Pricing!F$3+AI22*Pricing!G$3+AJ22*Pricing!H$3+AK22*Pricing!I$3+AL22*Pricing!J$3+AM22*Pricing!K$3+AN22*Pricing!L$3+AO22*Pricing!M$3+AP22*Pricing!N$3+AQ22*Pricing!O$3)*IF(T$38="N",(1+V$38),1)</f>
        <v>0</v>
      </c>
      <c r="AX22" s="1932" t="n">
        <f aca="false">R22*F$54*IF(T$38="n",1+V$38,1)</f>
        <v>0</v>
      </c>
      <c r="AY22" s="1932" t="n">
        <f aca="false">IF(SUM(I$10:I$34)=0,0,N$66/SUM(I$10:I$34)*I22)</f>
        <v>0</v>
      </c>
      <c r="AZ22" s="2190" t="n">
        <f aca="false">C22*SUM(D$61:E$63)</f>
        <v>0</v>
      </c>
      <c r="BA22" s="1932" t="n">
        <f aca="false">C22*F22</f>
        <v>0</v>
      </c>
      <c r="BB22" s="1932" t="n">
        <f aca="false">IF(R22="",0,R22*D$65)</f>
        <v>0</v>
      </c>
      <c r="BC22" s="1934" t="n">
        <f aca="false">IF(N$67=0,0,N$67/H$61*C22)</f>
        <v>0</v>
      </c>
      <c r="BD22" s="1932"/>
      <c r="BE22" s="1932" t="n">
        <f aca="false">H22*D$87</f>
        <v>0</v>
      </c>
      <c r="BF22" s="1932" t="n">
        <f aca="false">IF(C22=0,0,SUM(N$70:O$73)/C$35*C22)</f>
        <v>0</v>
      </c>
      <c r="BG22" s="1932" t="n">
        <f aca="false">IF(C22=0,0,SUM(V$47:V$90)/C$35*C22)</f>
        <v>0</v>
      </c>
      <c r="BH22" s="1932" t="n">
        <f aca="false">IF(C22=0,0,(SUM(N$75:O$80)-N$80)/C$35*C22)</f>
        <v>0</v>
      </c>
      <c r="BI22" s="1932" t="n">
        <f aca="false">IF(C22=0,0,(SUM(N$82:N$90)+N$59-N$87-N$88)/C$35)*C22</f>
        <v>0</v>
      </c>
      <c r="BJ22" s="1932" t="n">
        <f aca="false">(P22*F$57)*IF(T$38="N",1+V$38,1)+IF(C$35=0,0,(N$58/C$35*C22))</f>
        <v>0</v>
      </c>
      <c r="BK22" s="1932" t="n">
        <f aca="false">IF(BS22&gt;0,N$88/BS$36*BS22,0)</f>
        <v>0</v>
      </c>
      <c r="BL22" s="1932" t="n">
        <f aca="false">IF(N$72=0,0,N$91/H$61*C22)</f>
        <v>0</v>
      </c>
      <c r="BM22" s="1932" t="n">
        <f aca="false">IF(G22="y",N$80/AG$35*C22,0)</f>
        <v>0</v>
      </c>
      <c r="BN22" s="1934"/>
      <c r="BO22" s="1414"/>
      <c r="BP22" s="1414"/>
      <c r="BQ22" s="1414"/>
      <c r="BR22" s="1414"/>
      <c r="BS22" s="1414" t="n">
        <f aca="false">IF(B22="Y",C22,0)</f>
        <v>0</v>
      </c>
      <c r="BT22" s="1414"/>
      <c r="BU22" s="1414"/>
      <c r="BV22" s="1414"/>
      <c r="BW22" s="1414"/>
      <c r="BX22" s="1414"/>
      <c r="BY22" s="1414"/>
      <c r="BZ22" s="1414"/>
      <c r="CA22" s="1414"/>
      <c r="CB22" s="1414"/>
      <c r="CC22" s="1414"/>
      <c r="CD22" s="1414"/>
      <c r="CE22" s="1414"/>
      <c r="CF22" s="1414"/>
      <c r="CG22" s="1414"/>
      <c r="CH22" s="1414"/>
      <c r="CI22" s="1414"/>
      <c r="CJ22" s="1414"/>
      <c r="CK22" s="1414"/>
      <c r="CL22" s="1414"/>
      <c r="CM22" s="1414"/>
      <c r="CN22" s="1414"/>
      <c r="CO22" s="1414"/>
      <c r="CP22" s="1414"/>
      <c r="CQ22" s="1414"/>
      <c r="CR22" s="1414"/>
      <c r="CS22" s="1414"/>
      <c r="CT22" s="1414"/>
      <c r="CU22" s="1414"/>
      <c r="CV22" s="1414"/>
      <c r="CW22" s="1414"/>
      <c r="CX22" s="1414"/>
      <c r="CY22" s="1414"/>
      <c r="CZ22" s="1414"/>
      <c r="DA22" s="1414"/>
      <c r="DB22" s="1414"/>
      <c r="DC22" s="1414"/>
      <c r="DD22" s="1414"/>
      <c r="DE22" s="1414"/>
      <c r="DF22" s="1414"/>
      <c r="DG22" s="1414"/>
      <c r="DH22" s="1414"/>
      <c r="DI22" s="1414"/>
      <c r="DJ22" s="1414" t="n">
        <f aca="false">A22</f>
        <v>0</v>
      </c>
      <c r="DK22" s="2191" t="n">
        <f aca="false">K22</f>
        <v>0</v>
      </c>
      <c r="DL22" s="1928" t="n">
        <f aca="false">R22</f>
        <v>0</v>
      </c>
      <c r="DM22" s="1414" t="n">
        <f aca="false">IF(F22="Y",C22,0)</f>
        <v>0</v>
      </c>
      <c r="DN22" s="2192" t="n">
        <f aca="false">C22</f>
        <v>0</v>
      </c>
    </row>
    <row r="23" s="654" customFormat="true" ht="24" hidden="false" customHeight="true" outlineLevel="0" collapsed="false">
      <c r="A23" s="2169"/>
      <c r="B23" s="1320"/>
      <c r="C23" s="2214"/>
      <c r="D23" s="2193"/>
      <c r="E23" s="2209"/>
      <c r="F23" s="2195"/>
      <c r="G23" s="2209"/>
      <c r="H23" s="2210"/>
      <c r="I23" s="2197"/>
      <c r="J23" s="2211"/>
      <c r="K23" s="2212"/>
      <c r="L23" s="2213"/>
      <c r="M23" s="41"/>
      <c r="N23" s="2209"/>
      <c r="O23" s="1320"/>
      <c r="P23" s="2181" t="n">
        <f aca="false">C23*L23/324*(1+J$57)</f>
        <v>0</v>
      </c>
      <c r="Q23" s="2182" t="n">
        <v>0</v>
      </c>
      <c r="R23" s="1515" t="n">
        <f aca="false">IF(N23=0,0,(N23/12+N23/12)/(N23/12*N23/12)*C23*((M23/16*M23/16)*10.6870159))*(1+J$54)</f>
        <v>0</v>
      </c>
      <c r="S23" s="1516" t="n">
        <f aca="false">(C23*E23/324+I23/108+K23*1.5*0.18/27)*(1+J$47)</f>
        <v>0</v>
      </c>
      <c r="T23" s="2202" t="n">
        <f aca="false">IF(C23=0,0,U23/C23)</f>
        <v>0</v>
      </c>
      <c r="U23" s="2184" t="n">
        <f aca="false">(SUM(AW23:BM23)-BL23)*(1+L$39)</f>
        <v>0</v>
      </c>
      <c r="V23" s="2184"/>
      <c r="W23" s="1414"/>
      <c r="X23" s="1414"/>
      <c r="AE23" s="1414"/>
      <c r="AF23" s="1414"/>
      <c r="AG23" s="2185" t="n">
        <f aca="false">IF(G23="y",C23,0)</f>
        <v>0</v>
      </c>
      <c r="AH23" s="2185" t="n">
        <f aca="false">IF($J23=1,$S23,0)</f>
        <v>0</v>
      </c>
      <c r="AI23" s="1414" t="n">
        <f aca="false">IF($J23=2,$S23,0)</f>
        <v>0</v>
      </c>
      <c r="AJ23" s="1414" t="n">
        <f aca="false">IF($J23=3,$S23,0)</f>
        <v>0</v>
      </c>
      <c r="AK23" s="1414" t="n">
        <f aca="false">IF($J23=4,$S23,0)</f>
        <v>0</v>
      </c>
      <c r="AL23" s="1414" t="n">
        <f aca="false">IF($J23=5,$S23,0)</f>
        <v>0</v>
      </c>
      <c r="AM23" s="1414" t="n">
        <f aca="false">IF($J23=6,$S23,0)</f>
        <v>0</v>
      </c>
      <c r="AN23" s="1414" t="n">
        <f aca="false">IF($J23=7,$S23,0)</f>
        <v>0</v>
      </c>
      <c r="AO23" s="1414" t="n">
        <f aca="false">IF($J23=8,$S23,0)</f>
        <v>0</v>
      </c>
      <c r="AP23" s="1414" t="n">
        <f aca="false">IF($J23=9,$S23,0)</f>
        <v>0</v>
      </c>
      <c r="AQ23" s="2203" t="n">
        <f aca="false">IF($J23=10,$S23,0)</f>
        <v>0</v>
      </c>
      <c r="AR23" s="1414" t="n">
        <f aca="false">SUM(AH23:AM23)</f>
        <v>0</v>
      </c>
      <c r="AS23" s="1414" t="n">
        <f aca="false">IF(F23="N",C23,0)</f>
        <v>0</v>
      </c>
      <c r="AT23" s="1414" t="n">
        <f aca="false">IF(C23=0,0,IF(E23&lt;8,C23/M$82,0))</f>
        <v>0</v>
      </c>
      <c r="AU23" s="1414" t="n">
        <f aca="false">IF(C23=0,0,IF(E23&gt;8,C23/M$82,0))</f>
        <v>0</v>
      </c>
      <c r="AV23" s="2189" t="n">
        <f aca="false">SUM(AW23:BN23)</f>
        <v>0</v>
      </c>
      <c r="AW23" s="1932" t="n">
        <f aca="false">(AH23*Pricing!F$3+AI23*Pricing!G$3+AJ23*Pricing!H$3+AK23*Pricing!I$3+AL23*Pricing!J$3+AM23*Pricing!K$3+AN23*Pricing!L$3+AO23*Pricing!M$3+AP23*Pricing!N$3+AQ23*Pricing!O$3)*IF(T$38="N",(1+V$38),1)</f>
        <v>0</v>
      </c>
      <c r="AX23" s="1932" t="n">
        <f aca="false">R23*F$54*IF(T$38="n",1+V$38,1)</f>
        <v>0</v>
      </c>
      <c r="AY23" s="1932" t="n">
        <f aca="false">IF(SUM(I$10:I$34)=0,0,N$66/SUM(I$10:I$34)*I23)</f>
        <v>0</v>
      </c>
      <c r="AZ23" s="2190" t="n">
        <f aca="false">C23*SUM(D$61:E$63)</f>
        <v>0</v>
      </c>
      <c r="BA23" s="1932" t="n">
        <f aca="false">C23*F23</f>
        <v>0</v>
      </c>
      <c r="BB23" s="1932" t="n">
        <f aca="false">IF(R23="",0,R23*D$65)</f>
        <v>0</v>
      </c>
      <c r="BC23" s="1934" t="n">
        <f aca="false">IF(N$67=0,0,N$67/H$61*C23)</f>
        <v>0</v>
      </c>
      <c r="BD23" s="1932"/>
      <c r="BE23" s="1932" t="n">
        <f aca="false">H23*D$87</f>
        <v>0</v>
      </c>
      <c r="BF23" s="1932" t="n">
        <f aca="false">IF(C23=0,0,SUM(N$70:O$73)/C$35*C23)</f>
        <v>0</v>
      </c>
      <c r="BG23" s="1932" t="n">
        <f aca="false">IF(C23=0,0,SUM(V$47:V$90)/C$35*C23)</f>
        <v>0</v>
      </c>
      <c r="BH23" s="1932" t="n">
        <f aca="false">IF(C23=0,0,(SUM(N$75:O$80)-N$80)/C$35*C23)</f>
        <v>0</v>
      </c>
      <c r="BI23" s="1932" t="n">
        <f aca="false">IF(C23=0,0,(SUM(N$82:N$90)+N$59-N$87-N$88)/C$35)*C23</f>
        <v>0</v>
      </c>
      <c r="BJ23" s="1932" t="n">
        <f aca="false">(P23*F$57)*IF(T$38="N",1+V$38,1)+IF(C$35=0,0,(N$58/C$35*C23))</f>
        <v>0</v>
      </c>
      <c r="BK23" s="1932" t="n">
        <f aca="false">IF(BS23&gt;0,N$88/BS$36*BS23,0)</f>
        <v>0</v>
      </c>
      <c r="BL23" s="1932" t="n">
        <f aca="false">IF(N$72=0,0,N$91/H$61*C23)</f>
        <v>0</v>
      </c>
      <c r="BM23" s="1932" t="n">
        <f aca="false">IF(G23="y",N$80/AG$35*C23,0)</f>
        <v>0</v>
      </c>
      <c r="BN23" s="1934"/>
      <c r="BO23" s="1414"/>
      <c r="BP23" s="1414"/>
      <c r="BQ23" s="1414"/>
      <c r="BR23" s="1414"/>
      <c r="BS23" s="1414" t="n">
        <f aca="false">IF(B23="Y",C23,0)</f>
        <v>0</v>
      </c>
      <c r="BT23" s="1414"/>
      <c r="BU23" s="1414"/>
      <c r="BV23" s="1414"/>
      <c r="BW23" s="1414"/>
      <c r="BX23" s="1414"/>
      <c r="BY23" s="1414"/>
      <c r="BZ23" s="1414"/>
      <c r="CA23" s="1414"/>
      <c r="CB23" s="1414"/>
      <c r="CC23" s="1414"/>
      <c r="CD23" s="1414"/>
      <c r="CE23" s="1414"/>
      <c r="CF23" s="1414"/>
      <c r="CG23" s="1414"/>
      <c r="CH23" s="1414"/>
      <c r="CI23" s="1414"/>
      <c r="CJ23" s="1414"/>
      <c r="CK23" s="1414"/>
      <c r="CL23" s="1414"/>
      <c r="CM23" s="1414"/>
      <c r="CN23" s="1414"/>
      <c r="CO23" s="1414"/>
      <c r="CP23" s="1414"/>
      <c r="CQ23" s="1414"/>
      <c r="CR23" s="1414"/>
      <c r="CS23" s="1414"/>
      <c r="CT23" s="1414"/>
      <c r="CU23" s="1414"/>
      <c r="CV23" s="1414"/>
      <c r="CW23" s="1414"/>
      <c r="CX23" s="1414"/>
      <c r="CY23" s="1414"/>
      <c r="CZ23" s="1414"/>
      <c r="DA23" s="1414"/>
      <c r="DB23" s="1414"/>
      <c r="DC23" s="1414"/>
      <c r="DD23" s="1414"/>
      <c r="DE23" s="1414"/>
      <c r="DF23" s="1414"/>
      <c r="DG23" s="1414"/>
      <c r="DH23" s="1414"/>
      <c r="DI23" s="1414"/>
      <c r="DJ23" s="1414" t="n">
        <f aca="false">A23</f>
        <v>0</v>
      </c>
      <c r="DK23" s="2191" t="n">
        <f aca="false">K23</f>
        <v>0</v>
      </c>
      <c r="DL23" s="1928" t="n">
        <f aca="false">R23</f>
        <v>0</v>
      </c>
      <c r="DM23" s="1414" t="n">
        <f aca="false">IF(F23="Y",C23,0)</f>
        <v>0</v>
      </c>
      <c r="DN23" s="2192" t="n">
        <f aca="false">C23</f>
        <v>0</v>
      </c>
    </row>
    <row r="24" s="654" customFormat="true" ht="24" hidden="false" customHeight="true" outlineLevel="0" collapsed="false">
      <c r="A24" s="2169"/>
      <c r="B24" s="1320"/>
      <c r="C24" s="2214"/>
      <c r="D24" s="2193"/>
      <c r="E24" s="2209"/>
      <c r="F24" s="2195"/>
      <c r="G24" s="2209"/>
      <c r="H24" s="2210"/>
      <c r="I24" s="2197"/>
      <c r="J24" s="2211"/>
      <c r="K24" s="2212"/>
      <c r="L24" s="2213"/>
      <c r="M24" s="41"/>
      <c r="N24" s="2209"/>
      <c r="O24" s="1320"/>
      <c r="P24" s="2181" t="n">
        <f aca="false">C24*L24/324*(1+J$57)</f>
        <v>0</v>
      </c>
      <c r="Q24" s="2182" t="n">
        <v>0</v>
      </c>
      <c r="R24" s="1515" t="n">
        <f aca="false">IF(N24=0,0,(N24/12+N24/12)/(N24/12*N24/12)*C24*((M24/16*M24/16)*10.6870159))*(1+J$54)</f>
        <v>0</v>
      </c>
      <c r="S24" s="1516" t="n">
        <f aca="false">(C24*E24/324+I24/108+K24*1.5*0.18/27)*(1+J$47)</f>
        <v>0</v>
      </c>
      <c r="T24" s="2202" t="n">
        <f aca="false">IF(C24=0,0,U24/C24)</f>
        <v>0</v>
      </c>
      <c r="U24" s="2184" t="n">
        <f aca="false">(SUM(AW24:BM24)-BL24)*(1+L$39)</f>
        <v>0</v>
      </c>
      <c r="V24" s="2184"/>
      <c r="W24" s="1414"/>
      <c r="X24" s="1414"/>
      <c r="AE24" s="1414"/>
      <c r="AF24" s="1414"/>
      <c r="AG24" s="2185" t="n">
        <f aca="false">IF(G24="y",C24,0)</f>
        <v>0</v>
      </c>
      <c r="AH24" s="2185" t="n">
        <f aca="false">IF($J24=1,$S24,0)</f>
        <v>0</v>
      </c>
      <c r="AI24" s="1414" t="n">
        <f aca="false">IF($J24=2,$S24,0)</f>
        <v>0</v>
      </c>
      <c r="AJ24" s="1414" t="n">
        <f aca="false">IF($J24=3,$S24,0)</f>
        <v>0</v>
      </c>
      <c r="AK24" s="1414" t="n">
        <f aca="false">IF($J24=4,$S24,0)</f>
        <v>0</v>
      </c>
      <c r="AL24" s="1414" t="n">
        <f aca="false">IF($J24=5,$S24,0)</f>
        <v>0</v>
      </c>
      <c r="AM24" s="1414" t="n">
        <f aca="false">IF($J24=6,$S24,0)</f>
        <v>0</v>
      </c>
      <c r="AN24" s="1414" t="n">
        <f aca="false">IF($J24=7,$S24,0)</f>
        <v>0</v>
      </c>
      <c r="AO24" s="1414" t="n">
        <f aca="false">IF($J24=8,$S24,0)</f>
        <v>0</v>
      </c>
      <c r="AP24" s="1414" t="n">
        <f aca="false">IF($J24=9,$S24,0)</f>
        <v>0</v>
      </c>
      <c r="AQ24" s="2203" t="n">
        <f aca="false">IF($J24=10,$S24,0)</f>
        <v>0</v>
      </c>
      <c r="AR24" s="1414" t="n">
        <f aca="false">SUM(AH24:AM24)</f>
        <v>0</v>
      </c>
      <c r="AS24" s="1414" t="n">
        <f aca="false">IF(F24="N",C24,0)</f>
        <v>0</v>
      </c>
      <c r="AT24" s="1414" t="n">
        <f aca="false">IF(C24=0,0,IF(E24&lt;8,C24/M$82,0))</f>
        <v>0</v>
      </c>
      <c r="AU24" s="1414" t="n">
        <f aca="false">IF(C24=0,0,IF(E24&gt;8,C24/M$82,0))</f>
        <v>0</v>
      </c>
      <c r="AV24" s="2189" t="n">
        <f aca="false">SUM(AW24:BN24)</f>
        <v>0</v>
      </c>
      <c r="AW24" s="1932" t="n">
        <f aca="false">(AH24*Pricing!F$3+AI24*Pricing!G$3+AJ24*Pricing!H$3+AK24*Pricing!I$3+AL24*Pricing!J$3+AM24*Pricing!K$3+AN24*Pricing!L$3+AO24*Pricing!M$3+AP24*Pricing!N$3+AQ24*Pricing!O$3)*IF(T$38="N",(1+V$38),1)</f>
        <v>0</v>
      </c>
      <c r="AX24" s="1932" t="n">
        <f aca="false">R24*F$54*IF(T$38="n",1+V$38,1)</f>
        <v>0</v>
      </c>
      <c r="AY24" s="1932" t="n">
        <f aca="false">IF(SUM(I$10:I$34)=0,0,N$66/SUM(I$10:I$34)*I24)</f>
        <v>0</v>
      </c>
      <c r="AZ24" s="2190" t="n">
        <f aca="false">C24*SUM(D$61:E$63)</f>
        <v>0</v>
      </c>
      <c r="BA24" s="1932" t="n">
        <f aca="false">C24*F24</f>
        <v>0</v>
      </c>
      <c r="BB24" s="1932" t="n">
        <f aca="false">IF(R24="",0,R24*D$65)</f>
        <v>0</v>
      </c>
      <c r="BC24" s="1934" t="n">
        <f aca="false">IF(N$67=0,0,N$67/H$61*C24)</f>
        <v>0</v>
      </c>
      <c r="BD24" s="1932"/>
      <c r="BE24" s="1932" t="n">
        <f aca="false">H24*D$87</f>
        <v>0</v>
      </c>
      <c r="BF24" s="1932" t="n">
        <f aca="false">IF(C24=0,0,SUM(N$70:O$73)/C$35*C24)</f>
        <v>0</v>
      </c>
      <c r="BG24" s="1932" t="n">
        <f aca="false">IF(C24=0,0,SUM(V$47:V$90)/C$35*C24)</f>
        <v>0</v>
      </c>
      <c r="BH24" s="1932" t="n">
        <f aca="false">IF(C24=0,0,(SUM(N$75:O$80)-N$80)/C$35*C24)</f>
        <v>0</v>
      </c>
      <c r="BI24" s="1932" t="n">
        <f aca="false">IF(C24=0,0,(SUM(N$82:N$90)+N$59-N$87-N$88)/C$35)*C24</f>
        <v>0</v>
      </c>
      <c r="BJ24" s="1932" t="n">
        <f aca="false">(P24*F$57)*IF(T$38="N",1+V$38,1)+IF(C$35=0,0,(N$58/C$35*C24))</f>
        <v>0</v>
      </c>
      <c r="BK24" s="1932" t="n">
        <f aca="false">IF(BS24&gt;0,N$88/BS$36*BS24,0)</f>
        <v>0</v>
      </c>
      <c r="BL24" s="1932" t="n">
        <f aca="false">IF(N$72=0,0,N$91/H$61*C24)</f>
        <v>0</v>
      </c>
      <c r="BM24" s="1932" t="n">
        <f aca="false">IF(G24="y",N$80/AG$35*C24,0)</f>
        <v>0</v>
      </c>
      <c r="BN24" s="1934"/>
      <c r="BO24" s="1414"/>
      <c r="BP24" s="1414"/>
      <c r="BQ24" s="1414"/>
      <c r="BR24" s="1414"/>
      <c r="BS24" s="1414" t="n">
        <f aca="false">IF(B24="Y",C24,0)</f>
        <v>0</v>
      </c>
      <c r="BT24" s="1414"/>
      <c r="BU24" s="1414"/>
      <c r="BV24" s="1414"/>
      <c r="BW24" s="1414"/>
      <c r="BX24" s="1414"/>
      <c r="BY24" s="1414"/>
      <c r="BZ24" s="1414"/>
      <c r="CA24" s="1414"/>
      <c r="CB24" s="1414"/>
      <c r="CC24" s="1414"/>
      <c r="CD24" s="1414"/>
      <c r="CE24" s="1414"/>
      <c r="CF24" s="1414"/>
      <c r="CG24" s="1414"/>
      <c r="CH24" s="1414"/>
      <c r="CI24" s="1414"/>
      <c r="CJ24" s="1414"/>
      <c r="CK24" s="1414"/>
      <c r="CL24" s="1414"/>
      <c r="CM24" s="1414"/>
      <c r="CN24" s="1414"/>
      <c r="CO24" s="1414"/>
      <c r="CP24" s="1414"/>
      <c r="CQ24" s="1414"/>
      <c r="CR24" s="1414"/>
      <c r="CS24" s="1414"/>
      <c r="CT24" s="1414"/>
      <c r="CU24" s="1414"/>
      <c r="CV24" s="1414"/>
      <c r="CW24" s="1414"/>
      <c r="CX24" s="1414"/>
      <c r="CY24" s="1414"/>
      <c r="CZ24" s="1414"/>
      <c r="DA24" s="1414"/>
      <c r="DB24" s="1414"/>
      <c r="DC24" s="1414"/>
      <c r="DD24" s="1414"/>
      <c r="DE24" s="1414"/>
      <c r="DF24" s="1414"/>
      <c r="DG24" s="1414"/>
      <c r="DH24" s="1414"/>
      <c r="DI24" s="1414"/>
      <c r="DJ24" s="1414" t="n">
        <f aca="false">A24</f>
        <v>0</v>
      </c>
      <c r="DK24" s="2191" t="n">
        <f aca="false">K24</f>
        <v>0</v>
      </c>
      <c r="DL24" s="1928" t="n">
        <f aca="false">R24</f>
        <v>0</v>
      </c>
      <c r="DM24" s="1414" t="n">
        <f aca="false">IF(F24="Y",C24,0)</f>
        <v>0</v>
      </c>
      <c r="DN24" s="2192" t="n">
        <f aca="false">C24</f>
        <v>0</v>
      </c>
    </row>
    <row r="25" s="654" customFormat="true" ht="24" hidden="false" customHeight="true" outlineLevel="0" collapsed="false">
      <c r="A25" s="2169"/>
      <c r="B25" s="1320"/>
      <c r="C25" s="2214"/>
      <c r="D25" s="2193"/>
      <c r="E25" s="2209"/>
      <c r="F25" s="2195"/>
      <c r="G25" s="2209"/>
      <c r="H25" s="2210"/>
      <c r="I25" s="2197"/>
      <c r="J25" s="2211"/>
      <c r="K25" s="2212"/>
      <c r="L25" s="2213"/>
      <c r="M25" s="41"/>
      <c r="N25" s="2209"/>
      <c r="O25" s="1320"/>
      <c r="P25" s="2181" t="n">
        <f aca="false">C25*L25/324*(1+J$57)</f>
        <v>0</v>
      </c>
      <c r="Q25" s="2182" t="n">
        <v>0</v>
      </c>
      <c r="R25" s="1515" t="n">
        <f aca="false">IF(N25=0,0,(N25/12+N25/12)/(N25/12*N25/12)*C25*((M25/16*M25/16)*10.6870159))*(1+J$54)</f>
        <v>0</v>
      </c>
      <c r="S25" s="1516" t="n">
        <f aca="false">(C25*E25/324+I25/108+K25*1.5*0.18/27)*(1+J$47)</f>
        <v>0</v>
      </c>
      <c r="T25" s="2202" t="n">
        <f aca="false">IF(C25=0,0,U25/C25)</f>
        <v>0</v>
      </c>
      <c r="U25" s="2184" t="n">
        <f aca="false">(SUM(AW25:BM25)-BL25)*(1+L$39)</f>
        <v>0</v>
      </c>
      <c r="V25" s="2184"/>
      <c r="W25" s="1414"/>
      <c r="X25" s="1414"/>
      <c r="AE25" s="1414"/>
      <c r="AF25" s="1414"/>
      <c r="AG25" s="2185" t="n">
        <f aca="false">IF(G25="y",C25,0)</f>
        <v>0</v>
      </c>
      <c r="AH25" s="2185" t="n">
        <f aca="false">IF($J25=1,$S25,0)</f>
        <v>0</v>
      </c>
      <c r="AI25" s="1414" t="n">
        <f aca="false">IF($J25=2,$S25,0)</f>
        <v>0</v>
      </c>
      <c r="AJ25" s="1414" t="n">
        <f aca="false">IF($J25=3,$S25,0)</f>
        <v>0</v>
      </c>
      <c r="AK25" s="1414" t="n">
        <f aca="false">IF($J25=4,$S25,0)</f>
        <v>0</v>
      </c>
      <c r="AL25" s="1414" t="n">
        <f aca="false">IF($J25=5,$S25,0)</f>
        <v>0</v>
      </c>
      <c r="AM25" s="1414" t="n">
        <f aca="false">IF($J25=6,$S25,0)</f>
        <v>0</v>
      </c>
      <c r="AN25" s="1414" t="n">
        <f aca="false">IF($J25=7,$S25,0)</f>
        <v>0</v>
      </c>
      <c r="AO25" s="1414" t="n">
        <f aca="false">IF($J25=8,$S25,0)</f>
        <v>0</v>
      </c>
      <c r="AP25" s="1414" t="n">
        <f aca="false">IF($J25=9,$S25,0)</f>
        <v>0</v>
      </c>
      <c r="AQ25" s="2203" t="n">
        <f aca="false">IF($J25=10,$S25,0)</f>
        <v>0</v>
      </c>
      <c r="AR25" s="1414" t="n">
        <f aca="false">SUM(AH25:AM25)</f>
        <v>0</v>
      </c>
      <c r="AS25" s="1414" t="n">
        <f aca="false">IF(F25="N",C25,0)</f>
        <v>0</v>
      </c>
      <c r="AT25" s="1414" t="n">
        <f aca="false">IF(C25=0,0,IF(E25&lt;8,C25/M$82,0))</f>
        <v>0</v>
      </c>
      <c r="AU25" s="1414" t="n">
        <f aca="false">IF(C25=0,0,IF(E25&gt;8,C25/M$82,0))</f>
        <v>0</v>
      </c>
      <c r="AV25" s="2189" t="n">
        <f aca="false">SUM(AW25:BN25)</f>
        <v>0</v>
      </c>
      <c r="AW25" s="1932" t="n">
        <f aca="false">(AH25*Pricing!F$3+AI25*Pricing!G$3+AJ25*Pricing!H$3+AK25*Pricing!I$3+AL25*Pricing!J$3+AM25*Pricing!K$3+AN25*Pricing!L$3+AO25*Pricing!M$3+AP25*Pricing!N$3+AQ25*Pricing!O$3)*IF(T$38="N",(1+V$38),1)</f>
        <v>0</v>
      </c>
      <c r="AX25" s="1932" t="n">
        <f aca="false">R25*F$54*IF(T$38="n",1+V$38,1)</f>
        <v>0</v>
      </c>
      <c r="AY25" s="1932" t="n">
        <f aca="false">IF(SUM(I$10:I$34)=0,0,N$66/SUM(I$10:I$34)*I25)</f>
        <v>0</v>
      </c>
      <c r="AZ25" s="2190" t="n">
        <f aca="false">C25*SUM(D$61:E$63)</f>
        <v>0</v>
      </c>
      <c r="BA25" s="1932" t="n">
        <f aca="false">C25*F25</f>
        <v>0</v>
      </c>
      <c r="BB25" s="1932" t="n">
        <f aca="false">IF(R25="",0,R25*D$65)</f>
        <v>0</v>
      </c>
      <c r="BC25" s="1934" t="n">
        <f aca="false">IF(N$67=0,0,N$67/H$61*C25)</f>
        <v>0</v>
      </c>
      <c r="BD25" s="1932"/>
      <c r="BE25" s="1932" t="n">
        <f aca="false">H25*D$87</f>
        <v>0</v>
      </c>
      <c r="BF25" s="1932" t="n">
        <f aca="false">IF(C25=0,0,SUM(N$70:O$73)/C$35*C25)</f>
        <v>0</v>
      </c>
      <c r="BG25" s="1932" t="n">
        <f aca="false">IF(C25=0,0,SUM(V$47:V$90)/C$35*C25)</f>
        <v>0</v>
      </c>
      <c r="BH25" s="1932" t="n">
        <f aca="false">IF(C25=0,0,(SUM(N$75:O$80)-N$80)/C$35*C25)</f>
        <v>0</v>
      </c>
      <c r="BI25" s="1932" t="n">
        <f aca="false">IF(C25=0,0,(SUM(N$82:N$90)+N$59-N$87-N$88)/C$35)*C25</f>
        <v>0</v>
      </c>
      <c r="BJ25" s="1932" t="n">
        <f aca="false">(P25*F$57)*IF(T$38="N",1+V$38,1)+IF(C$35=0,0,(N$58/C$35*C25))</f>
        <v>0</v>
      </c>
      <c r="BK25" s="1932" t="n">
        <f aca="false">IF(BS25&gt;0,N$88/BS$36*BS25,0)</f>
        <v>0</v>
      </c>
      <c r="BL25" s="1932" t="n">
        <f aca="false">IF(N$72=0,0,N$91/H$61*C25)</f>
        <v>0</v>
      </c>
      <c r="BM25" s="1932" t="n">
        <f aca="false">IF(G25="y",N$80/AG$35*C25,0)</f>
        <v>0</v>
      </c>
      <c r="BN25" s="1934"/>
      <c r="BO25" s="1414"/>
      <c r="BP25" s="1414"/>
      <c r="BQ25" s="1414"/>
      <c r="BR25" s="1414"/>
      <c r="BS25" s="1414" t="n">
        <f aca="false">IF(B25="Y",C25,0)</f>
        <v>0</v>
      </c>
      <c r="BT25" s="1414"/>
      <c r="BU25" s="1414"/>
      <c r="BV25" s="1414"/>
      <c r="BW25" s="1414"/>
      <c r="BX25" s="1414"/>
      <c r="BY25" s="1414"/>
      <c r="BZ25" s="1414"/>
      <c r="CA25" s="1414"/>
      <c r="CB25" s="1414"/>
      <c r="CC25" s="1414"/>
      <c r="CD25" s="1414"/>
      <c r="CE25" s="1414"/>
      <c r="CF25" s="1414"/>
      <c r="CG25" s="1414"/>
      <c r="CH25" s="1414"/>
      <c r="CI25" s="1414"/>
      <c r="CJ25" s="1414"/>
      <c r="CK25" s="1414"/>
      <c r="CL25" s="1414"/>
      <c r="CM25" s="1414"/>
      <c r="CN25" s="1414"/>
      <c r="CO25" s="1414"/>
      <c r="CP25" s="1414"/>
      <c r="CQ25" s="1414"/>
      <c r="CR25" s="1414"/>
      <c r="CS25" s="1414"/>
      <c r="CT25" s="1414"/>
      <c r="CU25" s="1414"/>
      <c r="CV25" s="1414"/>
      <c r="CW25" s="1414"/>
      <c r="CX25" s="1414"/>
      <c r="CY25" s="1414"/>
      <c r="CZ25" s="1414"/>
      <c r="DA25" s="1414"/>
      <c r="DB25" s="1414"/>
      <c r="DC25" s="1414"/>
      <c r="DD25" s="1414"/>
      <c r="DE25" s="1414"/>
      <c r="DF25" s="1414"/>
      <c r="DG25" s="1414"/>
      <c r="DH25" s="1414"/>
      <c r="DI25" s="1414"/>
      <c r="DJ25" s="1414" t="n">
        <f aca="false">A25</f>
        <v>0</v>
      </c>
      <c r="DK25" s="2191" t="n">
        <f aca="false">K25</f>
        <v>0</v>
      </c>
      <c r="DL25" s="1928" t="n">
        <f aca="false">R25</f>
        <v>0</v>
      </c>
      <c r="DM25" s="1414" t="n">
        <f aca="false">IF(F25="Y",C25,0)</f>
        <v>0</v>
      </c>
      <c r="DN25" s="2192" t="n">
        <f aca="false">C25</f>
        <v>0</v>
      </c>
    </row>
    <row r="26" s="654" customFormat="true" ht="24" hidden="false" customHeight="true" outlineLevel="0" collapsed="false">
      <c r="A26" s="2169"/>
      <c r="B26" s="1320"/>
      <c r="C26" s="2214"/>
      <c r="D26" s="2193"/>
      <c r="E26" s="2209"/>
      <c r="F26" s="2195"/>
      <c r="G26" s="2209"/>
      <c r="H26" s="2210"/>
      <c r="I26" s="2197"/>
      <c r="J26" s="2211"/>
      <c r="K26" s="2212"/>
      <c r="L26" s="2213"/>
      <c r="M26" s="41"/>
      <c r="N26" s="2209"/>
      <c r="O26" s="1320"/>
      <c r="P26" s="2181" t="n">
        <f aca="false">C26*L26/324*(1+J$57)</f>
        <v>0</v>
      </c>
      <c r="Q26" s="2182" t="n">
        <v>0</v>
      </c>
      <c r="R26" s="1515" t="n">
        <f aca="false">IF(N26=0,0,(N26/12+N26/12)/(N26/12*N26/12)*C26*((M26/16*M26/16)*10.6870159))*(1+J$54)</f>
        <v>0</v>
      </c>
      <c r="S26" s="1516" t="n">
        <f aca="false">(C26*E26/324+I26/108+K26*1.5*0.18/27)*(1+J$47)</f>
        <v>0</v>
      </c>
      <c r="T26" s="2202" t="n">
        <f aca="false">IF(C26=0,0,U26/C26)</f>
        <v>0</v>
      </c>
      <c r="U26" s="2184" t="n">
        <f aca="false">(SUM(AW26:BM26)-BL26)*(1+L$39)</f>
        <v>0</v>
      </c>
      <c r="V26" s="2184"/>
      <c r="W26" s="1414"/>
      <c r="X26" s="1414"/>
      <c r="AE26" s="1414"/>
      <c r="AF26" s="1414"/>
      <c r="AG26" s="2185" t="n">
        <f aca="false">IF(G26="y",C26,0)</f>
        <v>0</v>
      </c>
      <c r="AH26" s="2185" t="n">
        <f aca="false">IF($J26=1,$S26,0)</f>
        <v>0</v>
      </c>
      <c r="AI26" s="1414" t="n">
        <f aca="false">IF($J26=2,$S26,0)</f>
        <v>0</v>
      </c>
      <c r="AJ26" s="1414" t="n">
        <f aca="false">IF($J26=3,$S26,0)</f>
        <v>0</v>
      </c>
      <c r="AK26" s="1414" t="n">
        <f aca="false">IF($J26=4,$S26,0)</f>
        <v>0</v>
      </c>
      <c r="AL26" s="1414" t="n">
        <f aca="false">IF($J26=5,$S26,0)</f>
        <v>0</v>
      </c>
      <c r="AM26" s="1414" t="n">
        <f aca="false">IF($J26=6,$S26,0)</f>
        <v>0</v>
      </c>
      <c r="AN26" s="1414" t="n">
        <f aca="false">IF($J26=7,$S26,0)</f>
        <v>0</v>
      </c>
      <c r="AO26" s="1414" t="n">
        <f aca="false">IF($J26=8,$S26,0)</f>
        <v>0</v>
      </c>
      <c r="AP26" s="1414" t="n">
        <f aca="false">IF($J26=9,$S26,0)</f>
        <v>0</v>
      </c>
      <c r="AQ26" s="2203" t="n">
        <f aca="false">IF($J26=10,$S26,0)</f>
        <v>0</v>
      </c>
      <c r="AR26" s="1414" t="n">
        <f aca="false">SUM(AH26:AM26)</f>
        <v>0</v>
      </c>
      <c r="AS26" s="1414" t="n">
        <f aca="false">IF(F26="N",C26,0)</f>
        <v>0</v>
      </c>
      <c r="AT26" s="1414" t="n">
        <f aca="false">IF(C26=0,0,IF(E26&lt;8,C26/M$82,0))</f>
        <v>0</v>
      </c>
      <c r="AU26" s="1414" t="n">
        <f aca="false">IF(C26=0,0,IF(E26&gt;8,C26/M$82,0))</f>
        <v>0</v>
      </c>
      <c r="AV26" s="2189" t="n">
        <f aca="false">SUM(AW26:BN26)</f>
        <v>0</v>
      </c>
      <c r="AW26" s="1932" t="n">
        <f aca="false">(AH26*Pricing!F$3+AI26*Pricing!G$3+AJ26*Pricing!H$3+AK26*Pricing!I$3+AL26*Pricing!J$3+AM26*Pricing!K$3+AN26*Pricing!L$3+AO26*Pricing!M$3+AP26*Pricing!N$3+AQ26*Pricing!O$3)*IF(T$38="N",(1+V$38),1)</f>
        <v>0</v>
      </c>
      <c r="AX26" s="1932" t="n">
        <f aca="false">R26*F$54*IF(T$38="n",1+V$38,1)</f>
        <v>0</v>
      </c>
      <c r="AY26" s="1932" t="n">
        <f aca="false">IF(SUM(I$10:I$34)=0,0,N$66/SUM(I$10:I$34)*I26)</f>
        <v>0</v>
      </c>
      <c r="AZ26" s="2190" t="n">
        <f aca="false">C26*SUM(D$61:E$63)</f>
        <v>0</v>
      </c>
      <c r="BA26" s="1932" t="n">
        <f aca="false">C26*F26</f>
        <v>0</v>
      </c>
      <c r="BB26" s="1932" t="n">
        <f aca="false">IF(R26="",0,R26*D$65)</f>
        <v>0</v>
      </c>
      <c r="BC26" s="1934" t="n">
        <f aca="false">IF(N$67=0,0,N$67/H$61*C26)</f>
        <v>0</v>
      </c>
      <c r="BD26" s="1932"/>
      <c r="BE26" s="1932" t="n">
        <f aca="false">H26*D$87</f>
        <v>0</v>
      </c>
      <c r="BF26" s="1932" t="n">
        <f aca="false">IF(C26=0,0,SUM(N$70:O$73)/C$35*C26)</f>
        <v>0</v>
      </c>
      <c r="BG26" s="1932" t="n">
        <f aca="false">IF(C26=0,0,SUM(V$47:V$90)/C$35*C26)</f>
        <v>0</v>
      </c>
      <c r="BH26" s="1932" t="n">
        <f aca="false">IF(C26=0,0,(SUM(N$75:O$80)-N$80)/C$35*C26)</f>
        <v>0</v>
      </c>
      <c r="BI26" s="1932" t="n">
        <f aca="false">IF(C26=0,0,(SUM(N$82:N$90)+N$59-N$87-N$88)/C$35)*C26</f>
        <v>0</v>
      </c>
      <c r="BJ26" s="1932" t="n">
        <f aca="false">(P26*F$57)*IF(T$38="N",1+V$38,1)+IF(C$35=0,0,(N$58/C$35*C26))</f>
        <v>0</v>
      </c>
      <c r="BK26" s="1932" t="n">
        <f aca="false">IF(BS26&gt;0,N$88/BS$36*BS26,0)</f>
        <v>0</v>
      </c>
      <c r="BL26" s="1932" t="n">
        <f aca="false">IF(N$72=0,0,N$91/H$61*C26)</f>
        <v>0</v>
      </c>
      <c r="BM26" s="1932" t="n">
        <f aca="false">IF(G26="y",N$80/AG$35*C26,0)</f>
        <v>0</v>
      </c>
      <c r="BN26" s="1934"/>
      <c r="BO26" s="1414"/>
      <c r="BP26" s="1414"/>
      <c r="BQ26" s="1414"/>
      <c r="BR26" s="1414"/>
      <c r="BS26" s="1414" t="n">
        <f aca="false">IF(B26="Y",C26,0)</f>
        <v>0</v>
      </c>
      <c r="BT26" s="1414"/>
      <c r="BU26" s="1414"/>
      <c r="BV26" s="1414"/>
      <c r="BW26" s="1414"/>
      <c r="BX26" s="1414"/>
      <c r="BY26" s="1414"/>
      <c r="BZ26" s="1414"/>
      <c r="CA26" s="1414"/>
      <c r="CB26" s="1414"/>
      <c r="CC26" s="1414"/>
      <c r="CD26" s="1414"/>
      <c r="CE26" s="1414"/>
      <c r="CF26" s="1414"/>
      <c r="CG26" s="1414"/>
      <c r="CH26" s="1414"/>
      <c r="CI26" s="1414"/>
      <c r="CJ26" s="1414"/>
      <c r="CK26" s="1414"/>
      <c r="CL26" s="1414"/>
      <c r="CM26" s="1414"/>
      <c r="CN26" s="1414"/>
      <c r="CO26" s="1414"/>
      <c r="CP26" s="1414"/>
      <c r="CQ26" s="1414"/>
      <c r="CR26" s="1414"/>
      <c r="CS26" s="1414"/>
      <c r="CT26" s="1414"/>
      <c r="CU26" s="1414"/>
      <c r="CV26" s="1414"/>
      <c r="CW26" s="1414"/>
      <c r="CX26" s="1414"/>
      <c r="CY26" s="1414"/>
      <c r="CZ26" s="1414"/>
      <c r="DA26" s="1414"/>
      <c r="DB26" s="1414"/>
      <c r="DC26" s="1414"/>
      <c r="DD26" s="1414"/>
      <c r="DE26" s="1414"/>
      <c r="DF26" s="1414"/>
      <c r="DG26" s="1414"/>
      <c r="DH26" s="1414"/>
      <c r="DI26" s="1414"/>
      <c r="DJ26" s="1414" t="n">
        <f aca="false">A26</f>
        <v>0</v>
      </c>
      <c r="DK26" s="2191" t="n">
        <f aca="false">K26</f>
        <v>0</v>
      </c>
      <c r="DL26" s="1928" t="n">
        <f aca="false">R26</f>
        <v>0</v>
      </c>
      <c r="DM26" s="1414" t="n">
        <f aca="false">IF(F26="Y",C26,0)</f>
        <v>0</v>
      </c>
      <c r="DN26" s="2192" t="n">
        <f aca="false">C26</f>
        <v>0</v>
      </c>
    </row>
    <row r="27" s="654" customFormat="true" ht="24" hidden="false" customHeight="true" outlineLevel="0" collapsed="false">
      <c r="A27" s="2169"/>
      <c r="B27" s="1320"/>
      <c r="C27" s="2214"/>
      <c r="D27" s="2193"/>
      <c r="E27" s="2209"/>
      <c r="F27" s="2195"/>
      <c r="G27" s="2209"/>
      <c r="H27" s="2210"/>
      <c r="I27" s="2197"/>
      <c r="J27" s="2211"/>
      <c r="K27" s="2212"/>
      <c r="L27" s="2213"/>
      <c r="M27" s="41"/>
      <c r="N27" s="2209"/>
      <c r="O27" s="1320"/>
      <c r="P27" s="2181" t="n">
        <f aca="false">C27*L27/324*(1+J$57)</f>
        <v>0</v>
      </c>
      <c r="Q27" s="2182" t="n">
        <v>0</v>
      </c>
      <c r="R27" s="1515" t="n">
        <f aca="false">IF(N27=0,0,(N27/12+N27/12)/(N27/12*N27/12)*C27*((M27/16*M27/16)*10.6870159))*(1+J$54)</f>
        <v>0</v>
      </c>
      <c r="S27" s="1516" t="n">
        <f aca="false">(C27*E27/324+I27/108+K27*1.5*0.18/27)*(1+J$47)</f>
        <v>0</v>
      </c>
      <c r="T27" s="2202" t="n">
        <f aca="false">IF(C27=0,0,U27/C27)</f>
        <v>0</v>
      </c>
      <c r="U27" s="2184" t="n">
        <f aca="false">(SUM(AW27:BM27)-BL27)*(1+L$39)</f>
        <v>0</v>
      </c>
      <c r="V27" s="2184"/>
      <c r="W27" s="1414"/>
      <c r="X27" s="1414"/>
      <c r="AE27" s="1414"/>
      <c r="AF27" s="1414"/>
      <c r="AG27" s="2185" t="n">
        <f aca="false">IF(G27="y",C27,0)</f>
        <v>0</v>
      </c>
      <c r="AH27" s="2185" t="n">
        <f aca="false">IF($J27=1,$S27,0)</f>
        <v>0</v>
      </c>
      <c r="AI27" s="1414" t="n">
        <f aca="false">IF($J27=2,$S27,0)</f>
        <v>0</v>
      </c>
      <c r="AJ27" s="1414" t="n">
        <f aca="false">IF($J27=3,$S27,0)</f>
        <v>0</v>
      </c>
      <c r="AK27" s="1414" t="n">
        <f aca="false">IF($J27=4,$S27,0)</f>
        <v>0</v>
      </c>
      <c r="AL27" s="1414" t="n">
        <f aca="false">IF($J27=5,$S27,0)</f>
        <v>0</v>
      </c>
      <c r="AM27" s="1414" t="n">
        <f aca="false">IF($J27=6,$S27,0)</f>
        <v>0</v>
      </c>
      <c r="AN27" s="1414" t="n">
        <f aca="false">IF($J27=7,$S27,0)</f>
        <v>0</v>
      </c>
      <c r="AO27" s="1414" t="n">
        <f aca="false">IF($J27=8,$S27,0)</f>
        <v>0</v>
      </c>
      <c r="AP27" s="1414" t="n">
        <f aca="false">IF($J27=9,$S27,0)</f>
        <v>0</v>
      </c>
      <c r="AQ27" s="2203" t="n">
        <f aca="false">IF($J27=10,$S27,0)</f>
        <v>0</v>
      </c>
      <c r="AR27" s="1414" t="n">
        <f aca="false">SUM(AH27:AM27)</f>
        <v>0</v>
      </c>
      <c r="AS27" s="1414" t="n">
        <f aca="false">IF(F27="N",C27,0)</f>
        <v>0</v>
      </c>
      <c r="AT27" s="1414" t="n">
        <f aca="false">IF(C27=0,0,IF(E27&lt;8,C27/M$82,0))</f>
        <v>0</v>
      </c>
      <c r="AU27" s="1414" t="n">
        <f aca="false">IF(C27=0,0,IF(E27&gt;8,C27/M$82,0))</f>
        <v>0</v>
      </c>
      <c r="AV27" s="2189" t="n">
        <f aca="false">SUM(AW27:BN27)</f>
        <v>0</v>
      </c>
      <c r="AW27" s="1932" t="n">
        <f aca="false">(AH27*Pricing!F$3+AI27*Pricing!G$3+AJ27*Pricing!H$3+AK27*Pricing!I$3+AL27*Pricing!J$3+AM27*Pricing!K$3+AN27*Pricing!L$3+AO27*Pricing!M$3+AP27*Pricing!N$3+AQ27*Pricing!O$3)*IF(T$38="N",(1+V$38),1)</f>
        <v>0</v>
      </c>
      <c r="AX27" s="1932" t="n">
        <f aca="false">R27*F$54*IF(T$38="n",1+V$38,1)</f>
        <v>0</v>
      </c>
      <c r="AY27" s="1932" t="n">
        <f aca="false">IF(SUM(I$10:I$34)=0,0,N$66/SUM(I$10:I$34)*I27)</f>
        <v>0</v>
      </c>
      <c r="AZ27" s="2190" t="n">
        <f aca="false">C27*SUM(D$61:E$63)</f>
        <v>0</v>
      </c>
      <c r="BA27" s="1932" t="n">
        <f aca="false">C27*F27</f>
        <v>0</v>
      </c>
      <c r="BB27" s="1932" t="n">
        <f aca="false">IF(R27="",0,R27*D$65)</f>
        <v>0</v>
      </c>
      <c r="BC27" s="1934" t="n">
        <f aca="false">IF(N$67=0,0,N$67/H$61*C27)</f>
        <v>0</v>
      </c>
      <c r="BD27" s="1932"/>
      <c r="BE27" s="1932" t="n">
        <f aca="false">H27*D$87</f>
        <v>0</v>
      </c>
      <c r="BF27" s="1932" t="n">
        <f aca="false">IF(C27=0,0,SUM(N$70:O$73)/C$35*C27)</f>
        <v>0</v>
      </c>
      <c r="BG27" s="1932" t="n">
        <f aca="false">IF(C27=0,0,SUM(V$47:V$90)/C$35*C27)</f>
        <v>0</v>
      </c>
      <c r="BH27" s="1932" t="n">
        <f aca="false">IF(C27=0,0,(SUM(N$75:O$80)-N$80)/C$35*C27)</f>
        <v>0</v>
      </c>
      <c r="BI27" s="1932" t="n">
        <f aca="false">IF(C27=0,0,(SUM(N$82:N$90)+N$59-N$87-N$88)/C$35)*C27</f>
        <v>0</v>
      </c>
      <c r="BJ27" s="1932" t="n">
        <f aca="false">(P27*F$57)*IF(T$38="N",1+V$38,1)+IF(C$35=0,0,(N$58/C$35*C27))</f>
        <v>0</v>
      </c>
      <c r="BK27" s="1932" t="n">
        <f aca="false">IF(BS27&gt;0,N$88/BS$36*BS27,0)</f>
        <v>0</v>
      </c>
      <c r="BL27" s="1932" t="n">
        <f aca="false">IF(N$72=0,0,N$91/H$61*C27)</f>
        <v>0</v>
      </c>
      <c r="BM27" s="1932" t="n">
        <f aca="false">IF(G27="y",N$80/AG$35*C27,0)</f>
        <v>0</v>
      </c>
      <c r="BN27" s="1934"/>
      <c r="BO27" s="1414"/>
      <c r="BP27" s="1414"/>
      <c r="BQ27" s="1414"/>
      <c r="BR27" s="1414"/>
      <c r="BS27" s="1414" t="n">
        <f aca="false">IF(B27="Y",C27,0)</f>
        <v>0</v>
      </c>
      <c r="BT27" s="1414"/>
      <c r="BU27" s="1414"/>
      <c r="BV27" s="1414"/>
      <c r="BW27" s="1414"/>
      <c r="BX27" s="1414"/>
      <c r="BY27" s="1414"/>
      <c r="BZ27" s="1414"/>
      <c r="CA27" s="1414"/>
      <c r="CB27" s="1414"/>
      <c r="CC27" s="1414"/>
      <c r="CD27" s="1414"/>
      <c r="CE27" s="1414"/>
      <c r="CF27" s="1414"/>
      <c r="CG27" s="1414"/>
      <c r="CH27" s="1414"/>
      <c r="CI27" s="1414"/>
      <c r="CJ27" s="1414"/>
      <c r="CK27" s="1414"/>
      <c r="CL27" s="1414"/>
      <c r="CM27" s="1414"/>
      <c r="CN27" s="1414"/>
      <c r="CO27" s="1414"/>
      <c r="CP27" s="1414"/>
      <c r="CQ27" s="1414"/>
      <c r="CR27" s="1414"/>
      <c r="CS27" s="1414"/>
      <c r="CT27" s="1414"/>
      <c r="CU27" s="1414"/>
      <c r="CV27" s="1414"/>
      <c r="CW27" s="1414"/>
      <c r="CX27" s="1414"/>
      <c r="CY27" s="1414"/>
      <c r="CZ27" s="1414"/>
      <c r="DA27" s="1414"/>
      <c r="DB27" s="1414"/>
      <c r="DC27" s="1414"/>
      <c r="DD27" s="1414"/>
      <c r="DE27" s="1414"/>
      <c r="DF27" s="1414"/>
      <c r="DG27" s="1414"/>
      <c r="DH27" s="1414"/>
      <c r="DI27" s="1414"/>
      <c r="DJ27" s="1414" t="n">
        <f aca="false">A27</f>
        <v>0</v>
      </c>
      <c r="DK27" s="2191" t="n">
        <f aca="false">K27</f>
        <v>0</v>
      </c>
      <c r="DL27" s="1928" t="n">
        <f aca="false">R27</f>
        <v>0</v>
      </c>
      <c r="DM27" s="1414" t="n">
        <f aca="false">IF(F27="Y",C27,0)</f>
        <v>0</v>
      </c>
      <c r="DN27" s="2192" t="n">
        <f aca="false">C27</f>
        <v>0</v>
      </c>
    </row>
    <row r="28" s="654" customFormat="true" ht="24" hidden="false" customHeight="true" outlineLevel="0" collapsed="false">
      <c r="A28" s="2169"/>
      <c r="B28" s="1320"/>
      <c r="C28" s="2214"/>
      <c r="D28" s="2193"/>
      <c r="E28" s="2209"/>
      <c r="F28" s="2195"/>
      <c r="G28" s="2209"/>
      <c r="H28" s="2210"/>
      <c r="I28" s="2197"/>
      <c r="J28" s="2211"/>
      <c r="K28" s="2212"/>
      <c r="L28" s="2213"/>
      <c r="M28" s="41"/>
      <c r="N28" s="2209"/>
      <c r="O28" s="1320"/>
      <c r="P28" s="2181" t="n">
        <f aca="false">C28*L28/324*(1+J$57)</f>
        <v>0</v>
      </c>
      <c r="Q28" s="2182" t="n">
        <v>0</v>
      </c>
      <c r="R28" s="1515" t="n">
        <f aca="false">IF(N28=0,0,(N28/12+N28/12)/(N28/12*N28/12)*C28*((M28/16*M28/16)*10.6870159))*(1+J$54)</f>
        <v>0</v>
      </c>
      <c r="S28" s="1516" t="n">
        <f aca="false">(C28*E28/324+I28/108+K28*1.5*0.18/27)*(1+J$47)</f>
        <v>0</v>
      </c>
      <c r="T28" s="2202" t="n">
        <f aca="false">IF(C28=0,0,U28/C28)</f>
        <v>0</v>
      </c>
      <c r="U28" s="2184" t="n">
        <f aca="false">(SUM(AW28:BM28)-BL28)*(1+L$39)</f>
        <v>0</v>
      </c>
      <c r="V28" s="2184"/>
      <c r="W28" s="1414"/>
      <c r="X28" s="1414"/>
      <c r="AE28" s="1414"/>
      <c r="AF28" s="1414"/>
      <c r="AG28" s="2185" t="n">
        <f aca="false">IF(G28="y",C28,0)</f>
        <v>0</v>
      </c>
      <c r="AH28" s="2185" t="n">
        <f aca="false">IF($J28=1,$S28,0)</f>
        <v>0</v>
      </c>
      <c r="AI28" s="1414" t="n">
        <f aca="false">IF($J28=2,$S28,0)</f>
        <v>0</v>
      </c>
      <c r="AJ28" s="1414" t="n">
        <f aca="false">IF($J28=3,$S28,0)</f>
        <v>0</v>
      </c>
      <c r="AK28" s="1414" t="n">
        <f aca="false">IF($J28=4,$S28,0)</f>
        <v>0</v>
      </c>
      <c r="AL28" s="1414" t="n">
        <f aca="false">IF($J28=5,$S28,0)</f>
        <v>0</v>
      </c>
      <c r="AM28" s="1414" t="n">
        <f aca="false">IF($J28=6,$S28,0)</f>
        <v>0</v>
      </c>
      <c r="AN28" s="1414" t="n">
        <f aca="false">IF($J28=7,$S28,0)</f>
        <v>0</v>
      </c>
      <c r="AO28" s="1414" t="n">
        <f aca="false">IF($J28=8,$S28,0)</f>
        <v>0</v>
      </c>
      <c r="AP28" s="1414" t="n">
        <f aca="false">IF($J28=9,$S28,0)</f>
        <v>0</v>
      </c>
      <c r="AQ28" s="2203" t="n">
        <f aca="false">IF($J28=10,$S28,0)</f>
        <v>0</v>
      </c>
      <c r="AR28" s="1414" t="n">
        <f aca="false">SUM(AH28:AM28)</f>
        <v>0</v>
      </c>
      <c r="AS28" s="1414" t="n">
        <f aca="false">IF(F28="N",C28,0)</f>
        <v>0</v>
      </c>
      <c r="AT28" s="1414" t="n">
        <f aca="false">IF(C28=0,0,IF(E28&lt;8,C28/M$82,0))</f>
        <v>0</v>
      </c>
      <c r="AU28" s="1414" t="n">
        <f aca="false">IF(C28=0,0,IF(E28&gt;8,C28/M$82,0))</f>
        <v>0</v>
      </c>
      <c r="AV28" s="2189" t="n">
        <f aca="false">SUM(AW28:BN28)</f>
        <v>0</v>
      </c>
      <c r="AW28" s="1932" t="n">
        <f aca="false">(AH28*Pricing!F$3+AI28*Pricing!G$3+AJ28*Pricing!H$3+AK28*Pricing!I$3+AL28*Pricing!J$3+AM28*Pricing!K$3+AN28*Pricing!L$3+AO28*Pricing!M$3+AP28*Pricing!N$3+AQ28*Pricing!O$3)*IF(T$38="N",(1+V$38),1)</f>
        <v>0</v>
      </c>
      <c r="AX28" s="1932" t="n">
        <f aca="false">R28*F$54*IF(T$38="n",1+V$38,1)</f>
        <v>0</v>
      </c>
      <c r="AY28" s="1932" t="n">
        <f aca="false">IF(SUM(I$10:I$34)=0,0,N$66/SUM(I$10:I$34)*I28)</f>
        <v>0</v>
      </c>
      <c r="AZ28" s="2190" t="n">
        <f aca="false">C28*SUM(D$61:E$63)</f>
        <v>0</v>
      </c>
      <c r="BA28" s="1932" t="n">
        <f aca="false">C28*F28</f>
        <v>0</v>
      </c>
      <c r="BB28" s="1932" t="n">
        <f aca="false">IF(R28="",0,R28*D$65)</f>
        <v>0</v>
      </c>
      <c r="BC28" s="1934" t="n">
        <f aca="false">IF(N$67=0,0,N$67/H$61*C28)</f>
        <v>0</v>
      </c>
      <c r="BD28" s="1932"/>
      <c r="BE28" s="1932" t="n">
        <f aca="false">H28*D$87</f>
        <v>0</v>
      </c>
      <c r="BF28" s="1932" t="n">
        <f aca="false">IF(C28=0,0,SUM(N$70:O$73)/C$35*C28)</f>
        <v>0</v>
      </c>
      <c r="BG28" s="1932" t="n">
        <f aca="false">IF(C28=0,0,SUM(V$47:V$90)/C$35*C28)</f>
        <v>0</v>
      </c>
      <c r="BH28" s="1932" t="n">
        <f aca="false">IF(C28=0,0,(SUM(N$75:O$80)-N$80)/C$35*C28)</f>
        <v>0</v>
      </c>
      <c r="BI28" s="1932" t="n">
        <f aca="false">IF(C28=0,0,(SUM(N$82:N$90)+N$59-N$87-N$88)/C$35)*C28</f>
        <v>0</v>
      </c>
      <c r="BJ28" s="1932" t="n">
        <f aca="false">(P28*F$57)*IF(T$38="N",1+V$38,1)+IF(C$35=0,0,(N$58/C$35*C28))</f>
        <v>0</v>
      </c>
      <c r="BK28" s="1932" t="n">
        <f aca="false">IF(BS28&gt;0,N$88/BS$36*BS28,0)</f>
        <v>0</v>
      </c>
      <c r="BL28" s="1932" t="n">
        <f aca="false">IF(N$72=0,0,N$91/H$61*C28)</f>
        <v>0</v>
      </c>
      <c r="BM28" s="1932" t="n">
        <f aca="false">IF(G28="y",N$80/AG$35*C28,0)</f>
        <v>0</v>
      </c>
      <c r="BN28" s="1934"/>
      <c r="BO28" s="1414"/>
      <c r="BP28" s="1414"/>
      <c r="BQ28" s="1414"/>
      <c r="BR28" s="1414"/>
      <c r="BS28" s="1414" t="n">
        <f aca="false">IF(B28="Y",C28,0)</f>
        <v>0</v>
      </c>
      <c r="BT28" s="1414"/>
      <c r="BU28" s="1414"/>
      <c r="BV28" s="1414"/>
      <c r="BW28" s="1414"/>
      <c r="BX28" s="1414"/>
      <c r="BY28" s="1414"/>
      <c r="BZ28" s="1414"/>
      <c r="CA28" s="1414"/>
      <c r="CB28" s="1414"/>
      <c r="CC28" s="1414"/>
      <c r="CD28" s="1414"/>
      <c r="CE28" s="1414"/>
      <c r="CF28" s="1414"/>
      <c r="CG28" s="1414"/>
      <c r="CH28" s="1414"/>
      <c r="CI28" s="1414"/>
      <c r="CJ28" s="1414"/>
      <c r="CK28" s="1414"/>
      <c r="CL28" s="1414"/>
      <c r="CM28" s="1414"/>
      <c r="CN28" s="1414"/>
      <c r="CO28" s="1414"/>
      <c r="CP28" s="1414"/>
      <c r="CQ28" s="1414"/>
      <c r="CR28" s="1414"/>
      <c r="CS28" s="1414"/>
      <c r="CT28" s="1414"/>
      <c r="CU28" s="1414"/>
      <c r="CV28" s="1414"/>
      <c r="CW28" s="1414"/>
      <c r="CX28" s="1414"/>
      <c r="CY28" s="1414"/>
      <c r="CZ28" s="1414"/>
      <c r="DA28" s="1414"/>
      <c r="DB28" s="1414"/>
      <c r="DC28" s="1414"/>
      <c r="DD28" s="1414"/>
      <c r="DE28" s="1414"/>
      <c r="DF28" s="1414"/>
      <c r="DG28" s="1414"/>
      <c r="DH28" s="1414"/>
      <c r="DI28" s="1414"/>
      <c r="DJ28" s="1414" t="n">
        <f aca="false">A28</f>
        <v>0</v>
      </c>
      <c r="DK28" s="2191" t="n">
        <f aca="false">K28</f>
        <v>0</v>
      </c>
      <c r="DL28" s="1928" t="n">
        <f aca="false">R28</f>
        <v>0</v>
      </c>
      <c r="DM28" s="1414" t="n">
        <f aca="false">IF(F28="Y",C28,0)</f>
        <v>0</v>
      </c>
      <c r="DN28" s="2192" t="n">
        <f aca="false">C28</f>
        <v>0</v>
      </c>
    </row>
    <row r="29" s="654" customFormat="true" ht="24" hidden="false" customHeight="true" outlineLevel="0" collapsed="false">
      <c r="A29" s="2169"/>
      <c r="B29" s="1320"/>
      <c r="C29" s="2214"/>
      <c r="D29" s="2193"/>
      <c r="E29" s="2209"/>
      <c r="F29" s="2195"/>
      <c r="G29" s="2209"/>
      <c r="H29" s="2210"/>
      <c r="I29" s="2197"/>
      <c r="J29" s="2211"/>
      <c r="K29" s="2212"/>
      <c r="L29" s="2213"/>
      <c r="M29" s="41"/>
      <c r="N29" s="2209"/>
      <c r="O29" s="1320"/>
      <c r="P29" s="2181" t="n">
        <f aca="false">C29*L29/324*(1+J$57)</f>
        <v>0</v>
      </c>
      <c r="Q29" s="2182" t="n">
        <v>0</v>
      </c>
      <c r="R29" s="1515" t="n">
        <f aca="false">IF(N29=0,0,(N29/12+N29/12)/(N29/12*N29/12)*C29*((M29/16*M29/16)*10.6870159))*(1+J$54)</f>
        <v>0</v>
      </c>
      <c r="S29" s="1516" t="n">
        <f aca="false">(C29*E29/324+I29/108+K29*1.5*0.18/27)*(1+J$47)</f>
        <v>0</v>
      </c>
      <c r="T29" s="2202" t="n">
        <f aca="false">IF(C29=0,0,U29/C29)</f>
        <v>0</v>
      </c>
      <c r="U29" s="2184" t="n">
        <f aca="false">(SUM(AW29:BM29)-BL29)*(1+L$39)</f>
        <v>0</v>
      </c>
      <c r="V29" s="2184"/>
      <c r="W29" s="1414"/>
      <c r="X29" s="1414"/>
      <c r="AE29" s="1414"/>
      <c r="AF29" s="1414"/>
      <c r="AG29" s="2185" t="n">
        <f aca="false">IF(G29="y",C29,0)</f>
        <v>0</v>
      </c>
      <c r="AH29" s="2185" t="n">
        <f aca="false">IF($J29=1,$S29,0)</f>
        <v>0</v>
      </c>
      <c r="AI29" s="1414" t="n">
        <f aca="false">IF($J29=2,$S29,0)</f>
        <v>0</v>
      </c>
      <c r="AJ29" s="1414" t="n">
        <f aca="false">IF($J29=3,$S29,0)</f>
        <v>0</v>
      </c>
      <c r="AK29" s="1414" t="n">
        <f aca="false">IF($J29=4,$S29,0)</f>
        <v>0</v>
      </c>
      <c r="AL29" s="1414" t="n">
        <f aca="false">IF($J29=5,$S29,0)</f>
        <v>0</v>
      </c>
      <c r="AM29" s="1414" t="n">
        <f aca="false">IF($J29=6,$S29,0)</f>
        <v>0</v>
      </c>
      <c r="AN29" s="1414" t="n">
        <f aca="false">IF($J29=7,$S29,0)</f>
        <v>0</v>
      </c>
      <c r="AO29" s="1414" t="n">
        <f aca="false">IF($J29=8,$S29,0)</f>
        <v>0</v>
      </c>
      <c r="AP29" s="1414" t="n">
        <f aca="false">IF($J29=9,$S29,0)</f>
        <v>0</v>
      </c>
      <c r="AQ29" s="2203" t="n">
        <f aca="false">IF($J29=10,$S29,0)</f>
        <v>0</v>
      </c>
      <c r="AR29" s="1414" t="n">
        <f aca="false">SUM(AH29:AM29)</f>
        <v>0</v>
      </c>
      <c r="AS29" s="1414" t="n">
        <f aca="false">IF(F29="N",C29,0)</f>
        <v>0</v>
      </c>
      <c r="AT29" s="1414" t="n">
        <f aca="false">IF(C29=0,0,IF(E29&lt;8,C29/M$82,0))</f>
        <v>0</v>
      </c>
      <c r="AU29" s="1414" t="n">
        <f aca="false">IF(C29=0,0,IF(E29&gt;8,C29/M$82,0))</f>
        <v>0</v>
      </c>
      <c r="AV29" s="2189" t="n">
        <f aca="false">SUM(AW29:BN29)</f>
        <v>0</v>
      </c>
      <c r="AW29" s="1932" t="n">
        <f aca="false">(AH29*Pricing!F$3+AI29*Pricing!G$3+AJ29*Pricing!H$3+AK29*Pricing!I$3+AL29*Pricing!J$3+AM29*Pricing!K$3+AN29*Pricing!L$3+AO29*Pricing!M$3+AP29*Pricing!N$3+AQ29*Pricing!O$3)*IF(T$38="N",(1+V$38),1)</f>
        <v>0</v>
      </c>
      <c r="AX29" s="1932" t="n">
        <f aca="false">R29*F$54*IF(T$38="n",1+V$38,1)</f>
        <v>0</v>
      </c>
      <c r="AY29" s="1932" t="n">
        <f aca="false">IF(SUM(I$10:I$34)=0,0,N$66/SUM(I$10:I$34)*I29)</f>
        <v>0</v>
      </c>
      <c r="AZ29" s="2190" t="n">
        <f aca="false">C29*SUM(D$61:E$63)</f>
        <v>0</v>
      </c>
      <c r="BA29" s="1932" t="n">
        <f aca="false">C29*F29</f>
        <v>0</v>
      </c>
      <c r="BB29" s="1932" t="n">
        <f aca="false">IF(R29="",0,R29*D$65)</f>
        <v>0</v>
      </c>
      <c r="BC29" s="1934" t="n">
        <f aca="false">IF(N$67=0,0,N$67/H$61*C29)</f>
        <v>0</v>
      </c>
      <c r="BD29" s="1932"/>
      <c r="BE29" s="1932" t="n">
        <f aca="false">H29*D$87</f>
        <v>0</v>
      </c>
      <c r="BF29" s="1932" t="n">
        <f aca="false">IF(C29=0,0,SUM(N$70:O$73)/C$35*C29)</f>
        <v>0</v>
      </c>
      <c r="BG29" s="1932" t="n">
        <f aca="false">IF(C29=0,0,SUM(V$47:V$90)/C$35*C29)</f>
        <v>0</v>
      </c>
      <c r="BH29" s="1932" t="n">
        <f aca="false">IF(C29=0,0,(SUM(N$75:O$80)-N$80)/C$35*C29)</f>
        <v>0</v>
      </c>
      <c r="BI29" s="1932" t="n">
        <f aca="false">IF(C29=0,0,(SUM(N$82:N$90)+N$59-N$87-N$88)/C$35)*C29</f>
        <v>0</v>
      </c>
      <c r="BJ29" s="1932" t="n">
        <f aca="false">(P29*F$57)*IF(T$38="N",1+V$38,1)+IF(C$35=0,0,(N$58/C$35*C29))</f>
        <v>0</v>
      </c>
      <c r="BK29" s="1932" t="n">
        <f aca="false">IF(BS29&gt;0,N$88/BS$36*BS29,0)</f>
        <v>0</v>
      </c>
      <c r="BL29" s="1932" t="n">
        <f aca="false">IF(N$72=0,0,N$91/H$61*C29)</f>
        <v>0</v>
      </c>
      <c r="BM29" s="1932" t="n">
        <f aca="false">IF(G29="y",N$80/AG$35*C29,0)</f>
        <v>0</v>
      </c>
      <c r="BN29" s="1934"/>
      <c r="BO29" s="1414"/>
      <c r="BP29" s="1414"/>
      <c r="BQ29" s="1414"/>
      <c r="BR29" s="1414"/>
      <c r="BS29" s="1414" t="n">
        <f aca="false">IF(B29="Y",C29,0)</f>
        <v>0</v>
      </c>
      <c r="BT29" s="1414"/>
      <c r="BU29" s="1414"/>
      <c r="BV29" s="1414"/>
      <c r="BW29" s="1414"/>
      <c r="BX29" s="1414"/>
      <c r="BY29" s="1414"/>
      <c r="BZ29" s="1414"/>
      <c r="CA29" s="1414"/>
      <c r="CB29" s="1414"/>
      <c r="CC29" s="1414"/>
      <c r="CD29" s="1414"/>
      <c r="CE29" s="1414"/>
      <c r="CF29" s="1414"/>
      <c r="CG29" s="1414"/>
      <c r="CH29" s="1414"/>
      <c r="CI29" s="1414"/>
      <c r="CJ29" s="1414"/>
      <c r="CK29" s="1414"/>
      <c r="CL29" s="1414"/>
      <c r="CM29" s="1414"/>
      <c r="CN29" s="1414"/>
      <c r="CO29" s="1414"/>
      <c r="CP29" s="1414"/>
      <c r="CQ29" s="1414"/>
      <c r="CR29" s="1414"/>
      <c r="CS29" s="1414"/>
      <c r="CT29" s="1414"/>
      <c r="CU29" s="1414"/>
      <c r="CV29" s="1414"/>
      <c r="CW29" s="1414"/>
      <c r="CX29" s="1414"/>
      <c r="CY29" s="1414"/>
      <c r="CZ29" s="1414"/>
      <c r="DA29" s="1414"/>
      <c r="DB29" s="1414"/>
      <c r="DC29" s="1414"/>
      <c r="DD29" s="1414"/>
      <c r="DE29" s="1414"/>
      <c r="DF29" s="1414"/>
      <c r="DG29" s="1414"/>
      <c r="DH29" s="1414"/>
      <c r="DI29" s="1414"/>
      <c r="DJ29" s="1414" t="n">
        <f aca="false">A29</f>
        <v>0</v>
      </c>
      <c r="DK29" s="2191" t="n">
        <f aca="false">K29</f>
        <v>0</v>
      </c>
      <c r="DL29" s="1928" t="n">
        <f aca="false">R29</f>
        <v>0</v>
      </c>
      <c r="DM29" s="1414" t="n">
        <f aca="false">IF(F29="Y",C29,0)</f>
        <v>0</v>
      </c>
      <c r="DN29" s="2192" t="n">
        <f aca="false">C29</f>
        <v>0</v>
      </c>
    </row>
    <row r="30" s="654" customFormat="true" ht="24" hidden="false" customHeight="true" outlineLevel="0" collapsed="false">
      <c r="A30" s="2169"/>
      <c r="B30" s="1320"/>
      <c r="C30" s="2214"/>
      <c r="D30" s="2193"/>
      <c r="E30" s="2209"/>
      <c r="F30" s="2195"/>
      <c r="G30" s="2209"/>
      <c r="H30" s="2210"/>
      <c r="I30" s="2197"/>
      <c r="J30" s="2211"/>
      <c r="K30" s="2212"/>
      <c r="L30" s="2213"/>
      <c r="M30" s="41"/>
      <c r="N30" s="2209"/>
      <c r="O30" s="1320"/>
      <c r="P30" s="2181" t="n">
        <f aca="false">C30*L30/324*(1+J$57)</f>
        <v>0</v>
      </c>
      <c r="Q30" s="2182" t="n">
        <v>0</v>
      </c>
      <c r="R30" s="1515" t="n">
        <f aca="false">IF(N30=0,0,(N30/12+N30/12)/(N30/12*N30/12)*C30*((M30/16*M30/16)*10.6870159))*(1+J$54)</f>
        <v>0</v>
      </c>
      <c r="S30" s="1516" t="n">
        <f aca="false">(C30*E30/324+I30/108+K30*1.5*0.18/27)*(1+J$47)</f>
        <v>0</v>
      </c>
      <c r="T30" s="2202" t="n">
        <f aca="false">IF(C30=0,0,U30/C30)</f>
        <v>0</v>
      </c>
      <c r="U30" s="2184" t="n">
        <f aca="false">(SUM(AW30:BM30)-BL30)*(1+L$39)</f>
        <v>0</v>
      </c>
      <c r="V30" s="2184"/>
      <c r="W30" s="1414"/>
      <c r="X30" s="1414"/>
      <c r="AE30" s="1414"/>
      <c r="AF30" s="1414"/>
      <c r="AG30" s="2185" t="n">
        <f aca="false">IF(G30="y",C30,0)</f>
        <v>0</v>
      </c>
      <c r="AH30" s="2185" t="n">
        <f aca="false">IF($J30=1,$S30,0)</f>
        <v>0</v>
      </c>
      <c r="AI30" s="1414" t="n">
        <f aca="false">IF($J30=2,$S30,0)</f>
        <v>0</v>
      </c>
      <c r="AJ30" s="1414" t="n">
        <f aca="false">IF($J30=3,$S30,0)</f>
        <v>0</v>
      </c>
      <c r="AK30" s="1414" t="n">
        <f aca="false">IF($J30=4,$S30,0)</f>
        <v>0</v>
      </c>
      <c r="AL30" s="1414" t="n">
        <f aca="false">IF($J30=5,$S30,0)</f>
        <v>0</v>
      </c>
      <c r="AM30" s="1414" t="n">
        <f aca="false">IF($J30=6,$S30,0)</f>
        <v>0</v>
      </c>
      <c r="AN30" s="1414" t="n">
        <f aca="false">IF($J30=7,$S30,0)</f>
        <v>0</v>
      </c>
      <c r="AO30" s="1414" t="n">
        <f aca="false">IF($J30=8,$S30,0)</f>
        <v>0</v>
      </c>
      <c r="AP30" s="1414" t="n">
        <f aca="false">IF($J30=9,$S30,0)</f>
        <v>0</v>
      </c>
      <c r="AQ30" s="2203" t="n">
        <f aca="false">IF($J30=10,$S30,0)</f>
        <v>0</v>
      </c>
      <c r="AR30" s="1414" t="n">
        <f aca="false">SUM(AH30:AM30)</f>
        <v>0</v>
      </c>
      <c r="AS30" s="1414" t="n">
        <f aca="false">IF(F30="N",C30,0)</f>
        <v>0</v>
      </c>
      <c r="AT30" s="1414" t="n">
        <f aca="false">IF(C30=0,0,IF(E30&lt;8,C30/M$82,0))</f>
        <v>0</v>
      </c>
      <c r="AU30" s="1414" t="n">
        <f aca="false">IF(C30=0,0,IF(E30&gt;8,C30/M$82,0))</f>
        <v>0</v>
      </c>
      <c r="AV30" s="2189" t="n">
        <f aca="false">SUM(AW30:BN30)</f>
        <v>0</v>
      </c>
      <c r="AW30" s="1932" t="n">
        <f aca="false">(AH30*Pricing!F$3+AI30*Pricing!G$3+AJ30*Pricing!H$3+AK30*Pricing!I$3+AL30*Pricing!J$3+AM30*Pricing!K$3+AN30*Pricing!L$3+AO30*Pricing!M$3+AP30*Pricing!N$3+AQ30*Pricing!O$3)*IF(T$38="N",(1+V$38),1)</f>
        <v>0</v>
      </c>
      <c r="AX30" s="1932" t="n">
        <f aca="false">R30*F$54*IF(T$38="n",1+V$38,1)</f>
        <v>0</v>
      </c>
      <c r="AY30" s="1932" t="n">
        <f aca="false">IF(SUM(I$10:I$34)=0,0,N$66/SUM(I$10:I$34)*I30)</f>
        <v>0</v>
      </c>
      <c r="AZ30" s="2190" t="n">
        <f aca="false">C30*SUM(D$61:E$63)</f>
        <v>0</v>
      </c>
      <c r="BA30" s="1932" t="n">
        <f aca="false">C30*F30</f>
        <v>0</v>
      </c>
      <c r="BB30" s="1932" t="n">
        <f aca="false">IF(R30="",0,R30*D$65)</f>
        <v>0</v>
      </c>
      <c r="BC30" s="1934" t="n">
        <f aca="false">IF(N$67=0,0,N$67/H$61*C30)</f>
        <v>0</v>
      </c>
      <c r="BD30" s="1932"/>
      <c r="BE30" s="1932" t="n">
        <f aca="false">H30*D$87</f>
        <v>0</v>
      </c>
      <c r="BF30" s="1932" t="n">
        <f aca="false">IF(C30=0,0,SUM(N$70:O$73)/C$35*C30)</f>
        <v>0</v>
      </c>
      <c r="BG30" s="1932" t="n">
        <f aca="false">IF(C30=0,0,SUM(V$47:V$90)/C$35*C30)</f>
        <v>0</v>
      </c>
      <c r="BH30" s="1932" t="n">
        <f aca="false">IF(C30=0,0,(SUM(N$75:O$80)-N$80)/C$35*C30)</f>
        <v>0</v>
      </c>
      <c r="BI30" s="1932" t="n">
        <f aca="false">IF(C30=0,0,(SUM(N$82:N$90)+N$59-N$87-N$88)/C$35)*C30</f>
        <v>0</v>
      </c>
      <c r="BJ30" s="1932" t="n">
        <f aca="false">(P30*F$57)*IF(T$38="N",1+V$38,1)+IF(C$35=0,0,(N$58/C$35*C30))</f>
        <v>0</v>
      </c>
      <c r="BK30" s="1932" t="n">
        <f aca="false">IF(BS30&gt;0,N$88/BS$36*BS30,0)</f>
        <v>0</v>
      </c>
      <c r="BL30" s="1932" t="n">
        <f aca="false">IF(N$72=0,0,N$91/H$61*C30)</f>
        <v>0</v>
      </c>
      <c r="BM30" s="1932" t="n">
        <f aca="false">IF(G30="y",N$80/AG$35*C30,0)</f>
        <v>0</v>
      </c>
      <c r="BN30" s="1934"/>
      <c r="BO30" s="1414"/>
      <c r="BP30" s="1414"/>
      <c r="BQ30" s="1414"/>
      <c r="BR30" s="1414"/>
      <c r="BS30" s="1414" t="n">
        <f aca="false">IF(B30="Y",C30,0)</f>
        <v>0</v>
      </c>
      <c r="BT30" s="1414"/>
      <c r="BU30" s="1414"/>
      <c r="BV30" s="1414"/>
      <c r="BW30" s="1414"/>
      <c r="BX30" s="1414"/>
      <c r="BY30" s="1414"/>
      <c r="BZ30" s="1414"/>
      <c r="CA30" s="1414"/>
      <c r="CB30" s="1414"/>
      <c r="CC30" s="1414"/>
      <c r="CD30" s="1414"/>
      <c r="CE30" s="1414"/>
      <c r="CF30" s="1414"/>
      <c r="CG30" s="1414"/>
      <c r="CH30" s="1414"/>
      <c r="CI30" s="1414"/>
      <c r="CJ30" s="1414"/>
      <c r="CK30" s="1414"/>
      <c r="CL30" s="1414"/>
      <c r="CM30" s="1414"/>
      <c r="CN30" s="1414"/>
      <c r="CO30" s="1414"/>
      <c r="CP30" s="1414"/>
      <c r="CQ30" s="1414"/>
      <c r="CR30" s="1414"/>
      <c r="CS30" s="1414"/>
      <c r="CT30" s="1414"/>
      <c r="CU30" s="1414"/>
      <c r="CV30" s="1414"/>
      <c r="CW30" s="1414"/>
      <c r="CX30" s="1414"/>
      <c r="CY30" s="1414"/>
      <c r="CZ30" s="1414"/>
      <c r="DA30" s="1414"/>
      <c r="DB30" s="1414"/>
      <c r="DC30" s="1414"/>
      <c r="DD30" s="1414"/>
      <c r="DE30" s="1414"/>
      <c r="DF30" s="1414"/>
      <c r="DG30" s="1414"/>
      <c r="DH30" s="1414"/>
      <c r="DI30" s="1414"/>
      <c r="DJ30" s="1414" t="n">
        <f aca="false">A30</f>
        <v>0</v>
      </c>
      <c r="DK30" s="2191" t="n">
        <f aca="false">K30</f>
        <v>0</v>
      </c>
      <c r="DL30" s="1928" t="n">
        <f aca="false">R30</f>
        <v>0</v>
      </c>
      <c r="DM30" s="1414" t="n">
        <f aca="false">IF(F30="Y",C30,0)</f>
        <v>0</v>
      </c>
      <c r="DN30" s="2192" t="n">
        <f aca="false">C30</f>
        <v>0</v>
      </c>
    </row>
    <row r="31" s="654" customFormat="true" ht="24" hidden="false" customHeight="true" outlineLevel="0" collapsed="false">
      <c r="A31" s="2217" t="n">
        <f aca="false">K54-R12</f>
        <v>0</v>
      </c>
      <c r="B31" s="1320"/>
      <c r="C31" s="2214"/>
      <c r="D31" s="2193"/>
      <c r="E31" s="2209"/>
      <c r="F31" s="2195"/>
      <c r="G31" s="2209"/>
      <c r="H31" s="2210"/>
      <c r="I31" s="2197"/>
      <c r="J31" s="2211"/>
      <c r="K31" s="2212"/>
      <c r="L31" s="2213"/>
      <c r="M31" s="41"/>
      <c r="N31" s="2209"/>
      <c r="O31" s="1320"/>
      <c r="P31" s="2181" t="n">
        <f aca="false">C31*L31/324*(1+J$57)</f>
        <v>0</v>
      </c>
      <c r="Q31" s="2182" t="n">
        <v>0</v>
      </c>
      <c r="R31" s="1515" t="n">
        <f aca="false">IF(N31=0,0,(N31/12+N31/12)/(N31/12*N31/12)*C31*((M31/16*M31/16)*10.6870159))*(1+J$54)</f>
        <v>0</v>
      </c>
      <c r="S31" s="1516" t="n">
        <f aca="false">(C31*E31/324+I31/108+K31*1.5*0.18/27)*(1+J$47)</f>
        <v>0</v>
      </c>
      <c r="T31" s="2202" t="n">
        <f aca="false">IF(C31=0,0,U31/C31)</f>
        <v>0</v>
      </c>
      <c r="U31" s="2184" t="n">
        <f aca="false">(SUM(AW31:BM31)-BL31)*(1+L$39)</f>
        <v>0</v>
      </c>
      <c r="V31" s="2184"/>
      <c r="W31" s="1414"/>
      <c r="X31" s="1414"/>
      <c r="AE31" s="1414"/>
      <c r="AF31" s="1414"/>
      <c r="AG31" s="2185" t="n">
        <f aca="false">IF(G31="y",C31,0)</f>
        <v>0</v>
      </c>
      <c r="AH31" s="2185" t="n">
        <f aca="false">IF($J31=1,$S31,0)</f>
        <v>0</v>
      </c>
      <c r="AI31" s="1414" t="n">
        <f aca="false">IF($J31=2,$S31,0)</f>
        <v>0</v>
      </c>
      <c r="AJ31" s="1414" t="n">
        <f aca="false">IF($J31=3,$S31,0)</f>
        <v>0</v>
      </c>
      <c r="AK31" s="1414" t="n">
        <f aca="false">IF($J31=4,$S31,0)</f>
        <v>0</v>
      </c>
      <c r="AL31" s="1414" t="n">
        <f aca="false">IF($J31=5,$S31,0)</f>
        <v>0</v>
      </c>
      <c r="AM31" s="1414" t="n">
        <f aca="false">IF($J31=6,$S31,0)</f>
        <v>0</v>
      </c>
      <c r="AN31" s="1414" t="n">
        <f aca="false">IF($J31=7,$S31,0)</f>
        <v>0</v>
      </c>
      <c r="AO31" s="1414" t="n">
        <f aca="false">IF($J31=8,$S31,0)</f>
        <v>0</v>
      </c>
      <c r="AP31" s="1414" t="n">
        <f aca="false">IF($J31=9,$S31,0)</f>
        <v>0</v>
      </c>
      <c r="AQ31" s="2203" t="n">
        <f aca="false">IF($J31=10,$S31,0)</f>
        <v>0</v>
      </c>
      <c r="AR31" s="1414" t="n">
        <f aca="false">SUM(AH31:AM31)</f>
        <v>0</v>
      </c>
      <c r="AS31" s="1414" t="n">
        <f aca="false">IF(F31="N",C31,0)</f>
        <v>0</v>
      </c>
      <c r="AT31" s="1414" t="n">
        <f aca="false">IF(C31=0,0,IF(E31&lt;8,C31/M$82,0))</f>
        <v>0</v>
      </c>
      <c r="AU31" s="1414" t="n">
        <f aca="false">IF(C31=0,0,IF(E31&gt;8,C31/M$82,0))</f>
        <v>0</v>
      </c>
      <c r="AV31" s="2189" t="n">
        <f aca="false">SUM(AW31:BN31)</f>
        <v>0</v>
      </c>
      <c r="AW31" s="1932" t="n">
        <f aca="false">(AH31*Pricing!F$3+AI31*Pricing!G$3+AJ31*Pricing!H$3+AK31*Pricing!I$3+AL31*Pricing!J$3+AM31*Pricing!K$3+AN31*Pricing!L$3+AO31*Pricing!M$3+AP31*Pricing!N$3+AQ31*Pricing!O$3)*IF(T$38="N",(1+V$38),1)</f>
        <v>0</v>
      </c>
      <c r="AX31" s="1932" t="n">
        <f aca="false">R31*F$54*IF(T$38="n",1+V$38,1)</f>
        <v>0</v>
      </c>
      <c r="AY31" s="1932" t="n">
        <f aca="false">IF(SUM(I$10:I$34)=0,0,N$66/SUM(I$10:I$34)*I31)</f>
        <v>0</v>
      </c>
      <c r="AZ31" s="2190" t="n">
        <f aca="false">C31*SUM(D$61:E$63)</f>
        <v>0</v>
      </c>
      <c r="BA31" s="1932" t="n">
        <f aca="false">C31*F31</f>
        <v>0</v>
      </c>
      <c r="BB31" s="1932" t="n">
        <f aca="false">IF(R31="",0,R31*D$65)</f>
        <v>0</v>
      </c>
      <c r="BC31" s="1934" t="n">
        <f aca="false">IF(N$67=0,0,N$67/H$61*C31)</f>
        <v>0</v>
      </c>
      <c r="BD31" s="1932"/>
      <c r="BE31" s="1932" t="n">
        <f aca="false">H31*D$87</f>
        <v>0</v>
      </c>
      <c r="BF31" s="1932" t="n">
        <f aca="false">IF(C31=0,0,SUM(N$70:O$73)/C$35*C31)</f>
        <v>0</v>
      </c>
      <c r="BG31" s="1932" t="n">
        <f aca="false">IF(C31=0,0,SUM(V$47:V$90)/C$35*C31)</f>
        <v>0</v>
      </c>
      <c r="BH31" s="1932" t="n">
        <f aca="false">IF(C31=0,0,(SUM(N$75:O$80)-N$80)/C$35*C31)</f>
        <v>0</v>
      </c>
      <c r="BI31" s="1932" t="n">
        <f aca="false">IF(C31=0,0,(SUM(N$82:N$90)+N$59-N$87-N$88)/C$35)*C31</f>
        <v>0</v>
      </c>
      <c r="BJ31" s="1932" t="n">
        <f aca="false">(P31*F$57)*IF(T$38="N",1+V$38,1)+IF(C$35=0,0,(N$58/C$35*C31))</f>
        <v>0</v>
      </c>
      <c r="BK31" s="1932" t="n">
        <f aca="false">IF(BS31&gt;0,N$88/BS$36*BS31,0)</f>
        <v>0</v>
      </c>
      <c r="BL31" s="1932" t="n">
        <f aca="false">IF(N$72=0,0,N$91/H$61*C31)</f>
        <v>0</v>
      </c>
      <c r="BM31" s="1932" t="n">
        <f aca="false">IF(G31="y",N$80/AG$35*C31,0)</f>
        <v>0</v>
      </c>
      <c r="BN31" s="1934"/>
      <c r="BO31" s="1414"/>
      <c r="BP31" s="1414"/>
      <c r="BQ31" s="1414"/>
      <c r="BR31" s="1414"/>
      <c r="BS31" s="1414" t="n">
        <f aca="false">IF(B31="Y",C31,0)</f>
        <v>0</v>
      </c>
      <c r="BT31" s="1414"/>
      <c r="BU31" s="1414"/>
      <c r="BV31" s="1414"/>
      <c r="BW31" s="1414"/>
      <c r="BX31" s="1414"/>
      <c r="BY31" s="1414"/>
      <c r="BZ31" s="1414"/>
      <c r="CA31" s="1414"/>
      <c r="CB31" s="1414"/>
      <c r="CC31" s="1414"/>
      <c r="CD31" s="1414"/>
      <c r="CE31" s="1414"/>
      <c r="CF31" s="1414"/>
      <c r="CG31" s="1414"/>
      <c r="CH31" s="1414"/>
      <c r="CI31" s="1414"/>
      <c r="CJ31" s="1414"/>
      <c r="CK31" s="1414"/>
      <c r="CL31" s="1414"/>
      <c r="CM31" s="1414"/>
      <c r="CN31" s="1414"/>
      <c r="CO31" s="1414"/>
      <c r="CP31" s="1414"/>
      <c r="CQ31" s="1414"/>
      <c r="CR31" s="1414"/>
      <c r="CS31" s="1414"/>
      <c r="CT31" s="1414"/>
      <c r="CU31" s="1414"/>
      <c r="CV31" s="1414"/>
      <c r="CW31" s="1414"/>
      <c r="CX31" s="1414"/>
      <c r="CY31" s="1414"/>
      <c r="CZ31" s="1414"/>
      <c r="DA31" s="1414"/>
      <c r="DB31" s="1414"/>
      <c r="DC31" s="1414"/>
      <c r="DD31" s="1414"/>
      <c r="DE31" s="1414"/>
      <c r="DF31" s="1414"/>
      <c r="DG31" s="1414"/>
      <c r="DH31" s="1414"/>
      <c r="DI31" s="1414"/>
      <c r="DJ31" s="2218" t="n">
        <f aca="false">A31</f>
        <v>0</v>
      </c>
      <c r="DK31" s="2191" t="n">
        <f aca="false">K31</f>
        <v>0</v>
      </c>
      <c r="DL31" s="1928" t="n">
        <f aca="false">R31</f>
        <v>0</v>
      </c>
      <c r="DM31" s="1414" t="n">
        <f aca="false">IF(F31="Y",C31,0)</f>
        <v>0</v>
      </c>
      <c r="DN31" s="2192" t="n">
        <f aca="false">C31</f>
        <v>0</v>
      </c>
    </row>
    <row r="32" s="654" customFormat="true" ht="24" hidden="false" customHeight="true" outlineLevel="0" collapsed="false">
      <c r="A32" s="2217" t="n">
        <f aca="false">A31/2000</f>
        <v>0</v>
      </c>
      <c r="B32" s="1320"/>
      <c r="C32" s="2214"/>
      <c r="D32" s="2193"/>
      <c r="E32" s="2209"/>
      <c r="F32" s="2195"/>
      <c r="G32" s="2209"/>
      <c r="H32" s="2210"/>
      <c r="I32" s="2197"/>
      <c r="J32" s="2211"/>
      <c r="K32" s="2212"/>
      <c r="L32" s="2213"/>
      <c r="M32" s="41"/>
      <c r="N32" s="2209"/>
      <c r="O32" s="1320"/>
      <c r="P32" s="2181" t="n">
        <f aca="false">C32*L32/324*(1+J$57)</f>
        <v>0</v>
      </c>
      <c r="Q32" s="2182" t="n">
        <v>0</v>
      </c>
      <c r="R32" s="1515" t="n">
        <f aca="false">IF(N32=0,0,(N32/12+N32/12)/(N32/12*N32/12)*C32*((M32/16*M32/16)*10.6870159))*(1+J$54)</f>
        <v>0</v>
      </c>
      <c r="S32" s="1516" t="n">
        <f aca="false">(C32*E32/324+I32/108+K32*1.5*0.18/27)*(1+J$47)</f>
        <v>0</v>
      </c>
      <c r="T32" s="2202" t="n">
        <f aca="false">IF(C32=0,0,U32/C32)</f>
        <v>0</v>
      </c>
      <c r="U32" s="2184" t="n">
        <f aca="false">(SUM(AW32:BM32)-BL32)*(1+L$39)</f>
        <v>0</v>
      </c>
      <c r="V32" s="2184"/>
      <c r="W32" s="1414"/>
      <c r="X32" s="1414"/>
      <c r="AE32" s="1414"/>
      <c r="AF32" s="1414"/>
      <c r="AG32" s="2185" t="n">
        <f aca="false">IF(G32="y",C32,0)</f>
        <v>0</v>
      </c>
      <c r="AH32" s="2185" t="n">
        <f aca="false">IF($J32=1,$S32,0)</f>
        <v>0</v>
      </c>
      <c r="AI32" s="1414" t="n">
        <f aca="false">IF($J32=2,$S32,0)</f>
        <v>0</v>
      </c>
      <c r="AJ32" s="1414" t="n">
        <f aca="false">IF($J32=3,$S32,0)</f>
        <v>0</v>
      </c>
      <c r="AK32" s="1414" t="n">
        <f aca="false">IF($J32=4,$S32,0)</f>
        <v>0</v>
      </c>
      <c r="AL32" s="1414" t="n">
        <f aca="false">IF($J32=5,$S32,0)</f>
        <v>0</v>
      </c>
      <c r="AM32" s="1414" t="n">
        <f aca="false">IF($J32=6,$S32,0)</f>
        <v>0</v>
      </c>
      <c r="AN32" s="1414" t="n">
        <f aca="false">IF($J32=7,$S32,0)</f>
        <v>0</v>
      </c>
      <c r="AO32" s="1414" t="n">
        <f aca="false">IF($J32=8,$S32,0)</f>
        <v>0</v>
      </c>
      <c r="AP32" s="1414" t="n">
        <f aca="false">IF($J32=9,$S32,0)</f>
        <v>0</v>
      </c>
      <c r="AQ32" s="2203" t="n">
        <f aca="false">IF($J32=10,$S32,0)</f>
        <v>0</v>
      </c>
      <c r="AR32" s="1414" t="n">
        <f aca="false">SUM(AH32:AM32)</f>
        <v>0</v>
      </c>
      <c r="AS32" s="1414" t="n">
        <f aca="false">IF(F32="N",C32,0)</f>
        <v>0</v>
      </c>
      <c r="AT32" s="1414" t="n">
        <f aca="false">IF(C32=0,0,IF(E32&lt;8,C32/M$82,0))</f>
        <v>0</v>
      </c>
      <c r="AU32" s="1414" t="n">
        <f aca="false">IF(C32=0,0,IF(E32&gt;8,C32/M$82,0))</f>
        <v>0</v>
      </c>
      <c r="AV32" s="2189" t="n">
        <f aca="false">SUM(AW32:BN32)</f>
        <v>0</v>
      </c>
      <c r="AW32" s="1932" t="n">
        <f aca="false">(AH32*Pricing!F$3+AI32*Pricing!G$3+AJ32*Pricing!H$3+AK32*Pricing!I$3+AL32*Pricing!J$3+AM32*Pricing!K$3+AN32*Pricing!L$3+AO32*Pricing!M$3+AP32*Pricing!N$3+AQ32*Pricing!O$3)*IF(T$38="N",(1+V$38),1)</f>
        <v>0</v>
      </c>
      <c r="AX32" s="1932" t="n">
        <f aca="false">R32*F$54*IF(T$38="n",1+V$38,1)</f>
        <v>0</v>
      </c>
      <c r="AY32" s="1932" t="n">
        <f aca="false">IF(SUM(I$10:I$34)=0,0,N$66/SUM(I$10:I$34)*I32)</f>
        <v>0</v>
      </c>
      <c r="AZ32" s="2190" t="n">
        <f aca="false">C32*SUM(D$61:E$63)</f>
        <v>0</v>
      </c>
      <c r="BA32" s="1932" t="n">
        <f aca="false">C32*F32</f>
        <v>0</v>
      </c>
      <c r="BB32" s="1932" t="n">
        <f aca="false">IF(R32="",0,R32*D$65)</f>
        <v>0</v>
      </c>
      <c r="BC32" s="1934" t="n">
        <f aca="false">IF(N$67=0,0,N$67/H$61*C32)</f>
        <v>0</v>
      </c>
      <c r="BD32" s="1932"/>
      <c r="BE32" s="1932" t="n">
        <f aca="false">H32*D$87</f>
        <v>0</v>
      </c>
      <c r="BF32" s="1932" t="n">
        <f aca="false">IF(C32=0,0,SUM(N$70:O$73)/C$35*C32)</f>
        <v>0</v>
      </c>
      <c r="BG32" s="1932" t="n">
        <f aca="false">IF(C32=0,0,SUM(V$47:V$90)/C$35*C32)</f>
        <v>0</v>
      </c>
      <c r="BH32" s="1932" t="n">
        <f aca="false">IF(C32=0,0,(SUM(N$75:O$80)-N$80)/C$35*C32)</f>
        <v>0</v>
      </c>
      <c r="BI32" s="1932" t="n">
        <f aca="false">IF(C32=0,0,(SUM(N$82:N$90)+N$59-N$87-N$88)/C$35)*C32</f>
        <v>0</v>
      </c>
      <c r="BJ32" s="1932" t="n">
        <f aca="false">(P32*F$57)*IF(T$38="N",1+V$38,1)+IF(C$35=0,0,(N$58/C$35*C32))</f>
        <v>0</v>
      </c>
      <c r="BK32" s="1932" t="n">
        <f aca="false">IF(BS32&gt;0,N$88/BS$36*BS32,0)</f>
        <v>0</v>
      </c>
      <c r="BL32" s="1932" t="n">
        <f aca="false">IF(N$72=0,0,N$91/H$61*C32)</f>
        <v>0</v>
      </c>
      <c r="BM32" s="1932" t="n">
        <f aca="false">IF(G32="y",N$80/AG$35*C32,0)</f>
        <v>0</v>
      </c>
      <c r="BN32" s="1934"/>
      <c r="BO32" s="1414"/>
      <c r="BP32" s="1414"/>
      <c r="BQ32" s="1414"/>
      <c r="BR32" s="1414"/>
      <c r="BS32" s="1414" t="n">
        <f aca="false">IF(B32="Y",C32,0)</f>
        <v>0</v>
      </c>
      <c r="BT32" s="1414"/>
      <c r="BU32" s="1414"/>
      <c r="BV32" s="1414"/>
      <c r="BW32" s="1414"/>
      <c r="BX32" s="1414"/>
      <c r="BY32" s="1414"/>
      <c r="BZ32" s="1414"/>
      <c r="CA32" s="1414"/>
      <c r="CB32" s="1414"/>
      <c r="CC32" s="1414"/>
      <c r="CD32" s="1414"/>
      <c r="CE32" s="1414"/>
      <c r="CF32" s="1414"/>
      <c r="CG32" s="1414"/>
      <c r="CH32" s="1414"/>
      <c r="CI32" s="1414"/>
      <c r="CJ32" s="1414"/>
      <c r="CK32" s="1414"/>
      <c r="CL32" s="1414"/>
      <c r="CM32" s="1414"/>
      <c r="CN32" s="1414"/>
      <c r="CO32" s="1414"/>
      <c r="CP32" s="1414"/>
      <c r="CQ32" s="1414"/>
      <c r="CR32" s="1414"/>
      <c r="CS32" s="1414"/>
      <c r="CT32" s="1414"/>
      <c r="CU32" s="1414"/>
      <c r="CV32" s="1414"/>
      <c r="CW32" s="1414"/>
      <c r="CX32" s="1414"/>
      <c r="CY32" s="1414"/>
      <c r="CZ32" s="1414"/>
      <c r="DA32" s="1414"/>
      <c r="DB32" s="1414"/>
      <c r="DC32" s="1414"/>
      <c r="DD32" s="1414"/>
      <c r="DE32" s="1414"/>
      <c r="DF32" s="1414"/>
      <c r="DG32" s="1414"/>
      <c r="DH32" s="1414"/>
      <c r="DI32" s="1414"/>
      <c r="DJ32" s="2218" t="n">
        <f aca="false">A32</f>
        <v>0</v>
      </c>
      <c r="DK32" s="2191" t="n">
        <f aca="false">K32</f>
        <v>0</v>
      </c>
      <c r="DL32" s="1928" t="n">
        <f aca="false">R32</f>
        <v>0</v>
      </c>
      <c r="DM32" s="1414" t="n">
        <f aca="false">IF(F32="Y",C32,0)</f>
        <v>0</v>
      </c>
      <c r="DN32" s="2192" t="n">
        <f aca="false">C32</f>
        <v>0</v>
      </c>
    </row>
    <row r="33" s="654" customFormat="true" ht="24" hidden="false" customHeight="true" outlineLevel="0" collapsed="false">
      <c r="A33" s="1041"/>
      <c r="B33" s="1320"/>
      <c r="C33" s="2214"/>
      <c r="D33" s="2193"/>
      <c r="E33" s="2209"/>
      <c r="F33" s="2195"/>
      <c r="G33" s="2209"/>
      <c r="H33" s="2210"/>
      <c r="I33" s="2197"/>
      <c r="J33" s="2211"/>
      <c r="K33" s="2212"/>
      <c r="L33" s="2213"/>
      <c r="M33" s="41"/>
      <c r="N33" s="2209"/>
      <c r="O33" s="1320"/>
      <c r="P33" s="2181" t="n">
        <f aca="false">C33*L33/324*(1+J$57)</f>
        <v>0</v>
      </c>
      <c r="Q33" s="2182" t="n">
        <v>0</v>
      </c>
      <c r="R33" s="1515" t="n">
        <f aca="false">IF(N33=0,0,(N33/12+N33/12)/(N33/12*N33/12)*C33*((M33/16*M33/16)*10.6870159))*(1+J$54)</f>
        <v>0</v>
      </c>
      <c r="S33" s="1516" t="n">
        <f aca="false">(C33*E33/324+I33/108+K33*1.5*0.18/27)*(1+J$47)</f>
        <v>0</v>
      </c>
      <c r="T33" s="2202" t="n">
        <f aca="false">IF(C33=0,0,U33/C33)</f>
        <v>0</v>
      </c>
      <c r="U33" s="2184" t="n">
        <f aca="false">(SUM(AW33:BM33)-BL33)*(1+L$39)</f>
        <v>0</v>
      </c>
      <c r="V33" s="2184"/>
      <c r="W33" s="1414"/>
      <c r="X33" s="1414"/>
      <c r="AE33" s="1414"/>
      <c r="AF33" s="1414"/>
      <c r="AG33" s="2185" t="n">
        <f aca="false">IF(G33="y",C33,0)</f>
        <v>0</v>
      </c>
      <c r="AH33" s="2185" t="n">
        <f aca="false">IF($J33=1,$S33,0)</f>
        <v>0</v>
      </c>
      <c r="AI33" s="1414" t="n">
        <f aca="false">IF($J33=2,$S33,0)</f>
        <v>0</v>
      </c>
      <c r="AJ33" s="1414" t="n">
        <f aca="false">IF($J33=3,$S33,0)</f>
        <v>0</v>
      </c>
      <c r="AK33" s="1414" t="n">
        <f aca="false">IF($J33=4,$S33,0)</f>
        <v>0</v>
      </c>
      <c r="AL33" s="1414" t="n">
        <f aca="false">IF($J33=5,$S33,0)</f>
        <v>0</v>
      </c>
      <c r="AM33" s="1414" t="n">
        <f aca="false">IF($J33=6,$S33,0)</f>
        <v>0</v>
      </c>
      <c r="AN33" s="1414" t="n">
        <f aca="false">IF($J33=7,$S33,0)</f>
        <v>0</v>
      </c>
      <c r="AO33" s="1414" t="n">
        <f aca="false">IF($J33=8,$S33,0)</f>
        <v>0</v>
      </c>
      <c r="AP33" s="1414" t="n">
        <f aca="false">IF($J33=9,$S33,0)</f>
        <v>0</v>
      </c>
      <c r="AQ33" s="2203" t="n">
        <f aca="false">IF($J33=10,$S33,0)</f>
        <v>0</v>
      </c>
      <c r="AR33" s="1414" t="n">
        <f aca="false">SUM(AH33:AM33)</f>
        <v>0</v>
      </c>
      <c r="AS33" s="1414" t="n">
        <f aca="false">IF(F33="N",C33,0)</f>
        <v>0</v>
      </c>
      <c r="AT33" s="1414" t="n">
        <f aca="false">IF(C33=0,0,IF(E33&lt;8,C33/M$82,0))</f>
        <v>0</v>
      </c>
      <c r="AU33" s="1414" t="n">
        <f aca="false">IF(C33=0,0,IF(E33&gt;8,C33/M$82,0))</f>
        <v>0</v>
      </c>
      <c r="AV33" s="2189" t="n">
        <f aca="false">SUM(AW33:BN33)</f>
        <v>0</v>
      </c>
      <c r="AW33" s="1932" t="n">
        <f aca="false">(AH33*Pricing!F$3+AI33*Pricing!G$3+AJ33*Pricing!H$3+AK33*Pricing!I$3+AL33*Pricing!J$3+AM33*Pricing!K$3+AN33*Pricing!L$3+AO33*Pricing!M$3+AP33*Pricing!N$3+AQ33*Pricing!O$3)*IF(T$38="N",(1+V$38),1)</f>
        <v>0</v>
      </c>
      <c r="AX33" s="1932" t="n">
        <f aca="false">R33*F$54*IF(T$38="n",1+V$38,1)</f>
        <v>0</v>
      </c>
      <c r="AY33" s="1932" t="n">
        <f aca="false">IF(SUM(I$10:I$34)=0,0,N$66/SUM(I$10:I$34)*I33)</f>
        <v>0</v>
      </c>
      <c r="AZ33" s="2190" t="n">
        <f aca="false">C33*SUM(D$61:E$63)</f>
        <v>0</v>
      </c>
      <c r="BA33" s="1932" t="n">
        <f aca="false">C33*F33</f>
        <v>0</v>
      </c>
      <c r="BB33" s="1932" t="n">
        <f aca="false">IF(R33="",0,R33*D$65)</f>
        <v>0</v>
      </c>
      <c r="BC33" s="1934" t="n">
        <f aca="false">IF(N$67=0,0,N$67/H$61*C33)</f>
        <v>0</v>
      </c>
      <c r="BD33" s="1932"/>
      <c r="BE33" s="1932" t="n">
        <f aca="false">H33*D$87</f>
        <v>0</v>
      </c>
      <c r="BF33" s="1932" t="n">
        <f aca="false">IF(C33=0,0,SUM(N$70:O$73)/C$35*C33)</f>
        <v>0</v>
      </c>
      <c r="BG33" s="1932" t="n">
        <f aca="false">IF(C33=0,0,SUM(V$47:V$90)/C$35*C33)</f>
        <v>0</v>
      </c>
      <c r="BH33" s="1932" t="n">
        <f aca="false">IF(C33=0,0,(SUM(N$75:O$80)-N$80)/C$35*C33)</f>
        <v>0</v>
      </c>
      <c r="BI33" s="1932" t="n">
        <f aca="false">IF(C33=0,0,(SUM(N$82:N$90)+N$59-N$87-N$88)/C$35)*C33</f>
        <v>0</v>
      </c>
      <c r="BJ33" s="1932" t="n">
        <f aca="false">(P33*F$57)*IF(T$38="N",1+V$38,1)+IF(C$35=0,0,(N$58/C$35*C33))</f>
        <v>0</v>
      </c>
      <c r="BK33" s="1932" t="n">
        <f aca="false">IF(BS33&gt;0,N$88/BS$36*BS33,0)</f>
        <v>0</v>
      </c>
      <c r="BL33" s="1932" t="n">
        <f aca="false">IF(N$72=0,0,N$91/H$61*C33)</f>
        <v>0</v>
      </c>
      <c r="BM33" s="1932" t="n">
        <f aca="false">IF(G33="y",N$80/AG$35*C33,0)</f>
        <v>0</v>
      </c>
      <c r="BN33" s="1934"/>
      <c r="BO33" s="1414"/>
      <c r="BP33" s="1414"/>
      <c r="BQ33" s="1414"/>
      <c r="BR33" s="1414"/>
      <c r="BS33" s="1414" t="n">
        <f aca="false">IF(B33="Y",C33,0)</f>
        <v>0</v>
      </c>
      <c r="BT33" s="1414"/>
      <c r="BU33" s="1414"/>
      <c r="BV33" s="1414"/>
      <c r="BW33" s="1414"/>
      <c r="BX33" s="1414"/>
      <c r="BY33" s="1414"/>
      <c r="BZ33" s="1414"/>
      <c r="CA33" s="1414"/>
      <c r="CB33" s="1414"/>
      <c r="CC33" s="1414"/>
      <c r="CD33" s="1414"/>
      <c r="CE33" s="1414"/>
      <c r="CF33" s="1414"/>
      <c r="CG33" s="1414"/>
      <c r="CH33" s="1414"/>
      <c r="CI33" s="1414"/>
      <c r="CJ33" s="1414"/>
      <c r="CK33" s="1414"/>
      <c r="CL33" s="1414"/>
      <c r="CM33" s="1414"/>
      <c r="CN33" s="1414"/>
      <c r="CO33" s="1414"/>
      <c r="CP33" s="1414"/>
      <c r="CQ33" s="1414"/>
      <c r="CR33" s="1414"/>
      <c r="CS33" s="1414"/>
      <c r="CT33" s="1414"/>
      <c r="CU33" s="1414"/>
      <c r="CV33" s="1414"/>
      <c r="CW33" s="1414"/>
      <c r="CX33" s="1414"/>
      <c r="CY33" s="1414"/>
      <c r="CZ33" s="1414"/>
      <c r="DA33" s="1414"/>
      <c r="DB33" s="1414"/>
      <c r="DC33" s="1414"/>
      <c r="DD33" s="1414"/>
      <c r="DE33" s="1414"/>
      <c r="DF33" s="1414"/>
      <c r="DG33" s="1414"/>
      <c r="DH33" s="1414"/>
      <c r="DI33" s="1414"/>
      <c r="DJ33" s="1414" t="n">
        <f aca="false">A33</f>
        <v>0</v>
      </c>
      <c r="DK33" s="2191" t="n">
        <f aca="false">K33</f>
        <v>0</v>
      </c>
      <c r="DL33" s="1928" t="n">
        <f aca="false">R33</f>
        <v>0</v>
      </c>
      <c r="DM33" s="1414" t="n">
        <f aca="false">IF(F33="Y",C33,0)</f>
        <v>0</v>
      </c>
      <c r="DN33" s="2192" t="n">
        <f aca="false">C33</f>
        <v>0</v>
      </c>
    </row>
    <row r="34" s="654" customFormat="true" ht="24" hidden="false" customHeight="true" outlineLevel="0" collapsed="false">
      <c r="A34" s="1109"/>
      <c r="B34" s="1760"/>
      <c r="C34" s="2219"/>
      <c r="D34" s="2220"/>
      <c r="E34" s="2221"/>
      <c r="F34" s="2222"/>
      <c r="G34" s="2221"/>
      <c r="H34" s="2223"/>
      <c r="I34" s="2224"/>
      <c r="J34" s="2225"/>
      <c r="K34" s="2226"/>
      <c r="L34" s="2227"/>
      <c r="M34" s="2228"/>
      <c r="N34" s="2221"/>
      <c r="O34" s="2229"/>
      <c r="P34" s="2230" t="n">
        <f aca="false">C34*L34/324*(1+J$57)</f>
        <v>0</v>
      </c>
      <c r="Q34" s="2231" t="n">
        <v>0</v>
      </c>
      <c r="R34" s="2232" t="n">
        <f aca="false">IF(N34=0,0,(N34/12+N34/12)/(N34/12*N34/12)*C34*((M34/16*M34/16)*10.6870159))*(1+J$54)</f>
        <v>0</v>
      </c>
      <c r="S34" s="1516" t="n">
        <f aca="false">(C34*E34/324+I34/108+K34*1.5*0.18/27)*(1+J$47)</f>
        <v>0</v>
      </c>
      <c r="T34" s="2233" t="n">
        <f aca="false">IF(C34=0,0,U34/C34)</f>
        <v>0</v>
      </c>
      <c r="U34" s="2234" t="n">
        <f aca="false">(SUM(AW34:BM34)-BL34)*(1+L$39)</f>
        <v>0</v>
      </c>
      <c r="V34" s="2234"/>
      <c r="W34" s="1414"/>
      <c r="X34" s="1414"/>
      <c r="AE34" s="1414"/>
      <c r="AF34" s="1414"/>
      <c r="AG34" s="2235" t="n">
        <f aca="false">IF(G34="y",C34,0)</f>
        <v>0</v>
      </c>
      <c r="AH34" s="2235" t="n">
        <f aca="false">IF($J34=1,$S34,0)</f>
        <v>0</v>
      </c>
      <c r="AI34" s="1705" t="n">
        <f aca="false">IF($J34=2,$S34,0)</f>
        <v>0</v>
      </c>
      <c r="AJ34" s="1705" t="n">
        <f aca="false">IF($J34=3,$S34,0)</f>
        <v>0</v>
      </c>
      <c r="AK34" s="1705" t="n">
        <f aca="false">IF($J34=4,$S34,0)</f>
        <v>0</v>
      </c>
      <c r="AL34" s="1705" t="n">
        <f aca="false">IF($J34=5,$S34,0)</f>
        <v>0</v>
      </c>
      <c r="AM34" s="1705" t="n">
        <f aca="false">IF($J34=6,$S34,0)</f>
        <v>0</v>
      </c>
      <c r="AN34" s="1705" t="n">
        <f aca="false">IF($J34=7,$S34,0)</f>
        <v>0</v>
      </c>
      <c r="AO34" s="1705" t="n">
        <f aca="false">IF($J34=8,$S34,0)</f>
        <v>0</v>
      </c>
      <c r="AP34" s="1705" t="n">
        <f aca="false">IF($J34=9,$S34,0)</f>
        <v>0</v>
      </c>
      <c r="AQ34" s="2003" t="n">
        <f aca="false">IF($J34=10,$S34,0)</f>
        <v>0</v>
      </c>
      <c r="AR34" s="1705" t="n">
        <f aca="false">SUM(AH34:AM34)</f>
        <v>0</v>
      </c>
      <c r="AS34" s="1705" t="n">
        <f aca="false">IF(F34="N",C34,0)</f>
        <v>0</v>
      </c>
      <c r="AT34" s="1705" t="n">
        <f aca="false">IF(C34=0,0,IF(E34&lt;8,C34/M$82,0))</f>
        <v>0</v>
      </c>
      <c r="AU34" s="1705" t="n">
        <f aca="false">IF(C34=0,0,IF(E34&gt;8,C34/M$82,0))</f>
        <v>0</v>
      </c>
      <c r="AV34" s="2236" t="n">
        <f aca="false">SUM(AW34:BN34)</f>
        <v>0</v>
      </c>
      <c r="AW34" s="1932" t="n">
        <f aca="false">(AH34*Pricing!F$3+AI34*Pricing!G$3+AJ34*Pricing!H$3+AK34*Pricing!I$3+AL34*Pricing!J$3+AM34*Pricing!K$3+AN34*Pricing!L$3+AO34*Pricing!M$3+AP34*Pricing!N$3+AQ34*Pricing!O$3)*IF(T$38="N",(1+V$38),1)</f>
        <v>0</v>
      </c>
      <c r="AX34" s="1932" t="n">
        <f aca="false">R34*F$54*IF(T$38="n",1+V$38,1)</f>
        <v>0</v>
      </c>
      <c r="AY34" s="1932" t="n">
        <f aca="false">IF(SUM(I$10:I$34)=0,0,N$66/SUM(I$10:I$34)*I34)</f>
        <v>0</v>
      </c>
      <c r="AZ34" s="2190" t="n">
        <f aca="false">C34*SUM(D$61:E$63)</f>
        <v>0</v>
      </c>
      <c r="BA34" s="1932" t="n">
        <f aca="false">C34*F34</f>
        <v>0</v>
      </c>
      <c r="BB34" s="1932" t="n">
        <f aca="false">IF(R34="",0,R34*D$65)</f>
        <v>0</v>
      </c>
      <c r="BC34" s="1934" t="n">
        <f aca="false">IF(N$67=0,0,N$67/H$61*C34)</f>
        <v>0</v>
      </c>
      <c r="BD34" s="1932"/>
      <c r="BE34" s="1932" t="n">
        <f aca="false">H34*D$87</f>
        <v>0</v>
      </c>
      <c r="BF34" s="1932" t="n">
        <f aca="false">IF(C34=0,0,SUM(N$70:O$73)/C$35*C34)</f>
        <v>0</v>
      </c>
      <c r="BG34" s="1932" t="n">
        <f aca="false">IF(C34=0,0,SUM(V$47:V$90)/C$35*C34)</f>
        <v>0</v>
      </c>
      <c r="BH34" s="1932" t="n">
        <f aca="false">IF(C34=0,0,(SUM(N$75:O$80)-N$80)/C$35*C34)</f>
        <v>0</v>
      </c>
      <c r="BI34" s="1932" t="n">
        <f aca="false">IF(C34=0,0,(SUM(N$82:N$90)+N$59-N$87-N$88)/C$35)*C34</f>
        <v>0</v>
      </c>
      <c r="BJ34" s="1932" t="n">
        <f aca="false">(P34*F$57)*IF(T$38="N",1+V$38,1)+IF(C$35=0,0,(N$58/C$35*C34))</f>
        <v>0</v>
      </c>
      <c r="BK34" s="1932" t="n">
        <f aca="false">IF(BS34&gt;0,N$88/BS$36*BS34,0)</f>
        <v>0</v>
      </c>
      <c r="BL34" s="1932" t="n">
        <f aca="false">IF(N$72=0,0,N$91/H$61*C34)</f>
        <v>0</v>
      </c>
      <c r="BM34" s="1932" t="n">
        <f aca="false">IF(G34="y",N$80/AG$35*C34,0)</f>
        <v>0</v>
      </c>
      <c r="BN34" s="1934"/>
      <c r="BO34" s="1414"/>
      <c r="BP34" s="1414"/>
      <c r="BQ34" s="1414"/>
      <c r="BR34" s="1414"/>
      <c r="BS34" s="1414" t="n">
        <f aca="false">IF(B34="Y",C34,0)</f>
        <v>0</v>
      </c>
      <c r="BT34" s="1414"/>
      <c r="BU34" s="1414"/>
      <c r="BV34" s="1414"/>
      <c r="BW34" s="1414"/>
      <c r="BX34" s="1414"/>
      <c r="BY34" s="1414"/>
      <c r="BZ34" s="1414"/>
      <c r="CA34" s="1414"/>
      <c r="CB34" s="1414"/>
      <c r="CC34" s="1414"/>
      <c r="CD34" s="1414"/>
      <c r="CE34" s="1414"/>
      <c r="CF34" s="1414"/>
      <c r="CG34" s="1414"/>
      <c r="CH34" s="1414"/>
      <c r="CI34" s="1414"/>
      <c r="CJ34" s="1414"/>
      <c r="CK34" s="1414"/>
      <c r="CL34" s="1414"/>
      <c r="CM34" s="1414"/>
      <c r="CN34" s="1414"/>
      <c r="CO34" s="1414"/>
      <c r="CP34" s="1414"/>
      <c r="CQ34" s="1414"/>
      <c r="CR34" s="1414"/>
      <c r="CS34" s="1414"/>
      <c r="CT34" s="1414"/>
      <c r="CU34" s="1414"/>
      <c r="CV34" s="1414"/>
      <c r="CW34" s="1414"/>
      <c r="CX34" s="1414"/>
      <c r="CY34" s="1414"/>
      <c r="CZ34" s="1414"/>
      <c r="DA34" s="1414"/>
      <c r="DB34" s="1414"/>
      <c r="DC34" s="1414"/>
      <c r="DD34" s="1414"/>
      <c r="DE34" s="1414"/>
      <c r="DF34" s="1414"/>
      <c r="DG34" s="1414"/>
      <c r="DH34" s="1414"/>
      <c r="DI34" s="1414"/>
      <c r="DJ34" s="1414" t="n">
        <f aca="false">A34</f>
        <v>0</v>
      </c>
      <c r="DK34" s="2191" t="n">
        <f aca="false">K34</f>
        <v>0</v>
      </c>
      <c r="DL34" s="1928" t="n">
        <f aca="false">R34</f>
        <v>0</v>
      </c>
      <c r="DM34" s="1414" t="n">
        <f aca="false">IF(F34="Y",C34,0)</f>
        <v>0</v>
      </c>
      <c r="DN34" s="2192" t="n">
        <f aca="false">C34</f>
        <v>0</v>
      </c>
    </row>
    <row r="35" s="654" customFormat="true" ht="24" hidden="false" customHeight="true" outlineLevel="0" collapsed="false">
      <c r="A35" s="599" t="n">
        <f aca="false">956</f>
        <v>956</v>
      </c>
      <c r="B35" s="2237" t="e">
        <f aca="false">A35/C35</f>
        <v>#DIV/0!</v>
      </c>
      <c r="C35" s="1587" t="n">
        <f aca="false">SUM(C10:D34)</f>
        <v>0</v>
      </c>
      <c r="D35" s="1587"/>
      <c r="E35" s="16" t="s">
        <v>1533</v>
      </c>
      <c r="F35" s="16"/>
      <c r="G35" s="16"/>
      <c r="H35" s="16"/>
      <c r="I35" s="2238" t="n">
        <f aca="false">SUM(I10:I34)</f>
        <v>0</v>
      </c>
      <c r="J35" s="16"/>
      <c r="K35" s="2239"/>
      <c r="L35" s="405"/>
      <c r="M35" s="2240" t="n">
        <f aca="false">SUM(R10:R34)</f>
        <v>0</v>
      </c>
      <c r="N35" s="2240"/>
      <c r="O35" s="2241" t="s">
        <v>1778</v>
      </c>
      <c r="P35" s="593"/>
      <c r="Q35" s="594"/>
      <c r="R35" s="939" t="n">
        <f aca="false">SUM(S10:S34)</f>
        <v>0</v>
      </c>
      <c r="S35" s="2242" t="s">
        <v>1219</v>
      </c>
      <c r="T35" s="2243"/>
      <c r="U35" s="525"/>
      <c r="V35" s="2244" t="n">
        <f aca="false">SUM(U10:V34)</f>
        <v>0</v>
      </c>
      <c r="W35" s="1414"/>
      <c r="X35" s="1414"/>
      <c r="AE35" s="1414"/>
      <c r="AF35" s="1414"/>
      <c r="AG35" s="2185" t="n">
        <f aca="false">SUM(AG10:AG34)</f>
        <v>0</v>
      </c>
      <c r="AH35" s="1414" t="n">
        <f aca="false">SUM(AH10:AH34)</f>
        <v>0</v>
      </c>
      <c r="AI35" s="1414" t="n">
        <f aca="false">SUM(AI10:AI34)</f>
        <v>0</v>
      </c>
      <c r="AJ35" s="1414" t="n">
        <f aca="false">SUM(AJ10:AJ34)</f>
        <v>0</v>
      </c>
      <c r="AK35" s="1414" t="n">
        <f aca="false">SUM(AK10:AK34)</f>
        <v>0</v>
      </c>
      <c r="AL35" s="1414" t="n">
        <f aca="false">SUM(AL10:AL34)</f>
        <v>0</v>
      </c>
      <c r="AM35" s="1414" t="n">
        <f aca="false">SUM(AM10:AM34)</f>
        <v>0</v>
      </c>
      <c r="AN35" s="1414" t="n">
        <f aca="false">SUM(AN10:AN34)</f>
        <v>0</v>
      </c>
      <c r="AO35" s="1414" t="n">
        <f aca="false">SUM(AO10:AO34)</f>
        <v>0</v>
      </c>
      <c r="AP35" s="1414" t="n">
        <f aca="false">SUM(AP10:AP34)</f>
        <v>0</v>
      </c>
      <c r="AQ35" s="1414" t="n">
        <f aca="false">SUM(AQ10:AQ34)</f>
        <v>0</v>
      </c>
      <c r="AR35" s="1414" t="n">
        <f aca="false">SUM(AR10:AR34)</f>
        <v>0</v>
      </c>
      <c r="AS35" s="1414" t="n">
        <f aca="false">SUM(AS10:AS34)</f>
        <v>0</v>
      </c>
      <c r="AT35" s="1414" t="n">
        <f aca="false">ROUNDUP(SUM(AT10:AT34),0)</f>
        <v>0</v>
      </c>
      <c r="AU35" s="1414" t="n">
        <f aca="false">ROUNDUP(SUM(AU10:AU34),0)</f>
        <v>0</v>
      </c>
      <c r="AV35" s="2245" t="n">
        <f aca="false">SUM(AV10:AV34)</f>
        <v>0</v>
      </c>
      <c r="AW35" s="2246" t="n">
        <f aca="false">SUM(AW10:AW34)</f>
        <v>0</v>
      </c>
      <c r="AX35" s="2247" t="n">
        <f aca="false">SUM(AX10:AX34)</f>
        <v>0</v>
      </c>
      <c r="AY35" s="2247" t="n">
        <f aca="false">SUM(AY10:AY34)</f>
        <v>0</v>
      </c>
      <c r="AZ35" s="2247" t="n">
        <f aca="false">SUM(AZ10:AZ34)</f>
        <v>0</v>
      </c>
      <c r="BA35" s="2247" t="n">
        <f aca="false">SUM(BA10:BA34)</f>
        <v>0</v>
      </c>
      <c r="BB35" s="2247" t="n">
        <f aca="false">SUM(BB10:BB34)</f>
        <v>0</v>
      </c>
      <c r="BC35" s="2247" t="n">
        <f aca="false">SUM(BC10:BC34)</f>
        <v>0</v>
      </c>
      <c r="BD35" s="2247" t="n">
        <f aca="false">SUM(BD10:BD34)</f>
        <v>0</v>
      </c>
      <c r="BE35" s="2247" t="n">
        <f aca="false">SUM(BE10:BE34)</f>
        <v>0</v>
      </c>
      <c r="BF35" s="2247" t="n">
        <f aca="false">SUM(BF10:BF34)</f>
        <v>0</v>
      </c>
      <c r="BG35" s="2247" t="n">
        <f aca="false">SUM(BG10:BG34)</f>
        <v>0</v>
      </c>
      <c r="BH35" s="2247" t="n">
        <f aca="false">SUM(BH10:BH34)</f>
        <v>0</v>
      </c>
      <c r="BI35" s="2247" t="n">
        <f aca="false">SUM(BI10:BI34)</f>
        <v>0</v>
      </c>
      <c r="BJ35" s="2247" t="n">
        <f aca="false">SUM(BJ10:BJ34)</f>
        <v>0</v>
      </c>
      <c r="BK35" s="2247" t="n">
        <f aca="false">SUM(BK10:BK34)</f>
        <v>0</v>
      </c>
      <c r="BL35" s="2247" t="n">
        <f aca="false">SUM(BL10:BL34)</f>
        <v>0</v>
      </c>
      <c r="BM35" s="2247" t="n">
        <f aca="false">SUM(BM10:BM34)</f>
        <v>0</v>
      </c>
      <c r="BN35" s="2248"/>
      <c r="BO35" s="1414"/>
      <c r="BP35" s="1414"/>
      <c r="BQ35" s="1414"/>
      <c r="BR35" s="1414"/>
      <c r="BS35" s="1414"/>
      <c r="BT35" s="1414"/>
      <c r="BU35" s="1414"/>
      <c r="BV35" s="1414"/>
      <c r="BW35" s="1414"/>
      <c r="BX35" s="1414"/>
      <c r="BY35" s="1414"/>
      <c r="BZ35" s="1414"/>
      <c r="CA35" s="1414"/>
      <c r="CB35" s="1414"/>
      <c r="CC35" s="1414"/>
      <c r="CD35" s="1414"/>
      <c r="CE35" s="1414"/>
      <c r="CF35" s="1414"/>
      <c r="CG35" s="1414"/>
      <c r="CH35" s="1414"/>
      <c r="CI35" s="1414"/>
      <c r="CJ35" s="1414"/>
      <c r="CK35" s="1414"/>
      <c r="CL35" s="1414"/>
      <c r="CM35" s="1414"/>
      <c r="CN35" s="1414"/>
      <c r="CO35" s="1414"/>
      <c r="CP35" s="1414"/>
      <c r="CQ35" s="1414"/>
      <c r="CR35" s="1414"/>
      <c r="CS35" s="1414"/>
      <c r="CT35" s="1414"/>
      <c r="CU35" s="1414"/>
      <c r="CV35" s="1414"/>
      <c r="CW35" s="1414"/>
      <c r="CX35" s="1414"/>
      <c r="CY35" s="1414"/>
      <c r="CZ35" s="1414"/>
      <c r="DA35" s="1414"/>
      <c r="DB35" s="1414"/>
      <c r="DC35" s="1414"/>
      <c r="DD35" s="1414"/>
      <c r="DE35" s="1414"/>
      <c r="DF35" s="1414"/>
      <c r="DG35" s="1414"/>
      <c r="DH35" s="1414"/>
      <c r="DI35" s="1414"/>
      <c r="DJ35" s="2249" t="n">
        <f aca="false">V35-D39</f>
        <v>0</v>
      </c>
      <c r="DK35" s="2250"/>
      <c r="DL35" s="2250"/>
      <c r="DM35" s="2250"/>
      <c r="DN35" s="2251"/>
    </row>
    <row r="36" s="654" customFormat="true" ht="24" hidden="false" customHeight="true" outlineLevel="0" collapsed="false">
      <c r="A36" s="599"/>
      <c r="B36" s="16"/>
      <c r="C36" s="16"/>
      <c r="D36" s="16"/>
      <c r="E36" s="2252" t="n">
        <f aca="false">SUM(C16:D26)</f>
        <v>0</v>
      </c>
      <c r="F36" s="2252"/>
      <c r="G36" s="2252"/>
      <c r="H36" s="2252"/>
      <c r="I36" s="16"/>
      <c r="J36" s="16"/>
      <c r="K36" s="16"/>
      <c r="L36" s="405"/>
      <c r="M36" s="405"/>
      <c r="N36" s="405"/>
      <c r="O36" s="405"/>
      <c r="P36" s="16"/>
      <c r="Q36" s="16"/>
      <c r="R36" s="16"/>
      <c r="S36" s="16"/>
      <c r="T36" s="2253"/>
      <c r="U36" s="2253"/>
      <c r="V36" s="2244" t="n">
        <f aca="false">V35-D39</f>
        <v>0</v>
      </c>
      <c r="W36" s="1414"/>
      <c r="X36" s="1414"/>
      <c r="AE36" s="1414"/>
      <c r="AF36" s="1414"/>
      <c r="AG36" s="2185"/>
      <c r="AH36" s="1414"/>
      <c r="AI36" s="1414"/>
      <c r="AJ36" s="1414"/>
      <c r="AK36" s="1414"/>
      <c r="AL36" s="1414"/>
      <c r="AM36" s="1414"/>
      <c r="AN36" s="1414"/>
      <c r="AO36" s="1414"/>
      <c r="AP36" s="1414"/>
      <c r="AQ36" s="1414"/>
      <c r="AR36" s="1414"/>
      <c r="AS36" s="1414"/>
      <c r="AT36" s="1414"/>
      <c r="AU36" s="1414"/>
      <c r="AV36" s="2245" t="n">
        <f aca="false">T39</f>
        <v>0</v>
      </c>
      <c r="AW36" s="2254" t="n">
        <f aca="false">SUM(N47:O53)</f>
        <v>0</v>
      </c>
      <c r="AX36" s="2255" t="n">
        <f aca="false">SUM(N54:O56)</f>
        <v>0</v>
      </c>
      <c r="AY36" s="2255" t="n">
        <f aca="false">N66</f>
        <v>0</v>
      </c>
      <c r="AZ36" s="2255" t="n">
        <f aca="false">SUM(N61:O63)</f>
        <v>0</v>
      </c>
      <c r="BA36" s="2255" t="n">
        <f aca="false">N64</f>
        <v>0</v>
      </c>
      <c r="BB36" s="2255" t="n">
        <f aca="false">N65</f>
        <v>0</v>
      </c>
      <c r="BC36" s="2255" t="n">
        <f aca="false">N67</f>
        <v>0</v>
      </c>
      <c r="BD36" s="1254"/>
      <c r="BE36" s="2255" t="n">
        <f aca="false">N87</f>
        <v>0</v>
      </c>
      <c r="BF36" s="2255" t="n">
        <f aca="false">L71+N73</f>
        <v>0</v>
      </c>
      <c r="BG36" s="2255" t="n">
        <f aca="false">V92</f>
        <v>0</v>
      </c>
      <c r="BH36" s="2255" t="n">
        <f aca="false">L77</f>
        <v>0</v>
      </c>
      <c r="BI36" s="2255" t="n">
        <f aca="false">SUM(N82:O90)-N87-N88</f>
        <v>0</v>
      </c>
      <c r="BJ36" s="2255" t="n">
        <f aca="false">N57+N58</f>
        <v>0</v>
      </c>
      <c r="BK36" s="2255" t="n">
        <f aca="false">N88</f>
        <v>0</v>
      </c>
      <c r="BL36" s="2255" t="n">
        <f aca="false">N91</f>
        <v>0</v>
      </c>
      <c r="BM36" s="1254"/>
      <c r="BN36" s="2256"/>
      <c r="BO36" s="1414"/>
      <c r="BP36" s="1414"/>
      <c r="BQ36" s="1414"/>
      <c r="BR36" s="1414"/>
      <c r="BS36" s="1414" t="n">
        <f aca="false">SUM(BS10:BS35)</f>
        <v>0</v>
      </c>
      <c r="BT36" s="1414"/>
      <c r="BU36" s="1414"/>
      <c r="BV36" s="1414"/>
      <c r="BW36" s="1414"/>
      <c r="BX36" s="1414"/>
      <c r="BY36" s="1414"/>
      <c r="BZ36" s="1414"/>
      <c r="CA36" s="1414"/>
      <c r="CB36" s="1414"/>
      <c r="CC36" s="1414"/>
      <c r="CD36" s="1414"/>
      <c r="CE36" s="1414"/>
      <c r="CF36" s="1414"/>
      <c r="CG36" s="1414"/>
      <c r="CH36" s="1414"/>
      <c r="CI36" s="1414"/>
      <c r="CJ36" s="1414"/>
      <c r="CK36" s="1414"/>
      <c r="CL36" s="1414"/>
      <c r="CM36" s="1414"/>
      <c r="CN36" s="1414"/>
      <c r="CO36" s="1414"/>
      <c r="CP36" s="1414"/>
      <c r="CQ36" s="1414"/>
      <c r="CR36" s="1414"/>
      <c r="CS36" s="1414"/>
      <c r="CT36" s="1414"/>
      <c r="CU36" s="1414"/>
      <c r="CV36" s="1414"/>
      <c r="CW36" s="1414"/>
      <c r="CX36" s="1414"/>
      <c r="CY36" s="1414"/>
      <c r="CZ36" s="1414"/>
      <c r="DA36" s="1414"/>
      <c r="DB36" s="1414"/>
      <c r="DC36" s="1414"/>
      <c r="DD36" s="1414"/>
      <c r="DE36" s="1414"/>
      <c r="DF36" s="1414"/>
      <c r="DG36" s="1414"/>
      <c r="DH36" s="1414"/>
      <c r="DI36" s="1414"/>
      <c r="DJ36" s="1414"/>
      <c r="DK36" s="1414"/>
      <c r="DL36" s="1414"/>
      <c r="DM36" s="1414"/>
      <c r="DN36" s="1414"/>
    </row>
    <row r="37" s="654" customFormat="true" ht="24" hidden="false" customHeight="true" outlineLevel="0" collapsed="false">
      <c r="A37" s="949"/>
      <c r="B37" s="950"/>
      <c r="C37" s="951" t="s">
        <v>1261</v>
      </c>
      <c r="D37" s="1639"/>
      <c r="E37" s="1639"/>
      <c r="F37" s="2257"/>
      <c r="G37" s="950"/>
      <c r="H37" s="950"/>
      <c r="I37" s="950"/>
      <c r="J37" s="950"/>
      <c r="K37" s="954"/>
      <c r="L37" s="950"/>
      <c r="M37" s="950"/>
      <c r="N37" s="950"/>
      <c r="O37" s="950"/>
      <c r="P37" s="950"/>
      <c r="Q37" s="950"/>
      <c r="R37" s="950"/>
      <c r="S37" s="950"/>
      <c r="T37" s="950"/>
      <c r="U37" s="950"/>
      <c r="V37" s="1165"/>
      <c r="W37" s="1414"/>
      <c r="X37" s="1414"/>
      <c r="AE37" s="1414"/>
      <c r="AF37" s="1414"/>
      <c r="AG37" s="2235"/>
      <c r="AH37" s="1705"/>
      <c r="AI37" s="1705"/>
      <c r="AJ37" s="1705"/>
      <c r="AK37" s="1705"/>
      <c r="AL37" s="1705"/>
      <c r="AM37" s="1705"/>
      <c r="AN37" s="1705"/>
      <c r="AO37" s="1705"/>
      <c r="AP37" s="1705"/>
      <c r="AQ37" s="1705"/>
      <c r="AR37" s="1705"/>
      <c r="AS37" s="1705"/>
      <c r="AT37" s="1705"/>
      <c r="AU37" s="1705"/>
      <c r="AV37" s="2236" t="n">
        <f aca="false">AV35-AV36</f>
        <v>0</v>
      </c>
      <c r="AW37" s="1948" t="n">
        <f aca="false">AW35-AW36</f>
        <v>0</v>
      </c>
      <c r="AX37" s="1948" t="n">
        <f aca="false">AX35-AX36</f>
        <v>0</v>
      </c>
      <c r="AY37" s="1948" t="n">
        <f aca="false">AY35-AY36</f>
        <v>0</v>
      </c>
      <c r="AZ37" s="1948" t="n">
        <f aca="false">AZ35-AZ36</f>
        <v>0</v>
      </c>
      <c r="BA37" s="1948" t="n">
        <f aca="false">BA35-BA36</f>
        <v>0</v>
      </c>
      <c r="BB37" s="1948" t="n">
        <f aca="false">BB35-BB36</f>
        <v>0</v>
      </c>
      <c r="BC37" s="1948" t="n">
        <f aca="false">BC35-BC36</f>
        <v>0</v>
      </c>
      <c r="BD37" s="1948" t="n">
        <f aca="false">BD35-BD36</f>
        <v>0</v>
      </c>
      <c r="BE37" s="1948" t="n">
        <f aca="false">BE35-BE36</f>
        <v>0</v>
      </c>
      <c r="BF37" s="1948" t="n">
        <f aca="false">BF35-BF36</f>
        <v>0</v>
      </c>
      <c r="BG37" s="1948" t="n">
        <f aca="false">BG35-BG36</f>
        <v>0</v>
      </c>
      <c r="BH37" s="1948" t="n">
        <f aca="false">BH35-BH36</f>
        <v>0</v>
      </c>
      <c r="BI37" s="1948" t="n">
        <f aca="false">BI35-BI36</f>
        <v>0</v>
      </c>
      <c r="BJ37" s="1948" t="n">
        <f aca="false">BJ35-BJ36</f>
        <v>0</v>
      </c>
      <c r="BK37" s="1948" t="n">
        <f aca="false">BK35-BK36</f>
        <v>0</v>
      </c>
      <c r="BL37" s="1948" t="n">
        <f aca="false">BL35-BL36</f>
        <v>0</v>
      </c>
      <c r="BM37" s="1948" t="n">
        <f aca="false">BM35-BM36</f>
        <v>0</v>
      </c>
      <c r="BN37" s="1948" t="n">
        <f aca="false">BN35-BN36</f>
        <v>0</v>
      </c>
      <c r="BO37" s="1414"/>
      <c r="BP37" s="1414"/>
      <c r="BQ37" s="1414"/>
      <c r="BR37" s="1414"/>
      <c r="BS37" s="1414"/>
      <c r="BT37" s="1414"/>
      <c r="BU37" s="1414"/>
      <c r="BV37" s="1414"/>
      <c r="BW37" s="1414"/>
      <c r="BX37" s="1414"/>
      <c r="BY37" s="1414"/>
      <c r="BZ37" s="1414"/>
      <c r="CA37" s="1414"/>
      <c r="CB37" s="1414"/>
      <c r="CC37" s="1414"/>
      <c r="CD37" s="1414"/>
      <c r="CE37" s="1414"/>
      <c r="CF37" s="1414"/>
      <c r="CG37" s="1414"/>
      <c r="CH37" s="1414"/>
      <c r="CI37" s="1414"/>
      <c r="CJ37" s="1414"/>
      <c r="CK37" s="1414"/>
      <c r="CL37" s="1414"/>
      <c r="CM37" s="1414"/>
      <c r="CN37" s="1414"/>
      <c r="CO37" s="1414"/>
      <c r="CP37" s="1414"/>
      <c r="CQ37" s="1414"/>
      <c r="CR37" s="1414"/>
      <c r="CS37" s="1414"/>
      <c r="CT37" s="1414"/>
      <c r="CU37" s="1414"/>
      <c r="CV37" s="1414"/>
      <c r="CW37" s="1414"/>
      <c r="CX37" s="1414"/>
      <c r="CY37" s="1414"/>
      <c r="CZ37" s="1414"/>
      <c r="DA37" s="1414"/>
      <c r="DB37" s="1414"/>
      <c r="DC37" s="1414"/>
      <c r="DD37" s="1414"/>
      <c r="DE37" s="1414"/>
      <c r="DF37" s="1414"/>
      <c r="DG37" s="1414"/>
      <c r="DH37" s="1414"/>
      <c r="DI37" s="1414"/>
      <c r="DJ37" s="1414"/>
      <c r="DK37" s="1414"/>
      <c r="DL37" s="1414"/>
      <c r="DM37" s="1414"/>
      <c r="DN37" s="1414"/>
    </row>
    <row r="38" s="654" customFormat="true" ht="24" hidden="false" customHeight="true" outlineLevel="0" collapsed="false">
      <c r="A38" s="958" t="s">
        <v>1262</v>
      </c>
      <c r="B38" s="958"/>
      <c r="C38" s="958"/>
      <c r="D38" s="958"/>
      <c r="E38" s="958"/>
      <c r="F38" s="958" t="s">
        <v>1263</v>
      </c>
      <c r="G38" s="958"/>
      <c r="H38" s="958"/>
      <c r="I38" s="959" t="s">
        <v>1264</v>
      </c>
      <c r="J38" s="959"/>
      <c r="K38" s="959"/>
      <c r="L38" s="1170" t="s">
        <v>1265</v>
      </c>
      <c r="M38" s="1170"/>
      <c r="N38" s="1171"/>
      <c r="O38" s="1172"/>
      <c r="P38" s="961"/>
      <c r="Q38" s="599" t="s">
        <v>1266</v>
      </c>
      <c r="R38" s="16"/>
      <c r="S38" s="16" t="s">
        <v>1267</v>
      </c>
      <c r="T38" s="2258" t="str">
        <f aca="false">Summary!P62</f>
        <v>N</v>
      </c>
      <c r="U38" s="833" t="s">
        <v>1268</v>
      </c>
      <c r="V38" s="2259" t="n">
        <f aca="false">Summary!R62</f>
        <v>0.0825</v>
      </c>
      <c r="W38" s="1414"/>
      <c r="X38" s="1414"/>
      <c r="AE38" s="1414"/>
      <c r="AF38" s="1414"/>
      <c r="AG38" s="1414"/>
      <c r="AH38" s="1414"/>
      <c r="AI38" s="1414"/>
      <c r="AJ38" s="1414"/>
      <c r="AK38" s="1414"/>
      <c r="AL38" s="1414"/>
      <c r="AM38" s="1414"/>
      <c r="AN38" s="1414"/>
      <c r="AO38" s="1414"/>
      <c r="AP38" s="1414"/>
      <c r="AQ38" s="1414"/>
      <c r="AR38" s="1414"/>
      <c r="AS38" s="1414"/>
      <c r="AT38" s="1414"/>
      <c r="AU38" s="1414"/>
      <c r="AV38" s="1414"/>
      <c r="AW38" s="1414"/>
      <c r="AX38" s="1414"/>
      <c r="AY38" s="1414"/>
      <c r="AZ38" s="1414"/>
      <c r="BA38" s="1414"/>
      <c r="BB38" s="1414"/>
      <c r="BC38" s="1414"/>
      <c r="BD38" s="1414"/>
      <c r="BE38" s="1414"/>
      <c r="BF38" s="1414"/>
      <c r="BG38" s="1414"/>
      <c r="BH38" s="1414"/>
      <c r="BI38" s="1414"/>
      <c r="BJ38" s="1414"/>
      <c r="BK38" s="1414"/>
      <c r="BL38" s="1414"/>
      <c r="BM38" s="1414"/>
      <c r="BN38" s="1414"/>
      <c r="BO38" s="1414"/>
      <c r="BP38" s="1414"/>
      <c r="BQ38" s="1414"/>
      <c r="BR38" s="1414"/>
      <c r="BS38" s="1414"/>
      <c r="BT38" s="1414"/>
      <c r="BU38" s="1414"/>
      <c r="BV38" s="1414"/>
      <c r="BW38" s="1414"/>
      <c r="BX38" s="1414"/>
      <c r="BY38" s="1414"/>
      <c r="BZ38" s="1414"/>
      <c r="CA38" s="1414"/>
      <c r="CB38" s="1414"/>
      <c r="CC38" s="1414"/>
      <c r="CD38" s="1414"/>
      <c r="CE38" s="1414"/>
      <c r="CF38" s="1414"/>
      <c r="CG38" s="1414"/>
      <c r="CH38" s="1414"/>
      <c r="CI38" s="1414"/>
      <c r="CJ38" s="1414"/>
      <c r="CK38" s="1414"/>
      <c r="CL38" s="1414"/>
      <c r="CM38" s="1414"/>
      <c r="CN38" s="1414"/>
      <c r="CO38" s="1414"/>
      <c r="CP38" s="1414"/>
      <c r="CQ38" s="1414"/>
      <c r="CR38" s="1414"/>
      <c r="CS38" s="1414"/>
      <c r="CT38" s="1414"/>
      <c r="CU38" s="1414"/>
      <c r="CV38" s="1414"/>
      <c r="CW38" s="1414"/>
      <c r="CX38" s="1414"/>
      <c r="CY38" s="1414"/>
      <c r="CZ38" s="1414"/>
      <c r="DA38" s="1414"/>
      <c r="DB38" s="1414"/>
      <c r="DC38" s="1414"/>
      <c r="DD38" s="1414"/>
      <c r="DE38" s="1414"/>
      <c r="DF38" s="1414"/>
      <c r="DG38" s="1414"/>
      <c r="DH38" s="1414"/>
      <c r="DI38" s="1414"/>
      <c r="DJ38" s="1414"/>
      <c r="DK38" s="1414"/>
      <c r="DL38" s="1414"/>
      <c r="DM38" s="1414"/>
      <c r="DN38" s="1414"/>
    </row>
    <row r="39" s="654" customFormat="true" ht="24" hidden="false" customHeight="true" outlineLevel="0" collapsed="false">
      <c r="A39" s="965" t="s">
        <v>1269</v>
      </c>
      <c r="B39" s="966" t="n">
        <f aca="false">IF(C35=0,0,D39/C35)</f>
        <v>0</v>
      </c>
      <c r="C39" s="966"/>
      <c r="D39" s="967" t="n">
        <f aca="false">(T39-N91)*(1+L39)</f>
        <v>0</v>
      </c>
      <c r="E39" s="967"/>
      <c r="F39" s="968" t="n">
        <f aca="false">IF(G39=0,0,G39/D39)</f>
        <v>0</v>
      </c>
      <c r="G39" s="736" t="n">
        <f aca="false">(D39-T39)</f>
        <v>0</v>
      </c>
      <c r="H39" s="736"/>
      <c r="I39" s="1264" t="n">
        <f aca="false">IF(C35=0,0,T39/C35)</f>
        <v>0</v>
      </c>
      <c r="J39" s="1264"/>
      <c r="K39" s="1264"/>
      <c r="L39" s="2260" t="n">
        <f aca="false">Summary!P59</f>
        <v>0.18</v>
      </c>
      <c r="M39" s="2260"/>
      <c r="N39" s="2260"/>
      <c r="O39" s="2260"/>
      <c r="P39" s="961"/>
      <c r="Q39" s="970" t="s">
        <v>980</v>
      </c>
      <c r="R39" s="16"/>
      <c r="S39" s="16"/>
      <c r="T39" s="971" t="n">
        <f aca="false">SUM(N47:O59)+SUM(N61:O67)+SUM(N70:O72)+SUM(N75:O80)+SUM(N82:O90)+V92+SUM(K61:L67)+N91+N73</f>
        <v>0</v>
      </c>
      <c r="U39" s="971"/>
      <c r="V39" s="843"/>
      <c r="W39" s="1414"/>
      <c r="X39" s="1414"/>
      <c r="AE39" s="1414"/>
      <c r="AF39" s="1414"/>
      <c r="AG39" s="1414"/>
      <c r="AH39" s="1414"/>
      <c r="AI39" s="1414"/>
      <c r="AJ39" s="1414"/>
      <c r="AK39" s="1414"/>
      <c r="AL39" s="1414"/>
      <c r="AM39" s="1414"/>
      <c r="AN39" s="1414"/>
      <c r="AO39" s="1414"/>
      <c r="AP39" s="1414"/>
      <c r="AQ39" s="1414"/>
      <c r="AR39" s="1414"/>
      <c r="AS39" s="1414"/>
      <c r="AT39" s="1414"/>
      <c r="AU39" s="1414"/>
      <c r="AV39" s="1414"/>
      <c r="AW39" s="1414"/>
      <c r="AX39" s="1414"/>
      <c r="AY39" s="1414"/>
      <c r="AZ39" s="1414"/>
      <c r="BA39" s="1414"/>
      <c r="BB39" s="1414"/>
      <c r="BC39" s="1414"/>
      <c r="BD39" s="1414"/>
      <c r="BE39" s="1414"/>
      <c r="BF39" s="1414"/>
      <c r="BG39" s="1414"/>
      <c r="BH39" s="1414"/>
      <c r="BI39" s="1414"/>
      <c r="BJ39" s="1414"/>
      <c r="BK39" s="1414"/>
      <c r="BL39" s="1414"/>
      <c r="BM39" s="1414"/>
      <c r="BN39" s="1414"/>
      <c r="BO39" s="1414"/>
      <c r="BP39" s="1414"/>
      <c r="BQ39" s="1414"/>
      <c r="BR39" s="1414"/>
      <c r="BS39" s="1414"/>
      <c r="BT39" s="1414"/>
      <c r="BU39" s="1414"/>
      <c r="BV39" s="1414"/>
      <c r="BW39" s="1414"/>
      <c r="BX39" s="1414"/>
      <c r="BY39" s="1414"/>
      <c r="BZ39" s="1414"/>
      <c r="CA39" s="1414"/>
      <c r="CB39" s="1414"/>
      <c r="CC39" s="1414"/>
      <c r="CD39" s="1414"/>
      <c r="CE39" s="1414"/>
      <c r="CF39" s="1414"/>
      <c r="CG39" s="1414"/>
      <c r="CH39" s="1414"/>
      <c r="CI39" s="1414"/>
      <c r="CJ39" s="1414"/>
      <c r="CK39" s="1414"/>
      <c r="CL39" s="1414"/>
      <c r="CM39" s="1414"/>
      <c r="CN39" s="1414"/>
      <c r="CO39" s="1414"/>
      <c r="CP39" s="1414"/>
      <c r="CQ39" s="1414"/>
      <c r="CR39" s="1414"/>
      <c r="CS39" s="1414"/>
      <c r="CT39" s="1414"/>
      <c r="CU39" s="1414"/>
      <c r="CV39" s="1414"/>
      <c r="CW39" s="1414"/>
      <c r="CX39" s="1414"/>
      <c r="CY39" s="1414"/>
      <c r="CZ39" s="1414"/>
      <c r="DA39" s="1414"/>
      <c r="DB39" s="1414"/>
      <c r="DC39" s="1414"/>
      <c r="DD39" s="1414"/>
      <c r="DE39" s="1414"/>
      <c r="DF39" s="1414"/>
      <c r="DG39" s="1414"/>
      <c r="DH39" s="1414"/>
      <c r="DI39" s="1414"/>
      <c r="DJ39" s="1414"/>
      <c r="DK39" s="1414"/>
      <c r="DL39" s="1414"/>
      <c r="DM39" s="1414"/>
      <c r="DN39" s="1414"/>
    </row>
    <row r="40" s="654" customFormat="true" ht="24" hidden="false" customHeight="true" outlineLevel="0" collapsed="false">
      <c r="A40" s="972"/>
      <c r="B40" s="973"/>
      <c r="C40" s="974" t="str">
        <f aca="false">IF(ROUND(D40,0)=0,"BINGO!!",IF(ROUND(D40,0)&lt;0,"To Low","T0 High"))</f>
        <v>BINGO!!</v>
      </c>
      <c r="D40" s="2261" t="n">
        <f aca="false">D39-D37</f>
        <v>0</v>
      </c>
      <c r="E40" s="2261"/>
      <c r="F40" s="973"/>
      <c r="G40" s="973"/>
      <c r="H40" s="976" t="s">
        <v>1270</v>
      </c>
      <c r="I40" s="977"/>
      <c r="J40" s="1664"/>
      <c r="K40" s="1664"/>
      <c r="L40" s="979"/>
      <c r="M40" s="1665" t="n">
        <f aca="false">IF(J40&gt;0,(J40-D39)/(1+L39),0)</f>
        <v>0</v>
      </c>
      <c r="N40" s="1665"/>
      <c r="O40" s="973"/>
      <c r="P40" s="981"/>
      <c r="Q40" s="982"/>
      <c r="R40" s="973"/>
      <c r="S40" s="973"/>
      <c r="T40" s="983" t="n">
        <f aca="false">AV35</f>
        <v>0</v>
      </c>
      <c r="U40" s="983"/>
      <c r="V40" s="984"/>
      <c r="W40" s="1414"/>
      <c r="X40" s="1414"/>
      <c r="AE40" s="1414"/>
      <c r="AF40" s="1414"/>
      <c r="AG40" s="1414"/>
      <c r="AH40" s="1414"/>
      <c r="AI40" s="1414"/>
      <c r="AJ40" s="1414"/>
      <c r="AK40" s="1414"/>
      <c r="AL40" s="1414"/>
      <c r="AM40" s="1414"/>
      <c r="AN40" s="1414"/>
      <c r="AO40" s="1414"/>
      <c r="AP40" s="1414"/>
      <c r="AQ40" s="1414"/>
      <c r="AR40" s="1414"/>
      <c r="AS40" s="1414"/>
      <c r="AT40" s="1414"/>
      <c r="AU40" s="1414"/>
      <c r="AV40" s="1414"/>
      <c r="BO40" s="1414"/>
      <c r="BP40" s="1414"/>
      <c r="BQ40" s="1414"/>
      <c r="BR40" s="1414"/>
      <c r="BS40" s="1414"/>
      <c r="BT40" s="1414"/>
      <c r="BU40" s="1414"/>
      <c r="BV40" s="1414"/>
      <c r="BW40" s="1414"/>
      <c r="BX40" s="1414"/>
      <c r="BY40" s="1414"/>
      <c r="BZ40" s="1414"/>
      <c r="CA40" s="1414"/>
      <c r="CB40" s="1414"/>
      <c r="CC40" s="1414"/>
      <c r="CD40" s="1414"/>
      <c r="CE40" s="1414"/>
      <c r="CF40" s="1414"/>
      <c r="CG40" s="1414"/>
      <c r="CH40" s="1414"/>
      <c r="CI40" s="1414"/>
      <c r="CJ40" s="1414"/>
      <c r="CK40" s="1414"/>
      <c r="CL40" s="1414"/>
      <c r="CM40" s="1414"/>
      <c r="CN40" s="1414"/>
      <c r="CO40" s="1414"/>
      <c r="CP40" s="1414"/>
      <c r="CQ40" s="1414"/>
      <c r="CR40" s="1414"/>
      <c r="CS40" s="1414"/>
      <c r="CT40" s="1414"/>
      <c r="CU40" s="1414"/>
      <c r="CV40" s="1414"/>
      <c r="CW40" s="1414"/>
      <c r="CX40" s="1414"/>
      <c r="CY40" s="1414"/>
      <c r="CZ40" s="1414"/>
      <c r="DA40" s="1414"/>
      <c r="DB40" s="1414"/>
      <c r="DC40" s="1414"/>
      <c r="DD40" s="1414"/>
      <c r="DE40" s="1414"/>
      <c r="DF40" s="1414"/>
      <c r="DG40" s="1414"/>
      <c r="DH40" s="1414"/>
      <c r="DI40" s="1414"/>
      <c r="DJ40" s="1414"/>
      <c r="DK40" s="1414"/>
      <c r="DL40" s="1414"/>
      <c r="DM40" s="1414"/>
      <c r="DN40" s="1414"/>
    </row>
    <row r="41" s="654" customFormat="true" ht="20.25" hidden="false" customHeight="true" outlineLevel="0" collapsed="false">
      <c r="A41" s="16" t="s">
        <v>1697</v>
      </c>
      <c r="B41" s="2262" t="s">
        <v>1779</v>
      </c>
      <c r="C41" s="994"/>
      <c r="D41" s="994"/>
      <c r="E41" s="2263"/>
      <c r="F41" s="994"/>
      <c r="G41" s="994"/>
      <c r="H41" s="994"/>
      <c r="I41" s="994"/>
      <c r="J41" s="994"/>
      <c r="K41" s="994"/>
      <c r="L41" s="994"/>
      <c r="M41" s="2264"/>
      <c r="N41" s="990" t="s">
        <v>721</v>
      </c>
      <c r="O41" s="990"/>
      <c r="U41" s="656" t="n">
        <f aca="false">T39-T40</f>
        <v>0</v>
      </c>
    </row>
    <row r="42" s="654" customFormat="true" ht="18.75" hidden="false" customHeight="true" outlineLevel="0" collapsed="false">
      <c r="B42" s="2262"/>
      <c r="C42" s="2265"/>
      <c r="D42" s="994"/>
      <c r="E42" s="2266"/>
      <c r="F42" s="2262"/>
      <c r="G42" s="2265"/>
      <c r="H42" s="994"/>
      <c r="I42" s="2267"/>
      <c r="J42" s="2267"/>
      <c r="K42" s="994"/>
      <c r="L42" s="994"/>
      <c r="M42" s="994"/>
      <c r="N42" s="1000" t="s">
        <v>1274</v>
      </c>
      <c r="O42" s="2268"/>
    </row>
    <row r="43" s="654" customFormat="true" ht="18.75" hidden="false" customHeight="true" outlineLevel="0" collapsed="false">
      <c r="B43" s="2262"/>
      <c r="C43" s="2265"/>
      <c r="D43" s="994"/>
      <c r="E43" s="2269"/>
      <c r="F43" s="2262"/>
      <c r="G43" s="2265"/>
      <c r="H43" s="994"/>
      <c r="I43" s="994"/>
      <c r="J43" s="994"/>
      <c r="K43" s="994"/>
      <c r="L43" s="994"/>
      <c r="M43" s="994"/>
      <c r="N43" s="1008" t="s">
        <v>1276</v>
      </c>
      <c r="O43" s="2270" t="n">
        <f aca="false">K54</f>
        <v>0</v>
      </c>
    </row>
    <row r="44" s="654" customFormat="true" ht="18.75" hidden="false" customHeight="true" outlineLevel="0" collapsed="false">
      <c r="B44" s="2262"/>
      <c r="C44" s="2265"/>
      <c r="D44" s="994"/>
      <c r="E44" s="994"/>
      <c r="F44" s="2262"/>
      <c r="G44" s="2265"/>
      <c r="H44" s="994"/>
      <c r="I44" s="994"/>
      <c r="J44" s="994"/>
      <c r="K44" s="994"/>
      <c r="L44" s="994"/>
      <c r="M44" s="994"/>
      <c r="N44" s="994"/>
      <c r="O44" s="994"/>
      <c r="R44" s="654" t="n">
        <f aca="false">R54/16</f>
        <v>0</v>
      </c>
    </row>
    <row r="45" s="654" customFormat="true" ht="18.75" hidden="false" customHeight="true" outlineLevel="0" collapsed="false">
      <c r="B45" s="2262"/>
      <c r="C45" s="2265"/>
      <c r="D45" s="994"/>
      <c r="E45" s="994"/>
      <c r="F45" s="2262"/>
      <c r="G45" s="2265"/>
      <c r="H45" s="2271"/>
      <c r="I45" s="994"/>
      <c r="J45" s="994"/>
      <c r="K45" s="994"/>
      <c r="L45" s="994"/>
      <c r="M45" s="2272"/>
      <c r="N45" s="2271"/>
      <c r="O45" s="994"/>
    </row>
    <row r="46" customFormat="false" ht="45" hidden="false" customHeight="true" outlineLevel="0" collapsed="false">
      <c r="A46" s="1017" t="s">
        <v>1280</v>
      </c>
      <c r="B46" s="1296" t="s">
        <v>1281</v>
      </c>
      <c r="C46" s="2108"/>
      <c r="D46" s="2108"/>
      <c r="E46" s="2108"/>
      <c r="F46" s="2108"/>
      <c r="G46" s="2108"/>
      <c r="H46" s="2108"/>
      <c r="I46" s="2108"/>
      <c r="J46" s="1019" t="s">
        <v>1282</v>
      </c>
      <c r="K46" s="2109" t="str">
        <f aca="false">IF(SUM(K47:K53)=R35,"Good","Missing Concrete!!!")</f>
        <v>Good</v>
      </c>
      <c r="L46" s="2109"/>
      <c r="M46" s="2108"/>
      <c r="N46" s="2108"/>
      <c r="O46" s="2110"/>
      <c r="P46" s="1022" t="s">
        <v>1283</v>
      </c>
      <c r="Q46" s="1022"/>
      <c r="R46" s="879" t="s">
        <v>835</v>
      </c>
      <c r="S46" s="1023"/>
      <c r="T46" s="1024" t="s">
        <v>518</v>
      </c>
      <c r="U46" s="1023"/>
      <c r="V46" s="1025"/>
      <c r="DJ46" s="1026" t="s">
        <v>1284</v>
      </c>
    </row>
    <row r="47" customFormat="false" ht="18.75" hidden="false" customHeight="true" outlineLevel="0" collapsed="false">
      <c r="A47" s="1027" t="n">
        <v>1</v>
      </c>
      <c r="B47" s="16" t="str">
        <f aca="false">IF(A47=1,Pricing!F$2,IF(A47=2,Pricing!G$2,IF(A47=3,Pricing!H$2,IF(A47=4,Pricing!I$2,IF(A47=5,Pricing!J$2,IF(A47=6,Pricing!K$2,IF(A47=7,Pricing!L$2,IF(A47=8,Pricing!M$2,IF(A47=9,Pricing!N$2,IF(A47=10,Pricing!O$2,0))))))))))</f>
        <v>3,000 PSI 5sk /Ash and Air</v>
      </c>
      <c r="F47" s="2273" t="n">
        <f aca="false">IF(A47=1,Pricing!F$3,IF(A47=2,Pricing!G$3,IF(A47=3,Pricing!H$3,IF(A47=4,Pricing!I$3,IF(A47=5,Pricing!J$3,IF(A47=6,Pricing!K$3,IF(A47=7,Pricing!L$3,IF(A47=8,Pricing!M$3,IF(A47=9,Pricing!N$3,IF(A47=10,Pricing!O$3,0))))))))))</f>
        <v>134</v>
      </c>
      <c r="G47" s="16" t="s">
        <v>1285</v>
      </c>
      <c r="H47" s="1030"/>
      <c r="I47" s="1030"/>
      <c r="J47" s="2274" t="n">
        <v>0.06</v>
      </c>
      <c r="K47" s="2275" t="n">
        <f aca="false">IF(A47=1,AH$35,IF(A47=2,AI$35,IF(A47=3,AJ$35,IF(A47=4,AK$35,IF(A47=5,AL$35,IF(A47=6,AM$35,IF(A47=7,AN$35,IF(A47=8,AO$35,IF(A47=9,AP$35,IF(A47=10,AQ$35))))))))))</f>
        <v>0</v>
      </c>
      <c r="L47" s="2275"/>
      <c r="M47" s="15" t="s">
        <v>1286</v>
      </c>
      <c r="N47" s="1035" t="n">
        <f aca="false">K47*F47*(IF(T$38="N",1+V$38,1))</f>
        <v>0</v>
      </c>
      <c r="O47" s="1035"/>
      <c r="P47" s="920" t="s">
        <v>1415</v>
      </c>
      <c r="Q47" s="78"/>
      <c r="R47" s="2276" t="n">
        <v>1</v>
      </c>
      <c r="S47" s="78"/>
      <c r="T47" s="1308"/>
      <c r="U47" s="78"/>
      <c r="V47" s="1038" t="n">
        <f aca="false">IF(T$38="Y",R47*T47,R47*T47*(1+V$38))</f>
        <v>0</v>
      </c>
      <c r="DJ47" s="2277" t="n">
        <v>2</v>
      </c>
    </row>
    <row r="48" customFormat="false" ht="18.75" hidden="false" customHeight="true" outlineLevel="0" collapsed="false">
      <c r="A48" s="1027" t="n">
        <v>2</v>
      </c>
      <c r="B48" s="16" t="str">
        <f aca="false">IF(A48=1,Pricing!F$2,IF(A48=2,Pricing!G$2,IF(A48=3,Pricing!H$2,IF(A48=4,Pricing!I$2,IF(A48=5,Pricing!J$2,IF(A48=6,Pricing!K$2,IF(A48=7,Pricing!L$2,IF(A48=8,Pricing!M$2,IF(A48=9,Pricing!N$2,IF(A48=10,Pricing!O$2,0))))))))))</f>
        <v>3,000 PSI / Ash no Air</v>
      </c>
      <c r="F48" s="2273" t="n">
        <f aca="false">IF(A48=1,Pricing!F$3,IF(A48=2,Pricing!G$3,IF(A48=3,Pricing!H$3,IF(A48=4,Pricing!I$3,IF(A48=5,Pricing!J$3,IF(A48=6,Pricing!K$3,IF(A48=7,Pricing!L$3,IF(A48=8,Pricing!M$3,IF(A48=9,Pricing!N$3,IF(A48=10,Pricing!O$3,0))))))))))</f>
        <v>145</v>
      </c>
      <c r="G48" s="16" t="s">
        <v>1285</v>
      </c>
      <c r="H48" s="1030"/>
      <c r="I48" s="1030"/>
      <c r="J48" s="2274"/>
      <c r="K48" s="2275" t="n">
        <f aca="false">IF(A48=1,AH$35,IF(A48=2,AI$35,IF(A48=3,AJ$35,IF(A48=4,AK$35,IF(A48=5,AL$35,IF(A48=6,AM$35,IF(A48=7,AN$35,IF(A48=8,AO$35,IF(A48=9,AP$35,IF(A48=10,AQ$35))))))))))</f>
        <v>0</v>
      </c>
      <c r="L48" s="2275"/>
      <c r="M48" s="15" t="s">
        <v>1286</v>
      </c>
      <c r="N48" s="1035" t="n">
        <f aca="false">K48*F48*(IF(T$38="N",1+V$38,1))</f>
        <v>0</v>
      </c>
      <c r="O48" s="1035"/>
      <c r="P48" s="920" t="s">
        <v>526</v>
      </c>
      <c r="Q48" s="78"/>
      <c r="R48" s="1311" t="n">
        <f aca="false">SUM(I10:I34)*R47</f>
        <v>0</v>
      </c>
      <c r="S48" s="78" t="s">
        <v>1259</v>
      </c>
      <c r="T48" s="1308" t="n">
        <f aca="false">Pricing!Q4</f>
        <v>0.859375</v>
      </c>
      <c r="U48" s="78" t="s">
        <v>527</v>
      </c>
      <c r="V48" s="1038" t="n">
        <f aca="false">IF(T$38="Y",R48*T48,R48*T48*(1+V$38))</f>
        <v>0</v>
      </c>
      <c r="DJ48" s="2277"/>
    </row>
    <row r="49" customFormat="false" ht="18.75" hidden="false" customHeight="true" outlineLevel="0" collapsed="false">
      <c r="A49" s="1027" t="n">
        <v>3</v>
      </c>
      <c r="B49" s="16" t="str">
        <f aca="false">IF(A49=1,Pricing!F$2,IF(A49=2,Pricing!G$2,IF(A49=3,Pricing!H$2,IF(A49=4,Pricing!I$2,IF(A49=5,Pricing!J$2,IF(A49=6,Pricing!K$2,IF(A49=7,Pricing!L$2,IF(A49=8,Pricing!M$2,IF(A49=9,Pricing!N$2,IF(A49=10,Pricing!O$2,0))))))))))</f>
        <v>3,500 PSI 5.5sk /Ash and Air</v>
      </c>
      <c r="F49" s="2273" t="n">
        <f aca="false">IF(A49=1,Pricing!F$3,IF(A49=2,Pricing!G$3,IF(A49=3,Pricing!H$3,IF(A49=4,Pricing!I$3,IF(A49=5,Pricing!J$3,IF(A49=6,Pricing!K$3,IF(A49=7,Pricing!L$3,IF(A49=8,Pricing!M$3,IF(A49=9,Pricing!N$3,IF(A49=10,Pricing!O$3,0))))))))))</f>
        <v>140</v>
      </c>
      <c r="G49" s="16" t="s">
        <v>1285</v>
      </c>
      <c r="H49" s="1030"/>
      <c r="I49" s="1030"/>
      <c r="J49" s="2274"/>
      <c r="K49" s="2275" t="n">
        <f aca="false">IF(A49=1,AH$35,IF(A49=2,AI$35,IF(A49=3,AJ$35,IF(A49=4,AK$35,IF(A49=5,AL$35,IF(A49=6,AM$35,IF(A49=7,AN$35,IF(A49=8,AO$35,IF(A49=9,AP$35,IF(A49=10,AQ$35))))))))))</f>
        <v>0</v>
      </c>
      <c r="L49" s="2275"/>
      <c r="M49" s="15" t="s">
        <v>1286</v>
      </c>
      <c r="N49" s="1035" t="n">
        <f aca="false">K49*F49*(IF(T$38="N",1+V$38,1))</f>
        <v>0</v>
      </c>
      <c r="O49" s="1035"/>
      <c r="P49" s="920"/>
      <c r="Q49" s="78"/>
      <c r="R49" s="1311"/>
      <c r="S49" s="78"/>
      <c r="T49" s="1308"/>
      <c r="U49" s="78"/>
      <c r="V49" s="1038" t="n">
        <f aca="false">IF(T$38="Y",R49*T49,R49*T49*(1+V$38))</f>
        <v>0</v>
      </c>
      <c r="DJ49" s="2277"/>
    </row>
    <row r="50" customFormat="false" ht="18.75" hidden="false" customHeight="true" outlineLevel="0" collapsed="false">
      <c r="A50" s="1027" t="n">
        <v>4</v>
      </c>
      <c r="B50" s="16" t="str">
        <f aca="false">IF(A50=1,Pricing!F$2,IF(A50=2,Pricing!G$2,IF(A50=3,Pricing!H$2,IF(A50=4,Pricing!I$2,IF(A50=5,Pricing!J$2,IF(A50=6,Pricing!K$2,IF(A50=7,Pricing!L$2,IF(A50=8,Pricing!M$2,IF(A50=9,Pricing!N$2,IF(A50=10,Pricing!O$2,0))))))))))</f>
        <v>3,500 PSI /Ash No Air</v>
      </c>
      <c r="F50" s="2273" t="n">
        <f aca="false">IF(A50=1,Pricing!F$3,IF(A50=2,Pricing!G$3,IF(A50=3,Pricing!H$3,IF(A50=4,Pricing!I$3,IF(A50=5,Pricing!J$3,IF(A50=6,Pricing!K$3,IF(A50=7,Pricing!L$3,IF(A50=8,Pricing!M$3,IF(A50=9,Pricing!N$3,IF(A50=10,Pricing!O$3,0))))))))))</f>
        <v>140</v>
      </c>
      <c r="G50" s="16" t="s">
        <v>1285</v>
      </c>
      <c r="H50" s="1030"/>
      <c r="I50" s="1030"/>
      <c r="J50" s="2274"/>
      <c r="K50" s="2275" t="n">
        <f aca="false">IF(A50=1,AH$35,IF(A50=2,AI$35,IF(A50=3,AJ$35,IF(A50=4,AK$35,IF(A50=5,AL$35,IF(A50=6,AM$35,IF(A50=7,AN$35,IF(A50=8,AO$35,IF(A50=9,AP$35,IF(A50=10,AQ$35))))))))))</f>
        <v>0</v>
      </c>
      <c r="L50" s="2275"/>
      <c r="M50" s="15" t="s">
        <v>1286</v>
      </c>
      <c r="N50" s="1035" t="n">
        <f aca="false">K50*F50*(IF(T$38="N",1+V$38,1))</f>
        <v>0</v>
      </c>
      <c r="O50" s="1035"/>
      <c r="P50" s="920"/>
      <c r="Q50" s="78"/>
      <c r="R50" s="1311"/>
      <c r="S50" s="78"/>
      <c r="T50" s="1308"/>
      <c r="U50" s="78"/>
      <c r="V50" s="1038" t="n">
        <f aca="false">IF(T$38="Y",R50*T50,R50*T50*(1+V$38))</f>
        <v>0</v>
      </c>
      <c r="DJ50" s="2277"/>
    </row>
    <row r="51" customFormat="false" ht="18.75" hidden="false" customHeight="true" outlineLevel="0" collapsed="false">
      <c r="A51" s="1027" t="n">
        <v>5</v>
      </c>
      <c r="B51" s="16" t="str">
        <f aca="false">IF(A51=1,Pricing!F$2,IF(A51=2,Pricing!G$2,IF(A51=3,Pricing!H$2,IF(A51=4,Pricing!I$2,IF(A51=5,Pricing!J$2,IF(A51=6,Pricing!K$2,IF(A51=7,Pricing!L$2,IF(A51=8,Pricing!M$2,IF(A51=9,Pricing!N$2,IF(A51=10,Pricing!O$2,0))))))))))</f>
        <v>4,000 PSI /Ash and Air</v>
      </c>
      <c r="F51" s="2273" t="n">
        <f aca="false">IF(A51=1,Pricing!F$3,IF(A51=2,Pricing!G$3,IF(A51=3,Pricing!H$3,IF(A51=4,Pricing!I$3,IF(A51=5,Pricing!J$3,IF(A51=6,Pricing!K$3,IF(A51=7,Pricing!L$3,IF(A51=8,Pricing!M$3,IF(A51=9,Pricing!N$3,IF(A51=10,Pricing!O$3,0))))))))))</f>
        <v>145</v>
      </c>
      <c r="G51" s="16" t="s">
        <v>1285</v>
      </c>
      <c r="H51" s="1030"/>
      <c r="I51" s="1030"/>
      <c r="J51" s="2274"/>
      <c r="K51" s="2275" t="n">
        <f aca="false">IF(A51=1,AH$35,IF(A51=2,AI$35,IF(A51=3,AJ$35,IF(A51=4,AK$35,IF(A51=5,AL$35,IF(A51=6,AM$35,IF(A51=7,AN$35,IF(A51=8,AO$35,IF(A51=9,AP$35,IF(A51=10,AQ$35))))))))))</f>
        <v>0</v>
      </c>
      <c r="L51" s="2275"/>
      <c r="M51" s="15" t="s">
        <v>1286</v>
      </c>
      <c r="N51" s="1035" t="n">
        <f aca="false">K51*F51*(IF(T$38="N",1+V$38,1))</f>
        <v>0</v>
      </c>
      <c r="O51" s="1035"/>
      <c r="P51" s="920"/>
      <c r="Q51" s="78"/>
      <c r="R51" s="1311"/>
      <c r="S51" s="78"/>
      <c r="T51" s="1308"/>
      <c r="U51" s="78"/>
      <c r="V51" s="1038" t="n">
        <f aca="false">IF(T$38="Y",R51*T51,R51*T51*(1+V$38))</f>
        <v>0</v>
      </c>
      <c r="DJ51" s="2277"/>
    </row>
    <row r="52" customFormat="false" ht="18.75" hidden="false" customHeight="true" outlineLevel="0" collapsed="false">
      <c r="A52" s="1040" t="n">
        <v>9</v>
      </c>
      <c r="B52" s="16" t="str">
        <f aca="false">IF(A52=1,Pricing!F$2,IF(A52=2,Pricing!G$2,IF(A52=3,Pricing!H$2,IF(A52=4,Pricing!I$2,IF(A52=5,Pricing!J$2,IF(A52=6,Pricing!K$2,IF(A52=7,Pricing!L$2,IF(A52=8,Pricing!M$2,IF(A52=9,Pricing!N$2,IF(A52=10,Pricing!O$2,0))))))))))</f>
        <v>3,000 PSI /Air and intergral Color</v>
      </c>
      <c r="F52" s="2273" t="n">
        <f aca="false">IF(A52=1,Pricing!F$3,IF(A52=2,Pricing!G$3,IF(A52=3,Pricing!H$3,IF(A52=4,Pricing!I$3,IF(A52=5,Pricing!J$3,IF(A52=6,Pricing!K$3,IF(A52=7,Pricing!L$3,IF(A52=8,Pricing!M$3,IF(A52=9,Pricing!N$3,IF(A52=10,Pricing!O$3,0))))))))))</f>
        <v>240</v>
      </c>
      <c r="G52" s="16" t="s">
        <v>1285</v>
      </c>
      <c r="H52" s="1030"/>
      <c r="I52" s="1030"/>
      <c r="J52" s="2274"/>
      <c r="K52" s="2275" t="n">
        <f aca="false">IF(A52=1,AH$35,IF(A52=2,AI$35,IF(A52=3,AJ$35,IF(A52=4,AK$35,IF(A52=5,AL$35,IF(A52=6,AM$35,IF(A52=7,AN$35,IF(A52=8,AO$35,IF(A52=9,AP$35,IF(A52=10,AQ$35))))))))))</f>
        <v>0</v>
      </c>
      <c r="L52" s="2275"/>
      <c r="M52" s="15" t="s">
        <v>1286</v>
      </c>
      <c r="N52" s="1035" t="n">
        <f aca="false">K52*F52*(IF(T$38="N",1+V$38,1))</f>
        <v>0</v>
      </c>
      <c r="O52" s="1035"/>
      <c r="P52" s="920" t="s">
        <v>534</v>
      </c>
      <c r="Q52" s="78"/>
      <c r="R52" s="1311" t="n">
        <f aca="false">R54</f>
        <v>0</v>
      </c>
      <c r="S52" s="78" t="s">
        <v>1259</v>
      </c>
      <c r="T52" s="1308" t="n">
        <f aca="false">Pricing!Q5</f>
        <v>1.4453125</v>
      </c>
      <c r="U52" s="78" t="s">
        <v>527</v>
      </c>
      <c r="V52" s="1038" t="n">
        <f aca="false">IF(T$38="Y",R52*T52,R52*T52*(1+V$38))</f>
        <v>0</v>
      </c>
      <c r="DJ52" s="2277" t="n">
        <v>2</v>
      </c>
    </row>
    <row r="53" customFormat="false" ht="18.75" hidden="false" customHeight="true" outlineLevel="0" collapsed="false">
      <c r="A53" s="2278" t="n">
        <v>7</v>
      </c>
      <c r="B53" s="1044" t="str">
        <f aca="false">IF(A53=1,Pricing!F$2,IF(A53=2,Pricing!G$2,IF(A53=3,Pricing!H$2,IF(A53=4,Pricing!I$2,IF(A53=5,Pricing!J$2,IF(A53=6,Pricing!K$2,IF(A53=7,Pricing!L$2,IF(A53=8,Pricing!M$2,IF(A53=9,Pricing!N$2,IF(A53=10,Pricing!O$2,0))))))))))</f>
        <v>4,500 PSI / Ash and Air</v>
      </c>
      <c r="C53" s="397"/>
      <c r="D53" s="397"/>
      <c r="E53" s="1314"/>
      <c r="F53" s="2279" t="n">
        <f aca="false">IF(A53=1,Pricing!F$3,IF(A53=2,Pricing!G$3,IF(A53=3,Pricing!H$3,IF(A53=4,Pricing!I$3,IF(A53=5,Pricing!J$3,IF(A53=6,Pricing!K$3,IF(A53=7,Pricing!L$3,IF(A53=8,Pricing!M$3,IF(A53=9,Pricing!N$3,IF(A53=10,Pricing!O$3,0))))))))))</f>
        <v>158</v>
      </c>
      <c r="G53" s="397" t="s">
        <v>1285</v>
      </c>
      <c r="H53" s="1030"/>
      <c r="I53" s="1030"/>
      <c r="J53" s="2274"/>
      <c r="K53" s="2275" t="n">
        <f aca="false">IF(A53=1,AH$35,IF(A53=2,AI$35,IF(A53=3,AJ$35,IF(A53=4,AK$35,IF(A53=5,AL$35,IF(A53=6,AM$35,IF(A53=7,AN$35,IF(A53=8,AO$35,IF(A53=9,AP$35,IF(A53=10,AQ$35))))))))))</f>
        <v>0</v>
      </c>
      <c r="L53" s="2275"/>
      <c r="M53" s="1046" t="s">
        <v>1286</v>
      </c>
      <c r="N53" s="1035" t="n">
        <f aca="false">K53*F53*(IF(T$38="N",1+V$38,1))</f>
        <v>0</v>
      </c>
      <c r="O53" s="1035"/>
      <c r="P53" s="920" t="s">
        <v>536</v>
      </c>
      <c r="Q53" s="78"/>
      <c r="R53" s="1311" t="n">
        <v>0</v>
      </c>
      <c r="S53" s="78" t="s">
        <v>1259</v>
      </c>
      <c r="T53" s="1308" t="n">
        <f aca="false">Pricing!Q6</f>
        <v>1.171875</v>
      </c>
      <c r="U53" s="78" t="s">
        <v>527</v>
      </c>
      <c r="V53" s="1038" t="n">
        <f aca="false">IF(T$38="Y",R53*T53,R53*T53*(1+V$38))</f>
        <v>0</v>
      </c>
      <c r="DJ53" s="2277" t="n">
        <v>2</v>
      </c>
    </row>
    <row r="54" customFormat="false" ht="18.75" hidden="false" customHeight="true" outlineLevel="0" collapsed="false">
      <c r="A54" s="2111" t="str">
        <f aca="false">Summary!V61</f>
        <v>Import</v>
      </c>
      <c r="B54" s="1041" t="s">
        <v>1287</v>
      </c>
      <c r="F54" s="2273" t="n">
        <v>0.55</v>
      </c>
      <c r="G54" s="16" t="s">
        <v>555</v>
      </c>
      <c r="H54" s="2112"/>
      <c r="I54" s="2112"/>
      <c r="J54" s="1401" t="n">
        <v>0.1</v>
      </c>
      <c r="K54" s="2280" t="n">
        <f aca="false">SUM(R10:R34)</f>
        <v>0</v>
      </c>
      <c r="L54" s="2280"/>
      <c r="M54" s="16" t="s">
        <v>1288</v>
      </c>
      <c r="N54" s="1052" t="n">
        <f aca="false">F54*K54*(IF(T38="N",1+V38,1))</f>
        <v>0</v>
      </c>
      <c r="O54" s="1052"/>
      <c r="P54" s="920" t="s">
        <v>538</v>
      </c>
      <c r="Q54" s="78"/>
      <c r="R54" s="2281" t="n">
        <f aca="false">SUM(I10:I34)*R47</f>
        <v>0</v>
      </c>
      <c r="S54" s="78" t="s">
        <v>1259</v>
      </c>
      <c r="T54" s="1308" t="n">
        <f aca="false">Pricing!Q7</f>
        <v>1.09375</v>
      </c>
      <c r="U54" s="78" t="s">
        <v>527</v>
      </c>
      <c r="V54" s="1038" t="n">
        <f aca="false">IF(T$38="Y",R54*T54,R54*T54*(1+V$38))</f>
        <v>0</v>
      </c>
      <c r="DJ54" s="2277" t="n">
        <v>2</v>
      </c>
    </row>
    <row r="55" customFormat="false" ht="18.75" hidden="false" customHeight="true" outlineLevel="0" collapsed="false">
      <c r="A55" s="599"/>
      <c r="B55" s="1041" t="s">
        <v>598</v>
      </c>
      <c r="F55" s="2282" t="n">
        <f aca="false">Pricing!D28</f>
        <v>0.8625</v>
      </c>
      <c r="G55" s="16" t="s">
        <v>600</v>
      </c>
      <c r="H55" s="1742"/>
      <c r="I55" s="1742"/>
      <c r="J55" s="2283" t="n">
        <v>0.1</v>
      </c>
      <c r="K55" s="2275" t="n">
        <v>0</v>
      </c>
      <c r="L55" s="2275"/>
      <c r="M55" s="16" t="s">
        <v>1418</v>
      </c>
      <c r="N55" s="1035" t="n">
        <f aca="false">K55*F55*(IF(T38="N",1+V38,1))*(J55+1)</f>
        <v>0</v>
      </c>
      <c r="O55" s="1035"/>
      <c r="P55" s="920" t="s">
        <v>1292</v>
      </c>
      <c r="Q55" s="78"/>
      <c r="R55" s="1311" t="n">
        <f aca="false">ROUNDUP(SUM(I10:I34)*0.03/16,0)</f>
        <v>0</v>
      </c>
      <c r="S55" s="78" t="s">
        <v>1259</v>
      </c>
      <c r="T55" s="1308" t="n">
        <f aca="false">Pricing!Q9</f>
        <v>20</v>
      </c>
      <c r="U55" s="78" t="s">
        <v>1610</v>
      </c>
      <c r="V55" s="1038" t="n">
        <f aca="false">T55*R55</f>
        <v>0</v>
      </c>
      <c r="DJ55" s="2277" t="n">
        <v>2</v>
      </c>
    </row>
    <row r="56" customFormat="false" ht="18.75" hidden="false" customHeight="true" outlineLevel="0" collapsed="false">
      <c r="A56" s="599"/>
      <c r="B56" s="1044" t="s">
        <v>966</v>
      </c>
      <c r="C56" s="397"/>
      <c r="D56" s="397"/>
      <c r="E56" s="397"/>
      <c r="F56" s="2279" t="n">
        <v>0.35</v>
      </c>
      <c r="G56" s="397" t="s">
        <v>600</v>
      </c>
      <c r="H56" s="397" t="s">
        <v>1291</v>
      </c>
      <c r="I56" s="2284" t="n">
        <v>0</v>
      </c>
      <c r="J56" s="2284"/>
      <c r="K56" s="2285" t="n">
        <v>0</v>
      </c>
      <c r="L56" s="2285"/>
      <c r="M56" s="397" t="s">
        <v>1418</v>
      </c>
      <c r="N56" s="1056"/>
      <c r="O56" s="1056"/>
      <c r="P56" s="920" t="s">
        <v>540</v>
      </c>
      <c r="Q56" s="78"/>
      <c r="R56" s="1311" t="n">
        <f aca="false">CC34*0.35</f>
        <v>0</v>
      </c>
      <c r="S56" s="78" t="s">
        <v>1293</v>
      </c>
      <c r="T56" s="1308" t="n">
        <f aca="false">Pricing!Q8</f>
        <v>74.75</v>
      </c>
      <c r="U56" s="78" t="s">
        <v>541</v>
      </c>
      <c r="V56" s="1038" t="n">
        <f aca="false">IF(T$38="Y",R56*T56,R56*T56*(1+V$38))</f>
        <v>0</v>
      </c>
      <c r="DJ56" s="2277" t="n">
        <v>2</v>
      </c>
    </row>
    <row r="57" customFormat="false" ht="18.75" hidden="false" customHeight="true" outlineLevel="0" collapsed="false">
      <c r="A57" s="1205"/>
      <c r="B57" s="15" t="s">
        <v>1421</v>
      </c>
      <c r="F57" s="2286" t="n">
        <f aca="false">Pricing!D19</f>
        <v>25</v>
      </c>
      <c r="G57" s="16" t="s">
        <v>1285</v>
      </c>
      <c r="H57" s="1329"/>
      <c r="I57" s="1329"/>
      <c r="J57" s="2274" t="n">
        <v>0.06</v>
      </c>
      <c r="K57" s="2287" t="n">
        <f aca="false">SUM(P10:P34)</f>
        <v>0</v>
      </c>
      <c r="L57" s="2287"/>
      <c r="M57" s="16" t="s">
        <v>1286</v>
      </c>
      <c r="N57" s="1052" t="n">
        <f aca="false">K57*F57*(IF(T38="N",(1+V38),1))</f>
        <v>0</v>
      </c>
      <c r="O57" s="1052"/>
      <c r="P57" s="920" t="s">
        <v>1298</v>
      </c>
      <c r="Q57" s="78"/>
      <c r="R57" s="1311" t="n">
        <f aca="false">ROUND(R54/25,0)</f>
        <v>0</v>
      </c>
      <c r="S57" s="78" t="s">
        <v>1780</v>
      </c>
      <c r="T57" s="1308" t="n">
        <f aca="false">Pricing!Q15</f>
        <v>24</v>
      </c>
      <c r="U57" s="78" t="s">
        <v>1300</v>
      </c>
      <c r="V57" s="1038" t="n">
        <f aca="false">IF(T$38="Y",R57*T57,R57*T57*(1+V$38))</f>
        <v>0</v>
      </c>
      <c r="DJ57" s="2277" t="n">
        <v>2</v>
      </c>
    </row>
    <row r="58" customFormat="false" ht="18.75" hidden="false" customHeight="true" outlineLevel="0" collapsed="false">
      <c r="A58" s="599"/>
      <c r="B58" s="1081" t="s">
        <v>1781</v>
      </c>
      <c r="C58" s="397"/>
      <c r="D58" s="1330"/>
      <c r="E58" s="397"/>
      <c r="F58" s="2288" t="n">
        <v>15</v>
      </c>
      <c r="G58" s="397" t="s">
        <v>1285</v>
      </c>
      <c r="H58" s="1329"/>
      <c r="I58" s="1329"/>
      <c r="J58" s="2274"/>
      <c r="K58" s="2285" t="n">
        <v>0</v>
      </c>
      <c r="L58" s="2285"/>
      <c r="M58" s="397" t="s">
        <v>1286</v>
      </c>
      <c r="N58" s="1740" t="n">
        <f aca="false">K58*F58*(IF(T38="N",(1+V38),1))</f>
        <v>0</v>
      </c>
      <c r="O58" s="1740"/>
      <c r="P58" s="920" t="s">
        <v>561</v>
      </c>
      <c r="Q58" s="78"/>
      <c r="R58" s="2289" t="n">
        <f aca="false">ROUNDUP(SUM(I10:I34)*1.25/1500,0)</f>
        <v>0</v>
      </c>
      <c r="S58" s="78" t="s">
        <v>1303</v>
      </c>
      <c r="T58" s="1308" t="n">
        <f aca="false">Pricing!Q16</f>
        <v>68.2</v>
      </c>
      <c r="U58" s="78" t="s">
        <v>562</v>
      </c>
      <c r="V58" s="1038" t="n">
        <f aca="false">IF(T$38="Y",R58*T58,R58*T58*(1+V$38))</f>
        <v>0</v>
      </c>
      <c r="DJ58" s="2277" t="n">
        <v>2</v>
      </c>
    </row>
    <row r="59" customFormat="false" ht="18.75" hidden="false" customHeight="true" outlineLevel="0" collapsed="false">
      <c r="A59" s="602"/>
      <c r="B59" s="602" t="s">
        <v>1431</v>
      </c>
      <c r="C59" s="1058"/>
      <c r="D59" s="1058"/>
      <c r="E59" s="1058"/>
      <c r="F59" s="2290" t="n">
        <v>0.65</v>
      </c>
      <c r="G59" s="1058" t="s">
        <v>1432</v>
      </c>
      <c r="H59" s="1341" t="s">
        <v>1433</v>
      </c>
      <c r="I59" s="1341"/>
      <c r="J59" s="2291" t="n">
        <v>0</v>
      </c>
      <c r="K59" s="2292" t="n">
        <f aca="false">SUM(I10:I34)</f>
        <v>0</v>
      </c>
      <c r="L59" s="2292"/>
      <c r="M59" s="1058" t="s">
        <v>1259</v>
      </c>
      <c r="N59" s="2293" t="n">
        <f aca="false">F59*J59*K59</f>
        <v>0</v>
      </c>
      <c r="O59" s="2293"/>
      <c r="P59" s="920" t="s">
        <v>563</v>
      </c>
      <c r="Q59" s="78"/>
      <c r="R59" s="1311" t="n">
        <f aca="false">ROUNDUP(SUM(I10:I34)*1.25/3000,0)</f>
        <v>0</v>
      </c>
      <c r="S59" s="78" t="s">
        <v>1303</v>
      </c>
      <c r="T59" s="1308" t="n">
        <f aca="false">Pricing!Q17</f>
        <v>68.2</v>
      </c>
      <c r="U59" s="78" t="s">
        <v>562</v>
      </c>
      <c r="V59" s="1038" t="n">
        <f aca="false">IF(T$38="Y",R59*T59,R59*T59*(1+V$38))</f>
        <v>0</v>
      </c>
      <c r="DJ59" s="2277" t="n">
        <v>2</v>
      </c>
    </row>
    <row r="60" customFormat="false" ht="18.75" hidden="false" customHeight="true" outlineLevel="0" collapsed="false">
      <c r="A60" s="1344" t="s">
        <v>1434</v>
      </c>
      <c r="B60" s="1345"/>
      <c r="C60" s="1345" t="s">
        <v>1296</v>
      </c>
      <c r="D60" s="1345"/>
      <c r="E60" s="1345"/>
      <c r="F60" s="1345"/>
      <c r="G60" s="1345"/>
      <c r="H60" s="1345"/>
      <c r="I60" s="1345"/>
      <c r="J60" s="1345"/>
      <c r="K60" s="1345" t="s">
        <v>973</v>
      </c>
      <c r="L60" s="1345"/>
      <c r="M60" s="2114" t="s">
        <v>1297</v>
      </c>
      <c r="N60" s="2114"/>
      <c r="O60" s="2114"/>
      <c r="P60" s="920" t="s">
        <v>564</v>
      </c>
      <c r="Q60" s="78"/>
      <c r="R60" s="1311" t="n">
        <f aca="false">R59</f>
        <v>0</v>
      </c>
      <c r="S60" s="78" t="s">
        <v>1303</v>
      </c>
      <c r="T60" s="1308" t="n">
        <f aca="false">Pricing!Q18</f>
        <v>68.2</v>
      </c>
      <c r="U60" s="78" t="s">
        <v>562</v>
      </c>
      <c r="V60" s="1038" t="n">
        <f aca="false">IF(T$38="Y",R60*T60,R60*T60*(1+V$38))</f>
        <v>0</v>
      </c>
      <c r="DJ60" s="2277" t="n">
        <v>2</v>
      </c>
    </row>
    <row r="61" customFormat="false" ht="18.75" hidden="false" customHeight="true" outlineLevel="0" collapsed="false">
      <c r="A61" s="599" t="s">
        <v>1437</v>
      </c>
      <c r="B61" s="405"/>
      <c r="C61" s="1352" t="s">
        <v>1306</v>
      </c>
      <c r="D61" s="2294" t="n">
        <v>0.3</v>
      </c>
      <c r="E61" s="2294"/>
      <c r="F61" s="16" t="s">
        <v>1618</v>
      </c>
      <c r="G61" s="1353" t="n">
        <f aca="false">SUM(D61:E63)</f>
        <v>1</v>
      </c>
      <c r="H61" s="2295" t="n">
        <f aca="false">C35</f>
        <v>0</v>
      </c>
      <c r="I61" s="2295"/>
      <c r="J61" s="16" t="s">
        <v>1418</v>
      </c>
      <c r="K61" s="1773" t="n">
        <f aca="false">IF(C61="N",D61*H61,0)</f>
        <v>0</v>
      </c>
      <c r="L61" s="1773"/>
      <c r="M61" s="10"/>
      <c r="N61" s="2296" t="n">
        <f aca="false">IF(C61="y",H$61*D61,0)</f>
        <v>0</v>
      </c>
      <c r="O61" s="2296"/>
      <c r="P61" s="920" t="s">
        <v>1310</v>
      </c>
      <c r="Q61" s="78"/>
      <c r="R61" s="1311" t="n">
        <v>0</v>
      </c>
      <c r="S61" s="78" t="s">
        <v>1303</v>
      </c>
      <c r="T61" s="1308" t="n">
        <f aca="false">Pricing!Q34</f>
        <v>45.24</v>
      </c>
      <c r="U61" s="78" t="s">
        <v>562</v>
      </c>
      <c r="V61" s="1038" t="n">
        <f aca="false">IF(T$38="Y",R61*T61,R61*T61*(1+V$38))</f>
        <v>0</v>
      </c>
      <c r="DJ61" s="2277" t="n">
        <v>2</v>
      </c>
    </row>
    <row r="62" customFormat="false" ht="18.75" hidden="false" customHeight="true" outlineLevel="0" collapsed="false">
      <c r="A62" s="1041" t="s">
        <v>1442</v>
      </c>
      <c r="B62" s="405"/>
      <c r="C62" s="1074" t="s">
        <v>1306</v>
      </c>
      <c r="D62" s="2294" t="n">
        <v>0.55</v>
      </c>
      <c r="E62" s="2294"/>
      <c r="F62" s="16" t="s">
        <v>1618</v>
      </c>
      <c r="G62" s="1353"/>
      <c r="H62" s="2295"/>
      <c r="I62" s="2295"/>
      <c r="J62" s="16" t="s">
        <v>1418</v>
      </c>
      <c r="K62" s="1773" t="n">
        <f aca="false">IF(C62="N",D62*H61,0)</f>
        <v>0</v>
      </c>
      <c r="L62" s="1773"/>
      <c r="M62" s="10"/>
      <c r="N62" s="2297" t="n">
        <f aca="false">IF(C62="y",H$61*D62,0)</f>
        <v>0</v>
      </c>
      <c r="O62" s="2297"/>
      <c r="P62" s="920" t="s">
        <v>571</v>
      </c>
      <c r="Q62" s="78"/>
      <c r="R62" s="1311" t="n">
        <v>0</v>
      </c>
      <c r="S62" s="78" t="s">
        <v>1259</v>
      </c>
      <c r="T62" s="1308" t="n">
        <f aca="false">Pricing!Q19</f>
        <v>0.95</v>
      </c>
      <c r="U62" s="78" t="s">
        <v>527</v>
      </c>
      <c r="V62" s="1038" t="n">
        <f aca="false">IF(T$38="Y",R62*T62,R62*T62*(1+V$38))</f>
        <v>0</v>
      </c>
      <c r="DJ62" s="2277" t="n">
        <v>2</v>
      </c>
    </row>
    <row r="63" customFormat="false" ht="18.75" hidden="false" customHeight="true" outlineLevel="0" collapsed="false">
      <c r="A63" s="1041" t="s">
        <v>1443</v>
      </c>
      <c r="B63" s="405"/>
      <c r="C63" s="1074" t="s">
        <v>1306</v>
      </c>
      <c r="D63" s="2294" t="n">
        <v>0.15</v>
      </c>
      <c r="E63" s="2294"/>
      <c r="F63" s="16" t="s">
        <v>1618</v>
      </c>
      <c r="G63" s="1353"/>
      <c r="H63" s="2295"/>
      <c r="I63" s="2295"/>
      <c r="J63" s="16" t="s">
        <v>1418</v>
      </c>
      <c r="K63" s="1773" t="n">
        <f aca="false">IF(C63="N",D63*H61,0)</f>
        <v>0</v>
      </c>
      <c r="L63" s="1773"/>
      <c r="M63" s="10"/>
      <c r="N63" s="2297" t="n">
        <f aca="false">IF(C63="y",H$61*D63,0)</f>
        <v>0</v>
      </c>
      <c r="O63" s="2297"/>
      <c r="P63" s="920" t="s">
        <v>576</v>
      </c>
      <c r="Q63" s="78"/>
      <c r="R63" s="1311" t="n">
        <v>0</v>
      </c>
      <c r="S63" s="78" t="s">
        <v>1259</v>
      </c>
      <c r="T63" s="1308" t="n">
        <f aca="false">Pricing!Q20</f>
        <v>0.25</v>
      </c>
      <c r="U63" s="78" t="s">
        <v>527</v>
      </c>
      <c r="V63" s="1038" t="n">
        <f aca="false">IF(T$38="Y",R63*T63,R63*T63*(1+V$38))</f>
        <v>0</v>
      </c>
      <c r="DJ63" s="2277" t="n">
        <v>2</v>
      </c>
    </row>
    <row r="64" customFormat="false" ht="18.75" hidden="false" customHeight="true" outlineLevel="0" collapsed="false">
      <c r="A64" s="1041" t="s">
        <v>1782</v>
      </c>
      <c r="B64" s="405"/>
      <c r="C64" s="1074" t="s">
        <v>1306</v>
      </c>
      <c r="D64" s="2298"/>
      <c r="E64" s="2298"/>
      <c r="F64" s="2299"/>
      <c r="G64" s="2299"/>
      <c r="H64" s="2300"/>
      <c r="I64" s="2300"/>
      <c r="J64" s="16" t="s">
        <v>1418</v>
      </c>
      <c r="K64" s="1773" t="n">
        <f aca="false">IF(C64="N",D64*H64,0)</f>
        <v>0</v>
      </c>
      <c r="L64" s="1773"/>
      <c r="M64" s="10"/>
      <c r="N64" s="2297" t="n">
        <f aca="false">BA35</f>
        <v>0</v>
      </c>
      <c r="O64" s="2297"/>
      <c r="P64" s="920" t="s">
        <v>551</v>
      </c>
      <c r="Q64" s="78"/>
      <c r="R64" s="1311" t="n">
        <f aca="false">F82</f>
        <v>0</v>
      </c>
      <c r="S64" s="78" t="s">
        <v>1259</v>
      </c>
      <c r="T64" s="1308" t="n">
        <f aca="false">Pricing!Q12</f>
        <v>1.063125</v>
      </c>
      <c r="U64" s="78" t="s">
        <v>527</v>
      </c>
      <c r="V64" s="1038" t="n">
        <f aca="false">IF(T$38="Y",R64*T64,R64*T64*(1+V$38))</f>
        <v>0</v>
      </c>
      <c r="DJ64" s="2277" t="n">
        <v>2</v>
      </c>
    </row>
    <row r="65" customFormat="false" ht="18.75" hidden="false" customHeight="true" outlineLevel="0" collapsed="false">
      <c r="A65" s="1041" t="s">
        <v>967</v>
      </c>
      <c r="B65" s="405"/>
      <c r="C65" s="1074" t="s">
        <v>1306</v>
      </c>
      <c r="D65" s="2294" t="n">
        <v>0</v>
      </c>
      <c r="E65" s="2294"/>
      <c r="F65" s="16" t="s">
        <v>555</v>
      </c>
      <c r="H65" s="1042" t="n">
        <f aca="false">SUM(R10:R34)</f>
        <v>0</v>
      </c>
      <c r="I65" s="1042"/>
      <c r="K65" s="1773" t="n">
        <f aca="false">IF(C65="N",D65*H65,0)</f>
        <v>0</v>
      </c>
      <c r="L65" s="1773"/>
      <c r="M65" s="10"/>
      <c r="N65" s="2297" t="n">
        <f aca="false">IF(C65="y",H65*D65,0)</f>
        <v>0</v>
      </c>
      <c r="O65" s="2297"/>
      <c r="P65" s="920"/>
      <c r="Q65" s="78"/>
      <c r="R65" s="1311"/>
      <c r="S65" s="78"/>
      <c r="T65" s="1308"/>
      <c r="U65" s="78"/>
      <c r="V65" s="1038" t="n">
        <f aca="false">IF(T$38="Y",R65*T65,R65*T65*(1+V$38))</f>
        <v>0</v>
      </c>
      <c r="DJ65" s="2277"/>
    </row>
    <row r="66" customFormat="false" ht="18.75" hidden="false" customHeight="true" outlineLevel="0" collapsed="false">
      <c r="A66" s="1041" t="s">
        <v>1783</v>
      </c>
      <c r="B66" s="405"/>
      <c r="C66" s="1074" t="s">
        <v>1306</v>
      </c>
      <c r="D66" s="2294" t="n">
        <v>0</v>
      </c>
      <c r="E66" s="2294"/>
      <c r="F66" s="16" t="s">
        <v>1259</v>
      </c>
      <c r="H66" s="1042" t="n">
        <f aca="false">I35</f>
        <v>0</v>
      </c>
      <c r="I66" s="1042"/>
      <c r="J66" s="16" t="s">
        <v>1259</v>
      </c>
      <c r="K66" s="1773" t="n">
        <f aca="false">IF(C66="N",D66*H66,0)</f>
        <v>0</v>
      </c>
      <c r="L66" s="1773"/>
      <c r="M66" s="10"/>
      <c r="N66" s="2297" t="n">
        <f aca="false">IF(C66="y",H66*D66,0)</f>
        <v>0</v>
      </c>
      <c r="O66" s="2297"/>
      <c r="P66" s="920" t="s">
        <v>552</v>
      </c>
      <c r="Q66" s="78"/>
      <c r="R66" s="1311" t="n">
        <v>0</v>
      </c>
      <c r="S66" s="78" t="s">
        <v>1259</v>
      </c>
      <c r="T66" s="1308" t="n">
        <f aca="false">Pricing!Q13</f>
        <v>1.494375</v>
      </c>
      <c r="U66" s="78" t="s">
        <v>527</v>
      </c>
      <c r="V66" s="1038" t="n">
        <f aca="false">IF(T$38="Y",R66*T66,R66*T66*(1+V$38))</f>
        <v>0</v>
      </c>
      <c r="DJ66" s="2277" t="n">
        <v>2</v>
      </c>
    </row>
    <row r="67" customFormat="false" ht="18.75" hidden="false" customHeight="true" outlineLevel="0" collapsed="false">
      <c r="A67" s="1081" t="s">
        <v>1313</v>
      </c>
      <c r="B67" s="1082"/>
      <c r="C67" s="1083" t="s">
        <v>1306</v>
      </c>
      <c r="D67" s="2301"/>
      <c r="E67" s="2301"/>
      <c r="F67" s="397"/>
      <c r="G67" s="397"/>
      <c r="H67" s="2285"/>
      <c r="I67" s="2285"/>
      <c r="J67" s="397"/>
      <c r="K67" s="1789" t="n">
        <f aca="false">IF(C67="N",D67,0)</f>
        <v>0</v>
      </c>
      <c r="L67" s="1789"/>
      <c r="M67" s="814"/>
      <c r="N67" s="2302" t="n">
        <f aca="false">IF(C67="y",D67,0)</f>
        <v>0</v>
      </c>
      <c r="O67" s="2302"/>
      <c r="P67" s="920"/>
      <c r="Q67" s="78"/>
      <c r="R67" s="1311"/>
      <c r="S67" s="78"/>
      <c r="T67" s="1308"/>
      <c r="U67" s="78"/>
      <c r="V67" s="1038" t="n">
        <f aca="false">IF(T$38="Y",R67*T67,R67*T67*(1+V$38))</f>
        <v>0</v>
      </c>
      <c r="DJ67" s="2277"/>
    </row>
    <row r="68" customFormat="false" ht="18.75" hidden="false" customHeight="true" outlineLevel="0" collapsed="false">
      <c r="A68" s="1087" t="s">
        <v>1447</v>
      </c>
      <c r="B68" s="1088"/>
      <c r="C68" s="1089"/>
      <c r="D68" s="1090" t="n">
        <f aca="false">IF(H61=0,0,(N68-N67+K68)/H61)</f>
        <v>0</v>
      </c>
      <c r="E68" s="1090"/>
      <c r="F68" s="855"/>
      <c r="G68" s="1058"/>
      <c r="H68" s="1088" t="s">
        <v>980</v>
      </c>
      <c r="I68" s="1088"/>
      <c r="J68" s="1088"/>
      <c r="K68" s="1791" t="n">
        <f aca="false">SUM(K61:L67)</f>
        <v>0</v>
      </c>
      <c r="L68" s="1791"/>
      <c r="M68" s="10"/>
      <c r="N68" s="2303" t="n">
        <f aca="false">SUM(N61:O67)</f>
        <v>0</v>
      </c>
      <c r="O68" s="2303"/>
      <c r="P68" s="920" t="s">
        <v>1784</v>
      </c>
      <c r="Q68" s="78"/>
      <c r="R68" s="1311" t="n">
        <f aca="false">R66+R64</f>
        <v>0</v>
      </c>
      <c r="S68" s="78" t="s">
        <v>1259</v>
      </c>
      <c r="T68" s="1308" t="n">
        <f aca="false">Pricing!Q10</f>
        <v>0.70875</v>
      </c>
      <c r="U68" s="78" t="s">
        <v>527</v>
      </c>
      <c r="V68" s="1038" t="n">
        <f aca="false">IF(T$38="Y",R68*T68,R68*T68*(1+V$38))</f>
        <v>0</v>
      </c>
      <c r="DJ68" s="2277" t="n">
        <v>2</v>
      </c>
    </row>
    <row r="69" customFormat="false" ht="18.75" hidden="false" customHeight="true" outlineLevel="0" collapsed="false">
      <c r="A69" s="1764" t="s">
        <v>1315</v>
      </c>
      <c r="B69" s="2304"/>
      <c r="C69" s="2304"/>
      <c r="D69" s="2304"/>
      <c r="E69" s="2304"/>
      <c r="F69" s="2304"/>
      <c r="G69" s="2304"/>
      <c r="H69" s="2304"/>
      <c r="I69" s="2304"/>
      <c r="J69" s="2304"/>
      <c r="K69" s="2304"/>
      <c r="L69" s="2304"/>
      <c r="M69" s="2304"/>
      <c r="N69" s="2304"/>
      <c r="O69" s="2305"/>
      <c r="P69" s="40"/>
      <c r="Q69" s="40"/>
      <c r="R69" s="2306"/>
      <c r="S69" s="40"/>
      <c r="T69" s="2307" t="n">
        <v>0</v>
      </c>
      <c r="U69" s="78"/>
      <c r="V69" s="1038" t="n">
        <f aca="false">IF(T$38="Y",R69*T69,R69*T69*(1+V$38))</f>
        <v>0</v>
      </c>
      <c r="DJ69" s="2277"/>
    </row>
    <row r="70" customFormat="false" ht="18.75" hidden="false" customHeight="true" outlineLevel="0" collapsed="false">
      <c r="A70" s="1096" t="s">
        <v>1316</v>
      </c>
      <c r="B70" s="1068"/>
      <c r="C70" s="1097" t="n">
        <f aca="false">H61/25000</f>
        <v>0</v>
      </c>
      <c r="D70" s="2308" t="n">
        <f aca="false">C70*7</f>
        <v>0</v>
      </c>
      <c r="E70" s="1068" t="s">
        <v>1317</v>
      </c>
      <c r="F70" s="2309" t="n">
        <v>425</v>
      </c>
      <c r="G70" s="1100" t="s">
        <v>620</v>
      </c>
      <c r="H70" s="1068"/>
      <c r="I70" s="1068"/>
      <c r="J70" s="1068"/>
      <c r="K70" s="1068"/>
      <c r="L70" s="1101" t="n">
        <f aca="false">IF(D39=0,0,(SUM(N70:O72))/D39)</f>
        <v>0</v>
      </c>
      <c r="M70" s="1101"/>
      <c r="N70" s="1102" t="n">
        <f aca="false">D70*F70</f>
        <v>0</v>
      </c>
      <c r="O70" s="1102"/>
      <c r="P70" s="920" t="s">
        <v>1785</v>
      </c>
      <c r="Q70" s="78"/>
      <c r="R70" s="1311" t="n">
        <v>0</v>
      </c>
      <c r="S70" s="78" t="s">
        <v>1463</v>
      </c>
      <c r="T70" s="1308" t="n">
        <v>200</v>
      </c>
      <c r="U70" s="78" t="s">
        <v>1616</v>
      </c>
      <c r="V70" s="1038" t="n">
        <f aca="false">IF(T$38="Y",R70*T70,R70*T70*(1+V$38))</f>
        <v>0</v>
      </c>
      <c r="DJ70" s="2277" t="n">
        <v>2</v>
      </c>
    </row>
    <row r="71" customFormat="false" ht="18.75" hidden="false" customHeight="true" outlineLevel="0" collapsed="false">
      <c r="A71" s="1041" t="s">
        <v>1640</v>
      </c>
      <c r="D71" s="2310" t="n">
        <v>0</v>
      </c>
      <c r="E71" s="1104" t="s">
        <v>1317</v>
      </c>
      <c r="F71" s="2311" t="n">
        <v>250</v>
      </c>
      <c r="G71" s="1142" t="s">
        <v>620</v>
      </c>
      <c r="L71" s="1106" t="n">
        <f aca="false">SUM(N70:O72)</f>
        <v>0</v>
      </c>
      <c r="M71" s="1106"/>
      <c r="N71" s="1038" t="n">
        <f aca="false">D71*F71</f>
        <v>0</v>
      </c>
      <c r="O71" s="1038"/>
      <c r="P71" s="920"/>
      <c r="Q71" s="78"/>
      <c r="R71" s="1311"/>
      <c r="S71" s="78"/>
      <c r="T71" s="1308"/>
      <c r="U71" s="78"/>
      <c r="V71" s="1038" t="n">
        <f aca="false">IF(T$38="Y",R71*T71,R71*T71*(1+V$38))</f>
        <v>0</v>
      </c>
      <c r="Y71" s="1414"/>
      <c r="Z71" s="1414"/>
      <c r="AA71" s="1414"/>
      <c r="AB71" s="1414"/>
      <c r="AC71" s="1414"/>
      <c r="AD71" s="1414"/>
      <c r="DJ71" s="2277"/>
    </row>
    <row r="72" customFormat="false" ht="18.75" hidden="false" customHeight="true" outlineLevel="0" collapsed="false">
      <c r="A72" s="1041" t="s">
        <v>1320</v>
      </c>
      <c r="D72" s="2310" t="n">
        <f aca="false">D70</f>
        <v>0</v>
      </c>
      <c r="E72" s="16" t="s">
        <v>1317</v>
      </c>
      <c r="F72" s="2311" t="n">
        <v>100</v>
      </c>
      <c r="G72" s="16" t="s">
        <v>620</v>
      </c>
      <c r="N72" s="1038" t="n">
        <f aca="false">D72*F72</f>
        <v>0</v>
      </c>
      <c r="O72" s="1038"/>
      <c r="P72" s="920"/>
      <c r="Q72" s="78"/>
      <c r="R72" s="1311"/>
      <c r="S72" s="78"/>
      <c r="T72" s="1308"/>
      <c r="U72" s="78"/>
      <c r="V72" s="1038" t="n">
        <f aca="false">IF(T$38="Y",R72*T72,R72*T72*(1+V$38))</f>
        <v>0</v>
      </c>
      <c r="Y72" s="1414"/>
      <c r="Z72" s="1414"/>
      <c r="AA72" s="1414"/>
      <c r="AB72" s="1414"/>
      <c r="AC72" s="1414"/>
      <c r="AD72" s="1414"/>
      <c r="DJ72" s="2277"/>
    </row>
    <row r="73" customFormat="false" ht="18.75" hidden="false" customHeight="true" outlineLevel="0" collapsed="false">
      <c r="A73" s="1109" t="s">
        <v>1321</v>
      </c>
      <c r="B73" s="1058"/>
      <c r="C73" s="1058"/>
      <c r="D73" s="2312"/>
      <c r="E73" s="1111" t="s">
        <v>1317</v>
      </c>
      <c r="F73" s="2313" t="n">
        <v>200</v>
      </c>
      <c r="G73" s="1058"/>
      <c r="H73" s="1058"/>
      <c r="I73" s="1058"/>
      <c r="J73" s="1058"/>
      <c r="K73" s="1058"/>
      <c r="L73" s="1372" t="n">
        <f aca="false">IF(D39=0,0,N73/D39)</f>
        <v>0</v>
      </c>
      <c r="M73" s="1372"/>
      <c r="N73" s="1038" t="n">
        <f aca="false">D73*F73</f>
        <v>0</v>
      </c>
      <c r="O73" s="1038"/>
      <c r="P73" s="920"/>
      <c r="Q73" s="78"/>
      <c r="R73" s="1311"/>
      <c r="S73" s="78"/>
      <c r="T73" s="1308"/>
      <c r="U73" s="78"/>
      <c r="V73" s="1038" t="n">
        <f aca="false">IF(T$38="Y",R73*T73,R73*T73*(1+V$38))</f>
        <v>0</v>
      </c>
      <c r="Y73" s="1414"/>
      <c r="Z73" s="1414"/>
      <c r="AA73" s="1414"/>
      <c r="AB73" s="1414"/>
      <c r="AC73" s="1414"/>
      <c r="AD73" s="1414"/>
      <c r="DJ73" s="2277"/>
    </row>
    <row r="74" customFormat="false" ht="18.75" hidden="false" customHeight="true" outlineLevel="0" collapsed="false">
      <c r="A74" s="1062" t="s">
        <v>1325</v>
      </c>
      <c r="B74" s="1367"/>
      <c r="C74" s="1367"/>
      <c r="D74" s="1367"/>
      <c r="E74" s="1367"/>
      <c r="F74" s="1367"/>
      <c r="G74" s="1367"/>
      <c r="H74" s="1367"/>
      <c r="I74" s="1367"/>
      <c r="J74" s="1367"/>
      <c r="K74" s="1367"/>
      <c r="L74" s="1367"/>
      <c r="M74" s="1367"/>
      <c r="N74" s="1367"/>
      <c r="O74" s="2314"/>
      <c r="P74" s="920"/>
      <c r="Q74" s="78"/>
      <c r="R74" s="1311"/>
      <c r="S74" s="1361"/>
      <c r="T74" s="1308"/>
      <c r="U74" s="78"/>
      <c r="V74" s="1038" t="n">
        <f aca="false">R74*T74</f>
        <v>0</v>
      </c>
      <c r="Y74" s="1414"/>
      <c r="Z74" s="1414"/>
      <c r="AA74" s="1414"/>
      <c r="AB74" s="1414"/>
      <c r="AC74" s="1414"/>
      <c r="AD74" s="1414"/>
      <c r="DJ74" s="2277"/>
    </row>
    <row r="75" customFormat="false" ht="18.75" hidden="false" customHeight="true" outlineLevel="0" collapsed="false">
      <c r="A75" s="1380" t="s">
        <v>1786</v>
      </c>
      <c r="B75" s="1380"/>
      <c r="C75" s="1380"/>
      <c r="D75" s="2308"/>
      <c r="E75" s="1068" t="s">
        <v>1327</v>
      </c>
      <c r="F75" s="2309" t="n">
        <f aca="false">Pricing!D32</f>
        <v>425</v>
      </c>
      <c r="G75" s="1068" t="s">
        <v>620</v>
      </c>
      <c r="H75" s="1068"/>
      <c r="I75" s="1068"/>
      <c r="J75" s="1068"/>
      <c r="K75" s="1068"/>
      <c r="L75" s="1068"/>
      <c r="M75" s="1068"/>
      <c r="N75" s="1102" t="n">
        <f aca="false">(IF(AND(D75&gt;0,D75&lt;4),D75*F75,0)+IF(AND(D75&gt;3,D75&lt;8),F75*3,0)+IF(AND(D75&gt;7,D75&lt;21),D75/7*F75*3,0)+IF(AND(D75&gt;20,D75&lt;30),F75*9,0)+IF(D75&gt;29,D75/30*F75*9,0))*(1+V$38+I$77)</f>
        <v>0</v>
      </c>
      <c r="O75" s="1102"/>
      <c r="P75" s="920"/>
      <c r="Q75" s="78"/>
      <c r="R75" s="1311"/>
      <c r="S75" s="78"/>
      <c r="T75" s="1308"/>
      <c r="U75" s="78"/>
      <c r="V75" s="1038" t="n">
        <f aca="false">R75*T75</f>
        <v>0</v>
      </c>
      <c r="Y75" s="1414"/>
      <c r="Z75" s="1414"/>
      <c r="AA75" s="1414"/>
      <c r="AB75" s="1414"/>
      <c r="AC75" s="1414"/>
      <c r="AD75" s="1414"/>
      <c r="DJ75" s="2277"/>
    </row>
    <row r="76" customFormat="false" ht="18.75" hidden="false" customHeight="true" outlineLevel="0" collapsed="false">
      <c r="A76" s="1385" t="s">
        <v>1787</v>
      </c>
      <c r="B76" s="1385"/>
      <c r="C76" s="1385"/>
      <c r="D76" s="2315"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6" s="16" t="s">
        <v>1327</v>
      </c>
      <c r="F76" s="2311" t="n">
        <f aca="false">Pricing!D35</f>
        <v>325</v>
      </c>
      <c r="G76" s="16" t="s">
        <v>620</v>
      </c>
      <c r="I76" s="1118" t="s">
        <v>1329</v>
      </c>
      <c r="J76" s="1118"/>
      <c r="L76" s="1119" t="n">
        <f aca="false">IF(D39=0,0,(SUM(N75:O80))/D39)</f>
        <v>0</v>
      </c>
      <c r="M76" s="1119"/>
      <c r="N76" s="1038" t="n">
        <f aca="false">(IF(AND(D76&gt;0,D76&lt;4),D76*F76,0)+IF(AND(D76&gt;3,D76&lt;8),F76*3,0)+IF(AND(D76&gt;7,D76&lt;21),D76/7*F76*3,0)+IF(AND(D76&gt;20,D76&lt;30),F76*9,0)+IF(D76&gt;29,D76/30*F76*9,0))*(1+V$38+I$77)</f>
        <v>0</v>
      </c>
      <c r="O76" s="1038"/>
      <c r="P76" s="920"/>
      <c r="Q76" s="78"/>
      <c r="R76" s="1311"/>
      <c r="S76" s="78"/>
      <c r="T76" s="1308"/>
      <c r="U76" s="78"/>
      <c r="V76" s="1038" t="n">
        <f aca="false">R76*T76</f>
        <v>0</v>
      </c>
      <c r="Y76" s="1414"/>
      <c r="Z76" s="1414"/>
      <c r="AA76" s="1414"/>
      <c r="AB76" s="1414"/>
      <c r="AC76" s="1414"/>
      <c r="AD76" s="1414"/>
      <c r="DJ76" s="2277"/>
    </row>
    <row r="77" customFormat="false" ht="18.75" hidden="false" customHeight="true" outlineLevel="0" collapsed="false">
      <c r="A77" s="1385" t="s">
        <v>1788</v>
      </c>
      <c r="B77" s="1385"/>
      <c r="C77" s="1385"/>
      <c r="D77" s="2315"/>
      <c r="E77" s="16" t="s">
        <v>1327</v>
      </c>
      <c r="F77" s="2311" t="n">
        <v>350</v>
      </c>
      <c r="G77" s="16" t="s">
        <v>620</v>
      </c>
      <c r="I77" s="2124" t="n">
        <v>0.5</v>
      </c>
      <c r="J77" s="2124"/>
      <c r="L77" s="1106" t="n">
        <f aca="false">SUM(N75:O80)</f>
        <v>0</v>
      </c>
      <c r="M77" s="1106"/>
      <c r="N77" s="1038" t="n">
        <f aca="false">(IF(AND(D77&gt;0,D77&lt;4),D77*F77,0)+IF(AND(D77&gt;3,D77&lt;8),F77*3,0)+IF(AND(D77&gt;7,D77&lt;21),D77/7*F77*3,0)+IF(AND(D77&gt;20,D77&lt;30),F77*9,0)+IF(D77&gt;29,D77/30*F77*9,0))*(1+V$38+I$77)</f>
        <v>0</v>
      </c>
      <c r="O77" s="1038"/>
      <c r="P77" s="1044" t="s">
        <v>1789</v>
      </c>
      <c r="Q77" s="397"/>
      <c r="R77" s="397"/>
      <c r="S77" s="397" t="s">
        <v>1718</v>
      </c>
      <c r="T77" s="1108" t="n">
        <v>500</v>
      </c>
      <c r="U77" s="397" t="s">
        <v>1719</v>
      </c>
      <c r="V77" s="1056" t="n">
        <f aca="false">R77*T77</f>
        <v>0</v>
      </c>
      <c r="Y77" s="1414"/>
      <c r="Z77" s="1414"/>
      <c r="AA77" s="1414"/>
      <c r="AB77" s="1414"/>
      <c r="AC77" s="1414"/>
      <c r="AD77" s="1414"/>
      <c r="DJ77" s="2277"/>
    </row>
    <row r="78" customFormat="false" ht="18.75" hidden="false" customHeight="true" outlineLevel="0" collapsed="false">
      <c r="A78" s="1385" t="s">
        <v>1332</v>
      </c>
      <c r="B78" s="1385"/>
      <c r="C78" s="1385"/>
      <c r="D78" s="2315"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8" s="16" t="s">
        <v>1327</v>
      </c>
      <c r="F78" s="2311" t="n">
        <f aca="false">Pricing!D39</f>
        <v>100</v>
      </c>
      <c r="G78" s="16" t="s">
        <v>620</v>
      </c>
      <c r="I78" s="2124"/>
      <c r="J78" s="2124"/>
      <c r="N78" s="1038" t="n">
        <f aca="false">(IF(AND(D78&gt;0,D78&lt;4),D78*F78,0)+IF(AND(D78&gt;3,D78&lt;8),F78*3,0)+IF(AND(D78&gt;7,D78&lt;21),D78/7*F78*3,0)+IF(AND(D78&gt;20,D78&lt;30),F78*9,0)+IF(D78&gt;29,D78/30*F78*9,0))*(1+V$38+I$77)</f>
        <v>0</v>
      </c>
      <c r="O78" s="1038"/>
      <c r="P78" s="920" t="s">
        <v>1790</v>
      </c>
      <c r="Q78" s="78"/>
      <c r="R78" s="1311" t="n">
        <f aca="false">ROUNDUP(C35/15000,0)</f>
        <v>0</v>
      </c>
      <c r="S78" s="78" t="s">
        <v>1452</v>
      </c>
      <c r="T78" s="1308" t="n">
        <f aca="false">Pricing!Q39</f>
        <v>27</v>
      </c>
      <c r="U78" s="78" t="s">
        <v>607</v>
      </c>
      <c r="V78" s="1038" t="n">
        <f aca="false">R78*T78*(1+V$38)</f>
        <v>0</v>
      </c>
      <c r="Y78" s="1414"/>
      <c r="Z78" s="1414"/>
      <c r="AA78" s="1414"/>
      <c r="AB78" s="1414"/>
      <c r="AC78" s="1414"/>
      <c r="AD78" s="1414"/>
      <c r="DJ78" s="2277" t="n">
        <v>6</v>
      </c>
    </row>
    <row r="79" customFormat="false" ht="18.75" hidden="false" customHeight="true" outlineLevel="0" collapsed="false">
      <c r="A79" s="1385" t="s">
        <v>1333</v>
      </c>
      <c r="B79" s="1385"/>
      <c r="C79" s="1385"/>
      <c r="D79" s="2315" t="n">
        <f aca="false">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9" s="16" t="s">
        <v>1327</v>
      </c>
      <c r="F79" s="2311" t="n">
        <v>15</v>
      </c>
      <c r="G79" s="16" t="s">
        <v>620</v>
      </c>
      <c r="N79" s="1038" t="n">
        <f aca="false">(IF(AND(D79&gt;0,D79&lt;4),D79*F79,0)+IF(AND(D79&gt;3,D79&lt;8),F79*3,0)+IF(AND(D79&gt;7,D79&lt;21),D79/7*F79*3,0)+IF(AND(D79&gt;20,D79&lt;30),F79*9,0)+IF(D79&gt;29,D79/30*F79*9,0))*(1+V$38+I$77)</f>
        <v>0</v>
      </c>
      <c r="O79" s="1038"/>
      <c r="P79" s="920" t="s">
        <v>629</v>
      </c>
      <c r="Q79" s="78"/>
      <c r="R79" s="1311" t="n">
        <f aca="false">H61/15000</f>
        <v>0</v>
      </c>
      <c r="S79" s="78" t="s">
        <v>1644</v>
      </c>
      <c r="T79" s="1308" t="n">
        <f aca="false">Pricing!Q36</f>
        <v>37.8</v>
      </c>
      <c r="U79" s="78" t="s">
        <v>630</v>
      </c>
      <c r="V79" s="1038" t="n">
        <f aca="false">R79*T79*(1+V$38)</f>
        <v>0</v>
      </c>
      <c r="Y79" s="1414"/>
      <c r="Z79" s="1414"/>
      <c r="AA79" s="1414"/>
      <c r="AB79" s="1414"/>
      <c r="AC79" s="1414"/>
      <c r="AD79" s="1414"/>
      <c r="DJ79" s="2277" t="n">
        <v>6</v>
      </c>
    </row>
    <row r="80" customFormat="false" ht="18.75" hidden="false" customHeight="true" outlineLevel="0" collapsed="false">
      <c r="A80" s="2316" t="s">
        <v>1791</v>
      </c>
      <c r="B80" s="2316"/>
      <c r="C80" s="2316"/>
      <c r="D80" s="2312"/>
      <c r="E80" s="1058" t="s">
        <v>1792</v>
      </c>
      <c r="F80" s="2313" t="n">
        <v>3500</v>
      </c>
      <c r="G80" s="1058" t="s">
        <v>1793</v>
      </c>
      <c r="H80" s="1058"/>
      <c r="I80" s="1058"/>
      <c r="J80" s="1058"/>
      <c r="K80" s="1058"/>
      <c r="L80" s="1372" t="n">
        <f aca="false">IF(D28=0,0,N80/D28)</f>
        <v>0</v>
      </c>
      <c r="M80" s="1372"/>
      <c r="N80" s="736" t="n">
        <f aca="false">(IF(AND(D80&gt;0,D80&lt;4),D80*F80,0)+IF(AND(D80&gt;3,D80&lt;8),F80*3,0)+IF(AND(D80&gt;7,D80&lt;21),D80/7*F80*3,0)+IF(AND(D80&gt;20,D80&lt;30),F80*9,0)+IF(D80&gt;29,D80/30*F80*9,0))</f>
        <v>0</v>
      </c>
      <c r="O80" s="736"/>
      <c r="P80" s="920" t="s">
        <v>554</v>
      </c>
      <c r="Q80" s="78"/>
      <c r="R80" s="1311" t="n">
        <f aca="false">K54</f>
        <v>0</v>
      </c>
      <c r="S80" s="78" t="s">
        <v>1288</v>
      </c>
      <c r="T80" s="1308" t="n">
        <v>0.02</v>
      </c>
      <c r="U80" s="78" t="s">
        <v>555</v>
      </c>
      <c r="V80" s="1038" t="n">
        <f aca="false">R80*T80*(1+V$38)</f>
        <v>0</v>
      </c>
      <c r="Y80" s="1414"/>
      <c r="Z80" s="1414"/>
      <c r="AA80" s="1414"/>
      <c r="AB80" s="1414"/>
      <c r="AC80" s="1414"/>
      <c r="AD80" s="1948"/>
      <c r="DJ80" s="2277" t="n">
        <v>6</v>
      </c>
    </row>
    <row r="81" customFormat="false" ht="18.75" hidden="false" customHeight="true" outlineLevel="0" collapsed="false">
      <c r="A81" s="1062" t="s">
        <v>1336</v>
      </c>
      <c r="B81" s="1367"/>
      <c r="C81" s="1367"/>
      <c r="D81" s="1367"/>
      <c r="E81" s="1367"/>
      <c r="F81" s="1367"/>
      <c r="G81" s="1367"/>
      <c r="H81" s="1367"/>
      <c r="I81" s="1367"/>
      <c r="J81" s="1367"/>
      <c r="K81" s="1367"/>
      <c r="L81" s="1367"/>
      <c r="M81" s="1367"/>
      <c r="N81" s="1367"/>
      <c r="O81" s="2314"/>
      <c r="P81" s="1357" t="s">
        <v>1794</v>
      </c>
      <c r="Q81" s="1358"/>
      <c r="R81" s="1359" t="n">
        <v>0</v>
      </c>
      <c r="S81" s="1358" t="s">
        <v>1259</v>
      </c>
      <c r="T81" s="1360" t="n">
        <v>5.25</v>
      </c>
      <c r="U81" s="1358" t="s">
        <v>527</v>
      </c>
      <c r="V81" s="1056" t="n">
        <f aca="false">R81*T81*(1+V$38)</f>
        <v>0</v>
      </c>
      <c r="Y81" s="1414"/>
      <c r="Z81" s="1414"/>
      <c r="AA81" s="1414"/>
      <c r="AB81" s="1414"/>
      <c r="AC81" s="1414"/>
      <c r="AD81" s="1414"/>
      <c r="DJ81" s="2277" t="n">
        <v>6</v>
      </c>
    </row>
    <row r="82" customFormat="false" ht="18.75" hidden="false" customHeight="true" outlineLevel="0" collapsed="false">
      <c r="A82" s="1380" t="s">
        <v>1795</v>
      </c>
      <c r="B82" s="1380"/>
      <c r="C82" s="1380"/>
      <c r="D82" s="2317" t="n">
        <v>1.6</v>
      </c>
      <c r="E82" s="1133" t="s">
        <v>1341</v>
      </c>
      <c r="F82" s="2318" t="n">
        <f aca="false">ROUNDUP(C35/M82*J82,0)</f>
        <v>0</v>
      </c>
      <c r="G82" s="2318"/>
      <c r="H82" s="1068" t="s">
        <v>1259</v>
      </c>
      <c r="I82" s="2319" t="s">
        <v>1796</v>
      </c>
      <c r="J82" s="2320" t="n">
        <v>1</v>
      </c>
      <c r="K82" s="1419" t="s">
        <v>1648</v>
      </c>
      <c r="L82" s="1419"/>
      <c r="M82" s="2320" t="n">
        <v>60</v>
      </c>
      <c r="N82" s="1102" t="n">
        <f aca="false">D82*F82</f>
        <v>0</v>
      </c>
      <c r="O82" s="1102"/>
      <c r="P82" s="920" t="s">
        <v>1797</v>
      </c>
      <c r="Q82" s="78"/>
      <c r="R82" s="78"/>
      <c r="S82" s="78"/>
      <c r="T82" s="1308"/>
      <c r="U82" s="78"/>
      <c r="V82" s="1038" t="n">
        <f aca="false">T82*R82</f>
        <v>0</v>
      </c>
      <c r="Y82" s="1414"/>
      <c r="Z82" s="1414"/>
      <c r="AA82" s="1414"/>
      <c r="AB82" s="1414"/>
      <c r="AC82" s="1414"/>
      <c r="AD82" s="1414"/>
      <c r="DJ82" s="2277" t="n">
        <v>13</v>
      </c>
    </row>
    <row r="83" customFormat="false" ht="18.75" hidden="false" customHeight="true" outlineLevel="0" collapsed="false">
      <c r="A83" s="1385" t="s">
        <v>1798</v>
      </c>
      <c r="B83" s="1385"/>
      <c r="C83" s="1385"/>
      <c r="D83" s="2321" t="n">
        <v>0.65</v>
      </c>
      <c r="E83" s="16" t="s">
        <v>1341</v>
      </c>
      <c r="F83" s="2322" t="n">
        <f aca="false">ROUNDUP(C35/M83*2-F82,0)</f>
        <v>0</v>
      </c>
      <c r="G83" s="2322"/>
      <c r="H83" s="16" t="s">
        <v>1259</v>
      </c>
      <c r="K83" s="1813" t="s">
        <v>1648</v>
      </c>
      <c r="L83" s="1813"/>
      <c r="M83" s="2323" t="n">
        <v>15</v>
      </c>
      <c r="N83" s="1038" t="n">
        <f aca="false">D83*F83</f>
        <v>0</v>
      </c>
      <c r="O83" s="1038"/>
      <c r="P83" s="16" t="s">
        <v>1797</v>
      </c>
      <c r="V83" s="1038" t="n">
        <f aca="false">T83*R83</f>
        <v>0</v>
      </c>
      <c r="Y83" s="1414"/>
      <c r="Z83" s="1414"/>
      <c r="AA83" s="1414"/>
      <c r="AB83" s="1414"/>
      <c r="AC83" s="1414"/>
      <c r="AD83" s="1414"/>
      <c r="DJ83" s="2277" t="n">
        <v>14</v>
      </c>
    </row>
    <row r="84" customFormat="false" ht="18.75" hidden="false" customHeight="true" outlineLevel="0" collapsed="false">
      <c r="A84" s="1385" t="s">
        <v>1799</v>
      </c>
      <c r="B84" s="1385"/>
      <c r="C84" s="1385"/>
      <c r="D84" s="2324" t="n">
        <f aca="false">Pricing!E71</f>
        <v>0.45</v>
      </c>
      <c r="E84" s="1142" t="s">
        <v>1341</v>
      </c>
      <c r="F84" s="2322" t="n">
        <f aca="false">F83</f>
        <v>0</v>
      </c>
      <c r="G84" s="2322"/>
      <c r="H84" s="16" t="s">
        <v>1259</v>
      </c>
      <c r="K84" s="1813"/>
      <c r="L84" s="1813"/>
      <c r="M84" s="2323"/>
      <c r="N84" s="1038" t="n">
        <f aca="false">D84*F84</f>
        <v>0</v>
      </c>
      <c r="O84" s="1038"/>
      <c r="P84" s="1357" t="s">
        <v>1108</v>
      </c>
      <c r="Q84" s="1358"/>
      <c r="R84" s="1358"/>
      <c r="S84" s="1358"/>
      <c r="T84" s="1360"/>
      <c r="U84" s="1358"/>
      <c r="V84" s="1056" t="n">
        <f aca="false">T84*R84</f>
        <v>0</v>
      </c>
      <c r="Y84" s="1414"/>
      <c r="Z84" s="1414"/>
      <c r="AA84" s="1414"/>
      <c r="AB84" s="1414"/>
      <c r="AC84" s="1414"/>
      <c r="AD84" s="1414"/>
      <c r="DJ84" s="2277" t="n">
        <v>15</v>
      </c>
    </row>
    <row r="85" customFormat="false" ht="18.75" hidden="false" customHeight="true" outlineLevel="0" collapsed="false">
      <c r="A85" s="1041" t="s">
        <v>1800</v>
      </c>
      <c r="B85" s="15"/>
      <c r="C85" s="15"/>
      <c r="D85" s="2324" t="n">
        <v>0</v>
      </c>
      <c r="E85" s="16" t="s">
        <v>1285</v>
      </c>
      <c r="F85" s="2325" t="n">
        <f aca="false">R35</f>
        <v>0</v>
      </c>
      <c r="G85" s="2325"/>
      <c r="H85" s="16" t="s">
        <v>998</v>
      </c>
      <c r="J85" s="525"/>
      <c r="K85" s="1817"/>
      <c r="L85" s="1817"/>
      <c r="M85" s="1080"/>
      <c r="N85" s="1038" t="n">
        <f aca="false">D85*F85</f>
        <v>0</v>
      </c>
      <c r="O85" s="1038"/>
      <c r="P85" s="920"/>
      <c r="Q85" s="78"/>
      <c r="R85" s="78"/>
      <c r="S85" s="78"/>
      <c r="T85" s="1308"/>
      <c r="U85" s="78"/>
      <c r="V85" s="1038"/>
      <c r="Y85" s="1414"/>
      <c r="Z85" s="1414"/>
      <c r="AA85" s="1414"/>
      <c r="AB85" s="1414"/>
      <c r="AC85" s="1414"/>
      <c r="AD85" s="1414"/>
      <c r="DJ85" s="2277"/>
    </row>
    <row r="86" customFormat="false" ht="18.75" hidden="false" customHeight="true" outlineLevel="0" collapsed="false">
      <c r="A86" s="1041" t="s">
        <v>1801</v>
      </c>
      <c r="B86" s="1041"/>
      <c r="C86" s="1041"/>
      <c r="D86" s="2324" t="n">
        <v>2.5</v>
      </c>
      <c r="E86" s="16" t="s">
        <v>1618</v>
      </c>
      <c r="F86" s="2326"/>
      <c r="G86" s="2326"/>
      <c r="H86" s="16" t="s">
        <v>1418</v>
      </c>
      <c r="L86" s="170"/>
      <c r="M86" s="809"/>
      <c r="N86" s="1038" t="n">
        <f aca="false">D86*F86</f>
        <v>0</v>
      </c>
      <c r="O86" s="1038"/>
      <c r="P86" s="920" t="s">
        <v>646</v>
      </c>
      <c r="Q86" s="78"/>
      <c r="R86" s="1311" t="n">
        <f aca="false">ROUNDUP(H61/350/55,0)</f>
        <v>0</v>
      </c>
      <c r="S86" s="78" t="s">
        <v>1649</v>
      </c>
      <c r="T86" s="1308" t="n">
        <f aca="false">Pricing!Q44</f>
        <v>567.5</v>
      </c>
      <c r="U86" s="78" t="s">
        <v>647</v>
      </c>
      <c r="V86" s="1038" t="n">
        <f aca="false">T86*R86</f>
        <v>0</v>
      </c>
      <c r="Y86" s="1414"/>
      <c r="Z86" s="1414"/>
      <c r="AA86" s="1414"/>
      <c r="AB86" s="1414"/>
      <c r="AC86" s="1414"/>
      <c r="AD86" s="1414"/>
      <c r="DJ86" s="2277" t="n">
        <v>10</v>
      </c>
    </row>
    <row r="87" customFormat="false" ht="18.75" hidden="false" customHeight="true" outlineLevel="0" collapsed="false">
      <c r="A87" s="1041" t="s">
        <v>1340</v>
      </c>
      <c r="B87" s="405"/>
      <c r="C87" s="405"/>
      <c r="D87" s="2321" t="n">
        <v>6</v>
      </c>
      <c r="E87" s="1116" t="s">
        <v>1341</v>
      </c>
      <c r="F87" s="2327" t="n">
        <f aca="false">SUM(H10:H34)</f>
        <v>0</v>
      </c>
      <c r="G87" s="2327"/>
      <c r="H87" s="894" t="s">
        <v>1259</v>
      </c>
      <c r="I87" s="894"/>
      <c r="M87" s="525"/>
      <c r="N87" s="1038" t="n">
        <f aca="false">D87*F87</f>
        <v>0</v>
      </c>
      <c r="O87" s="1038"/>
      <c r="P87" s="1357" t="s">
        <v>649</v>
      </c>
      <c r="Q87" s="1358"/>
      <c r="R87" s="1359" t="n">
        <f aca="false">BS76</f>
        <v>0</v>
      </c>
      <c r="S87" s="1358" t="s">
        <v>1649</v>
      </c>
      <c r="T87" s="1360" t="n">
        <f aca="false">Pricing!Q45</f>
        <v>542</v>
      </c>
      <c r="U87" s="1358" t="s">
        <v>647</v>
      </c>
      <c r="V87" s="1056" t="n">
        <f aca="false">T87*R87</f>
        <v>0</v>
      </c>
      <c r="Y87" s="1414"/>
      <c r="Z87" s="1414"/>
      <c r="AA87" s="1414"/>
      <c r="AB87" s="1414"/>
      <c r="AC87" s="1414"/>
      <c r="AD87" s="1414"/>
      <c r="DJ87" s="2277" t="n">
        <v>10</v>
      </c>
    </row>
    <row r="88" customFormat="false" ht="18" hidden="false" customHeight="true" outlineLevel="0" collapsed="false">
      <c r="A88" s="1041" t="s">
        <v>1802</v>
      </c>
      <c r="B88" s="1041"/>
      <c r="C88" s="1041"/>
      <c r="D88" s="2328" t="n">
        <v>5</v>
      </c>
      <c r="E88" s="16" t="s">
        <v>1618</v>
      </c>
      <c r="F88" s="2327" t="n">
        <f aca="false">BS35+BS36</f>
        <v>0</v>
      </c>
      <c r="G88" s="2327"/>
      <c r="H88" s="16" t="s">
        <v>1418</v>
      </c>
      <c r="M88" s="809"/>
      <c r="N88" s="1038" t="n">
        <f aca="false">IF(D88=0,0,D88*F88)</f>
        <v>0</v>
      </c>
      <c r="O88" s="1038"/>
      <c r="P88" s="599"/>
      <c r="V88" s="1146"/>
      <c r="Y88" s="1414"/>
      <c r="Z88" s="1414"/>
      <c r="AA88" s="1414"/>
      <c r="AB88" s="1414"/>
      <c r="AC88" s="1414"/>
      <c r="AD88" s="1414"/>
      <c r="DJ88" s="2277"/>
    </row>
    <row r="89" customFormat="false" ht="24.75" hidden="false" customHeight="true" outlineLevel="0" collapsed="false">
      <c r="A89" s="1041" t="s">
        <v>1346</v>
      </c>
      <c r="B89" s="1041"/>
      <c r="C89" s="1041"/>
      <c r="D89" s="2310"/>
      <c r="E89" s="922" t="s">
        <v>1347</v>
      </c>
      <c r="F89" s="2329" t="n">
        <v>200</v>
      </c>
      <c r="G89" s="2329"/>
      <c r="H89" s="16" t="s">
        <v>620</v>
      </c>
      <c r="N89" s="1038" t="n">
        <f aca="false">D89*F89</f>
        <v>0</v>
      </c>
      <c r="O89" s="1038"/>
      <c r="P89" s="1151" t="s">
        <v>1349</v>
      </c>
      <c r="Q89" s="1151"/>
      <c r="R89" s="994" t="n">
        <v>18</v>
      </c>
      <c r="S89" s="16" t="s">
        <v>1350</v>
      </c>
      <c r="V89" s="1152"/>
      <c r="Y89" s="1414"/>
      <c r="Z89" s="1414"/>
      <c r="AA89" s="1414"/>
      <c r="AB89" s="1414"/>
      <c r="AC89" s="1414"/>
      <c r="AD89" s="1414"/>
      <c r="DJ89" s="2277"/>
    </row>
    <row r="90" customFormat="false" ht="20.25" hidden="false" customHeight="true" outlineLevel="0" collapsed="false">
      <c r="A90" s="2330" t="s">
        <v>1803</v>
      </c>
      <c r="B90" s="2330"/>
      <c r="C90" s="2330"/>
      <c r="D90" s="2331" t="n">
        <v>0.03</v>
      </c>
      <c r="E90" s="782"/>
      <c r="F90" s="2332"/>
      <c r="G90" s="2332"/>
      <c r="H90" s="782" t="s">
        <v>1804</v>
      </c>
      <c r="I90" s="782"/>
      <c r="J90" s="782"/>
      <c r="K90" s="782"/>
      <c r="L90" s="782"/>
      <c r="M90" s="2333"/>
      <c r="N90" s="2334" t="n">
        <f aca="false">D90*F90</f>
        <v>0</v>
      </c>
      <c r="O90" s="2334"/>
      <c r="P90" s="602" t="s">
        <v>1650</v>
      </c>
      <c r="Q90" s="1058"/>
      <c r="R90" s="2335" t="n">
        <f aca="false">F82</f>
        <v>0</v>
      </c>
      <c r="S90" s="1058" t="s">
        <v>1354</v>
      </c>
      <c r="T90" s="1162" t="n">
        <v>1.9</v>
      </c>
      <c r="U90" s="1162"/>
      <c r="V90" s="736" t="n">
        <f aca="false">T90*R90</f>
        <v>0</v>
      </c>
      <c r="Y90" s="1414"/>
      <c r="Z90" s="1414"/>
      <c r="AA90" s="1414"/>
      <c r="AB90" s="1414"/>
      <c r="AC90" s="1414"/>
      <c r="AD90" s="1414"/>
      <c r="DJ90" s="2277" t="n">
        <v>5</v>
      </c>
    </row>
    <row r="91" customFormat="false" ht="20.25" hidden="false" customHeight="true" outlineLevel="0" collapsed="false">
      <c r="A91" s="2336" t="s">
        <v>1191</v>
      </c>
      <c r="B91" s="2336"/>
      <c r="C91" s="2336"/>
      <c r="D91" s="2337" t="n">
        <v>0</v>
      </c>
      <c r="E91" s="2338" t="s">
        <v>1465</v>
      </c>
      <c r="F91" s="2339" t="n">
        <f aca="false">(SUM(N47:O59)+SUM(K61:L67)+SUM(N61:O67)+SUM(N70:O72)+SUM(N75:O80)+SUM(N82:O90))*D91</f>
        <v>0</v>
      </c>
      <c r="G91" s="2339"/>
      <c r="H91" s="2340" t="s">
        <v>1039</v>
      </c>
      <c r="I91" s="2340"/>
      <c r="J91" s="2340"/>
      <c r="K91" s="2340"/>
      <c r="L91" s="2340"/>
      <c r="M91" s="2341"/>
      <c r="N91" s="2342" t="n">
        <f aca="false">F91</f>
        <v>0</v>
      </c>
      <c r="O91" s="2342"/>
      <c r="P91" s="602"/>
      <c r="Q91" s="1058"/>
      <c r="R91" s="1058"/>
      <c r="S91" s="1058"/>
      <c r="T91" s="1162"/>
      <c r="U91" s="1162"/>
      <c r="V91" s="736"/>
      <c r="Y91" s="1414"/>
      <c r="Z91" s="1414"/>
      <c r="AA91" s="1414"/>
      <c r="AB91" s="1414"/>
      <c r="AC91" s="1414"/>
      <c r="AD91" s="1414"/>
      <c r="DJ91" s="2277" t="n">
        <v>5</v>
      </c>
    </row>
    <row r="92" customFormat="false" ht="20.25" hidden="false" customHeight="true" outlineLevel="0" collapsed="false">
      <c r="A92" s="602"/>
      <c r="B92" s="1058"/>
      <c r="C92" s="1058"/>
      <c r="D92" s="1058"/>
      <c r="E92" s="1058"/>
      <c r="F92" s="1058"/>
      <c r="G92" s="1058"/>
      <c r="H92" s="855"/>
      <c r="I92" s="855"/>
      <c r="J92" s="2343"/>
      <c r="K92" s="1762"/>
      <c r="L92" s="1762"/>
      <c r="M92" s="1058"/>
      <c r="N92" s="2344"/>
      <c r="O92" s="2345"/>
      <c r="V92" s="1164" t="n">
        <f aca="false">SUM(V47:V90)</f>
        <v>0</v>
      </c>
      <c r="Y92" s="1414"/>
      <c r="Z92" s="1414"/>
      <c r="AA92" s="1414"/>
      <c r="AB92" s="1414"/>
      <c r="AC92" s="1414"/>
      <c r="AD92" s="1414"/>
    </row>
    <row r="93" customFormat="false" ht="15" hidden="false" customHeight="false" outlineLevel="0" collapsed="false">
      <c r="A93" s="949"/>
      <c r="B93" s="950"/>
      <c r="C93" s="950"/>
      <c r="D93" s="950"/>
      <c r="E93" s="950"/>
      <c r="F93" s="950"/>
      <c r="G93" s="950"/>
      <c r="H93" s="950"/>
      <c r="I93" s="950"/>
      <c r="J93" s="950"/>
      <c r="K93" s="954"/>
      <c r="L93" s="950"/>
      <c r="M93" s="950"/>
      <c r="N93" s="950"/>
      <c r="O93" s="950"/>
      <c r="P93" s="950"/>
      <c r="Q93" s="950"/>
      <c r="R93" s="950"/>
      <c r="S93" s="950"/>
      <c r="T93" s="950"/>
      <c r="U93" s="950"/>
      <c r="V93" s="1165"/>
      <c r="Y93" s="1414"/>
      <c r="Z93" s="1414"/>
      <c r="AA93" s="1414"/>
      <c r="AB93" s="1414"/>
      <c r="AC93" s="1414"/>
      <c r="AD93" s="1414"/>
    </row>
    <row r="94" customFormat="false" ht="26.25" hidden="false" customHeight="true" outlineLevel="0" collapsed="false">
      <c r="A94" s="958" t="s">
        <v>1262</v>
      </c>
      <c r="B94" s="958"/>
      <c r="C94" s="958"/>
      <c r="D94" s="958" t="s">
        <v>982</v>
      </c>
      <c r="E94" s="958"/>
      <c r="F94" s="958" t="s">
        <v>1263</v>
      </c>
      <c r="G94" s="958"/>
      <c r="H94" s="958"/>
      <c r="I94" s="1167" t="s">
        <v>1264</v>
      </c>
      <c r="J94" s="1168"/>
      <c r="K94" s="1169"/>
      <c r="L94" s="1170" t="s">
        <v>1265</v>
      </c>
      <c r="M94" s="1170"/>
      <c r="N94" s="1171"/>
      <c r="O94" s="1172"/>
      <c r="P94" s="961"/>
      <c r="Q94" s="599" t="s">
        <v>1266</v>
      </c>
      <c r="S94" s="16" t="s">
        <v>1267</v>
      </c>
      <c r="T94" s="1173" t="str">
        <f aca="false">T38</f>
        <v>N</v>
      </c>
      <c r="U94" s="833" t="s">
        <v>1268</v>
      </c>
      <c r="V94" s="1174" t="n">
        <f aca="false">V38</f>
        <v>0.0825</v>
      </c>
      <c r="Y94" s="1414"/>
      <c r="Z94" s="1414"/>
      <c r="AA94" s="1414"/>
      <c r="AB94" s="1414"/>
      <c r="AC94" s="1414"/>
      <c r="AD94" s="1414"/>
    </row>
    <row r="95" customFormat="false" ht="15" hidden="false" customHeight="false" outlineLevel="0" collapsed="false">
      <c r="A95" s="965" t="s">
        <v>1269</v>
      </c>
      <c r="B95" s="966" t="n">
        <f aca="false">B39</f>
        <v>0</v>
      </c>
      <c r="C95" s="966"/>
      <c r="D95" s="967" t="n">
        <f aca="false">D39</f>
        <v>0</v>
      </c>
      <c r="E95" s="967"/>
      <c r="F95" s="968" t="n">
        <f aca="false">F39</f>
        <v>0</v>
      </c>
      <c r="G95" s="736" t="n">
        <f aca="false">G39</f>
        <v>0</v>
      </c>
      <c r="H95" s="736"/>
      <c r="I95" s="1264" t="n">
        <f aca="false">I39</f>
        <v>0</v>
      </c>
      <c r="J95" s="1264"/>
      <c r="K95" s="1264"/>
      <c r="L95" s="1829" t="n">
        <f aca="false">L39</f>
        <v>0.18</v>
      </c>
      <c r="M95" s="1655"/>
      <c r="N95" s="1655"/>
      <c r="O95" s="1656"/>
      <c r="P95" s="1265"/>
      <c r="Q95" s="970" t="s">
        <v>980</v>
      </c>
      <c r="T95" s="971" t="n">
        <f aca="false">T39</f>
        <v>0</v>
      </c>
      <c r="U95" s="971"/>
      <c r="V95" s="843"/>
      <c r="Y95" s="1414"/>
      <c r="Z95" s="1414"/>
      <c r="AA95" s="1414"/>
      <c r="AB95" s="1414"/>
      <c r="AC95" s="1414"/>
      <c r="AD95" s="1414"/>
    </row>
    <row r="97" customFormat="false" ht="15" hidden="false" customHeight="false" outlineLevel="0" collapsed="false">
      <c r="B97" s="1771"/>
      <c r="D97" s="525" t="n">
        <f aca="false">D99-T95</f>
        <v>0</v>
      </c>
    </row>
    <row r="98" customFormat="false" ht="15" hidden="false" customHeight="false" outlineLevel="0" collapsed="false">
      <c r="A98" s="717" t="s">
        <v>1055</v>
      </c>
      <c r="B98" s="1403" t="s">
        <v>1655</v>
      </c>
      <c r="C98" s="719"/>
      <c r="D98" s="722" t="n">
        <f aca="false">D99-T95</f>
        <v>0</v>
      </c>
    </row>
    <row r="99" customFormat="false" ht="15" hidden="false" customHeight="false" outlineLevel="0" collapsed="false">
      <c r="A99" s="733" t="n">
        <v>10</v>
      </c>
      <c r="B99" s="735"/>
      <c r="C99" s="735"/>
      <c r="D99" s="736" t="n">
        <f aca="false">SUM(D100:D156)-D132-D142</f>
        <v>0</v>
      </c>
    </row>
    <row r="100" customFormat="false" ht="15" hidden="false" customHeight="false" outlineLevel="0" collapsed="false">
      <c r="A100" s="1404" t="n">
        <f aca="false">Summary!BH74</f>
        <v>100001</v>
      </c>
      <c r="B100" s="2346" t="str">
        <f aca="false">Summary!BI74</f>
        <v>General Requirements</v>
      </c>
      <c r="C100" s="318"/>
      <c r="D100" s="751" t="n">
        <f aca="false">N90</f>
        <v>0</v>
      </c>
    </row>
    <row r="101" customFormat="false" ht="15" hidden="false" customHeight="false" outlineLevel="0" collapsed="false">
      <c r="A101" s="1404" t="n">
        <f aca="false">Summary!BH75</f>
        <v>100002</v>
      </c>
      <c r="B101" s="2346" t="str">
        <f aca="false">Summary!BI75</f>
        <v>Lumber</v>
      </c>
      <c r="C101" s="318"/>
      <c r="D101" s="751" t="n">
        <f aca="false">SUM(V47:V77)</f>
        <v>0</v>
      </c>
    </row>
    <row r="102" customFormat="false" ht="15" hidden="false" customHeight="false" outlineLevel="0" collapsed="false">
      <c r="A102" s="1404" t="n">
        <f aca="false">Summary!BH76</f>
        <v>100003</v>
      </c>
      <c r="B102" s="2346" t="str">
        <f aca="false">Summary!BI76</f>
        <v>Sand Material</v>
      </c>
      <c r="C102" s="318"/>
      <c r="D102" s="751" t="n">
        <f aca="false">N57</f>
        <v>0</v>
      </c>
    </row>
    <row r="103" customFormat="false" ht="15" hidden="false" customHeight="false" outlineLevel="0" collapsed="false">
      <c r="A103" s="1404" t="n">
        <f aca="false">Summary!BH77</f>
        <v>100004</v>
      </c>
      <c r="B103" s="2346" t="str">
        <f aca="false">Summary!BI77</f>
        <v>Rock Material</v>
      </c>
      <c r="C103" s="318"/>
      <c r="D103" s="751" t="n">
        <f aca="false">N58</f>
        <v>0</v>
      </c>
    </row>
    <row r="104" customFormat="false" ht="15" hidden="false" customHeight="false" outlineLevel="0" collapsed="false">
      <c r="A104" s="1404" t="n">
        <f aca="false">Summary!BH78</f>
        <v>100005</v>
      </c>
      <c r="B104" s="2346" t="str">
        <f aca="false">Summary!BI78</f>
        <v>Reinforcement Material</v>
      </c>
      <c r="C104" s="318"/>
      <c r="D104" s="751" t="n">
        <f aca="false">N54+N55</f>
        <v>0</v>
      </c>
    </row>
    <row r="105" customFormat="false" ht="15" hidden="false" customHeight="false" outlineLevel="0" collapsed="false">
      <c r="A105" s="1404" t="n">
        <f aca="false">Summary!BH79</f>
        <v>100006</v>
      </c>
      <c r="B105" s="2346" t="str">
        <f aca="false">Summary!BI79</f>
        <v>Reinforcement Accessories</v>
      </c>
      <c r="C105" s="318"/>
      <c r="D105" s="751" t="n">
        <f aca="false">SUM(V78:DI81)+V90</f>
        <v>0</v>
      </c>
    </row>
    <row r="106" customFormat="false" ht="15" hidden="false" customHeight="false" outlineLevel="0" collapsed="false">
      <c r="A106" s="1404" t="n">
        <f aca="false">Summary!BH80</f>
        <v>100007</v>
      </c>
      <c r="B106" s="2346" t="str">
        <f aca="false">Summary!BI80</f>
        <v>PT Cables</v>
      </c>
      <c r="C106" s="318"/>
      <c r="D106" s="751" t="n">
        <f aca="false">N56</f>
        <v>0</v>
      </c>
    </row>
    <row r="107" customFormat="false" ht="15" hidden="false" customHeight="false" outlineLevel="0" collapsed="false">
      <c r="A107" s="1404" t="n">
        <f aca="false">Summary!BH81</f>
        <v>100008</v>
      </c>
      <c r="B107" s="2346" t="str">
        <f aca="false">Summary!BI81</f>
        <v>Concrete Material</v>
      </c>
      <c r="C107" s="318"/>
      <c r="D107" s="751" t="n">
        <f aca="false">SUM(N47:O53)</f>
        <v>0</v>
      </c>
    </row>
    <row r="108" customFormat="false" ht="15" hidden="false" customHeight="false" outlineLevel="0" collapsed="false">
      <c r="A108" s="1404" t="n">
        <f aca="false">Summary!BH82</f>
        <v>100009</v>
      </c>
      <c r="B108" s="2346" t="str">
        <f aca="false">Summary!BI82</f>
        <v>Carton Forms</v>
      </c>
      <c r="C108" s="318"/>
      <c r="D108" s="751"/>
    </row>
    <row r="109" customFormat="false" ht="15" hidden="false" customHeight="false" outlineLevel="0" collapsed="false">
      <c r="A109" s="1404" t="n">
        <f aca="false">Summary!BH83</f>
        <v>100010</v>
      </c>
      <c r="B109" s="2346" t="str">
        <f aca="false">Summary!BI83</f>
        <v>Cure/Sealers</v>
      </c>
      <c r="C109" s="318"/>
      <c r="D109" s="751" t="n">
        <f aca="false">SUM(V84:V87)</f>
        <v>0</v>
      </c>
    </row>
    <row r="110" customFormat="false" ht="15" hidden="false" customHeight="false" outlineLevel="0" collapsed="false">
      <c r="A110" s="1404" t="n">
        <f aca="false">Summary!BH84</f>
        <v>100011</v>
      </c>
      <c r="B110" s="2346" t="str">
        <f aca="false">Summary!BI84</f>
        <v>Patch/Grout</v>
      </c>
      <c r="C110" s="318"/>
      <c r="D110" s="751"/>
    </row>
    <row r="111" customFormat="false" ht="15" hidden="false" customHeight="false" outlineLevel="0" collapsed="false">
      <c r="A111" s="1404" t="n">
        <f aca="false">Summary!BH85</f>
        <v>100012</v>
      </c>
      <c r="B111" s="2346" t="str">
        <f aca="false">Summary!BI85</f>
        <v>Poly/Vapor Barrier</v>
      </c>
      <c r="C111" s="318"/>
      <c r="D111" s="751"/>
    </row>
    <row r="112" customFormat="false" ht="15" hidden="false" customHeight="false" outlineLevel="0" collapsed="false">
      <c r="A112" s="1404" t="n">
        <f aca="false">Summary!BH86</f>
        <v>100013</v>
      </c>
      <c r="B112" s="2346" t="str">
        <f aca="false">Summary!BI86</f>
        <v>Special Material</v>
      </c>
      <c r="C112" s="318"/>
      <c r="D112" s="751" t="n">
        <f aca="false">V82</f>
        <v>0</v>
      </c>
    </row>
    <row r="113" customFormat="false" ht="15" hidden="false" customHeight="false" outlineLevel="0" collapsed="false">
      <c r="A113" s="1404" t="n">
        <f aca="false">Summary!BH87</f>
        <v>100014</v>
      </c>
      <c r="B113" s="2346" t="str">
        <f aca="false">Summary!BI87</f>
        <v>Special Material</v>
      </c>
      <c r="C113" s="318"/>
      <c r="D113" s="751" t="n">
        <f aca="false">V83</f>
        <v>0</v>
      </c>
    </row>
    <row r="114" customFormat="false" ht="15" hidden="false" customHeight="false" outlineLevel="0" collapsed="false">
      <c r="A114" s="1404" t="n">
        <f aca="false">Summary!BH88</f>
        <v>100015</v>
      </c>
      <c r="B114" s="2346" t="str">
        <f aca="false">Summary!BI88</f>
        <v>PPE/Safety</v>
      </c>
      <c r="C114" s="318"/>
      <c r="D114" s="751" t="n">
        <f aca="false">V84</f>
        <v>0</v>
      </c>
    </row>
    <row r="115" customFormat="false" ht="15" hidden="false" customHeight="false" outlineLevel="0" collapsed="false">
      <c r="A115" s="1404" t="n">
        <f aca="false">Summary!BH89</f>
        <v>100020</v>
      </c>
      <c r="B115" s="2346" t="str">
        <f aca="false">Summary!BI89</f>
        <v>Supervision</v>
      </c>
      <c r="C115" s="318"/>
      <c r="D115" s="751" t="n">
        <f aca="false">SUM(N70:O71)</f>
        <v>0</v>
      </c>
    </row>
    <row r="116" customFormat="false" ht="15" hidden="false" customHeight="false" outlineLevel="0" collapsed="false">
      <c r="A116" s="1404" t="n">
        <f aca="false">Summary!BH90</f>
        <v>100021</v>
      </c>
      <c r="B116" s="2346" t="str">
        <f aca="false">Summary!BI90</f>
        <v>Supervision Expense</v>
      </c>
      <c r="C116" s="318"/>
      <c r="D116" s="751" t="n">
        <f aca="false">SUM(N72)</f>
        <v>0</v>
      </c>
    </row>
    <row r="117" customFormat="false" ht="15" hidden="false" customHeight="false" outlineLevel="0" collapsed="false">
      <c r="A117" s="1404" t="n">
        <f aca="false">Summary!BH91</f>
        <v>100022</v>
      </c>
      <c r="B117" s="2346" t="str">
        <f aca="false">Summary!BI91</f>
        <v>Project Management</v>
      </c>
      <c r="C117" s="318"/>
      <c r="D117" s="751" t="n">
        <f aca="false">N73</f>
        <v>0</v>
      </c>
    </row>
    <row r="118" customFormat="false" ht="15" hidden="false" customHeight="false" outlineLevel="0" collapsed="false">
      <c r="A118" s="1404" t="n">
        <f aca="false">Summary!BH92</f>
        <v>100023</v>
      </c>
      <c r="B118" s="2346" t="str">
        <f aca="false">Summary!BI92</f>
        <v>Labor Grade, Poly, Reinf.</v>
      </c>
      <c r="C118" s="318"/>
      <c r="D118" s="751" t="n">
        <f aca="false">K64</f>
        <v>0</v>
      </c>
    </row>
    <row r="119" customFormat="false" ht="15" hidden="false" customHeight="false" outlineLevel="0" collapsed="false">
      <c r="A119" s="1404" t="n">
        <f aca="false">Summary!BH93</f>
        <v>100024</v>
      </c>
      <c r="B119" s="2346" t="str">
        <f aca="false">Summary!BI93</f>
        <v>Labor Place &amp; Finish</v>
      </c>
      <c r="C119" s="318"/>
      <c r="D119" s="751" t="n">
        <f aca="false">K62</f>
        <v>0</v>
      </c>
    </row>
    <row r="120" customFormat="false" ht="15" hidden="false" customHeight="false" outlineLevel="0" collapsed="false">
      <c r="A120" s="1404" t="n">
        <f aca="false">Summary!BH94</f>
        <v>100025</v>
      </c>
      <c r="B120" s="2346" t="str">
        <f aca="false">Summary!BI94</f>
        <v>Labor Drops</v>
      </c>
      <c r="C120" s="318"/>
      <c r="D120" s="751" t="n">
        <f aca="false">K66</f>
        <v>0</v>
      </c>
    </row>
    <row r="121" customFormat="false" ht="15" hidden="false" customHeight="false" outlineLevel="0" collapsed="false">
      <c r="A121" s="1404" t="n">
        <f aca="false">Summary!BH95</f>
        <v>100026</v>
      </c>
      <c r="B121" s="2346" t="str">
        <f aca="false">Summary!BI95</f>
        <v>Labor Strip Forms</v>
      </c>
      <c r="C121" s="318"/>
      <c r="D121" s="751" t="n">
        <f aca="false">K63</f>
        <v>0</v>
      </c>
    </row>
    <row r="122" customFormat="false" ht="15" hidden="false" customHeight="false" outlineLevel="0" collapsed="false">
      <c r="A122" s="1404" t="n">
        <f aca="false">Summary!BH96</f>
        <v>100027</v>
      </c>
      <c r="B122" s="2346" t="str">
        <f aca="false">Summary!BI96</f>
        <v>Labor Burden</v>
      </c>
      <c r="C122" s="318"/>
      <c r="D122" s="751"/>
    </row>
    <row r="123" customFormat="false" ht="15" hidden="false" customHeight="false" outlineLevel="0" collapsed="false">
      <c r="A123" s="1404" t="n">
        <f aca="false">Summary!BH98</f>
        <v>100030</v>
      </c>
      <c r="B123" s="2346" t="str">
        <f aca="false">Summary!BI98</f>
        <v>Pumping</v>
      </c>
      <c r="C123" s="318"/>
      <c r="D123" s="751" t="n">
        <f aca="false">N85</f>
        <v>0</v>
      </c>
    </row>
    <row r="124" customFormat="false" ht="15" hidden="false" customHeight="false" outlineLevel="0" collapsed="false">
      <c r="A124" s="1404" t="n">
        <f aca="false">Summary!BH99</f>
        <v>100031</v>
      </c>
      <c r="B124" s="2346" t="str">
        <f aca="false">Summary!BI99</f>
        <v>Earth Work/Excavation</v>
      </c>
      <c r="C124" s="318"/>
      <c r="D124" s="751"/>
    </row>
    <row r="125" customFormat="false" ht="15" hidden="false" customHeight="false" outlineLevel="0" collapsed="false">
      <c r="A125" s="1404" t="n">
        <f aca="false">Summary!BH100</f>
        <v>100032</v>
      </c>
      <c r="B125" s="2346" t="str">
        <f aca="false">Summary!BI100</f>
        <v>Drilling</v>
      </c>
      <c r="C125" s="318"/>
      <c r="D125" s="751"/>
    </row>
    <row r="126" customFormat="false" ht="15" hidden="false" customHeight="false" outlineLevel="0" collapsed="false">
      <c r="A126" s="1404" t="n">
        <f aca="false">Summary!BH101</f>
        <v>100033</v>
      </c>
      <c r="B126" s="2346" t="str">
        <f aca="false">Summary!BI101</f>
        <v>Haul off</v>
      </c>
      <c r="C126" s="318"/>
      <c r="D126" s="751"/>
    </row>
    <row r="127" customFormat="false" ht="15" hidden="false" customHeight="false" outlineLevel="0" collapsed="false">
      <c r="A127" s="1404" t="n">
        <f aca="false">Summary!BH102</f>
        <v>100034</v>
      </c>
      <c r="B127" s="2346" t="str">
        <f aca="false">Summary!BI102</f>
        <v>Saw Cutting/Sealing</v>
      </c>
      <c r="C127" s="318"/>
      <c r="D127" s="751" t="n">
        <f aca="false">N82+N83+N84</f>
        <v>0</v>
      </c>
    </row>
    <row r="128" customFormat="false" ht="15" hidden="false" customHeight="false" outlineLevel="0" collapsed="false">
      <c r="A128" s="1404" t="n">
        <f aca="false">Summary!BH103</f>
        <v>100035</v>
      </c>
      <c r="B128" s="2346" t="str">
        <f aca="false">Summary!BI103</f>
        <v>Demolition</v>
      </c>
      <c r="C128" s="318"/>
      <c r="D128" s="751" t="n">
        <f aca="false">N87</f>
        <v>0</v>
      </c>
    </row>
    <row r="129" customFormat="false" ht="15" hidden="false" customHeight="false" outlineLevel="0" collapsed="false">
      <c r="A129" s="1404" t="n">
        <f aca="false">Summary!BH104</f>
        <v>100037</v>
      </c>
      <c r="B129" s="2346" t="str">
        <f aca="false">Summary!BI104</f>
        <v>Waterproofing</v>
      </c>
      <c r="C129" s="318"/>
      <c r="D129" s="751"/>
    </row>
    <row r="130" customFormat="false" ht="15" hidden="false" customHeight="false" outlineLevel="0" collapsed="false">
      <c r="A130" s="1404" t="n">
        <f aca="false">Summary!BH105</f>
        <v>100038</v>
      </c>
      <c r="B130" s="2346" t="str">
        <f aca="false">Summary!BI105</f>
        <v>Crain/Hoisting</v>
      </c>
      <c r="C130" s="318"/>
      <c r="D130" s="751"/>
    </row>
    <row r="131" customFormat="false" ht="15" hidden="false" customHeight="false" outlineLevel="0" collapsed="false">
      <c r="A131" s="1406" t="n">
        <f aca="false">Summary!BH106</f>
        <v>100039</v>
      </c>
      <c r="B131" s="2347" t="str">
        <f aca="false">Summary!BI106</f>
        <v>Forming Systems</v>
      </c>
      <c r="C131" s="800"/>
      <c r="D131" s="756" t="n">
        <f aca="false">N59+N88</f>
        <v>0</v>
      </c>
    </row>
    <row r="132" customFormat="false" ht="15" hidden="false" customHeight="false" outlineLevel="0" collapsed="false">
      <c r="A132" s="2055" t="n">
        <f aca="false">Summary!BH107</f>
        <v>100040</v>
      </c>
      <c r="B132" s="2348" t="str">
        <f aca="false">Summary!BI107</f>
        <v>Total Sub Labor</v>
      </c>
      <c r="C132" s="2057"/>
      <c r="D132" s="2058" t="n">
        <f aca="false">SUM(D133:D140)</f>
        <v>0</v>
      </c>
    </row>
    <row r="133" customFormat="false" ht="15" hidden="false" customHeight="false" outlineLevel="0" collapsed="false">
      <c r="A133" s="1404" t="n">
        <f aca="false">Summary!BH108</f>
        <v>100041</v>
      </c>
      <c r="B133" s="2346" t="str">
        <f aca="false">Summary!BI108</f>
        <v>Labor Forming</v>
      </c>
      <c r="C133" s="318"/>
      <c r="D133" s="742" t="n">
        <f aca="false">N61</f>
        <v>0</v>
      </c>
    </row>
    <row r="134" customFormat="false" ht="15" hidden="false" customHeight="false" outlineLevel="0" collapsed="false">
      <c r="A134" s="1404" t="n">
        <f aca="false">Summary!BH109</f>
        <v>100042</v>
      </c>
      <c r="B134" s="2346" t="str">
        <f aca="false">Summary!BI109</f>
        <v>Labor Grade, Poly, Reinf.</v>
      </c>
      <c r="C134" s="749"/>
      <c r="D134" s="742" t="n">
        <f aca="false">N62</f>
        <v>0</v>
      </c>
    </row>
    <row r="135" customFormat="false" ht="15" hidden="false" customHeight="false" outlineLevel="0" collapsed="false">
      <c r="A135" s="1404" t="n">
        <f aca="false">Summary!BH110</f>
        <v>100043</v>
      </c>
      <c r="B135" s="2346" t="str">
        <f aca="false">Summary!BI110</f>
        <v>Labor Place &amp; Finish</v>
      </c>
      <c r="C135" s="318"/>
      <c r="D135" s="751" t="n">
        <f aca="false">N66+N86</f>
        <v>0</v>
      </c>
    </row>
    <row r="136" customFormat="false" ht="15" hidden="false" customHeight="false" outlineLevel="0" collapsed="false">
      <c r="A136" s="1404" t="n">
        <f aca="false">Summary!BH111</f>
        <v>100044</v>
      </c>
      <c r="B136" s="2346" t="str">
        <f aca="false">Summary!BI111</f>
        <v>Labor Drops</v>
      </c>
      <c r="C136" s="318"/>
      <c r="D136" s="751" t="n">
        <f aca="false">N63</f>
        <v>0</v>
      </c>
    </row>
    <row r="137" customFormat="false" ht="15" hidden="false" customHeight="false" outlineLevel="0" collapsed="false">
      <c r="A137" s="1404" t="n">
        <f aca="false">Summary!BH112</f>
        <v>100045</v>
      </c>
      <c r="B137" s="2346" t="str">
        <f aca="false">Summary!BI112</f>
        <v>Labor Strip Forms</v>
      </c>
      <c r="C137" s="749"/>
      <c r="D137" s="742"/>
    </row>
    <row r="138" customFormat="false" ht="15" hidden="false" customHeight="false" outlineLevel="0" collapsed="false">
      <c r="A138" s="1404" t="n">
        <f aca="false">Summary!BH113</f>
        <v>100046</v>
      </c>
      <c r="B138" s="2346" t="str">
        <f aca="false">Summary!BI113</f>
        <v>Labor Burden</v>
      </c>
      <c r="C138" s="749"/>
      <c r="D138" s="742" t="n">
        <f aca="false">N64</f>
        <v>0</v>
      </c>
    </row>
    <row r="139" customFormat="false" ht="15" hidden="false" customHeight="false" outlineLevel="0" collapsed="false">
      <c r="A139" s="1404" t="n">
        <f aca="false">Summary!BH114</f>
        <v>100047</v>
      </c>
      <c r="B139" s="2346" t="str">
        <f aca="false">Summary!BI114</f>
        <v>Rebar</v>
      </c>
      <c r="C139" s="318"/>
      <c r="D139" s="751" t="n">
        <f aca="false">N65</f>
        <v>0</v>
      </c>
    </row>
    <row r="140" customFormat="false" ht="15" hidden="false" customHeight="false" outlineLevel="0" collapsed="false">
      <c r="A140" s="1406" t="n">
        <f aca="false">Summary!BH115</f>
        <v>100048</v>
      </c>
      <c r="B140" s="2347" t="str">
        <f aca="false">Summary!BI115</f>
        <v>PT Installation</v>
      </c>
      <c r="C140" s="800"/>
      <c r="D140" s="756"/>
    </row>
    <row r="141" customFormat="false" ht="15" hidden="false" customHeight="false" outlineLevel="0" collapsed="false">
      <c r="A141" s="1406" t="n">
        <f aca="false">Summary!BH116</f>
        <v>100049</v>
      </c>
      <c r="B141" s="2347" t="str">
        <f aca="false">Summary!BI116</f>
        <v>Extra Hours</v>
      </c>
      <c r="C141" s="800"/>
      <c r="D141" s="756" t="n">
        <f aca="false">N67</f>
        <v>0</v>
      </c>
    </row>
    <row r="142" customFormat="false" ht="15" hidden="false" customHeight="false" outlineLevel="0" collapsed="false">
      <c r="A142" s="2055" t="n">
        <f aca="false">Summary!BH117</f>
        <v>100060</v>
      </c>
      <c r="B142" s="2348" t="str">
        <f aca="false">Summary!BI117</f>
        <v>Total Equipment Rental</v>
      </c>
      <c r="C142" s="2057"/>
      <c r="D142" s="2058" t="n">
        <f aca="false">SUM(D143:D150)</f>
        <v>0</v>
      </c>
    </row>
    <row r="143" customFormat="false" ht="15" hidden="false" customHeight="false" outlineLevel="0" collapsed="false">
      <c r="A143" s="1404" t="n">
        <f aca="false">Summary!BH118</f>
        <v>100061</v>
      </c>
      <c r="B143" s="2346" t="str">
        <f aca="false">Summary!BI118</f>
        <v>SkyTrack</v>
      </c>
      <c r="C143" s="318"/>
      <c r="D143" s="742" t="n">
        <f aca="false">N75/(1+V$38+I$77)</f>
        <v>0</v>
      </c>
    </row>
    <row r="144" customFormat="false" ht="15" hidden="false" customHeight="false" outlineLevel="0" collapsed="false">
      <c r="A144" s="1404" t="n">
        <f aca="false">Summary!BH119</f>
        <v>100062</v>
      </c>
      <c r="B144" s="2346" t="str">
        <f aca="false">Summary!BI119</f>
        <v>Mini Excavator</v>
      </c>
      <c r="C144" s="318"/>
      <c r="D144" s="751" t="n">
        <f aca="false">N76/(1+V$38+I$77)</f>
        <v>0</v>
      </c>
    </row>
    <row r="145" customFormat="false" ht="15" hidden="false" customHeight="false" outlineLevel="0" collapsed="false">
      <c r="A145" s="1404" t="n">
        <f aca="false">Summary!BH120</f>
        <v>100063</v>
      </c>
      <c r="B145" s="2346" t="str">
        <f aca="false">Summary!BI120</f>
        <v>Trencher</v>
      </c>
      <c r="C145" s="318"/>
      <c r="D145" s="751" t="n">
        <f aca="false">N77/(1+V$38+I$77)</f>
        <v>0</v>
      </c>
    </row>
    <row r="146" customFormat="false" ht="15" hidden="false" customHeight="false" outlineLevel="0" collapsed="false">
      <c r="A146" s="1404" t="n">
        <f aca="false">Summary!BH121</f>
        <v>100064</v>
      </c>
      <c r="B146" s="2346" t="str">
        <f aca="false">Summary!BI121</f>
        <v>Skid Steer</v>
      </c>
      <c r="C146" s="318"/>
      <c r="D146" s="751" t="n">
        <f aca="false">N78/(1+V$38+I$77)</f>
        <v>0</v>
      </c>
    </row>
    <row r="147" customFormat="false" ht="15" hidden="false" customHeight="false" outlineLevel="0" collapsed="false">
      <c r="A147" s="1404" t="n">
        <f aca="false">Summary!BH122</f>
        <v>100065</v>
      </c>
      <c r="B147" s="2346" t="str">
        <f aca="false">Summary!BI122</f>
        <v>General Equipment Rental</v>
      </c>
      <c r="C147" s="318"/>
      <c r="D147" s="751" t="n">
        <f aca="false">(N79)/(1+V$38+I$77)+N80</f>
        <v>0</v>
      </c>
    </row>
    <row r="148" customFormat="false" ht="15" hidden="false" customHeight="false" outlineLevel="0" collapsed="false">
      <c r="A148" s="1404" t="n">
        <f aca="false">Summary!BH123</f>
        <v>100066</v>
      </c>
      <c r="B148" s="2346" t="str">
        <f aca="false">Summary!BI123</f>
        <v>Fuel</v>
      </c>
      <c r="C148" s="318"/>
      <c r="D148" s="751" t="n">
        <f aca="false">L77-SUM(D143:D147)</f>
        <v>0</v>
      </c>
    </row>
    <row r="149" customFormat="false" ht="15" hidden="false" customHeight="false" outlineLevel="0" collapsed="false">
      <c r="A149" s="1404" t="n">
        <f aca="false">Summary!BH124</f>
        <v>100067</v>
      </c>
      <c r="B149" s="2346" t="str">
        <f aca="false">Summary!BI124</f>
        <v>Purchased Tools</v>
      </c>
      <c r="C149" s="318"/>
      <c r="D149" s="751"/>
    </row>
    <row r="150" customFormat="false" ht="15" hidden="false" customHeight="false" outlineLevel="0" collapsed="false">
      <c r="A150" s="1404" t="n">
        <f aca="false">Summary!BH125</f>
        <v>100068</v>
      </c>
      <c r="B150" s="2346" t="str">
        <f aca="false">Summary!BI125</f>
        <v>Stolen/Damaged</v>
      </c>
      <c r="C150" s="318"/>
      <c r="D150" s="751" t="n">
        <v>0</v>
      </c>
    </row>
    <row r="151" customFormat="false" ht="15" hidden="false" customHeight="false" outlineLevel="0" collapsed="false">
      <c r="A151" s="1404" t="n">
        <f aca="false">Summary!BH126</f>
        <v>100070</v>
      </c>
      <c r="B151" s="2346" t="str">
        <f aca="false">Summary!BI126</f>
        <v>Out of Town Expense</v>
      </c>
      <c r="C151" s="318"/>
      <c r="D151" s="751" t="n">
        <f aca="false">N89</f>
        <v>0</v>
      </c>
    </row>
    <row r="152" customFormat="false" ht="15" hidden="false" customHeight="false" outlineLevel="0" collapsed="false">
      <c r="A152" s="1404" t="n">
        <f aca="false">Summary!BH127</f>
        <v>100071</v>
      </c>
      <c r="B152" s="2346" t="str">
        <f aca="false">Summary!BI127</f>
        <v>Miscellaneous</v>
      </c>
      <c r="C152" s="318"/>
      <c r="D152" s="751"/>
    </row>
    <row r="153" customFormat="false" ht="15" hidden="false" customHeight="false" outlineLevel="0" collapsed="false">
      <c r="A153" s="1404" t="n">
        <f aca="false">Summary!BH128</f>
        <v>100072</v>
      </c>
      <c r="B153" s="2346" t="str">
        <f aca="false">Summary!BI128</f>
        <v>Repairs</v>
      </c>
      <c r="C153" s="318"/>
      <c r="D153" s="751"/>
    </row>
    <row r="154" customFormat="false" ht="15" hidden="false" customHeight="false" outlineLevel="0" collapsed="false">
      <c r="A154" s="1404" t="n">
        <f aca="false">Summary!BH129</f>
        <v>100073</v>
      </c>
      <c r="B154" s="2346" t="str">
        <f aca="false">Summary!BI129</f>
        <v>Engineering</v>
      </c>
      <c r="C154" s="318"/>
      <c r="D154" s="751"/>
    </row>
    <row r="155" customFormat="false" ht="15" hidden="false" customHeight="false" outlineLevel="0" collapsed="false">
      <c r="A155" s="1404" t="n">
        <f aca="false">Summary!BH130</f>
        <v>100090</v>
      </c>
      <c r="B155" s="2346" t="str">
        <f aca="false">Summary!BI130</f>
        <v>Not Used</v>
      </c>
      <c r="C155" s="318"/>
      <c r="D155" s="751"/>
    </row>
    <row r="156" customFormat="false" ht="15" hidden="false" customHeight="false" outlineLevel="0" collapsed="false">
      <c r="A156" s="1404" t="n">
        <f aca="false">Summary!BH131</f>
        <v>100091</v>
      </c>
      <c r="B156" s="2346" t="str">
        <f aca="false">Summary!BI131</f>
        <v>Margin Contingency</v>
      </c>
      <c r="C156" s="318"/>
      <c r="D156" s="751" t="n">
        <f aca="false">N91</f>
        <v>0</v>
      </c>
    </row>
  </sheetData>
  <mergeCells count="226">
    <mergeCell ref="U1:V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B8:B9"/>
    <mergeCell ref="C8:D9"/>
    <mergeCell ref="E8:E9"/>
    <mergeCell ref="F8:F9"/>
    <mergeCell ref="G8:G9"/>
    <mergeCell ref="H8:H9"/>
    <mergeCell ref="I8:I9"/>
    <mergeCell ref="J8:J9"/>
    <mergeCell ref="K8:K9"/>
    <mergeCell ref="L8:L9"/>
    <mergeCell ref="M8:N8"/>
    <mergeCell ref="O8:O9"/>
    <mergeCell ref="P8:P9"/>
    <mergeCell ref="Q8:Q9"/>
    <mergeCell ref="R8:R9"/>
    <mergeCell ref="S8:S9"/>
    <mergeCell ref="T8:T9"/>
    <mergeCell ref="U8:V9"/>
    <mergeCell ref="AZ8:BC8"/>
    <mergeCell ref="DJ8:DN8"/>
    <mergeCell ref="U10:V10"/>
    <mergeCell ref="U11:V11"/>
    <mergeCell ref="U12:V12"/>
    <mergeCell ref="U13:V13"/>
    <mergeCell ref="U14:V14"/>
    <mergeCell ref="U15:V15"/>
    <mergeCell ref="U16:V16"/>
    <mergeCell ref="U17:V17"/>
    <mergeCell ref="U18:V18"/>
    <mergeCell ref="U19:V19"/>
    <mergeCell ref="U20:V20"/>
    <mergeCell ref="U21:V21"/>
    <mergeCell ref="U22:V22"/>
    <mergeCell ref="U23:V23"/>
    <mergeCell ref="U24:V24"/>
    <mergeCell ref="U25:V25"/>
    <mergeCell ref="U26:V26"/>
    <mergeCell ref="U27:V27"/>
    <mergeCell ref="U28:V28"/>
    <mergeCell ref="U29:V29"/>
    <mergeCell ref="U30:V30"/>
    <mergeCell ref="U31:V31"/>
    <mergeCell ref="U32:V32"/>
    <mergeCell ref="U33:V33"/>
    <mergeCell ref="U34:V34"/>
    <mergeCell ref="C35:D35"/>
    <mergeCell ref="M35:N35"/>
    <mergeCell ref="E36:F36"/>
    <mergeCell ref="G36:H36"/>
    <mergeCell ref="T36:U36"/>
    <mergeCell ref="D37:E37"/>
    <mergeCell ref="A38:C38"/>
    <mergeCell ref="D38:E38"/>
    <mergeCell ref="F38:H38"/>
    <mergeCell ref="I38:K38"/>
    <mergeCell ref="L38:M38"/>
    <mergeCell ref="B39:C39"/>
    <mergeCell ref="D39:E39"/>
    <mergeCell ref="G39:H39"/>
    <mergeCell ref="I39:K39"/>
    <mergeCell ref="L39:O39"/>
    <mergeCell ref="T39:U39"/>
    <mergeCell ref="D40:E40"/>
    <mergeCell ref="J40:K40"/>
    <mergeCell ref="M40:N40"/>
    <mergeCell ref="T40:U40"/>
    <mergeCell ref="N41:O41"/>
    <mergeCell ref="I42:J42"/>
    <mergeCell ref="K46:L46"/>
    <mergeCell ref="P46:Q46"/>
    <mergeCell ref="H47:I53"/>
    <mergeCell ref="J47:J53"/>
    <mergeCell ref="K47:L47"/>
    <mergeCell ref="N47:O47"/>
    <mergeCell ref="K48:L48"/>
    <mergeCell ref="N48:O48"/>
    <mergeCell ref="K49:L49"/>
    <mergeCell ref="N49:O49"/>
    <mergeCell ref="K50:L50"/>
    <mergeCell ref="N50:O50"/>
    <mergeCell ref="K51:L51"/>
    <mergeCell ref="N51:O51"/>
    <mergeCell ref="K52:L52"/>
    <mergeCell ref="N52:O52"/>
    <mergeCell ref="K53:L53"/>
    <mergeCell ref="N53:O53"/>
    <mergeCell ref="H54:I54"/>
    <mergeCell ref="K54:L54"/>
    <mergeCell ref="N54:O54"/>
    <mergeCell ref="H55:I55"/>
    <mergeCell ref="K55:L55"/>
    <mergeCell ref="N55:O55"/>
    <mergeCell ref="I56:J56"/>
    <mergeCell ref="K56:L56"/>
    <mergeCell ref="N56:O56"/>
    <mergeCell ref="H57:I58"/>
    <mergeCell ref="J57:J58"/>
    <mergeCell ref="K57:L57"/>
    <mergeCell ref="N57:O57"/>
    <mergeCell ref="K58:L58"/>
    <mergeCell ref="N58:O58"/>
    <mergeCell ref="H59:I59"/>
    <mergeCell ref="K59:L59"/>
    <mergeCell ref="N59:O59"/>
    <mergeCell ref="K60:L60"/>
    <mergeCell ref="M60:O60"/>
    <mergeCell ref="D61:E61"/>
    <mergeCell ref="G61:G63"/>
    <mergeCell ref="H61:I63"/>
    <mergeCell ref="K61:L61"/>
    <mergeCell ref="N61:O61"/>
    <mergeCell ref="D62:E62"/>
    <mergeCell ref="K62:L62"/>
    <mergeCell ref="N62:O62"/>
    <mergeCell ref="D63:E63"/>
    <mergeCell ref="K63:L63"/>
    <mergeCell ref="N63:O63"/>
    <mergeCell ref="D64:E64"/>
    <mergeCell ref="H64:I64"/>
    <mergeCell ref="K64:L64"/>
    <mergeCell ref="N64:O64"/>
    <mergeCell ref="D65:E65"/>
    <mergeCell ref="H65:I65"/>
    <mergeCell ref="K65:L65"/>
    <mergeCell ref="N65:O65"/>
    <mergeCell ref="D66:E66"/>
    <mergeCell ref="H66:I66"/>
    <mergeCell ref="K66:L66"/>
    <mergeCell ref="N66:O66"/>
    <mergeCell ref="D67:E67"/>
    <mergeCell ref="K67:L67"/>
    <mergeCell ref="N67:O67"/>
    <mergeCell ref="D68:E68"/>
    <mergeCell ref="H68:J68"/>
    <mergeCell ref="K68:L68"/>
    <mergeCell ref="N68:O68"/>
    <mergeCell ref="L70:M70"/>
    <mergeCell ref="N70:O70"/>
    <mergeCell ref="L71:M71"/>
    <mergeCell ref="N71:O71"/>
    <mergeCell ref="N72:O72"/>
    <mergeCell ref="L73:M73"/>
    <mergeCell ref="N73:O73"/>
    <mergeCell ref="A75:C75"/>
    <mergeCell ref="N75:O75"/>
    <mergeCell ref="A76:C76"/>
    <mergeCell ref="I76:J76"/>
    <mergeCell ref="L76:M76"/>
    <mergeCell ref="N76:O76"/>
    <mergeCell ref="A77:C77"/>
    <mergeCell ref="I77:J78"/>
    <mergeCell ref="L77:M77"/>
    <mergeCell ref="N77:O77"/>
    <mergeCell ref="A78:C78"/>
    <mergeCell ref="N78:O78"/>
    <mergeCell ref="A79:C79"/>
    <mergeCell ref="N79:O79"/>
    <mergeCell ref="A80:C80"/>
    <mergeCell ref="L80:M80"/>
    <mergeCell ref="N80:O80"/>
    <mergeCell ref="A82:C82"/>
    <mergeCell ref="F82:G82"/>
    <mergeCell ref="K82:L82"/>
    <mergeCell ref="N82:O82"/>
    <mergeCell ref="A83:C83"/>
    <mergeCell ref="F83:G83"/>
    <mergeCell ref="K83:L84"/>
    <mergeCell ref="M83:M84"/>
    <mergeCell ref="N83:O83"/>
    <mergeCell ref="A84:C84"/>
    <mergeCell ref="F84:G84"/>
    <mergeCell ref="N84:O84"/>
    <mergeCell ref="F85:G85"/>
    <mergeCell ref="N85:O85"/>
    <mergeCell ref="A86:C86"/>
    <mergeCell ref="F86:G86"/>
    <mergeCell ref="N86:O86"/>
    <mergeCell ref="F87:G87"/>
    <mergeCell ref="H87:I87"/>
    <mergeCell ref="N87:O87"/>
    <mergeCell ref="A88:C88"/>
    <mergeCell ref="F88:G88"/>
    <mergeCell ref="N88:O88"/>
    <mergeCell ref="A89:C89"/>
    <mergeCell ref="F89:G89"/>
    <mergeCell ref="N89:O89"/>
    <mergeCell ref="P89:Q89"/>
    <mergeCell ref="A90:C90"/>
    <mergeCell ref="F90:G90"/>
    <mergeCell ref="N90:O90"/>
    <mergeCell ref="T90:U90"/>
    <mergeCell ref="A91:C91"/>
    <mergeCell ref="F91:G91"/>
    <mergeCell ref="N91:O91"/>
    <mergeCell ref="T91:U91"/>
    <mergeCell ref="A94:C94"/>
    <mergeCell ref="D94:E94"/>
    <mergeCell ref="F94:H94"/>
    <mergeCell ref="L94:M94"/>
    <mergeCell ref="B95:C95"/>
    <mergeCell ref="D95:E95"/>
    <mergeCell ref="G95:H95"/>
    <mergeCell ref="I95:K95"/>
    <mergeCell ref="T95:U95"/>
  </mergeCells>
  <conditionalFormatting sqref="K46:L46">
    <cfRule type="containsText" priority="2" operator="containsText" aboveAverage="0" equalAverage="0" bottom="0" percent="0" rank="0" text="Missing" dxfId="16">
      <formula>NOT(ISERROR(SEARCH("Missing",K46)))</formula>
    </cfRule>
  </conditionalFormatting>
  <hyperlinks>
    <hyperlink ref="E73" r:id="rId2" display="DAYS@"/>
  </hyperlink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0" man="true" max="16383" min="0"/>
  </rowBreaks>
  <colBreaks count="1" manualBreakCount="1">
    <brk id="113" man="true" max="65535" min="0"/>
  </colBreak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209"/>
  <sheetViews>
    <sheetView showFormulas="false" showGridLines="true" showRowColHeaders="true" showZeros="true" rightToLeft="false" tabSelected="false" showOutlineSymbols="true" defaultGridColor="true" view="normal" topLeftCell="A1" colorId="64" zoomScale="55" zoomScaleNormal="55" zoomScalePageLayoutView="70" workbookViewId="0">
      <selection pane="topLeft" activeCell="K39" activeCellId="0" sqref="K39"/>
    </sheetView>
  </sheetViews>
  <sheetFormatPr defaultColWidth="9.18359375" defaultRowHeight="15" customHeight="false" zeroHeight="false" outlineLevelRow="0" outlineLevelCol="0"/>
  <cols>
    <col collapsed="false" customWidth="true" hidden="false" outlineLevel="0" max="2" min="1" style="16" width="15.82"/>
    <col collapsed="false" customWidth="true" hidden="false" outlineLevel="0" max="3" min="3" style="16" width="15.45"/>
    <col collapsed="false" customWidth="true" hidden="false" outlineLevel="0" max="4" min="4" style="16" width="13.18"/>
    <col collapsed="false" customWidth="true" hidden="false" outlineLevel="0" max="5" min="5" style="16" width="12.82"/>
    <col collapsed="false" customWidth="true" hidden="false" outlineLevel="0" max="6" min="6" style="16" width="15.18"/>
    <col collapsed="false" customWidth="true" hidden="false" outlineLevel="0" max="8" min="7" style="16" width="12.82"/>
    <col collapsed="false" customWidth="true" hidden="false" outlineLevel="0" max="9" min="9" style="16" width="16"/>
    <col collapsed="false" customWidth="true" hidden="false" outlineLevel="0" max="10" min="10" style="16" width="12.82"/>
    <col collapsed="false" customWidth="true" hidden="false" outlineLevel="0" max="12" min="11" style="16" width="11.45"/>
    <col collapsed="false" customWidth="true" hidden="false" outlineLevel="0" max="13" min="13" style="16" width="12.82"/>
    <col collapsed="false" customWidth="true" hidden="false" outlineLevel="0" max="15" min="14" style="16" width="14.18"/>
    <col collapsed="false" customWidth="true" hidden="false" outlineLevel="0" max="16" min="16" style="16" width="17.18"/>
    <col collapsed="false" customWidth="true" hidden="false" outlineLevel="0" max="17" min="17" style="16" width="17"/>
    <col collapsed="false" customWidth="true" hidden="false" outlineLevel="0" max="18" min="18" style="16" width="17.54"/>
    <col collapsed="false" customWidth="true" hidden="false" outlineLevel="0" max="19" min="19" style="16" width="12.82"/>
    <col collapsed="false" customWidth="true" hidden="false" outlineLevel="0" max="20" min="20" style="16" width="14"/>
    <col collapsed="false" customWidth="true" hidden="false" outlineLevel="0" max="21" min="21" style="16" width="15.45"/>
    <col collapsed="false" customWidth="true" hidden="false" outlineLevel="0" max="22" min="22" style="16" width="18.45"/>
    <col collapsed="false" customWidth="true" hidden="false" outlineLevel="0" max="23" min="23" style="16" width="28.18"/>
    <col collapsed="false" customWidth="true" hidden="false" outlineLevel="0" max="24" min="24" style="0" width="5.18"/>
    <col collapsed="false" customWidth="true" hidden="false" outlineLevel="0" max="25" min="25" style="0" width="7"/>
    <col collapsed="false" customWidth="false" hidden="false" outlineLevel="0" max="30" min="26" style="16" width="9.18"/>
    <col collapsed="false" customWidth="true" hidden="false" outlineLevel="0" max="31" min="31" style="16" width="14.54"/>
    <col collapsed="false" customWidth="false" hidden="false" outlineLevel="0" max="32" min="32" style="16" width="9.18"/>
    <col collapsed="false" customWidth="true" hidden="false" outlineLevel="0" max="36" min="33" style="16" width="10.45"/>
    <col collapsed="false" customWidth="false" hidden="false" outlineLevel="0" max="37" min="37" style="16" width="9.18"/>
    <col collapsed="false" customWidth="true" hidden="false" outlineLevel="0" max="40" min="38" style="16" width="10.18"/>
    <col collapsed="false" customWidth="true" hidden="false" outlineLevel="0" max="41" min="41" style="16" width="19.82"/>
    <col collapsed="false" customWidth="true" hidden="false" outlineLevel="0" max="42" min="42" style="16" width="17.54"/>
    <col collapsed="false" customWidth="true" hidden="false" outlineLevel="0" max="43" min="43" style="16" width="14.18"/>
    <col collapsed="false" customWidth="true" hidden="false" outlineLevel="0" max="44" min="44" style="16" width="11.18"/>
    <col collapsed="false" customWidth="false" hidden="false" outlineLevel="0" max="56" min="45" style="16" width="9.18"/>
    <col collapsed="false" customWidth="true" hidden="false" outlineLevel="0" max="57" min="57" style="16" width="18.82"/>
    <col collapsed="false" customWidth="true" hidden="false" outlineLevel="0" max="60" min="58" style="16" width="22"/>
    <col collapsed="false" customWidth="true" hidden="false" outlineLevel="0" max="61" min="61" style="16" width="15.18"/>
    <col collapsed="false" customWidth="true" hidden="false" outlineLevel="0" max="62" min="62" style="16" width="17.82"/>
    <col collapsed="false" customWidth="true" hidden="false" outlineLevel="0" max="63" min="63" style="16" width="18.18"/>
    <col collapsed="false" customWidth="true" hidden="false" outlineLevel="0" max="65" min="64" style="16" width="16.82"/>
    <col collapsed="false" customWidth="true" hidden="false" outlineLevel="0" max="66" min="66" style="16" width="21.18"/>
    <col collapsed="false" customWidth="true" hidden="false" outlineLevel="0" max="68" min="67" style="16" width="19.82"/>
    <col collapsed="false" customWidth="true" hidden="false" outlineLevel="0" max="70" min="69" style="16" width="18.18"/>
    <col collapsed="false" customWidth="true" hidden="false" outlineLevel="0" max="73" min="71" style="16" width="15.18"/>
    <col collapsed="false" customWidth="true" hidden="false" outlineLevel="0" max="74" min="74" style="16" width="14.82"/>
    <col collapsed="false" customWidth="true" hidden="false" outlineLevel="0" max="75" min="75" style="16" width="12.82"/>
    <col collapsed="false" customWidth="true" hidden="false" outlineLevel="0" max="76" min="76" style="16" width="18.82"/>
    <col collapsed="false" customWidth="true" hidden="false" outlineLevel="0" max="82" min="77" style="16" width="12.82"/>
    <col collapsed="false" customWidth="false" hidden="false" outlineLevel="0" max="175" min="83" style="16" width="9.18"/>
    <col collapsed="false" customWidth="false" hidden="false" outlineLevel="0" max="16384" min="232" style="16" width="9.18"/>
  </cols>
  <sheetData>
    <row r="1" s="654" customFormat="true" ht="28.5" hidden="false" customHeight="true" outlineLevel="0" collapsed="false">
      <c r="A1" s="829" t="s">
        <v>1355</v>
      </c>
      <c r="B1" s="16"/>
      <c r="C1" s="16"/>
      <c r="D1" s="16"/>
      <c r="T1" s="830" t="s">
        <v>1193</v>
      </c>
      <c r="U1" s="830"/>
      <c r="V1" s="2060"/>
      <c r="W1" s="2060"/>
      <c r="X1" s="1414"/>
      <c r="Y1" s="1414"/>
    </row>
    <row r="2" s="654" customFormat="true" ht="15" hidden="false" customHeight="false" outlineLevel="0" collapsed="false">
      <c r="A2" s="1200" t="str">
        <f aca="false">Summary!C1</f>
        <v>Trammell Crow – LBJ</v>
      </c>
      <c r="B2" s="1200"/>
      <c r="C2" s="1200"/>
      <c r="D2" s="1200"/>
      <c r="G2" s="1096" t="s">
        <v>56</v>
      </c>
      <c r="H2" s="1419"/>
      <c r="I2" s="1068"/>
      <c r="J2" s="1202" t="s">
        <v>57</v>
      </c>
      <c r="K2" s="1068"/>
      <c r="L2" s="1068"/>
      <c r="M2" s="1068"/>
      <c r="N2" s="1202" t="s">
        <v>1</v>
      </c>
      <c r="O2" s="1202"/>
      <c r="P2" s="865" t="s">
        <v>1194</v>
      </c>
      <c r="Q2" s="865"/>
      <c r="T2" s="836" t="s">
        <v>957</v>
      </c>
      <c r="U2" s="695"/>
      <c r="V2" s="837" t="n">
        <f aca="false">Information!C7</f>
        <v>0</v>
      </c>
      <c r="W2" s="838"/>
      <c r="X2" s="1414"/>
      <c r="Y2" s="1414"/>
    </row>
    <row r="3" s="654" customFormat="true" ht="19.5" hidden="false" customHeight="true" outlineLevel="0" collapsed="false">
      <c r="A3" s="1204" t="n">
        <f aca="false">Summary!C2</f>
        <v>0</v>
      </c>
      <c r="B3" s="1204"/>
      <c r="C3" s="1204"/>
      <c r="D3" s="1204"/>
      <c r="G3" s="2349" t="s">
        <v>1805</v>
      </c>
      <c r="H3" s="2349"/>
      <c r="I3" s="1415" t="n">
        <f aca="false">Summary!K2</f>
        <v>0</v>
      </c>
      <c r="J3" s="1415"/>
      <c r="K3" s="1415"/>
      <c r="L3" s="1415"/>
      <c r="M3" s="1415"/>
      <c r="N3" s="1423" t="n">
        <f aca="false">Summary!O2</f>
        <v>0</v>
      </c>
      <c r="O3" s="1423"/>
      <c r="P3" s="2144" t="n">
        <f aca="false">Summary!P2</f>
        <v>0</v>
      </c>
      <c r="Q3" s="2144"/>
      <c r="T3" s="599"/>
      <c r="U3" s="16"/>
      <c r="V3" s="16"/>
      <c r="W3" s="843"/>
      <c r="X3" s="1414"/>
      <c r="Y3" s="1414"/>
    </row>
    <row r="4" s="654" customFormat="true" ht="19.5" hidden="false" customHeight="true" outlineLevel="0" collapsed="false">
      <c r="A4" s="1208" t="str">
        <f aca="false">Summary!C3</f>
        <v>Dallas, TX</v>
      </c>
      <c r="B4" s="1208"/>
      <c r="C4" s="1208"/>
      <c r="D4" s="1208"/>
      <c r="G4" s="2349" t="s">
        <v>1806</v>
      </c>
      <c r="H4" s="2349"/>
      <c r="I4" s="1420" t="n">
        <f aca="false">Summary!K3</f>
        <v>0</v>
      </c>
      <c r="J4" s="1420"/>
      <c r="K4" s="1420"/>
      <c r="L4" s="1420"/>
      <c r="M4" s="1420"/>
      <c r="N4" s="1428" t="n">
        <f aca="false">Summary!O3</f>
        <v>0</v>
      </c>
      <c r="O4" s="1428"/>
      <c r="P4" s="2145" t="n">
        <f aca="false">Summary!P3</f>
        <v>0</v>
      </c>
      <c r="Q4" s="2145"/>
      <c r="T4" s="599" t="s">
        <v>958</v>
      </c>
      <c r="U4" s="16"/>
      <c r="V4" s="848"/>
      <c r="W4" s="849"/>
      <c r="X4" s="1414"/>
      <c r="Y4" s="1414"/>
    </row>
    <row r="5" s="654" customFormat="true" ht="19.5" hidden="false" customHeight="true" outlineLevel="0" collapsed="false">
      <c r="A5" s="405" t="s">
        <v>0</v>
      </c>
      <c r="B5" s="16"/>
      <c r="C5" s="837" t="s">
        <v>1</v>
      </c>
      <c r="D5" s="837"/>
      <c r="G5" s="599"/>
      <c r="H5" s="833" t="s">
        <v>79</v>
      </c>
      <c r="I5" s="1420" t="n">
        <f aca="false">Summary!K4</f>
        <v>0</v>
      </c>
      <c r="J5" s="1420"/>
      <c r="K5" s="1420"/>
      <c r="L5" s="1420"/>
      <c r="M5" s="1420"/>
      <c r="N5" s="1428" t="n">
        <f aca="false">Summary!O4</f>
        <v>0</v>
      </c>
      <c r="O5" s="1428"/>
      <c r="P5" s="2145" t="n">
        <f aca="false">Summary!P4</f>
        <v>0</v>
      </c>
      <c r="Q5" s="2145"/>
      <c r="T5" s="599"/>
      <c r="U5" s="16"/>
      <c r="V5" s="16"/>
      <c r="W5" s="843"/>
      <c r="X5" s="1414"/>
      <c r="Y5" s="1414"/>
    </row>
    <row r="6" s="654" customFormat="true" ht="19.5" hidden="false" customHeight="true" outlineLevel="0" collapsed="false">
      <c r="A6" s="2350" t="n">
        <v>0</v>
      </c>
      <c r="B6" s="16"/>
      <c r="C6" s="1884" t="n">
        <v>0</v>
      </c>
      <c r="D6" s="1884"/>
      <c r="G6" s="602"/>
      <c r="H6" s="2351" t="s">
        <v>87</v>
      </c>
      <c r="I6" s="1425" t="n">
        <f aca="false">Summary!K5</f>
        <v>0</v>
      </c>
      <c r="J6" s="1425"/>
      <c r="K6" s="1425"/>
      <c r="L6" s="1425"/>
      <c r="M6" s="1425"/>
      <c r="N6" s="1433" t="n">
        <f aca="false">Summary!O5</f>
        <v>0</v>
      </c>
      <c r="O6" s="1433"/>
      <c r="P6" s="2148" t="n">
        <f aca="false">Summary!P5</f>
        <v>0</v>
      </c>
      <c r="Q6" s="2148"/>
      <c r="T6" s="602" t="s">
        <v>958</v>
      </c>
      <c r="U6" s="855"/>
      <c r="V6" s="855"/>
      <c r="W6" s="856"/>
      <c r="X6" s="1414"/>
      <c r="Y6" s="1414"/>
    </row>
    <row r="7" customFormat="false" ht="19.5" hidden="false" customHeight="true" outlineLevel="0" collapsed="false">
      <c r="A7" s="2352" t="n">
        <v>0</v>
      </c>
      <c r="C7" s="1889" t="n">
        <v>0</v>
      </c>
      <c r="D7" s="1889"/>
      <c r="E7" s="726"/>
      <c r="F7" s="2351" t="s">
        <v>1196</v>
      </c>
      <c r="G7" s="2351"/>
      <c r="H7" s="2351"/>
      <c r="I7" s="860" t="str">
        <f aca="false">Pricing!A3</f>
        <v>SRM</v>
      </c>
      <c r="J7" s="860"/>
      <c r="K7" s="860"/>
      <c r="L7" s="860"/>
      <c r="M7" s="860"/>
      <c r="N7" s="1058"/>
      <c r="O7" s="726"/>
      <c r="P7" s="726"/>
      <c r="Q7" s="726"/>
      <c r="R7" s="726"/>
      <c r="S7" s="726"/>
      <c r="T7" s="654"/>
      <c r="U7" s="654"/>
      <c r="V7" s="654"/>
      <c r="W7" s="654"/>
      <c r="X7" s="1414"/>
      <c r="Y7" s="1414"/>
      <c r="BJ7" s="16" t="s">
        <v>1507</v>
      </c>
    </row>
    <row r="8" customFormat="false" ht="39" hidden="false" customHeight="true" outlineLevel="0" collapsed="false">
      <c r="A8" s="2353" t="s">
        <v>1807</v>
      </c>
      <c r="B8" s="2353"/>
      <c r="C8" s="2354" t="s">
        <v>1754</v>
      </c>
      <c r="D8" s="2354"/>
      <c r="E8" s="2152" t="s">
        <v>1475</v>
      </c>
      <c r="F8" s="2153" t="s">
        <v>1477</v>
      </c>
      <c r="G8" s="2069" t="s">
        <v>1209</v>
      </c>
      <c r="H8" s="2153" t="s">
        <v>1479</v>
      </c>
      <c r="I8" s="2156" t="s">
        <v>1808</v>
      </c>
      <c r="J8" s="2156"/>
      <c r="K8" s="2156" t="s">
        <v>1809</v>
      </c>
      <c r="L8" s="2156"/>
      <c r="M8" s="2355" t="s">
        <v>1810</v>
      </c>
      <c r="N8" s="2356" t="s">
        <v>1811</v>
      </c>
      <c r="O8" s="2356"/>
      <c r="P8" s="2356"/>
      <c r="Q8" s="2356"/>
      <c r="R8" s="2356"/>
      <c r="S8" s="2356"/>
      <c r="T8" s="1022" t="s">
        <v>1483</v>
      </c>
      <c r="U8" s="1223" t="s">
        <v>1219</v>
      </c>
      <c r="V8" s="1223" t="s">
        <v>1484</v>
      </c>
      <c r="W8" s="880" t="s">
        <v>1767</v>
      </c>
      <c r="X8" s="880"/>
      <c r="Y8" s="1414"/>
      <c r="AH8" s="2357"/>
      <c r="AI8" s="2358" t="s">
        <v>1505</v>
      </c>
      <c r="AJ8" s="2358"/>
      <c r="AK8" s="2359"/>
      <c r="AL8" s="2358"/>
      <c r="AM8" s="2358"/>
      <c r="AN8" s="2358"/>
      <c r="AO8" s="2360" t="s">
        <v>1812</v>
      </c>
      <c r="AP8" s="2358"/>
      <c r="AQ8" s="2357"/>
      <c r="AR8" s="2358"/>
      <c r="AS8" s="2358"/>
      <c r="AT8" s="2357"/>
      <c r="AU8" s="2358"/>
      <c r="AV8" s="2358"/>
      <c r="AW8" s="2358"/>
      <c r="AX8" s="2358"/>
      <c r="AY8" s="2358"/>
      <c r="AZ8" s="2358"/>
      <c r="BA8" s="2358"/>
      <c r="BB8" s="2358"/>
      <c r="BC8" s="2359"/>
      <c r="BD8" s="2358"/>
      <c r="BE8" s="2358"/>
      <c r="BF8" s="2358"/>
      <c r="BG8" s="2358"/>
      <c r="BH8" s="2358"/>
      <c r="BI8" s="2358"/>
      <c r="BJ8" s="836" t="s">
        <v>1813</v>
      </c>
      <c r="BK8" s="1068"/>
      <c r="BL8" s="1068"/>
      <c r="BM8" s="1068"/>
      <c r="BN8" s="2357" t="s">
        <v>1146</v>
      </c>
      <c r="BO8" s="2358"/>
      <c r="BP8" s="2358"/>
      <c r="BQ8" s="2358"/>
      <c r="BR8" s="2358"/>
      <c r="BS8" s="2358"/>
      <c r="BT8" s="2359"/>
      <c r="BU8" s="1068"/>
      <c r="BV8" s="1068"/>
      <c r="BW8" s="1068"/>
      <c r="BX8" s="1068"/>
      <c r="BY8" s="1068"/>
      <c r="BZ8" s="1068"/>
      <c r="CA8" s="1068"/>
      <c r="CB8" s="1068"/>
      <c r="CC8" s="2070"/>
      <c r="CP8" s="2361" t="s">
        <v>1021</v>
      </c>
      <c r="CQ8" s="2361"/>
      <c r="CR8" s="2361"/>
      <c r="CS8" s="2361"/>
      <c r="CT8" s="2361"/>
    </row>
    <row r="9" customFormat="false" ht="19.5" hidden="false" customHeight="true" outlineLevel="0" collapsed="false">
      <c r="A9" s="2353"/>
      <c r="B9" s="2353"/>
      <c r="C9" s="2354"/>
      <c r="D9" s="2354"/>
      <c r="E9" s="2152"/>
      <c r="F9" s="2153"/>
      <c r="G9" s="2069"/>
      <c r="H9" s="2153"/>
      <c r="I9" s="1229" t="s">
        <v>1215</v>
      </c>
      <c r="J9" s="1478" t="s">
        <v>1514</v>
      </c>
      <c r="K9" s="1229" t="s">
        <v>1215</v>
      </c>
      <c r="L9" s="1478" t="s">
        <v>1514</v>
      </c>
      <c r="M9" s="2355"/>
      <c r="N9" s="1484" t="s">
        <v>1517</v>
      </c>
      <c r="O9" s="1486" t="s">
        <v>1259</v>
      </c>
      <c r="P9" s="1487" t="s">
        <v>1517</v>
      </c>
      <c r="Q9" s="1486" t="s">
        <v>1259</v>
      </c>
      <c r="R9" s="1484" t="s">
        <v>1208</v>
      </c>
      <c r="S9" s="1485" t="s">
        <v>1259</v>
      </c>
      <c r="T9" s="1022"/>
      <c r="U9" s="1223"/>
      <c r="V9" s="1223"/>
      <c r="W9" s="1223"/>
      <c r="X9" s="880"/>
      <c r="Y9" s="1414"/>
      <c r="AH9" s="2122"/>
      <c r="AI9" s="397"/>
      <c r="AJ9" s="397"/>
      <c r="AK9" s="1314"/>
      <c r="AL9" s="397" t="s">
        <v>1814</v>
      </c>
      <c r="AM9" s="397"/>
      <c r="AN9" s="397"/>
      <c r="AO9" s="2360"/>
      <c r="AP9" s="397" t="s">
        <v>1518</v>
      </c>
      <c r="AQ9" s="2122" t="s">
        <v>1519</v>
      </c>
      <c r="AR9" s="397"/>
      <c r="AS9" s="397" t="s">
        <v>1521</v>
      </c>
      <c r="AT9" s="2122" t="s">
        <v>1374</v>
      </c>
      <c r="AU9" s="397" t="s">
        <v>1375</v>
      </c>
      <c r="AV9" s="397" t="s">
        <v>1376</v>
      </c>
      <c r="AW9" s="397" t="s">
        <v>1377</v>
      </c>
      <c r="AX9" s="397" t="s">
        <v>1378</v>
      </c>
      <c r="AY9" s="397" t="s">
        <v>1522</v>
      </c>
      <c r="AZ9" s="397" t="s">
        <v>1523</v>
      </c>
      <c r="BA9" s="397" t="s">
        <v>1524</v>
      </c>
      <c r="BB9" s="397" t="s">
        <v>1525</v>
      </c>
      <c r="BC9" s="1314" t="s">
        <v>1526</v>
      </c>
      <c r="BD9" s="397" t="s">
        <v>1527</v>
      </c>
      <c r="BE9" s="397" t="s">
        <v>1528</v>
      </c>
      <c r="BF9" s="397" t="s">
        <v>1815</v>
      </c>
      <c r="BG9" s="397" t="s">
        <v>1815</v>
      </c>
      <c r="BH9" s="397" t="s">
        <v>1815</v>
      </c>
      <c r="BI9" s="397"/>
      <c r="BJ9" s="1044" t="s">
        <v>1384</v>
      </c>
      <c r="BK9" s="397" t="s">
        <v>1385</v>
      </c>
      <c r="BL9" s="397" t="s">
        <v>1816</v>
      </c>
      <c r="BM9" s="397" t="s">
        <v>1817</v>
      </c>
      <c r="BN9" s="2362" t="s">
        <v>1537</v>
      </c>
      <c r="BO9" s="1082" t="s">
        <v>1818</v>
      </c>
      <c r="BP9" s="1082" t="s">
        <v>1819</v>
      </c>
      <c r="BQ9" s="1082" t="s">
        <v>1444</v>
      </c>
      <c r="BR9" s="1082" t="s">
        <v>1820</v>
      </c>
      <c r="BS9" s="1082" t="s">
        <v>1307</v>
      </c>
      <c r="BT9" s="2363" t="s">
        <v>1159</v>
      </c>
      <c r="BU9" s="1082" t="s">
        <v>1540</v>
      </c>
      <c r="BV9" s="397" t="s">
        <v>1541</v>
      </c>
      <c r="BW9" s="397" t="s">
        <v>976</v>
      </c>
      <c r="BX9" s="397" t="s">
        <v>1542</v>
      </c>
      <c r="BY9" s="397" t="s">
        <v>1543</v>
      </c>
      <c r="BZ9" s="397" t="s">
        <v>1821</v>
      </c>
      <c r="CA9" s="397"/>
      <c r="CB9" s="397" t="s">
        <v>1822</v>
      </c>
      <c r="CC9" s="2364" t="s">
        <v>598</v>
      </c>
      <c r="CP9" s="592" t="s">
        <v>568</v>
      </c>
      <c r="CQ9" s="593" t="s">
        <v>1486</v>
      </c>
      <c r="CR9" s="593" t="s">
        <v>1823</v>
      </c>
      <c r="CS9" s="593" t="s">
        <v>1824</v>
      </c>
      <c r="CT9" s="593" t="s">
        <v>868</v>
      </c>
    </row>
    <row r="10" customFormat="false" ht="19.5" hidden="false" customHeight="true" outlineLevel="0" collapsed="false">
      <c r="A10" s="507"/>
      <c r="B10" s="1801"/>
      <c r="C10" s="2365"/>
      <c r="D10" s="1587"/>
      <c r="E10" s="2366"/>
      <c r="F10" s="2367"/>
      <c r="G10" s="2368"/>
      <c r="H10" s="1235"/>
      <c r="I10" s="2367"/>
      <c r="J10" s="1867"/>
      <c r="K10" s="2367"/>
      <c r="L10" s="1867"/>
      <c r="M10" s="2369"/>
      <c r="N10" s="2367"/>
      <c r="O10" s="2370"/>
      <c r="P10" s="2367"/>
      <c r="Q10" s="2371"/>
      <c r="R10" s="2372"/>
      <c r="S10" s="2373"/>
      <c r="T10" s="1515" t="n">
        <f aca="false">SUM(AO10:AP11)</f>
        <v>0</v>
      </c>
      <c r="U10" s="1516" t="n">
        <f aca="false">((((C10*E10/324)+(C11*E11/324))*(1+J$73))+AK10+AK11)</f>
        <v>0</v>
      </c>
      <c r="V10" s="2374" t="n">
        <f aca="false">IF(C10=0,0,W10/(C10+C11))</f>
        <v>0</v>
      </c>
      <c r="W10" s="2184" t="n">
        <f aca="false">(IF(SUM(BJ10:CC11)=0,0,SUM(BJ10:CC11)-BZ10-BZ11))*(1+L$65)</f>
        <v>0</v>
      </c>
      <c r="X10" s="2184"/>
      <c r="Y10" s="1414"/>
      <c r="AH10" s="1142" t="n">
        <f aca="false">IF(N10=1,O10*$Q$53,0)+IF(N10=2,O10*$Q$54,0)+IF(N10=3,O10*$Q$55,0)+IF(N10=4,O10*$Q$60,0)+IF(N10=5,O10*$Q$61,0)+IF(N10=6,O10*$Q$62+IF(N10=7,O10*$Q$54,0)+IF(N10=8,O10*$Q$55,0)+IF(N10=9,O10*$Q$60,0)+IF(N10=10,O10*$Q$61,0),0)</f>
        <v>0</v>
      </c>
      <c r="AI10" s="16" t="n">
        <f aca="false">IF(P10=1,Q10*$Q$53,0)+IF(P10=2,Q10*$Q$54,0)+IF(P10=3,Q10*$Q$55,0)+IF(P10=4,Q10*$Q$60,0)+IF(P10=5,Q10*$Q$61,0)+IF(P10=6,Q10*$Q$62+IF(P10=7,Q10*$Q$54,0)+IF(P10=8,Q10*$Q$55,0)+IF(P10=9,Q10*$Q$60,0)+IF(P10=10,Q10*$Q$61,0),0)</f>
        <v>0</v>
      </c>
      <c r="AJ10" s="16" t="n">
        <f aca="false">IF(R10=1,S10*$Q$53,0)+IF(R10=2,S10*$Q$54,0)+IF(R10=3,S10*$Q$55,0)+IF(R10=4,S10*$Q$60,0)+IF(R10=5,S10*$Q$61,0)+IF(R10=6,S10*$Q$62+IF(R10=7,S10*$Q$54,0)+IF(R10=8,S10*$Q$55,0)+IF(R10=9,S10*$Q$60,0)+IF(R10=10,S10*$Q$61,0),0)</f>
        <v>0</v>
      </c>
      <c r="AK10" s="1116" t="n">
        <f aca="false">SUM(AH10:AJ10)</f>
        <v>0</v>
      </c>
      <c r="AL10" s="16" t="n">
        <f aca="false">ROUNDUP(IF(N10=1,O10*$O$53,0)+IF(N10=2,O10*$O$54,0)+IF(N10=3,O10*$O$55,0)+IF(N10=4,O10*$O$56,0)+IF(N10=5,O10*$O$57,0)+IF(N10=6,O10*$O$58+IF(N10=7,O10*$O$59,0)+IF(N10=8,O10*$O$60,0)+IF(N10=9,O10*$O$61+IF(N10=10,O10*$O$62,0),0),0),0)</f>
        <v>0</v>
      </c>
      <c r="AM10" s="16" t="n">
        <f aca="false">ROUNDUP(IF(P10=1,Q10*$Q$53,0)+IF(P10=2,Q10*$Q$54,0)+IF(P10=3,Q10*$Q$55,0)+IF(P10=4,Q10*$Q$56,0)+IF(P10=5,Q10*$Q$57,0)+IF(P10=6,Q10*$Q$58+IF(P10=7,Q10*$Q$59,0)+IF(P10=8,Q10*$Q$60,0)+IF(P10=9,Q10*$Q$61+IF(P10=10,Q10*$Q$62,0),0),0),0)</f>
        <v>0</v>
      </c>
      <c r="AN10" s="16" t="n">
        <f aca="false">ROUNDUP(IF(R10=1,S10*$S$53,0)+IF(R10=2,S10*$S$54,0)+IF(R10=3,S10*$S$55,0)+IF(R10=4,S10*$S$56,0)+IF(R10=5,S10*$S$57,0)+IF(R10=6,S10*$S$58+IF(R10=7,S10*$S$59,0)+IF(R10=8,S10*$S$60,0)+IF(R10=9,S10*$S$61+IF(R10=10,S10*$S$62,0),0),0),0)</f>
        <v>0</v>
      </c>
      <c r="AO10" s="1142" t="n">
        <f aca="false">SUM(AL10:AN10)*1.12</f>
        <v>0</v>
      </c>
      <c r="AP10" s="2237" t="n">
        <f aca="false">IF(L10=0,0,(L10/12+L10/12)/(L10/12*L10/12)*C10*((K10/16*K10/16)*10.6870159))*(1+J$78)+IF(J10=0,0,(J10/12+J10/12)/(J10/12*J10/12)*C10*((I10/16*I10/16)*10.6870159))*(1+J$78)</f>
        <v>0</v>
      </c>
      <c r="AQ10" s="1142" t="n">
        <f aca="false">M10*(1+J$79)</f>
        <v>0</v>
      </c>
      <c r="AS10" s="16" t="n">
        <f aca="false">IF(M10="y",C10,0)</f>
        <v>0</v>
      </c>
      <c r="AT10" s="1142" t="n">
        <f aca="false">IF($G10=1,$U10,0)</f>
        <v>0</v>
      </c>
      <c r="AU10" s="16" t="n">
        <f aca="false">IF($G10=2,$U10,0)</f>
        <v>0</v>
      </c>
      <c r="AV10" s="16" t="n">
        <f aca="false">IF($G10=3,$U10,0)</f>
        <v>0</v>
      </c>
      <c r="AW10" s="16" t="n">
        <f aca="false">IF($G10=4,$U10,0)</f>
        <v>0</v>
      </c>
      <c r="AX10" s="16" t="n">
        <f aca="false">IF($G10=5,$U10,0)</f>
        <v>0</v>
      </c>
      <c r="AY10" s="16" t="n">
        <f aca="false">IF($G10=6,$U10,0)</f>
        <v>0</v>
      </c>
      <c r="AZ10" s="16" t="n">
        <f aca="false">IF($G10=7,$U10,0)</f>
        <v>0</v>
      </c>
      <c r="BA10" s="16" t="n">
        <f aca="false">IF($G10=8,$U10,0)</f>
        <v>0</v>
      </c>
      <c r="BB10" s="16" t="n">
        <f aca="false">IF($G10=9,$U10,0)</f>
        <v>0</v>
      </c>
      <c r="BC10" s="1116" t="n">
        <f aca="false">IF($G10=10,$U10,0)</f>
        <v>0</v>
      </c>
      <c r="BD10" s="16" t="n">
        <f aca="false">SUM(AT10:AY10)</f>
        <v>0</v>
      </c>
      <c r="BE10" s="16" t="n">
        <f aca="false">IF(F10="N",0,C10)</f>
        <v>0</v>
      </c>
      <c r="BF10" s="16" t="n">
        <f aca="false">IF(N10=1,O10*$U$53,0)+IF(N10=2,O10*$U$54,0)+IF(N10=3,O10*$U$55,0)+IF(N10=4,O10*$U$60,0)+IF(N10=5,O10*$U$61,0)+IF(N10=6,O10*$U$62,0)</f>
        <v>0</v>
      </c>
      <c r="BG10" s="16" t="n">
        <f aca="false">IF(P10=1,Q10*$U$53,0)+IF(P10=2,Q10*$U$54,0)+IF(P10=3,Q10*$U$55,0)+IF(P10=4,Q10*$U$60,0)+IF(P10=5,Q10*$U$61,0)+IF(P10=6,Q10*$U$62,0)</f>
        <v>0</v>
      </c>
      <c r="BH10" s="16" t="n">
        <f aca="false">IF(R10=1,S10*$U$53,0)+IF(R10=2,S10*$U$54,0)+IF(R10=3,S10*$U$55,0)+IF(R10=4,S10*$U$60,0)+IF(R10=5,S10*$U$61,0)+IF(R10=6,S10*$U$62,0)</f>
        <v>0</v>
      </c>
      <c r="BI10" s="506" t="n">
        <f aca="false">IF(SUM(BJ10:CC11)=0,0,SUM(BJ10:CC11))</f>
        <v>0</v>
      </c>
      <c r="BJ10" s="2375" t="n">
        <f aca="false">(AT10*Pricing!F$3+AU10*Pricing!G$3+AV10*Pricing!H$3+AW10*Pricing!I$3+AX10*Pricing!J$3+AY10*Pricing!K$3+AZ10*Pricing!L$3+BA10*Pricing!M$3+BB10*Pricing!M$3+BC10*Pricing!O$3)*IF(T$64="N",(1+V$64),1)</f>
        <v>0</v>
      </c>
      <c r="BK10" s="2096" t="n">
        <f aca="false">T10*F$78*IF(T$64="n",1+V$64,1)</f>
        <v>0</v>
      </c>
      <c r="BL10" s="2096" t="n">
        <f aca="false">IF(BE$50=0,0,IF(F10="y",N$80/BE$50*BE10,0))</f>
        <v>0</v>
      </c>
      <c r="BM10" s="2096" t="n">
        <f aca="false">IF(N$79=0,0,N$79/H$87*C10)</f>
        <v>0</v>
      </c>
      <c r="BN10" s="2376" t="n">
        <f aca="false">(C10*G$87)</f>
        <v>0</v>
      </c>
      <c r="BO10" s="2096" t="n">
        <f aca="false">H10*D$91</f>
        <v>0</v>
      </c>
      <c r="BP10" s="2096" t="n">
        <f aca="false">SUM(BF10:BH10)*D$92</f>
        <v>0</v>
      </c>
      <c r="BQ10" s="2096" t="n">
        <f aca="false">D$93*C10</f>
        <v>0</v>
      </c>
      <c r="BR10" s="2096" t="str">
        <f aca="false">IF(C10="","",(N$95+N$94)/H$87*C10)</f>
        <v/>
      </c>
      <c r="BS10" s="2096" t="n">
        <f aca="false">IF(C10=0,0,(T10/2000*D$96))</f>
        <v>0</v>
      </c>
      <c r="BT10" s="2377" t="str">
        <f aca="false">IF(C10="","",N$97/H$87*C10)</f>
        <v/>
      </c>
      <c r="BU10" s="2096" t="n">
        <f aca="false">IF(C10=0,0,SUM(N$100:O$103)/C$50*C10)</f>
        <v>0</v>
      </c>
      <c r="BV10" s="2096" t="n">
        <f aca="false">IF(C10=0,0,SUM(W$73:W$106)/C$50*C10)+IF(H$87=0,0,(N$84+N$83+N$82)/H$87*C10)</f>
        <v>0</v>
      </c>
      <c r="BW10" s="2096" t="n">
        <f aca="false">IF(C10=0,0,SUM(N$105:O$110)/C$50*C10)</f>
        <v>0</v>
      </c>
      <c r="BX10" s="2096" t="n">
        <f aca="false">IF(C10=0,0,SUM(N$112:O$118)/C$50)*C10</f>
        <v>0</v>
      </c>
      <c r="BY10" s="2096" t="n">
        <f aca="false">IF(C$50=0,0,SUM(W$107:W$118)/C$50*C10)</f>
        <v>0</v>
      </c>
      <c r="BZ10" s="2096" t="n">
        <f aca="false">IF(N$119=0,0,N$119/H$87*C10)</f>
        <v>0</v>
      </c>
      <c r="CA10" s="2096"/>
      <c r="CB10" s="2096" t="n">
        <f aca="false">AG10*F$81*IF(T$64="n",(1+V$64),1)</f>
        <v>0</v>
      </c>
      <c r="CC10" s="2378" t="n">
        <f aca="false">AQ10*F$79*IF(T$64="Y",1,1+V$64)</f>
        <v>0</v>
      </c>
      <c r="CP10" s="16" t="n">
        <f aca="false">A10</f>
        <v>0</v>
      </c>
      <c r="CQ10" s="16" t="n">
        <f aca="false">BF10+BG10+BH10+BH11+BG11+BF11</f>
        <v>0</v>
      </c>
      <c r="CR10" s="1037" t="n">
        <f aca="false">T10</f>
        <v>0</v>
      </c>
      <c r="CS10" s="1037" t="e">
        <f aca="false">H$100/H$87*(C10+C11)</f>
        <v>#DIV/0!</v>
      </c>
      <c r="CT10" s="16" t="n">
        <f aca="false">BE10+BE11</f>
        <v>0</v>
      </c>
    </row>
    <row r="11" customFormat="false" ht="19.5" hidden="false" customHeight="true" outlineLevel="0" collapsed="false">
      <c r="A11" s="2379"/>
      <c r="B11" s="1556"/>
      <c r="C11" s="2380"/>
      <c r="D11" s="1552"/>
      <c r="E11" s="1556"/>
      <c r="F11" s="1559"/>
      <c r="G11" s="1553"/>
      <c r="H11" s="1235"/>
      <c r="I11" s="528"/>
      <c r="J11" s="895"/>
      <c r="K11" s="528"/>
      <c r="L11" s="895"/>
      <c r="M11" s="2381"/>
      <c r="N11" s="528"/>
      <c r="O11" s="895"/>
      <c r="P11" s="528"/>
      <c r="Q11" s="1582"/>
      <c r="R11" s="2382"/>
      <c r="S11" s="2383"/>
      <c r="T11" s="2384"/>
      <c r="U11" s="2385"/>
      <c r="V11" s="2386"/>
      <c r="W11" s="2184"/>
      <c r="X11" s="2184"/>
      <c r="Y11" s="1414"/>
      <c r="AH11" s="1142" t="n">
        <f aca="false">IF(N11=1,O11*$Q$53,0)+IF(N11=2,O11*$Q$54,0)+IF(N11=3,O11*$Q$55,0)+IF(N11=4,O11*$Q$60,0)+IF(N11=5,O11*$Q$61,0)+IF(N11=6,O11*$Q$62+IF(N11=7,O11*$Q$54,0)+IF(N11=8,O11*$Q$55,0)+IF(N11=9,O11*$Q$60,0)+IF(N11=10,O11*$Q$61,0),0)</f>
        <v>0</v>
      </c>
      <c r="AI11" s="16" t="n">
        <f aca="false">IF(P11=1,Q11*$Q$53,0)+IF(P11=2,Q11*$Q$54,0)+IF(P11=3,Q11*$Q$55,0)+IF(P11=4,Q11*$Q$60,0)+IF(P11=5,Q11*$Q$61,0)+IF(P11=6,Q11*$Q$62+IF(P11=7,Q11*$Q$54,0)+IF(P11=8,Q11*$Q$55,0)+IF(P11=9,Q11*$Q$60,0)+IF(P11=10,Q11*$Q$61,0),0)</f>
        <v>0</v>
      </c>
      <c r="AJ11" s="16" t="n">
        <f aca="false">IF(R11=1,S11*$Q$53,0)+IF(R11=2,S11*$Q$54,0)+IF(R11=3,S11*$Q$55,0)+IF(R11=4,S11*$Q$60,0)+IF(R11=5,S11*$Q$61,0)+IF(R11=6,S11*$Q$62+IF(R11=7,S11*$Q$54,0)+IF(R11=8,S11*$Q$55,0)+IF(R11=9,S11*$Q$60,0)+IF(R11=10,S11*$Q$61,0),0)</f>
        <v>0</v>
      </c>
      <c r="AK11" s="1116" t="n">
        <f aca="false">SUM(AH11:AJ11)</f>
        <v>0</v>
      </c>
      <c r="AL11" s="16" t="n">
        <f aca="false">ROUNDUP(IF(N11=1,O11*$O$53,0)+IF(N11=2,O11*$O$54,0)+IF(N11=3,O11*$O$55,0)+IF(N11=4,O11*$O$56,0)+IF(N11=5,O11*$O$57,0)+IF(N11=6,O11*$O$58+IF(N11=7,O11*$O$59,0)+IF(N11=8,O11*$O$60,0)+IF(N11=9,O11*$O$61+IF(N11=10,O11*$O$62,0),0),0),0)</f>
        <v>0</v>
      </c>
      <c r="AM11" s="16" t="n">
        <f aca="false">ROUNDUP(IF(P11=1,Q11*$Q$53,0)+IF(P11=2,Q11*$Q$54,0)+IF(P11=3,Q11*$Q$55,0)+IF(P11=4,Q11*$Q$56,0)+IF(P11=5,Q11*$Q$57,0)+IF(P11=6,Q11*$Q$58+IF(P11=7,Q11*$Q$59,0)+IF(P11=8,Q11*$Q$60,0)+IF(P11=9,Q11*$Q$61+IF(P11=10,Q11*$Q$62,0),0),0),0)</f>
        <v>0</v>
      </c>
      <c r="AN11" s="16" t="n">
        <f aca="false">ROUNDUP(IF(R11=1,S11*$S$53,0)+IF(R11=2,S11*$S$54,0)+IF(R11=3,S11*$S$55,0)+IF(R11=4,S11*$S$56,0)+IF(R11=5,S11*$S$57,0)+IF(R11=6,S11*$S$58+IF(R11=7,S11*$S$59,0)+IF(R11=8,S11*$S$60,0)+IF(R11=9,S11*$S$61+IF(R11=10,S11*$S$62,0),0),0),0)</f>
        <v>0</v>
      </c>
      <c r="AO11" s="1142" t="n">
        <f aca="false">SUM(AL11:AN11)*1.12</f>
        <v>0</v>
      </c>
      <c r="AP11" s="2237" t="n">
        <f aca="false">IF(L11=0,0,(L11/12+L11/12)/(L11/12*L11/12)*C11*((K11/16*K11/16)*10.6870159))*(1+J$78)+IF(J11=0,0,(J11/12+J11/12)/(J11/12*J11/12)*C11*((I11/16*I11/16)*10.6870159))*(1+J$78)</f>
        <v>0</v>
      </c>
      <c r="AQ11" s="1142" t="n">
        <f aca="false">M11*(1+J$79)</f>
        <v>0</v>
      </c>
      <c r="AS11" s="16" t="n">
        <f aca="false">IF(M11="y",C11,0)</f>
        <v>0</v>
      </c>
      <c r="AT11" s="1142" t="n">
        <f aca="false">IF($G11=1,$U11,0)</f>
        <v>0</v>
      </c>
      <c r="AU11" s="16" t="n">
        <f aca="false">IF($G11=2,$U11,0)</f>
        <v>0</v>
      </c>
      <c r="AV11" s="16" t="n">
        <f aca="false">IF($G11=3,$U11,0)</f>
        <v>0</v>
      </c>
      <c r="AW11" s="16" t="n">
        <f aca="false">IF($G11=4,$U11,0)</f>
        <v>0</v>
      </c>
      <c r="AX11" s="16" t="n">
        <f aca="false">IF($G11=5,$U11,0)</f>
        <v>0</v>
      </c>
      <c r="AY11" s="16" t="n">
        <f aca="false">IF($G11=6,$U11,0)</f>
        <v>0</v>
      </c>
      <c r="AZ11" s="16" t="n">
        <f aca="false">IF($G11=7,$U11,0)</f>
        <v>0</v>
      </c>
      <c r="BA11" s="16" t="n">
        <f aca="false">IF($G11=8,$U11,0)</f>
        <v>0</v>
      </c>
      <c r="BB11" s="16" t="n">
        <f aca="false">IF($G11=9,$U11,0)</f>
        <v>0</v>
      </c>
      <c r="BC11" s="1116" t="n">
        <f aca="false">IF($G11=10,$U11,0)</f>
        <v>0</v>
      </c>
      <c r="BD11" s="16" t="n">
        <f aca="false">SUM(AT11:AY11)</f>
        <v>0</v>
      </c>
      <c r="BE11" s="600" t="n">
        <f aca="false">IF(F11="N",0,C11)</f>
        <v>0</v>
      </c>
      <c r="BF11" s="16" t="n">
        <f aca="false">IF(N11=1,O11*$U$53,0)+IF(N11=2,O11*$U$54,0)+IF(N11=3,O11*$U$55,0)+IF(N11=4,O11*$U$60,0)+IF(N11=5,O11*$U$61,0)+IF(N11=6,O11*$U$62,0)</f>
        <v>0</v>
      </c>
      <c r="BG11" s="16" t="n">
        <f aca="false">IF(P11=1,Q11*$U$53,0)+IF(P11=2,Q11*$U$54,0)+IF(P11=3,Q11*$U$55,0)+IF(P11=4,Q11*$U$60,0)+IF(P11=5,Q11*$U$61,0)+IF(P11=6,Q11*$U$62,0)</f>
        <v>0</v>
      </c>
      <c r="BH11" s="16" t="n">
        <f aca="false">IF(R11=1,S11*$U$53,0)+IF(R11=2,S11*$U$54,0)+IF(R11=3,S11*$U$55,0)+IF(R11=4,S11*$U$60,0)+IF(R11=5,S11*$U$61,0)+IF(R11=6,S11*$U$62,0)</f>
        <v>0</v>
      </c>
      <c r="BI11" s="506"/>
      <c r="BJ11" s="2375" t="n">
        <f aca="false">(AT11*Pricing!F$3+AU11*Pricing!G$3+AV11*Pricing!H$3+AW11*Pricing!I$3+AX11*Pricing!J$3+AY11*Pricing!K$3+AZ11*Pricing!L$3+BA11*Pricing!M$3+BB11*Pricing!M$3+BC11*Pricing!O$3)*IF(T$64="N",(1+V$64),1)</f>
        <v>0</v>
      </c>
      <c r="BK11" s="2096" t="n">
        <f aca="false">T11*F$78*IF(T$64="n",1+V$64,1)</f>
        <v>0</v>
      </c>
      <c r="BL11" s="2096" t="n">
        <f aca="false">IF(BE$50=0,0,IF(F11="y",N$80/BE$50*BE11,0))</f>
        <v>0</v>
      </c>
      <c r="BM11" s="2096" t="n">
        <f aca="false">IF(N$79=0,0,N$79/H$87*C11)</f>
        <v>0</v>
      </c>
      <c r="BN11" s="2376" t="n">
        <f aca="false">(C11*G$87)</f>
        <v>0</v>
      </c>
      <c r="BO11" s="2096" t="n">
        <f aca="false">H11*D$91</f>
        <v>0</v>
      </c>
      <c r="BP11" s="2096" t="n">
        <f aca="false">SUM(BF11:BH11)*D$92</f>
        <v>0</v>
      </c>
      <c r="BQ11" s="2096" t="n">
        <f aca="false">D$93*C11</f>
        <v>0</v>
      </c>
      <c r="BR11" s="2096" t="str">
        <f aca="false">IF(C11="","",(N$95+N$94)/H$87*C11)</f>
        <v/>
      </c>
      <c r="BS11" s="2096" t="n">
        <f aca="false">IF(C11=0,0,(T11/2000*D$96))</f>
        <v>0</v>
      </c>
      <c r="BT11" s="2377" t="str">
        <f aca="false">IF(C11="","",N$97/H$87*C11)</f>
        <v/>
      </c>
      <c r="BU11" s="2096" t="n">
        <f aca="false">IF(C11=0,0,SUM(N$100:O$103)/C$50*C11)</f>
        <v>0</v>
      </c>
      <c r="BV11" s="2096" t="n">
        <f aca="false">IF(C11=0,0,SUM(W$73:W$106)/C$50*C11)+IF(H$87=0,0,(N$84+N$83+N$82)/H$87*C11)</f>
        <v>0</v>
      </c>
      <c r="BW11" s="2096" t="n">
        <f aca="false">IF(C11=0,0,SUM(N$105:O$110)/C$50*C11)</f>
        <v>0</v>
      </c>
      <c r="BX11" s="2096" t="n">
        <f aca="false">IF(C11=0,0,SUM(N$112:O$118)/C$50)*C11</f>
        <v>0</v>
      </c>
      <c r="BY11" s="2096" t="n">
        <f aca="false">IF(C$50=0,0,SUM(W$107:W$118)/C$50*C11)</f>
        <v>0</v>
      </c>
      <c r="BZ11" s="2096" t="n">
        <f aca="false">IF(N$119=0,0,N$119/H$87*C11)</f>
        <v>0</v>
      </c>
      <c r="CA11" s="2096"/>
      <c r="CB11" s="2096" t="n">
        <f aca="false">AG11*F$81*IF(T$64="n",(1+V$64),1)</f>
        <v>0</v>
      </c>
      <c r="CC11" s="2378" t="n">
        <f aca="false">AQ11*F$79*IF(T$64="Y",1,1+V$64)</f>
        <v>0</v>
      </c>
      <c r="CP11" s="16" t="n">
        <f aca="false">A12</f>
        <v>0</v>
      </c>
      <c r="CQ11" s="16" t="n">
        <f aca="false">BF12+BG12+BH12+BH13+BG13+BF13</f>
        <v>0</v>
      </c>
      <c r="CR11" s="1037" t="n">
        <f aca="false">T12</f>
        <v>0</v>
      </c>
      <c r="CS11" s="1037" t="e">
        <f aca="false">H$100/H$87*(C12+C13)</f>
        <v>#DIV/0!</v>
      </c>
      <c r="CT11" s="16" t="n">
        <f aca="false">BE12+BE13</f>
        <v>0</v>
      </c>
    </row>
    <row r="12" customFormat="false" ht="19.5" hidden="false" customHeight="true" outlineLevel="0" collapsed="false">
      <c r="A12" s="507"/>
      <c r="B12" s="2387"/>
      <c r="C12" s="2365"/>
      <c r="D12" s="1587"/>
      <c r="E12" s="2388"/>
      <c r="F12" s="528"/>
      <c r="G12" s="1509"/>
      <c r="H12" s="2389"/>
      <c r="I12" s="1511"/>
      <c r="J12" s="1512"/>
      <c r="K12" s="1511"/>
      <c r="L12" s="1512"/>
      <c r="M12" s="2390"/>
      <c r="N12" s="1511"/>
      <c r="O12" s="1512"/>
      <c r="P12" s="1511"/>
      <c r="Q12" s="2391"/>
      <c r="R12" s="2392"/>
      <c r="S12" s="2393"/>
      <c r="T12" s="1515" t="n">
        <f aca="false">SUM(AO12:AP13)</f>
        <v>0</v>
      </c>
      <c r="U12" s="1516" t="n">
        <f aca="false">((((C12*E12/324)+(C13*E13/324))*(1+J$73))+AK12+AK13)</f>
        <v>0</v>
      </c>
      <c r="V12" s="2394" t="n">
        <f aca="false">IF(C12=0,0,W12/(C12+C13))</f>
        <v>0</v>
      </c>
      <c r="W12" s="2184" t="n">
        <f aca="false">(IF(SUM(BJ12:CC13)=0,0,SUM(BJ12:CC13)-BZ12-BZ13))*(1+L$65)</f>
        <v>0</v>
      </c>
      <c r="X12" s="2184"/>
      <c r="Y12" s="1414"/>
      <c r="AH12" s="1142" t="n">
        <f aca="false">IF(N12=1,O12*$Q$53,0)+IF(N12=2,O12*$Q$54,0)+IF(N12=3,O12*$Q$55,0)+IF(N12=4,O12*$Q$60,0)+IF(N12=5,O12*$Q$61,0)+IF(N12=6,O12*$Q$62+IF(N12=7,O12*$Q$54,0)+IF(N12=8,O12*$Q$55,0)+IF(N12=9,O12*$Q$60,0)+IF(N12=10,O12*$Q$61,0),0)</f>
        <v>0</v>
      </c>
      <c r="AI12" s="16" t="n">
        <f aca="false">IF(P12=1,Q12*$Q$53,0)+IF(P12=2,Q12*$Q$54,0)+IF(P12=3,Q12*$Q$55,0)+IF(P12=4,Q12*$Q$60,0)+IF(P12=5,Q12*$Q$61,0)+IF(P12=6,Q12*$Q$62+IF(P12=7,Q12*$Q$54,0)+IF(P12=8,Q12*$Q$55,0)+IF(P12=9,Q12*$Q$60,0)+IF(P12=10,Q12*$Q$61,0),0)</f>
        <v>0</v>
      </c>
      <c r="AJ12" s="16" t="n">
        <f aca="false">IF(R12=1,S12*$Q$53,0)+IF(R12=2,S12*$Q$54,0)+IF(R12=3,S12*$Q$55,0)+IF(R12=4,S12*$Q$60,0)+IF(R12=5,S12*$Q$61,0)+IF(R12=6,S12*$Q$62+IF(R12=7,S12*$Q$54,0)+IF(R12=8,S12*$Q$55,0)+IF(R12=9,S12*$Q$60,0)+IF(R12=10,S12*$Q$61,0),0)</f>
        <v>0</v>
      </c>
      <c r="AK12" s="1116" t="n">
        <f aca="false">SUM(AH12:AJ12)</f>
        <v>0</v>
      </c>
      <c r="AL12" s="16" t="n">
        <f aca="false">ROUNDUP(IF(N12=1,O12*$O$53,0)+IF(N12=2,O12*$O$54,0)+IF(N12=3,O12*$O$55,0)+IF(N12=4,O12*$O$56,0)+IF(N12=5,O12*$O$57,0)+IF(N12=6,O12*$O$58+IF(N12=7,O12*$O$59,0)+IF(N12=8,O12*$O$60,0)+IF(N12=9,O12*$O$61+IF(N12=10,O12*$O$62,0),0),0),0)</f>
        <v>0</v>
      </c>
      <c r="AM12" s="16" t="n">
        <f aca="false">ROUNDUP(IF(P12=1,Q12*$Q$53,0)+IF(P12=2,Q12*$Q$54,0)+IF(P12=3,Q12*$Q$55,0)+IF(P12=4,Q12*$Q$56,0)+IF(P12=5,Q12*$Q$57,0)+IF(P12=6,Q12*$Q$58+IF(P12=7,Q12*$Q$59,0)+IF(P12=8,Q12*$Q$60,0)+IF(P12=9,Q12*$Q$61+IF(P12=10,Q12*$Q$62,0),0),0),0)</f>
        <v>0</v>
      </c>
      <c r="AN12" s="16" t="n">
        <f aca="false">ROUNDUP(IF(R12=1,S12*$S$53,0)+IF(R12=2,S12*$S$54,0)+IF(R12=3,S12*$S$55,0)+IF(R12=4,S12*$S$56,0)+IF(R12=5,S12*$S$57,0)+IF(R12=6,S12*$S$58+IF(R12=7,S12*$S$59,0)+IF(R12=8,S12*$S$60,0)+IF(R12=9,S12*$S$61+IF(R12=10,S12*$S$62,0),0),0),0)</f>
        <v>0</v>
      </c>
      <c r="AO12" s="1142" t="n">
        <f aca="false">SUM(AL12:AN12)*1.12</f>
        <v>0</v>
      </c>
      <c r="AP12" s="2237" t="n">
        <f aca="false">IF(L12=0,0,(L12/12+L12/12)/(L12/12*L12/12)*C12*((K12/16*K12/16)*10.6870159))*(1+J$78)+IF(J12=0,0,(J12/12+J12/12)/(J12/12*J12/12)*C12*((I12/16*I12/16)*10.6870159))*(1+J$78)</f>
        <v>0</v>
      </c>
      <c r="AQ12" s="1142" t="n">
        <f aca="false">M12*(1+J$79)</f>
        <v>0</v>
      </c>
      <c r="AS12" s="16" t="n">
        <f aca="false">IF(M12="y",C12,0)</f>
        <v>0</v>
      </c>
      <c r="AT12" s="1142" t="n">
        <f aca="false">IF($G12=1,$U12,0)</f>
        <v>0</v>
      </c>
      <c r="AU12" s="16" t="n">
        <f aca="false">IF($G12=2,$U12,0)</f>
        <v>0</v>
      </c>
      <c r="AV12" s="16" t="n">
        <f aca="false">IF($G12=3,$U12,0)</f>
        <v>0</v>
      </c>
      <c r="AW12" s="16" t="n">
        <f aca="false">IF($G12=4,$U12,0)</f>
        <v>0</v>
      </c>
      <c r="AX12" s="16" t="n">
        <f aca="false">IF($G12=5,$U12,0)</f>
        <v>0</v>
      </c>
      <c r="AY12" s="16" t="n">
        <f aca="false">IF($G12=6,$U12,0)</f>
        <v>0</v>
      </c>
      <c r="AZ12" s="16" t="n">
        <f aca="false">IF($G12=7,$U12,0)</f>
        <v>0</v>
      </c>
      <c r="BA12" s="16" t="n">
        <f aca="false">IF($G12=8,$U12,0)</f>
        <v>0</v>
      </c>
      <c r="BB12" s="16" t="n">
        <f aca="false">IF($G12=9,$U12,0)</f>
        <v>0</v>
      </c>
      <c r="BC12" s="1116" t="n">
        <f aca="false">IF($G12=10,$U12,0)</f>
        <v>0</v>
      </c>
      <c r="BD12" s="16" t="n">
        <f aca="false">SUM(AT12:AY12)</f>
        <v>0</v>
      </c>
      <c r="BE12" s="600" t="n">
        <f aca="false">IF(F12="N",0,C12)</f>
        <v>0</v>
      </c>
      <c r="BF12" s="16" t="n">
        <f aca="false">IF(N12=1,O12*$U$53,0)+IF(N12=2,O12*$U$54,0)+IF(N12=3,O12*$U$55,0)+IF(N12=4,O12*$U$60,0)+IF(N12=5,O12*$U$61,0)+IF(N12=6,O12*$U$62,0)</f>
        <v>0</v>
      </c>
      <c r="BG12" s="16" t="n">
        <f aca="false">IF(P12=1,Q12*$U$53,0)+IF(P12=2,Q12*$U$54,0)+IF(P12=3,Q12*$U$55,0)+IF(P12=4,Q12*$U$60,0)+IF(P12=5,Q12*$U$61,0)+IF(P12=6,Q12*$U$62,0)</f>
        <v>0</v>
      </c>
      <c r="BH12" s="16" t="n">
        <f aca="false">IF(R12=1,S12*$U$53,0)+IF(R12=2,S12*$U$54,0)+IF(R12=3,S12*$U$55,0)+IF(R12=4,S12*$U$60,0)+IF(R12=5,S12*$U$61,0)+IF(R12=6,S12*$U$62,0)</f>
        <v>0</v>
      </c>
      <c r="BI12" s="506" t="n">
        <f aca="false">SUM(BJ12:CC13)</f>
        <v>0</v>
      </c>
      <c r="BJ12" s="2375" t="n">
        <f aca="false">(AT12*Pricing!F$3+AU12*Pricing!G$3+AV12*Pricing!H$3+AW12*Pricing!I$3+AX12*Pricing!J$3+AY12*Pricing!K$3+AZ12*Pricing!L$3+BA12*Pricing!M$3+BB12*Pricing!M$3+BC12*Pricing!O$3)*IF(T$64="N",(1+V$64),1)</f>
        <v>0</v>
      </c>
      <c r="BK12" s="2096" t="n">
        <f aca="false">T12*F$78*IF(T$64="n",1+V$64,1)</f>
        <v>0</v>
      </c>
      <c r="BL12" s="2096" t="n">
        <f aca="false">IF(BE$50=0,0,IF(F12="y",N$80/BE$50*BE12,0))</f>
        <v>0</v>
      </c>
      <c r="BM12" s="2096" t="n">
        <f aca="false">IF(N$79=0,0,N$79/H$87*C12)</f>
        <v>0</v>
      </c>
      <c r="BN12" s="2376" t="n">
        <f aca="false">(C12*G$87)</f>
        <v>0</v>
      </c>
      <c r="BO12" s="2096" t="n">
        <f aca="false">H12*D$91</f>
        <v>0</v>
      </c>
      <c r="BP12" s="2096" t="n">
        <f aca="false">SUM(BF12:BH12)*D$92</f>
        <v>0</v>
      </c>
      <c r="BQ12" s="2096" t="n">
        <f aca="false">D$93*C12</f>
        <v>0</v>
      </c>
      <c r="BR12" s="2096" t="str">
        <f aca="false">IF(C12="","",(N$95+N$94)/H$87*C12)</f>
        <v/>
      </c>
      <c r="BS12" s="2096" t="n">
        <f aca="false">IF(C12=0,0,(T12/2000*D$96))</f>
        <v>0</v>
      </c>
      <c r="BT12" s="2377" t="str">
        <f aca="false">IF(C12="","",N$97/H$87*C12)</f>
        <v/>
      </c>
      <c r="BU12" s="2096" t="n">
        <f aca="false">IF(C12=0,0,SUM(N$100:O$103)/C$50*C12)</f>
        <v>0</v>
      </c>
      <c r="BV12" s="2096" t="n">
        <f aca="false">IF(C12=0,0,SUM(W$73:W$106)/C$50*C12)+IF(H$87=0,0,(N$84+N$83+N$82)/H$87*C12)</f>
        <v>0</v>
      </c>
      <c r="BW12" s="2096" t="n">
        <f aca="false">IF(C12=0,0,SUM(N$105:O$110)/C$50*C12)</f>
        <v>0</v>
      </c>
      <c r="BX12" s="2096" t="n">
        <f aca="false">IF(C12=0,0,SUM(N$112:O$118)/C$50)*C12</f>
        <v>0</v>
      </c>
      <c r="BY12" s="2096" t="n">
        <f aca="false">IF(C$50=0,0,SUM(W$107:W$118)/C$50*C12)</f>
        <v>0</v>
      </c>
      <c r="BZ12" s="2096" t="n">
        <f aca="false">IF(N$119=0,0,N$119/H$87*C12)</f>
        <v>0</v>
      </c>
      <c r="CA12" s="2096"/>
      <c r="CB12" s="2096" t="n">
        <f aca="false">AG12*F$81*IF(T$64="n",(1+V$64),1)</f>
        <v>0</v>
      </c>
      <c r="CC12" s="2378" t="n">
        <f aca="false">AQ12*F$79*IF(T$64="Y",1,1+V$64)</f>
        <v>0</v>
      </c>
      <c r="CP12" s="16" t="n">
        <f aca="false">A14</f>
        <v>0</v>
      </c>
      <c r="CQ12" s="16" t="n">
        <f aca="false">BF14+BG14+BH14+BH15+BG15+BF15</f>
        <v>0</v>
      </c>
      <c r="CR12" s="1037" t="n">
        <f aca="false">T14</f>
        <v>0</v>
      </c>
      <c r="CS12" s="1037" t="e">
        <f aca="false">H$100/H$87*(C14+C15)</f>
        <v>#DIV/0!</v>
      </c>
      <c r="CT12" s="16" t="n">
        <f aca="false">BE14+BE15</f>
        <v>0</v>
      </c>
    </row>
    <row r="13" customFormat="false" ht="19.5" hidden="false" customHeight="true" outlineLevel="0" collapsed="false">
      <c r="A13" s="2379"/>
      <c r="B13" s="2395"/>
      <c r="C13" s="2380"/>
      <c r="D13" s="1552"/>
      <c r="E13" s="1556"/>
      <c r="F13" s="1559"/>
      <c r="G13" s="1509"/>
      <c r="H13" s="2396"/>
      <c r="I13" s="1559"/>
      <c r="J13" s="1556"/>
      <c r="K13" s="1559"/>
      <c r="L13" s="1556"/>
      <c r="M13" s="2381"/>
      <c r="N13" s="1559"/>
      <c r="O13" s="1556"/>
      <c r="P13" s="1559"/>
      <c r="Q13" s="1581"/>
      <c r="R13" s="2397"/>
      <c r="S13" s="2398"/>
      <c r="T13" s="2384"/>
      <c r="U13" s="2385"/>
      <c r="V13" s="2399"/>
      <c r="W13" s="2184"/>
      <c r="X13" s="2184"/>
      <c r="Y13" s="1414"/>
      <c r="AH13" s="1142" t="n">
        <f aca="false">IF(N13=1,O13*$Q$53,0)+IF(N13=2,O13*$Q$54,0)+IF(N13=3,O13*$Q$55,0)+IF(N13=4,O13*$Q$60,0)+IF(N13=5,O13*$Q$61,0)+IF(N13=6,O13*$Q$62+IF(N13=7,O13*$Q$54,0)+IF(N13=8,O13*$Q$55,0)+IF(N13=9,O13*$Q$60,0)+IF(N13=10,O13*$Q$61,0),0)</f>
        <v>0</v>
      </c>
      <c r="AI13" s="16" t="n">
        <f aca="false">IF(P13=1,Q13*$Q$53,0)+IF(P13=2,Q13*$Q$54,0)+IF(P13=3,Q13*$Q$55,0)+IF(P13=4,Q13*$Q$60,0)+IF(P13=5,Q13*$Q$61,0)+IF(P13=6,Q13*$Q$62+IF(P13=7,Q13*$Q$54,0)+IF(P13=8,Q13*$Q$55,0)+IF(P13=9,Q13*$Q$60,0)+IF(P13=10,Q13*$Q$61,0),0)</f>
        <v>0</v>
      </c>
      <c r="AJ13" s="16" t="n">
        <f aca="false">IF(R13=1,S13*$Q$53,0)+IF(R13=2,S13*$Q$54,0)+IF(R13=3,S13*$Q$55,0)+IF(R13=4,S13*$Q$60,0)+IF(R13=5,S13*$Q$61,0)+IF(R13=6,S13*$Q$62+IF(R13=7,S13*$Q$54,0)+IF(R13=8,S13*$Q$55,0)+IF(R13=9,S13*$Q$60,0)+IF(R13=10,S13*$Q$61,0),0)</f>
        <v>0</v>
      </c>
      <c r="AK13" s="1116" t="n">
        <f aca="false">SUM(AH13:AJ13)</f>
        <v>0</v>
      </c>
      <c r="AL13" s="16" t="n">
        <f aca="false">ROUNDUP(IF(N13=1,O13*$O$53,0)+IF(N13=2,O13*$O$54,0)+IF(N13=3,O13*$O$55,0)+IF(N13=4,O13*$O$56,0)+IF(N13=5,O13*$O$57,0)+IF(N13=6,O13*$O$58+IF(N13=7,O13*$O$59,0)+IF(N13=8,O13*$O$60,0)+IF(N13=9,O13*$O$61+IF(N13=10,O13*$O$62,0),0),0),0)</f>
        <v>0</v>
      </c>
      <c r="AM13" s="16" t="n">
        <f aca="false">ROUNDUP(IF(P13=1,Q13*$Q$53,0)+IF(P13=2,Q13*$Q$54,0)+IF(P13=3,Q13*$Q$55,0)+IF(P13=4,Q13*$Q$56,0)+IF(P13=5,Q13*$Q$57,0)+IF(P13=6,Q13*$Q$58+IF(P13=7,Q13*$Q$59,0)+IF(P13=8,Q13*$Q$60,0)+IF(P13=9,Q13*$Q$61+IF(P13=10,Q13*$Q$62,0),0),0),0)</f>
        <v>0</v>
      </c>
      <c r="AN13" s="16" t="n">
        <f aca="false">ROUNDUP(IF(R13=1,S13*$S$53,0)+IF(R13=2,S13*$S$54,0)+IF(R13=3,S13*$S$55,0)+IF(R13=4,S13*$S$56,0)+IF(R13=5,S13*$S$57,0)+IF(R13=6,S13*$S$58+IF(R13=7,S13*$S$59,0)+IF(R13=8,S13*$S$60,0)+IF(R13=9,S13*$S$61+IF(R13=10,S13*$S$62,0),0),0),0)</f>
        <v>0</v>
      </c>
      <c r="AO13" s="1142" t="n">
        <f aca="false">SUM(AL13:AN13)*1.12</f>
        <v>0</v>
      </c>
      <c r="AP13" s="2237" t="n">
        <f aca="false">IF(L13=0,0,(L13/12+L13/12)/(L13/12*L13/12)*C13*((K13/16*K13/16)*10.6870159))*(1+J$78)+IF(J13=0,0,(J13/12+J13/12)/(J13/12*J13/12)*C13*((I13/16*I13/16)*10.6870159))*(1+J$78)</f>
        <v>0</v>
      </c>
      <c r="AQ13" s="1142" t="n">
        <f aca="false">M13*(1+J$79)</f>
        <v>0</v>
      </c>
      <c r="AS13" s="16" t="n">
        <f aca="false">IF(M13="y",C13,0)</f>
        <v>0</v>
      </c>
      <c r="AT13" s="1142" t="n">
        <f aca="false">IF($G13=1,$U13,0)</f>
        <v>0</v>
      </c>
      <c r="AU13" s="16" t="n">
        <f aca="false">IF($G13=2,$U13,0)</f>
        <v>0</v>
      </c>
      <c r="AV13" s="16" t="n">
        <f aca="false">IF($G13=3,$U13,0)</f>
        <v>0</v>
      </c>
      <c r="AW13" s="16" t="n">
        <f aca="false">IF($G13=4,$U13,0)</f>
        <v>0</v>
      </c>
      <c r="AX13" s="16" t="n">
        <f aca="false">IF($G13=5,$U13,0)</f>
        <v>0</v>
      </c>
      <c r="AY13" s="16" t="n">
        <f aca="false">IF($G13=6,$U13,0)</f>
        <v>0</v>
      </c>
      <c r="AZ13" s="16" t="n">
        <f aca="false">IF($G13=7,$U13,0)</f>
        <v>0</v>
      </c>
      <c r="BA13" s="16" t="n">
        <f aca="false">IF($G13=8,$U13,0)</f>
        <v>0</v>
      </c>
      <c r="BB13" s="16" t="n">
        <f aca="false">IF($G13=9,$U13,0)</f>
        <v>0</v>
      </c>
      <c r="BC13" s="1116" t="n">
        <f aca="false">IF($G13=10,$U13,0)</f>
        <v>0</v>
      </c>
      <c r="BD13" s="16" t="n">
        <f aca="false">SUM(AT13:AY13)</f>
        <v>0</v>
      </c>
      <c r="BE13" s="600" t="n">
        <f aca="false">IF(F13="N",0,C13)</f>
        <v>0</v>
      </c>
      <c r="BF13" s="16" t="n">
        <f aca="false">IF(N13=1,O13*$U$53,0)+IF(N13=2,O13*$U$54,0)+IF(N13=3,O13*$U$55,0)+IF(N13=4,O13*$U$60,0)+IF(N13=5,O13*$U$61,0)+IF(N13=6,O13*$U$62,0)</f>
        <v>0</v>
      </c>
      <c r="BG13" s="16" t="n">
        <f aca="false">IF(P13=1,Q13*$U$53,0)+IF(P13=2,Q13*$U$54,0)+IF(P13=3,Q13*$U$55,0)+IF(P13=4,Q13*$U$60,0)+IF(P13=5,Q13*$U$61,0)+IF(P13=6,Q13*$U$62,0)</f>
        <v>0</v>
      </c>
      <c r="BH13" s="16" t="n">
        <f aca="false">IF(R13=1,S13*$U$53,0)+IF(R13=2,S13*$U$54,0)+IF(R13=3,S13*$U$55,0)+IF(R13=4,S13*$U$60,0)+IF(R13=5,S13*$U$61,0)+IF(R13=6,S13*$U$62,0)</f>
        <v>0</v>
      </c>
      <c r="BI13" s="506"/>
      <c r="BJ13" s="2375" t="n">
        <f aca="false">(AT13*Pricing!F$3+AU13*Pricing!G$3+AV13*Pricing!H$3+AW13*Pricing!I$3+AX13*Pricing!J$3+AY13*Pricing!K$3+AZ13*Pricing!L$3+BA13*Pricing!M$3+BB13*Pricing!M$3+BC13*Pricing!O$3)*IF(T$64="N",(1+V$64),1)</f>
        <v>0</v>
      </c>
      <c r="BK13" s="2096" t="n">
        <f aca="false">T13*F$78*IF(T$64="n",1+V$64,1)</f>
        <v>0</v>
      </c>
      <c r="BL13" s="2096" t="n">
        <f aca="false">IF(BE$50=0,0,IF(F13="y",N$80/BE$50*BE13,0))</f>
        <v>0</v>
      </c>
      <c r="BM13" s="2096" t="n">
        <f aca="false">IF(N$79=0,0,N$79/H$87*C13)</f>
        <v>0</v>
      </c>
      <c r="BN13" s="2376" t="n">
        <f aca="false">(C13*G$87)</f>
        <v>0</v>
      </c>
      <c r="BO13" s="2096" t="n">
        <f aca="false">H13*D$91</f>
        <v>0</v>
      </c>
      <c r="BP13" s="2096" t="n">
        <f aca="false">SUM(BF13:BH13)*D$92</f>
        <v>0</v>
      </c>
      <c r="BQ13" s="2096" t="n">
        <f aca="false">D$93*C13</f>
        <v>0</v>
      </c>
      <c r="BR13" s="2096" t="str">
        <f aca="false">IF(C13="","",(N$95+N$94)/H$87*C13)</f>
        <v/>
      </c>
      <c r="BS13" s="2096" t="n">
        <f aca="false">IF(C13=0,0,(T13/2000*D$96))</f>
        <v>0</v>
      </c>
      <c r="BT13" s="2377" t="str">
        <f aca="false">IF(C13="","",N$97/H$87*C13)</f>
        <v/>
      </c>
      <c r="BU13" s="2096" t="n">
        <f aca="false">IF(C13=0,0,SUM(N$100:O$103)/C$50*C13)</f>
        <v>0</v>
      </c>
      <c r="BV13" s="2096" t="n">
        <f aca="false">IF(C13=0,0,SUM(W$73:W$106)/C$50*C13)+IF(H$87=0,0,(N$84+N$83+N$82)/H$87*C13)</f>
        <v>0</v>
      </c>
      <c r="BW13" s="2096" t="n">
        <f aca="false">IF(C13=0,0,SUM(N$105:O$110)/C$50*C13)</f>
        <v>0</v>
      </c>
      <c r="BX13" s="2096" t="n">
        <f aca="false">IF(C13=0,0,SUM(N$112:O$118)/C$50)*C13</f>
        <v>0</v>
      </c>
      <c r="BY13" s="2096" t="n">
        <f aca="false">IF(C$50=0,0,SUM(W$107:W$118)/C$50*C13)</f>
        <v>0</v>
      </c>
      <c r="BZ13" s="2096" t="n">
        <f aca="false">IF(N$119=0,0,N$119/H$87*C13)</f>
        <v>0</v>
      </c>
      <c r="CA13" s="2096"/>
      <c r="CB13" s="2096" t="n">
        <f aca="false">AG13*F$81*IF(T$64="n",(1+V$64),1)</f>
        <v>0</v>
      </c>
      <c r="CC13" s="2378" t="n">
        <f aca="false">AQ13*F$79*IF(T$64="Y",1,1+V$64)</f>
        <v>0</v>
      </c>
      <c r="CP13" s="16" t="n">
        <f aca="false">A16</f>
        <v>0</v>
      </c>
      <c r="CQ13" s="16" t="n">
        <f aca="false">BF16+BG16+BH16+BH17+BG17+BF17</f>
        <v>0</v>
      </c>
      <c r="CR13" s="1037" t="n">
        <f aca="false">T16</f>
        <v>0</v>
      </c>
      <c r="CS13" s="1037" t="e">
        <f aca="false">H$100/H$87*(C16+C17)</f>
        <v>#DIV/0!</v>
      </c>
      <c r="CT13" s="16" t="n">
        <f aca="false">BE16+BE17</f>
        <v>0</v>
      </c>
    </row>
    <row r="14" customFormat="false" ht="19.5" hidden="false" customHeight="true" outlineLevel="0" collapsed="false">
      <c r="A14" s="507"/>
      <c r="B14" s="1801"/>
      <c r="C14" s="2400"/>
      <c r="D14" s="1508"/>
      <c r="E14" s="2388"/>
      <c r="F14" s="528"/>
      <c r="G14" s="1553"/>
      <c r="H14" s="1235"/>
      <c r="I14" s="528"/>
      <c r="J14" s="895"/>
      <c r="K14" s="528"/>
      <c r="L14" s="895"/>
      <c r="M14" s="2390"/>
      <c r="N14" s="2401"/>
      <c r="O14" s="1592"/>
      <c r="P14" s="528"/>
      <c r="Q14" s="1527"/>
      <c r="R14" s="2382"/>
      <c r="S14" s="2383"/>
      <c r="T14" s="1515" t="n">
        <f aca="false">SUM(AO14:AP15)</f>
        <v>0</v>
      </c>
      <c r="U14" s="1516" t="n">
        <f aca="false">((((C14*E14/324)+(C15*E15/324))*(1+J$73))+AK14+AK15)</f>
        <v>0</v>
      </c>
      <c r="V14" s="2386" t="n">
        <f aca="false">IF(C14=0,0,W14/(C14+C15))</f>
        <v>0</v>
      </c>
      <c r="W14" s="2184" t="n">
        <f aca="false">(IF(SUM(BJ14:CC15)=0,0,SUM(BJ14:CC15)-BZ14-BZ15))*(1+L$65)</f>
        <v>0</v>
      </c>
      <c r="X14" s="2184"/>
      <c r="Y14" s="1414"/>
      <c r="AH14" s="1142" t="n">
        <f aca="false">IF(N14=1,O14*$Q$53,0)+IF(N14=2,O14*$Q$54,0)+IF(N14=3,O14*$Q$55,0)+IF(N14=4,O14*$Q$60,0)+IF(N14=5,O14*$Q$61,0)+IF(N14=6,O14*$Q$62+IF(N14=7,O14*$Q$54,0)+IF(N14=8,O14*$Q$55,0)+IF(N14=9,O14*$Q$60,0)+IF(N14=10,O14*$Q$61,0),0)</f>
        <v>0</v>
      </c>
      <c r="AI14" s="16" t="n">
        <f aca="false">IF(P14=1,Q14*$Q$53,0)+IF(P14=2,Q14*$Q$54,0)+IF(P14=3,Q14*$Q$55,0)+IF(P14=4,Q14*$Q$60,0)+IF(P14=5,Q14*$Q$61,0)+IF(P14=6,Q14*$Q$62+IF(P14=7,Q14*$Q$54,0)+IF(P14=8,Q14*$Q$55,0)+IF(P14=9,Q14*$Q$60,0)+IF(P14=10,Q14*$Q$61,0),0)</f>
        <v>0</v>
      </c>
      <c r="AJ14" s="16" t="n">
        <f aca="false">IF(R14=1,S14*$Q$53,0)+IF(R14=2,S14*$Q$54,0)+IF(R14=3,S14*$Q$55,0)+IF(R14=4,S14*$Q$60,0)+IF(R14=5,S14*$Q$61,0)+IF(R14=6,S14*$Q$62+IF(R14=7,S14*$Q$54,0)+IF(R14=8,S14*$Q$55,0)+IF(R14=9,S14*$Q$60,0)+IF(R14=10,S14*$Q$61,0),0)</f>
        <v>0</v>
      </c>
      <c r="AK14" s="1116" t="n">
        <f aca="false">SUM(AH14:AJ14)</f>
        <v>0</v>
      </c>
      <c r="AL14" s="16" t="n">
        <f aca="false">ROUNDUP(IF(N14=1,O14*$O$53,0)+IF(N14=2,O14*$O$54,0)+IF(N14=3,O14*$O$55,0)+IF(N14=4,O14*$O$56,0)+IF(N14=5,O14*$O$57,0)+IF(N14=6,O14*$O$58+IF(N14=7,O14*$O$59,0)+IF(N14=8,O14*$O$60,0)+IF(N14=9,O14*$O$61+IF(N14=10,O14*$O$62,0),0),0),0)</f>
        <v>0</v>
      </c>
      <c r="AM14" s="16" t="n">
        <f aca="false">ROUNDUP(IF(P14=1,Q14*$Q$53,0)+IF(P14=2,Q14*$Q$54,0)+IF(P14=3,Q14*$Q$55,0)+IF(P14=4,Q14*$Q$56,0)+IF(P14=5,Q14*$Q$57,0)+IF(P14=6,Q14*$Q$58+IF(P14=7,Q14*$Q$59,0)+IF(P14=8,Q14*$Q$60,0)+IF(P14=9,Q14*$Q$61+IF(P14=10,Q14*$Q$62,0),0),0),0)</f>
        <v>0</v>
      </c>
      <c r="AN14" s="16" t="n">
        <f aca="false">ROUNDUP(IF(R14=1,S14*$S$53,0)+IF(R14=2,S14*$S$54,0)+IF(R14=3,S14*$S$55,0)+IF(R14=4,S14*$S$56,0)+IF(R14=5,S14*$S$57,0)+IF(R14=6,S14*$S$58+IF(R14=7,S14*$S$59,0)+IF(R14=8,S14*$S$60,0)+IF(R14=9,S14*$S$61+IF(R14=10,S14*$S$62,0),0),0),0)</f>
        <v>0</v>
      </c>
      <c r="AO14" s="1142" t="n">
        <f aca="false">SUM(AL14:AN14)*1.12</f>
        <v>0</v>
      </c>
      <c r="AP14" s="2237" t="n">
        <f aca="false">IF(L14=0,0,(L14/12+L14/12)/(L14/12*L14/12)*C14*((K14/16*K14/16)*10.6870159))*(1+J$78)+IF(J14=0,0,(J14/12+J14/12)/(J14/12*J14/12)*C14*((I14/16*I14/16)*10.6870159))*(1+J$78)</f>
        <v>0</v>
      </c>
      <c r="AQ14" s="1142" t="n">
        <f aca="false">M14*(1+J$79)</f>
        <v>0</v>
      </c>
      <c r="AS14" s="16" t="n">
        <f aca="false">IF(M14="y",C14,0)</f>
        <v>0</v>
      </c>
      <c r="AT14" s="1142" t="n">
        <f aca="false">IF($G14=1,$U14,0)</f>
        <v>0</v>
      </c>
      <c r="AU14" s="16" t="n">
        <f aca="false">IF($G14=2,$U14,0)</f>
        <v>0</v>
      </c>
      <c r="AV14" s="16" t="n">
        <f aca="false">IF($G14=3,$U14,0)</f>
        <v>0</v>
      </c>
      <c r="AW14" s="16" t="n">
        <f aca="false">IF($G14=4,$U14,0)</f>
        <v>0</v>
      </c>
      <c r="AX14" s="16" t="n">
        <f aca="false">IF($G14=5,$U14,0)</f>
        <v>0</v>
      </c>
      <c r="AY14" s="16" t="n">
        <f aca="false">IF($G14=6,$U14,0)</f>
        <v>0</v>
      </c>
      <c r="AZ14" s="16" t="n">
        <f aca="false">IF($G14=7,$U14,0)</f>
        <v>0</v>
      </c>
      <c r="BA14" s="16" t="n">
        <f aca="false">IF($G14=8,$U14,0)</f>
        <v>0</v>
      </c>
      <c r="BB14" s="16" t="n">
        <f aca="false">IF($G14=9,$U14,0)</f>
        <v>0</v>
      </c>
      <c r="BC14" s="1116" t="n">
        <f aca="false">IF($G14=10,$U14,0)</f>
        <v>0</v>
      </c>
      <c r="BD14" s="16" t="n">
        <f aca="false">SUM(AT14:AY14)</f>
        <v>0</v>
      </c>
      <c r="BE14" s="600" t="n">
        <f aca="false">IF(F14="N",0,C14)</f>
        <v>0</v>
      </c>
      <c r="BF14" s="16" t="n">
        <f aca="false">IF(N14=1,O14*$U$53,0)+IF(N14=2,O14*$U$54,0)+IF(N14=3,O14*$U$55,0)+IF(N14=4,O14*$U$60,0)+IF(N14=5,O14*$U$61,0)+IF(N14=6,O14*$U$62,0)</f>
        <v>0</v>
      </c>
      <c r="BG14" s="16" t="n">
        <f aca="false">IF(P14=1,Q14*$U$53,0)+IF(P14=2,Q14*$U$54,0)+IF(P14=3,Q14*$U$55,0)+IF(P14=4,Q14*$U$60,0)+IF(P14=5,Q14*$U$61,0)+IF(P14=6,Q14*$U$62,0)</f>
        <v>0</v>
      </c>
      <c r="BH14" s="16" t="n">
        <f aca="false">IF(R14=1,S14*$U$53,0)+IF(R14=2,S14*$U$54,0)+IF(R14=3,S14*$U$55,0)+IF(R14=4,S14*$U$60,0)+IF(R14=5,S14*$U$61,0)+IF(R14=6,S14*$U$62,0)</f>
        <v>0</v>
      </c>
      <c r="BI14" s="506" t="n">
        <f aca="false">SUM(BJ14:CC15)</f>
        <v>0</v>
      </c>
      <c r="BJ14" s="2375" t="n">
        <f aca="false">(AT14*Pricing!F$3+AU14*Pricing!G$3+AV14*Pricing!H$3+AW14*Pricing!I$3+AX14*Pricing!J$3+AY14*Pricing!K$3+AZ14*Pricing!L$3+BA14*Pricing!M$3+BB14*Pricing!M$3+BC14*Pricing!O$3)*IF(T$64="N",(1+V$64),1)</f>
        <v>0</v>
      </c>
      <c r="BK14" s="2096" t="n">
        <f aca="false">T14*F$78*IF(T$64="n",1+V$64,1)</f>
        <v>0</v>
      </c>
      <c r="BL14" s="2096" t="n">
        <f aca="false">IF(BE$50=0,0,IF(F14="y",N$80/BE$50*BE14,0))</f>
        <v>0</v>
      </c>
      <c r="BM14" s="2096" t="n">
        <f aca="false">IF(N$79=0,0,N$79/H$87*C14)</f>
        <v>0</v>
      </c>
      <c r="BN14" s="2376" t="n">
        <f aca="false">(C14*G$87)</f>
        <v>0</v>
      </c>
      <c r="BO14" s="2096" t="n">
        <f aca="false">H14*D$91</f>
        <v>0</v>
      </c>
      <c r="BP14" s="2096" t="n">
        <f aca="false">SUM(BF14:BH14)*D$92</f>
        <v>0</v>
      </c>
      <c r="BQ14" s="2096" t="n">
        <f aca="false">D$93*C14</f>
        <v>0</v>
      </c>
      <c r="BR14" s="2096" t="str">
        <f aca="false">IF(C14="","",(N$95+N$94)/H$87*C14)</f>
        <v/>
      </c>
      <c r="BS14" s="2096" t="n">
        <f aca="false">IF(C14=0,0,(T14/2000*D$96))</f>
        <v>0</v>
      </c>
      <c r="BT14" s="2377" t="str">
        <f aca="false">IF(C14="","",N$97/H$87*C14)</f>
        <v/>
      </c>
      <c r="BU14" s="2096" t="n">
        <f aca="false">IF(C14=0,0,SUM(N$100:O$103)/C$50*C14)</f>
        <v>0</v>
      </c>
      <c r="BV14" s="2096" t="n">
        <f aca="false">IF(C14=0,0,SUM(W$73:W$106)/C$50*C14)+IF(H$87=0,0,(N$84+N$83+N$82)/H$87*C14)</f>
        <v>0</v>
      </c>
      <c r="BW14" s="2096" t="n">
        <f aca="false">IF(C14=0,0,SUM(N$105:O$110)/C$50*C14)</f>
        <v>0</v>
      </c>
      <c r="BX14" s="2096" t="n">
        <f aca="false">IF(C14=0,0,SUM(N$112:O$118)/C$50)*C14</f>
        <v>0</v>
      </c>
      <c r="BY14" s="2096" t="n">
        <f aca="false">IF(C$50=0,0,SUM(W$107:W$118)/C$50*C14)</f>
        <v>0</v>
      </c>
      <c r="BZ14" s="2096" t="n">
        <f aca="false">IF(N$119=0,0,N$119/H$87*C14)</f>
        <v>0</v>
      </c>
      <c r="CA14" s="2096"/>
      <c r="CB14" s="2096" t="n">
        <f aca="false">AG14*F$81*IF(T$64="n",(1+V$64),1)</f>
        <v>0</v>
      </c>
      <c r="CC14" s="2378" t="n">
        <f aca="false">AQ14*F$79*IF(T$64="Y",1,1+V$64)</f>
        <v>0</v>
      </c>
      <c r="CP14" s="16" t="n">
        <f aca="false">A18</f>
        <v>0</v>
      </c>
      <c r="CQ14" s="16" t="n">
        <f aca="false">BF18+BG18+BH18+BH19+BG19+BF19</f>
        <v>0</v>
      </c>
      <c r="CR14" s="1037" t="n">
        <f aca="false">T18</f>
        <v>0</v>
      </c>
      <c r="CS14" s="1037" t="e">
        <f aca="false">H$100/H$87*(C18+C19)</f>
        <v>#DIV/0!</v>
      </c>
      <c r="CT14" s="16" t="n">
        <f aca="false">BE18+BE19</f>
        <v>0</v>
      </c>
    </row>
    <row r="15" customFormat="false" ht="19.5" hidden="false" customHeight="true" outlineLevel="0" collapsed="false">
      <c r="A15" s="507"/>
      <c r="B15" s="1801"/>
      <c r="C15" s="2380"/>
      <c r="D15" s="1552"/>
      <c r="E15" s="2388"/>
      <c r="F15" s="528"/>
      <c r="G15" s="2082"/>
      <c r="H15" s="1235"/>
      <c r="I15" s="528"/>
      <c r="J15" s="895"/>
      <c r="K15" s="528"/>
      <c r="L15" s="895"/>
      <c r="M15" s="2381"/>
      <c r="N15" s="528"/>
      <c r="O15" s="895"/>
      <c r="P15" s="528"/>
      <c r="Q15" s="1582"/>
      <c r="R15" s="2382"/>
      <c r="S15" s="2383"/>
      <c r="T15" s="2384"/>
      <c r="U15" s="2385"/>
      <c r="V15" s="2386"/>
      <c r="W15" s="2184"/>
      <c r="X15" s="2184"/>
      <c r="Y15" s="1414"/>
      <c r="AH15" s="1142" t="n">
        <f aca="false">IF(N15=1,O15*$Q$53,0)+IF(N15=2,O15*$Q$54,0)+IF(N15=3,O15*$Q$55,0)+IF(N15=4,O15*$Q$60,0)+IF(N15=5,O15*$Q$61,0)+IF(N15=6,O15*$Q$62+IF(N15=7,O15*$Q$54,0)+IF(N15=8,O15*$Q$55,0)+IF(N15=9,O15*$Q$60,0)+IF(N15=10,O15*$Q$61,0),0)</f>
        <v>0</v>
      </c>
      <c r="AI15" s="16" t="n">
        <f aca="false">IF(P15=1,Q15*$Q$53,0)+IF(P15=2,Q15*$Q$54,0)+IF(P15=3,Q15*$Q$55,0)+IF(P15=4,Q15*$Q$60,0)+IF(P15=5,Q15*$Q$61,0)+IF(P15=6,Q15*$Q$62+IF(P15=7,Q15*$Q$54,0)+IF(P15=8,Q15*$Q$55,0)+IF(P15=9,Q15*$Q$60,0)+IF(P15=10,Q15*$Q$61,0),0)</f>
        <v>0</v>
      </c>
      <c r="AJ15" s="16" t="n">
        <f aca="false">IF(R15=1,S15*$Q$53,0)+IF(R15=2,S15*$Q$54,0)+IF(R15=3,S15*$Q$55,0)+IF(R15=4,S15*$Q$60,0)+IF(R15=5,S15*$Q$61,0)+IF(R15=6,S15*$Q$62+IF(R15=7,S15*$Q$54,0)+IF(R15=8,S15*$Q$55,0)+IF(R15=9,S15*$Q$60,0)+IF(R15=10,S15*$Q$61,0),0)</f>
        <v>0</v>
      </c>
      <c r="AK15" s="1116" t="n">
        <f aca="false">SUM(AH15:AJ15)</f>
        <v>0</v>
      </c>
      <c r="AL15" s="16" t="n">
        <f aca="false">ROUNDUP(IF(N15=1,O15*$O$53,0)+IF(N15=2,O15*$O$54,0)+IF(N15=3,O15*$O$55,0)+IF(N15=4,O15*$O$56,0)+IF(N15=5,O15*$O$57,0)+IF(N15=6,O15*$O$58+IF(N15=7,O15*$O$59,0)+IF(N15=8,O15*$O$60,0)+IF(N15=9,O15*$O$61+IF(N15=10,O15*$O$62,0),0),0),0)</f>
        <v>0</v>
      </c>
      <c r="AM15" s="16" t="n">
        <f aca="false">ROUNDUP(IF(P15=1,Q15*$Q$53,0)+IF(P15=2,Q15*$Q$54,0)+IF(P15=3,Q15*$Q$55,0)+IF(P15=4,Q15*$Q$56,0)+IF(P15=5,Q15*$Q$57,0)+IF(P15=6,Q15*$Q$58+IF(P15=7,Q15*$Q$59,0)+IF(P15=8,Q15*$Q$60,0)+IF(P15=9,Q15*$Q$61+IF(P15=10,Q15*$Q$62,0),0),0),0)</f>
        <v>0</v>
      </c>
      <c r="AN15" s="16" t="n">
        <f aca="false">ROUNDUP(IF(R15=1,S15*$S$53,0)+IF(R15=2,S15*$S$54,0)+IF(R15=3,S15*$S$55,0)+IF(R15=4,S15*$S$56,0)+IF(R15=5,S15*$S$57,0)+IF(R15=6,S15*$S$58+IF(R15=7,S15*$S$59,0)+IF(R15=8,S15*$S$60,0)+IF(R15=9,S15*$S$61+IF(R15=10,S15*$S$62,0),0),0),0)</f>
        <v>0</v>
      </c>
      <c r="AO15" s="1142" t="n">
        <f aca="false">SUM(AL15:AN15)*1.12</f>
        <v>0</v>
      </c>
      <c r="AP15" s="2237" t="n">
        <f aca="false">IF(L15=0,0,(L15/12+L15/12)/(L15/12*L15/12)*C15*((K15/16*K15/16)*10.6870159))*(1+J$78)+IF(J15=0,0,(J15/12+J15/12)/(J15/12*J15/12)*C15*((I15/16*I15/16)*10.6870159))*(1+J$78)</f>
        <v>0</v>
      </c>
      <c r="AQ15" s="1142" t="n">
        <f aca="false">M15*(1+J$79)</f>
        <v>0</v>
      </c>
      <c r="AS15" s="16" t="n">
        <f aca="false">IF(M15="y",C15,0)</f>
        <v>0</v>
      </c>
      <c r="AT15" s="1142" t="n">
        <f aca="false">IF($G15=1,$U15,0)</f>
        <v>0</v>
      </c>
      <c r="AU15" s="16" t="n">
        <f aca="false">IF($G15=2,$U15,0)</f>
        <v>0</v>
      </c>
      <c r="AV15" s="16" t="n">
        <f aca="false">IF($G15=3,$U15,0)</f>
        <v>0</v>
      </c>
      <c r="AW15" s="16" t="n">
        <f aca="false">IF($G15=4,$U15,0)</f>
        <v>0</v>
      </c>
      <c r="AX15" s="16" t="n">
        <f aca="false">IF($G15=5,$U15,0)</f>
        <v>0</v>
      </c>
      <c r="AY15" s="16" t="n">
        <f aca="false">IF($G15=6,$U15,0)</f>
        <v>0</v>
      </c>
      <c r="AZ15" s="16" t="n">
        <f aca="false">IF($G15=7,$U15,0)</f>
        <v>0</v>
      </c>
      <c r="BA15" s="16" t="n">
        <f aca="false">IF($G15=8,$U15,0)</f>
        <v>0</v>
      </c>
      <c r="BB15" s="16" t="n">
        <f aca="false">IF($G15=9,$U15,0)</f>
        <v>0</v>
      </c>
      <c r="BC15" s="1116" t="n">
        <f aca="false">IF($G15=10,$U15,0)</f>
        <v>0</v>
      </c>
      <c r="BD15" s="16" t="n">
        <f aca="false">SUM(AT15:AY15)</f>
        <v>0</v>
      </c>
      <c r="BE15" s="600" t="n">
        <f aca="false">IF(F15="N",0,C15)</f>
        <v>0</v>
      </c>
      <c r="BF15" s="16" t="n">
        <f aca="false">IF(N15=1,O15*$U$53,0)+IF(N15=2,O15*$U$54,0)+IF(N15=3,O15*$U$55,0)+IF(N15=4,O15*$U$60,0)+IF(N15=5,O15*$U$61,0)+IF(N15=6,O15*$U$62,0)</f>
        <v>0</v>
      </c>
      <c r="BG15" s="16" t="n">
        <f aca="false">IF(P15=1,Q15*$U$53,0)+IF(P15=2,Q15*$U$54,0)+IF(P15=3,Q15*$U$55,0)+IF(P15=4,Q15*$U$60,0)+IF(P15=5,Q15*$U$61,0)+IF(P15=6,Q15*$U$62,0)</f>
        <v>0</v>
      </c>
      <c r="BH15" s="16" t="n">
        <f aca="false">IF(R15=1,S15*$U$53,0)+IF(R15=2,S15*$U$54,0)+IF(R15=3,S15*$U$55,0)+IF(R15=4,S15*$U$60,0)+IF(R15=5,S15*$U$61,0)+IF(R15=6,S15*$U$62,0)</f>
        <v>0</v>
      </c>
      <c r="BI15" s="506"/>
      <c r="BJ15" s="2375" t="n">
        <f aca="false">(AT15*Pricing!F$3+AU15*Pricing!G$3+AV15*Pricing!H$3+AW15*Pricing!I$3+AX15*Pricing!J$3+AY15*Pricing!K$3+AZ15*Pricing!L$3+BA15*Pricing!M$3+BB15*Pricing!M$3+BC15*Pricing!O$3)*IF(T$64="N",(1+V$64),1)</f>
        <v>0</v>
      </c>
      <c r="BK15" s="2096" t="n">
        <f aca="false">T15*F$78*IF(T$64="n",1+V$64,1)</f>
        <v>0</v>
      </c>
      <c r="BL15" s="2096" t="n">
        <f aca="false">IF(BE$50=0,0,IF(F15="y",N$80/BE$50*BE15,0))</f>
        <v>0</v>
      </c>
      <c r="BM15" s="2096" t="n">
        <f aca="false">IF(N$79=0,0,N$79/H$87*C15)</f>
        <v>0</v>
      </c>
      <c r="BN15" s="2376" t="n">
        <f aca="false">(C15*G$87)</f>
        <v>0</v>
      </c>
      <c r="BO15" s="2096" t="n">
        <f aca="false">H15*D$91</f>
        <v>0</v>
      </c>
      <c r="BP15" s="2096" t="n">
        <f aca="false">SUM(BF15:BH15)*D$92</f>
        <v>0</v>
      </c>
      <c r="BQ15" s="2096" t="n">
        <f aca="false">D$93*C15</f>
        <v>0</v>
      </c>
      <c r="BR15" s="2096" t="str">
        <f aca="false">IF(C15="","",(N$95+N$94)/H$87*C15)</f>
        <v/>
      </c>
      <c r="BS15" s="2096" t="n">
        <f aca="false">IF(C15=0,0,(T15/2000*D$96))</f>
        <v>0</v>
      </c>
      <c r="BT15" s="2377" t="str">
        <f aca="false">IF(C15="","",N$97/H$87*C15)</f>
        <v/>
      </c>
      <c r="BU15" s="2096" t="n">
        <f aca="false">IF(C15=0,0,SUM(N$100:O$103)/C$50*C15)</f>
        <v>0</v>
      </c>
      <c r="BV15" s="2096" t="n">
        <f aca="false">IF(C15=0,0,SUM(W$73:W$106)/C$50*C15)+IF(H$87=0,0,(N$84+N$83+N$82)/H$87*C15)</f>
        <v>0</v>
      </c>
      <c r="BW15" s="2096" t="n">
        <f aca="false">IF(C15=0,0,SUM(N$105:O$110)/C$50*C15)</f>
        <v>0</v>
      </c>
      <c r="BX15" s="2096" t="n">
        <f aca="false">IF(C15=0,0,SUM(N$112:O$118)/C$50)*C15</f>
        <v>0</v>
      </c>
      <c r="BY15" s="2096" t="n">
        <f aca="false">IF(C$50=0,0,SUM(W$107:W$118)/C$50*C15)</f>
        <v>0</v>
      </c>
      <c r="BZ15" s="2096" t="n">
        <f aca="false">IF(N$119=0,0,N$119/H$87*C15)</f>
        <v>0</v>
      </c>
      <c r="CA15" s="2096"/>
      <c r="CB15" s="2096" t="n">
        <f aca="false">AG15*F$81*IF(T$64="n",(1+V$64),1)</f>
        <v>0</v>
      </c>
      <c r="CC15" s="2378" t="n">
        <f aca="false">AQ15*F$79*IF(T$64="Y",1,1+V$64)</f>
        <v>0</v>
      </c>
      <c r="CP15" s="16" t="n">
        <f aca="false">A20</f>
        <v>0</v>
      </c>
      <c r="CQ15" s="16" t="n">
        <f aca="false">BF20+BG20+BH20+BH21+BG21+BF21</f>
        <v>0</v>
      </c>
      <c r="CR15" s="1037" t="n">
        <f aca="false">T20</f>
        <v>0</v>
      </c>
      <c r="CS15" s="1037" t="e">
        <f aca="false">H$100/H$87*(C20+C21)</f>
        <v>#DIV/0!</v>
      </c>
      <c r="CT15" s="16" t="n">
        <f aca="false">BE20+BE21</f>
        <v>0</v>
      </c>
    </row>
    <row r="16" customFormat="false" ht="19.5" hidden="false" customHeight="true" outlineLevel="0" collapsed="false">
      <c r="A16" s="2402"/>
      <c r="B16" s="2403"/>
      <c r="C16" s="2400"/>
      <c r="D16" s="1508"/>
      <c r="E16" s="1356"/>
      <c r="F16" s="1511"/>
      <c r="G16" s="1553"/>
      <c r="H16" s="2389"/>
      <c r="I16" s="1511"/>
      <c r="J16" s="1512"/>
      <c r="K16" s="1511"/>
      <c r="L16" s="1512"/>
      <c r="M16" s="2390"/>
      <c r="N16" s="1511"/>
      <c r="O16" s="2404"/>
      <c r="P16" s="1511"/>
      <c r="Q16" s="1573"/>
      <c r="R16" s="2392"/>
      <c r="S16" s="2393"/>
      <c r="T16" s="1515" t="n">
        <f aca="false">SUM(AO16:AP17)</f>
        <v>0</v>
      </c>
      <c r="U16" s="1516" t="n">
        <f aca="false">((((C16*E16/324)+(C17*E17/324))*(1+J$73))+AK16+AK17)</f>
        <v>0</v>
      </c>
      <c r="V16" s="2394" t="n">
        <f aca="false">IF(C16=0,0,W16/(C16+C17))</f>
        <v>0</v>
      </c>
      <c r="W16" s="2184" t="n">
        <f aca="false">(IF(SUM(BJ16:CC17)=0,0,SUM(BJ16:CC17)-BZ16-BZ17))*(1+L$65)</f>
        <v>0</v>
      </c>
      <c r="X16" s="2184"/>
      <c r="Y16" s="1414"/>
      <c r="AH16" s="1142" t="n">
        <f aca="false">IF(N16=1,O16*$Q$53,0)+IF(N16=2,O16*$Q$54,0)+IF(N16=3,O16*$Q$55,0)+IF(N16=4,O16*$Q$60,0)+IF(N16=5,O16*$Q$61,0)+IF(N16=6,O16*$Q$62+IF(N16=7,O16*$Q$54,0)+IF(N16=8,O16*$Q$55,0)+IF(N16=9,O16*$Q$60,0)+IF(N16=10,O16*$Q$61,0),0)</f>
        <v>0</v>
      </c>
      <c r="AI16" s="16" t="n">
        <f aca="false">IF(P16=1,Q16*$Q$53,0)+IF(P16=2,Q16*$Q$54,0)+IF(P16=3,Q16*$Q$55,0)+IF(P16=4,Q16*$Q$60,0)+IF(P16=5,Q16*$Q$61,0)+IF(P16=6,Q16*$Q$62+IF(P16=7,Q16*$Q$54,0)+IF(P16=8,Q16*$Q$55,0)+IF(P16=9,Q16*$Q$60,0)+IF(P16=10,Q16*$Q$61,0),0)</f>
        <v>0</v>
      </c>
      <c r="AJ16" s="16" t="n">
        <f aca="false">IF(R16=1,S16*$Q$53,0)+IF(R16=2,S16*$Q$54,0)+IF(R16=3,S16*$Q$55,0)+IF(R16=4,S16*$Q$60,0)+IF(R16=5,S16*$Q$61,0)+IF(R16=6,S16*$Q$62+IF(R16=7,S16*$Q$54,0)+IF(R16=8,S16*$Q$55,0)+IF(R16=9,S16*$Q$60,0)+IF(R16=10,S16*$Q$61,0),0)</f>
        <v>0</v>
      </c>
      <c r="AK16" s="1116" t="n">
        <f aca="false">SUM(AH16:AJ16)</f>
        <v>0</v>
      </c>
      <c r="AL16" s="16" t="n">
        <f aca="false">ROUNDUP(IF(N16=1,O16*$O$53,0)+IF(N16=2,O16*$O$54,0)+IF(N16=3,O16*$O$55,0)+IF(N16=4,O16*$O$56,0)+IF(N16=5,O16*$O$57,0)+IF(N16=6,O16*$O$58+IF(N16=7,O16*$O$59,0)+IF(N16=8,O16*$O$60,0)+IF(N16=9,O16*$O$61+IF(N16=10,O16*$O$62,0),0),0),0)</f>
        <v>0</v>
      </c>
      <c r="AM16" s="16" t="n">
        <f aca="false">ROUNDUP(IF(P16=1,Q16*$Q$53,0)+IF(P16=2,Q16*$Q$54,0)+IF(P16=3,Q16*$Q$55,0)+IF(P16=4,Q16*$Q$56,0)+IF(P16=5,Q16*$Q$57,0)+IF(P16=6,Q16*$Q$58+IF(P16=7,Q16*$Q$59,0)+IF(P16=8,Q16*$Q$60,0)+IF(P16=9,Q16*$Q$61+IF(P16=10,Q16*$Q$62,0),0),0),0)</f>
        <v>0</v>
      </c>
      <c r="AN16" s="16" t="n">
        <f aca="false">ROUNDUP(IF(R16=1,S16*$S$53,0)+IF(R16=2,S16*$S$54,0)+IF(R16=3,S16*$S$55,0)+IF(R16=4,S16*$S$56,0)+IF(R16=5,S16*$S$57,0)+IF(R16=6,S16*$S$58+IF(R16=7,S16*$S$59,0)+IF(R16=8,S16*$S$60,0)+IF(R16=9,S16*$S$61+IF(R16=10,S16*$S$62,0),0),0),0)</f>
        <v>0</v>
      </c>
      <c r="AO16" s="1142" t="n">
        <f aca="false">SUM(AL16:AN16)*1.12</f>
        <v>0</v>
      </c>
      <c r="AP16" s="2237" t="n">
        <f aca="false">IF(L16=0,0,(L16/12+L16/12)/(L16/12*L16/12)*C16*((K16/16*K16/16)*10.6870159))*(1+J$78)+IF(J16=0,0,(J16/12+J16/12)/(J16/12*J16/12)*C16*((I16/16*I16/16)*10.6870159))*(1+J$78)</f>
        <v>0</v>
      </c>
      <c r="AQ16" s="1142" t="n">
        <f aca="false">M16*(1+J$79)</f>
        <v>0</v>
      </c>
      <c r="AS16" s="16" t="n">
        <f aca="false">IF(M16="y",C16,0)</f>
        <v>0</v>
      </c>
      <c r="AT16" s="1142" t="n">
        <f aca="false">IF($G16=1,$U16,0)</f>
        <v>0</v>
      </c>
      <c r="AU16" s="16" t="n">
        <f aca="false">IF($G16=2,$U16,0)</f>
        <v>0</v>
      </c>
      <c r="AV16" s="16" t="n">
        <f aca="false">IF($G16=3,$U16,0)</f>
        <v>0</v>
      </c>
      <c r="AW16" s="16" t="n">
        <f aca="false">IF($G16=4,$U16,0)</f>
        <v>0</v>
      </c>
      <c r="AX16" s="16" t="n">
        <f aca="false">IF($G16=5,$U16,0)</f>
        <v>0</v>
      </c>
      <c r="AY16" s="16" t="n">
        <f aca="false">IF($G16=6,$U16,0)</f>
        <v>0</v>
      </c>
      <c r="AZ16" s="16" t="n">
        <f aca="false">IF($G16=7,$U16,0)</f>
        <v>0</v>
      </c>
      <c r="BA16" s="16" t="n">
        <f aca="false">IF($G16=8,$U16,0)</f>
        <v>0</v>
      </c>
      <c r="BB16" s="16" t="n">
        <f aca="false">IF($G16=9,$U16,0)</f>
        <v>0</v>
      </c>
      <c r="BC16" s="1116" t="n">
        <f aca="false">IF($G16=10,$U16,0)</f>
        <v>0</v>
      </c>
      <c r="BD16" s="16" t="n">
        <f aca="false">SUM(AT16:AY16)</f>
        <v>0</v>
      </c>
      <c r="BE16" s="600" t="n">
        <f aca="false">IF(F16="N",0,C16)</f>
        <v>0</v>
      </c>
      <c r="BF16" s="16" t="n">
        <f aca="false">IF(N16=1,O16*$U$53,0)+IF(N16=2,O16*$U$54,0)+IF(N16=3,O16*$U$55,0)+IF(N16=4,O16*$U$60,0)+IF(N16=5,O16*$U$61,0)+IF(N16=6,O16*$U$62,0)</f>
        <v>0</v>
      </c>
      <c r="BG16" s="16" t="n">
        <f aca="false">IF(P16=1,Q16*$U$53,0)+IF(P16=2,Q16*$U$54,0)+IF(P16=3,Q16*$U$55,0)+IF(P16=4,Q16*$U$60,0)+IF(P16=5,Q16*$U$61,0)+IF(P16=6,Q16*$U$62,0)</f>
        <v>0</v>
      </c>
      <c r="BH16" s="16" t="n">
        <f aca="false">IF(R16=1,S16*$U$53,0)+IF(R16=2,S16*$U$54,0)+IF(R16=3,S16*$U$55,0)+IF(R16=4,S16*$U$60,0)+IF(R16=5,S16*$U$61,0)+IF(R16=6,S16*$U$62,0)</f>
        <v>0</v>
      </c>
      <c r="BI16" s="506" t="n">
        <f aca="false">SUM(BJ16:CC17)</f>
        <v>0</v>
      </c>
      <c r="BJ16" s="2375" t="n">
        <f aca="false">(AT16*Pricing!F$3+AU16*Pricing!G$3+AV16*Pricing!H$3+AW16*Pricing!I$3+AX16*Pricing!J$3+AY16*Pricing!K$3+AZ16*Pricing!L$3+BA16*Pricing!M$3+BB16*Pricing!M$3+BC16*Pricing!O$3)*IF(T$64="N",(1+V$64),1)</f>
        <v>0</v>
      </c>
      <c r="BK16" s="2096" t="n">
        <f aca="false">T16*F$78*IF(T$64="n",1+V$64,1)</f>
        <v>0</v>
      </c>
      <c r="BL16" s="2096" t="n">
        <f aca="false">IF(BE$50=0,0,IF(F16="y",N$80/BE$50*BE16,0))</f>
        <v>0</v>
      </c>
      <c r="BM16" s="2096" t="n">
        <f aca="false">IF(N$79=0,0,N$79/H$87*C16)</f>
        <v>0</v>
      </c>
      <c r="BN16" s="2376" t="n">
        <f aca="false">(C16*G$87)</f>
        <v>0</v>
      </c>
      <c r="BO16" s="2096" t="n">
        <f aca="false">H16*D$91</f>
        <v>0</v>
      </c>
      <c r="BP16" s="2096" t="n">
        <f aca="false">SUM(BF16:BH16)*D$92</f>
        <v>0</v>
      </c>
      <c r="BQ16" s="2096" t="n">
        <f aca="false">D$93*C16</f>
        <v>0</v>
      </c>
      <c r="BR16" s="2096" t="str">
        <f aca="false">IF(C16="","",(N$95+N$94)/H$87*C16)</f>
        <v/>
      </c>
      <c r="BS16" s="2096" t="n">
        <f aca="false">IF(C16=0,0,(T16/2000*D$96))</f>
        <v>0</v>
      </c>
      <c r="BT16" s="2377" t="str">
        <f aca="false">IF(C16="","",N$97/H$87*C16)</f>
        <v/>
      </c>
      <c r="BU16" s="2096" t="n">
        <f aca="false">IF(C16=0,0,SUM(N$100:O$103)/C$50*C16)</f>
        <v>0</v>
      </c>
      <c r="BV16" s="2096" t="n">
        <f aca="false">IF(C16=0,0,SUM(W$73:W$106)/C$50*C16)+IF(H$87=0,0,(N$84+N$83+N$82)/H$87*C16)</f>
        <v>0</v>
      </c>
      <c r="BW16" s="2096" t="n">
        <f aca="false">IF(C16=0,0,SUM(N$105:O$110)/C$50*C16)</f>
        <v>0</v>
      </c>
      <c r="BX16" s="2096" t="n">
        <f aca="false">IF(C16=0,0,SUM(N$112:O$118)/C$50)*C16</f>
        <v>0</v>
      </c>
      <c r="BY16" s="2096" t="n">
        <f aca="false">IF(C$50=0,0,SUM(W$107:W$118)/C$50*C16)</f>
        <v>0</v>
      </c>
      <c r="BZ16" s="2096" t="n">
        <f aca="false">IF(N$119=0,0,N$119/H$87*C16)</f>
        <v>0</v>
      </c>
      <c r="CA16" s="2096"/>
      <c r="CB16" s="2096" t="n">
        <f aca="false">AG16*F$81*IF(T$64="n",(1+V$64),1)</f>
        <v>0</v>
      </c>
      <c r="CC16" s="2378" t="n">
        <f aca="false">AQ16*F$79*IF(T$64="Y",1,1+V$64)</f>
        <v>0</v>
      </c>
      <c r="CP16" s="16" t="n">
        <f aca="false">A22</f>
        <v>0</v>
      </c>
      <c r="CQ16" s="16" t="n">
        <f aca="false">BF22+BG22+BH22+BH23+BG23+BF23</f>
        <v>0</v>
      </c>
      <c r="CR16" s="1037" t="n">
        <f aca="false">T22</f>
        <v>0</v>
      </c>
      <c r="CS16" s="1037" t="e">
        <f aca="false">H$100/H$87*(C22+C23)</f>
        <v>#DIV/0!</v>
      </c>
      <c r="CT16" s="16" t="n">
        <f aca="false">BE22+BE23</f>
        <v>0</v>
      </c>
    </row>
    <row r="17" customFormat="false" ht="19.5" hidden="false" customHeight="true" outlineLevel="0" collapsed="false">
      <c r="A17" s="2379"/>
      <c r="B17" s="2405"/>
      <c r="C17" s="2380"/>
      <c r="D17" s="1552"/>
      <c r="E17" s="1352"/>
      <c r="F17" s="1559"/>
      <c r="G17" s="1509"/>
      <c r="H17" s="2396"/>
      <c r="I17" s="1559"/>
      <c r="J17" s="1556"/>
      <c r="K17" s="1559"/>
      <c r="L17" s="1556"/>
      <c r="M17" s="2381"/>
      <c r="N17" s="1559"/>
      <c r="O17" s="1556"/>
      <c r="P17" s="1559"/>
      <c r="Q17" s="1581"/>
      <c r="R17" s="2397"/>
      <c r="S17" s="2398"/>
      <c r="T17" s="2384"/>
      <c r="U17" s="2385"/>
      <c r="V17" s="2399"/>
      <c r="W17" s="2184"/>
      <c r="X17" s="2184"/>
      <c r="Y17" s="1414"/>
      <c r="AH17" s="1142" t="n">
        <f aca="false">IF(N17=1,O17*$Q$53,0)+IF(N17=2,O17*$Q$54,0)+IF(N17=3,O17*$Q$55,0)+IF(N17=4,O17*$Q$60,0)+IF(N17=5,O17*$Q$61,0)+IF(N17=6,O17*$Q$62+IF(N17=7,O17*$Q$54,0)+IF(N17=8,O17*$Q$55,0)+IF(N17=9,O17*$Q$60,0)+IF(N17=10,O17*$Q$61,0),0)</f>
        <v>0</v>
      </c>
      <c r="AI17" s="16" t="n">
        <f aca="false">IF(P17=1,Q17*$Q$53,0)+IF(P17=2,Q17*$Q$54,0)+IF(P17=3,Q17*$Q$55,0)+IF(P17=4,Q17*$Q$60,0)+IF(P17=5,Q17*$Q$61,0)+IF(P17=6,Q17*$Q$62+IF(P17=7,Q17*$Q$54,0)+IF(P17=8,Q17*$Q$55,0)+IF(P17=9,Q17*$Q$60,0)+IF(P17=10,Q17*$Q$61,0),0)</f>
        <v>0</v>
      </c>
      <c r="AJ17" s="16" t="n">
        <f aca="false">IF(R17=1,S17*$Q$53,0)+IF(R17=2,S17*$Q$54,0)+IF(R17=3,S17*$Q$55,0)+IF(R17=4,S17*$Q$60,0)+IF(R17=5,S17*$Q$61,0)+IF(R17=6,S17*$Q$62+IF(R17=7,S17*$Q$54,0)+IF(R17=8,S17*$Q$55,0)+IF(R17=9,S17*$Q$60,0)+IF(R17=10,S17*$Q$61,0),0)</f>
        <v>0</v>
      </c>
      <c r="AK17" s="1116" t="n">
        <f aca="false">SUM(AH17:AJ17)</f>
        <v>0</v>
      </c>
      <c r="AL17" s="16" t="n">
        <f aca="false">ROUNDUP(IF(N17=1,O17*$O$53,0)+IF(N17=2,O17*$O$54,0)+IF(N17=3,O17*$O$55,0)+IF(N17=4,O17*$O$56,0)+IF(N17=5,O17*$O$57,0)+IF(N17=6,O17*$O$58+IF(N17=7,O17*$O$59,0)+IF(N17=8,O17*$O$60,0)+IF(N17=9,O17*$O$61+IF(N17=10,O17*$O$62,0),0),0),0)</f>
        <v>0</v>
      </c>
      <c r="AM17" s="16" t="n">
        <f aca="false">ROUNDUP(IF(P17=1,Q17*$Q$53,0)+IF(P17=2,Q17*$Q$54,0)+IF(P17=3,Q17*$Q$55,0)+IF(P17=4,Q17*$Q$56,0)+IF(P17=5,Q17*$Q$57,0)+IF(P17=6,Q17*$Q$58+IF(P17=7,Q17*$Q$59,0)+IF(P17=8,Q17*$Q$60,0)+IF(P17=9,Q17*$Q$61+IF(P17=10,Q17*$Q$62,0),0),0),0)</f>
        <v>0</v>
      </c>
      <c r="AN17" s="16" t="n">
        <f aca="false">ROUNDUP(IF(R17=1,S17*$S$53,0)+IF(R17=2,S17*$S$54,0)+IF(R17=3,S17*$S$55,0)+IF(R17=4,S17*$S$56,0)+IF(R17=5,S17*$S$57,0)+IF(R17=6,S17*$S$58+IF(R17=7,S17*$S$59,0)+IF(R17=8,S17*$S$60,0)+IF(R17=9,S17*$S$61+IF(R17=10,S17*$S$62,0),0),0),0)</f>
        <v>0</v>
      </c>
      <c r="AO17" s="1142" t="n">
        <f aca="false">SUM(AL17:AN17)*1.12</f>
        <v>0</v>
      </c>
      <c r="AP17" s="2237" t="n">
        <f aca="false">IF(L17=0,0,(L17/12+L17/12)/(L17/12*L17/12)*C17*((K17/16*K17/16)*10.6870159))*(1+J$78)+IF(J17=0,0,(J17/12+J17/12)/(J17/12*J17/12)*C17*((I17/16*I17/16)*10.6870159))*(1+J$78)</f>
        <v>0</v>
      </c>
      <c r="AQ17" s="1142" t="n">
        <f aca="false">M17*(1+J$79)</f>
        <v>0</v>
      </c>
      <c r="AS17" s="16" t="n">
        <f aca="false">IF(M17="y",C17,0)</f>
        <v>0</v>
      </c>
      <c r="AT17" s="1142" t="n">
        <f aca="false">IF($G17=1,$U17,0)</f>
        <v>0</v>
      </c>
      <c r="AU17" s="16" t="n">
        <f aca="false">IF($G17=2,$U17,0)</f>
        <v>0</v>
      </c>
      <c r="AV17" s="16" t="n">
        <f aca="false">IF($G17=3,$U17,0)</f>
        <v>0</v>
      </c>
      <c r="AW17" s="16" t="n">
        <f aca="false">IF($G17=4,$U17,0)</f>
        <v>0</v>
      </c>
      <c r="AX17" s="16" t="n">
        <f aca="false">IF($G17=5,$U17,0)</f>
        <v>0</v>
      </c>
      <c r="AY17" s="16" t="n">
        <f aca="false">IF($G17=6,$U17,0)</f>
        <v>0</v>
      </c>
      <c r="AZ17" s="16" t="n">
        <f aca="false">IF($G17=7,$U17,0)</f>
        <v>0</v>
      </c>
      <c r="BA17" s="16" t="n">
        <f aca="false">IF($G17=8,$U17,0)</f>
        <v>0</v>
      </c>
      <c r="BB17" s="16" t="n">
        <f aca="false">IF($G17=9,$U17,0)</f>
        <v>0</v>
      </c>
      <c r="BC17" s="1116" t="n">
        <f aca="false">IF($G17=10,$U17,0)</f>
        <v>0</v>
      </c>
      <c r="BD17" s="16" t="n">
        <f aca="false">SUM(AT17:AY17)</f>
        <v>0</v>
      </c>
      <c r="BE17" s="600" t="n">
        <f aca="false">IF(F17="N",0,C17)</f>
        <v>0</v>
      </c>
      <c r="BF17" s="16" t="n">
        <f aca="false">IF(N17=1,O17*$U$53,0)+IF(N17=2,O17*$U$54,0)+IF(N17=3,O17*$U$55,0)+IF(N17=4,O17*$U$60,0)+IF(N17=5,O17*$U$61,0)+IF(N17=6,O17*$U$62,0)</f>
        <v>0</v>
      </c>
      <c r="BG17" s="16" t="n">
        <f aca="false">IF(P17=1,Q17*$U$53,0)+IF(P17=2,Q17*$U$54,0)+IF(P17=3,Q17*$U$55,0)+IF(P17=4,Q17*$U$60,0)+IF(P17=5,Q17*$U$61,0)+IF(P17=6,Q17*$U$62,0)</f>
        <v>0</v>
      </c>
      <c r="BH17" s="16" t="n">
        <f aca="false">IF(R17=1,S17*$U$53,0)+IF(R17=2,S17*$U$54,0)+IF(R17=3,S17*$U$55,0)+IF(R17=4,S17*$U$60,0)+IF(R17=5,S17*$U$61,0)+IF(R17=6,S17*$U$62,0)</f>
        <v>0</v>
      </c>
      <c r="BI17" s="506"/>
      <c r="BJ17" s="2375" t="n">
        <f aca="false">(AT17*Pricing!F$3+AU17*Pricing!G$3+AV17*Pricing!H$3+AW17*Pricing!I$3+AX17*Pricing!J$3+AY17*Pricing!K$3+AZ17*Pricing!L$3+BA17*Pricing!M$3+BB17*Pricing!M$3+BC17*Pricing!O$3)*IF(T$64="N",(1+V$64),1)</f>
        <v>0</v>
      </c>
      <c r="BK17" s="2096" t="n">
        <f aca="false">T17*F$78*IF(T$64="n",1+V$64,1)</f>
        <v>0</v>
      </c>
      <c r="BL17" s="2096" t="n">
        <f aca="false">IF(BE$50=0,0,IF(F17="y",N$80/BE$50*BE17,0))</f>
        <v>0</v>
      </c>
      <c r="BM17" s="2096" t="n">
        <f aca="false">IF(N$79=0,0,N$79/H$87*C17)</f>
        <v>0</v>
      </c>
      <c r="BN17" s="2376" t="n">
        <f aca="false">(C17*G$87)</f>
        <v>0</v>
      </c>
      <c r="BO17" s="2096" t="n">
        <f aca="false">H17*D$91</f>
        <v>0</v>
      </c>
      <c r="BP17" s="2096" t="n">
        <f aca="false">SUM(BF17:BH17)*D$92</f>
        <v>0</v>
      </c>
      <c r="BQ17" s="2096" t="n">
        <f aca="false">D$93*C17</f>
        <v>0</v>
      </c>
      <c r="BR17" s="2096" t="str">
        <f aca="false">IF(C17="","",(N$95+N$94)/H$87*C17)</f>
        <v/>
      </c>
      <c r="BS17" s="2096" t="n">
        <f aca="false">IF(C17=0,0,(T17/2000*D$96))</f>
        <v>0</v>
      </c>
      <c r="BT17" s="2377" t="str">
        <f aca="false">IF(C17="","",N$97/H$87*C17)</f>
        <v/>
      </c>
      <c r="BU17" s="2096" t="n">
        <f aca="false">IF(C17=0,0,SUM(N$100:O$103)/C$50*C17)</f>
        <v>0</v>
      </c>
      <c r="BV17" s="2096" t="n">
        <f aca="false">IF(C17=0,0,SUM(W$73:W$106)/C$50*C17)+IF(H$87=0,0,(N$84+N$83+N$82)/H$87*C17)</f>
        <v>0</v>
      </c>
      <c r="BW17" s="2096" t="n">
        <f aca="false">IF(C17=0,0,SUM(N$105:O$110)/C$50*C17)</f>
        <v>0</v>
      </c>
      <c r="BX17" s="2096" t="n">
        <f aca="false">IF(C17=0,0,SUM(N$112:O$118)/C$50)*C17</f>
        <v>0</v>
      </c>
      <c r="BY17" s="2096" t="n">
        <f aca="false">IF(C$50=0,0,SUM(W$107:W$118)/C$50*C17)</f>
        <v>0</v>
      </c>
      <c r="BZ17" s="2096" t="n">
        <f aca="false">IF(N$119=0,0,N$119/H$87*C17)</f>
        <v>0</v>
      </c>
      <c r="CA17" s="2096"/>
      <c r="CB17" s="2096" t="n">
        <f aca="false">AG17*F$81*IF(T$64="n",(1+V$64),1)</f>
        <v>0</v>
      </c>
      <c r="CC17" s="2378" t="n">
        <f aca="false">AQ17*F$79*IF(T$64="Y",1,1+V$64)</f>
        <v>0</v>
      </c>
      <c r="CP17" s="16" t="n">
        <f aca="false">A24</f>
        <v>0</v>
      </c>
      <c r="CQ17" s="16" t="n">
        <f aca="false">BF24+BG24+BH24+BH25+BG25+BF25</f>
        <v>0</v>
      </c>
      <c r="CR17" s="1037" t="n">
        <f aca="false">T24</f>
        <v>0</v>
      </c>
      <c r="CS17" s="1037" t="e">
        <f aca="false">H$100/H$87*(C24+C25)</f>
        <v>#DIV/0!</v>
      </c>
      <c r="CT17" s="16" t="n">
        <f aca="false">BE24+BE25</f>
        <v>0</v>
      </c>
    </row>
    <row r="18" customFormat="false" ht="19.5" hidden="false" customHeight="true" outlineLevel="0" collapsed="false">
      <c r="A18" s="507"/>
      <c r="B18" s="1801"/>
      <c r="C18" s="2400"/>
      <c r="D18" s="1508"/>
      <c r="E18" s="2388"/>
      <c r="F18" s="528"/>
      <c r="G18" s="1553"/>
      <c r="H18" s="1235"/>
      <c r="I18" s="528"/>
      <c r="J18" s="895"/>
      <c r="K18" s="528"/>
      <c r="L18" s="895"/>
      <c r="M18" s="2390"/>
      <c r="N18" s="528"/>
      <c r="O18" s="895"/>
      <c r="P18" s="528"/>
      <c r="Q18" s="1527"/>
      <c r="R18" s="2382"/>
      <c r="S18" s="2383"/>
      <c r="T18" s="1515" t="n">
        <f aca="false">SUM(AO18:AP19)</f>
        <v>0</v>
      </c>
      <c r="U18" s="1516" t="n">
        <f aca="false">((((C18*E18/324)+(C19*E19/324))*(1+J$73))+AK18+AK19)</f>
        <v>0</v>
      </c>
      <c r="V18" s="2386" t="n">
        <f aca="false">IF(C18=0,0,W18/(C18+C19))</f>
        <v>0</v>
      </c>
      <c r="W18" s="2184" t="n">
        <f aca="false">(IF(SUM(BJ18:CC19)=0,0,SUM(BJ18:CC19)-BZ18-BZ19))*(1+L$65)</f>
        <v>0</v>
      </c>
      <c r="X18" s="2184"/>
      <c r="Y18" s="1414"/>
      <c r="AH18" s="1142" t="n">
        <f aca="false">IF(N18=1,O18*$Q$53,0)+IF(N18=2,O18*$Q$54,0)+IF(N18=3,O18*$Q$55,0)+IF(N18=4,O18*$Q$60,0)+IF(N18=5,O18*$Q$61,0)+IF(N18=6,O18*$Q$62+IF(N18=7,O18*$Q$54,0)+IF(N18=8,O18*$Q$55,0)+IF(N18=9,O18*$Q$60,0)+IF(N18=10,O18*$Q$61,0),0)</f>
        <v>0</v>
      </c>
      <c r="AI18" s="16" t="n">
        <f aca="false">IF(P18=1,Q18*$Q$53,0)+IF(P18=2,Q18*$Q$54,0)+IF(P18=3,Q18*$Q$55,0)+IF(P18=4,Q18*$Q$60,0)+IF(P18=5,Q18*$Q$61,0)+IF(P18=6,Q18*$Q$62+IF(P18=7,Q18*$Q$54,0)+IF(P18=8,Q18*$Q$55,0)+IF(P18=9,Q18*$Q$60,0)+IF(P18=10,Q18*$Q$61,0),0)</f>
        <v>0</v>
      </c>
      <c r="AJ18" s="16" t="n">
        <f aca="false">IF(R18=1,S18*$Q$53,0)+IF(R18=2,S18*$Q$54,0)+IF(R18=3,S18*$Q$55,0)+IF(R18=4,S18*$Q$60,0)+IF(R18=5,S18*$Q$61,0)+IF(R18=6,S18*$Q$62+IF(R18=7,S18*$Q$54,0)+IF(R18=8,S18*$Q$55,0)+IF(R18=9,S18*$Q$60,0)+IF(R18=10,S18*$Q$61,0),0)</f>
        <v>0</v>
      </c>
      <c r="AK18" s="1116" t="n">
        <f aca="false">SUM(AH18:AJ18)</f>
        <v>0</v>
      </c>
      <c r="AL18" s="16" t="n">
        <f aca="false">ROUNDUP(IF(N18=1,O18*$O$53,0)+IF(N18=2,O18*$O$54,0)+IF(N18=3,O18*$O$55,0)+IF(N18=4,O18*$O$56,0)+IF(N18=5,O18*$O$57,0)+IF(N18=6,O18*$O$58+IF(N18=7,O18*$O$59,0)+IF(N18=8,O18*$O$60,0)+IF(N18=9,O18*$O$61+IF(N18=10,O18*$O$62,0),0),0),0)</f>
        <v>0</v>
      </c>
      <c r="AM18" s="16" t="n">
        <f aca="false">ROUNDUP(IF(P18=1,Q18*$Q$53,0)+IF(P18=2,Q18*$Q$54,0)+IF(P18=3,Q18*$Q$55,0)+IF(P18=4,Q18*$Q$56,0)+IF(P18=5,Q18*$Q$57,0)+IF(P18=6,Q18*$Q$58+IF(P18=7,Q18*$Q$59,0)+IF(P18=8,Q18*$Q$60,0)+IF(P18=9,Q18*$Q$61+IF(P18=10,Q18*$Q$62,0),0),0),0)</f>
        <v>0</v>
      </c>
      <c r="AN18" s="16" t="n">
        <f aca="false">ROUNDUP(IF(R18=1,S18*$S$53,0)+IF(R18=2,S18*$S$54,0)+IF(R18=3,S18*$S$55,0)+IF(R18=4,S18*$S$56,0)+IF(R18=5,S18*$S$57,0)+IF(R18=6,S18*$S$58+IF(R18=7,S18*$S$59,0)+IF(R18=8,S18*$S$60,0)+IF(R18=9,S18*$S$61+IF(R18=10,S18*$S$62,0),0),0),0)</f>
        <v>0</v>
      </c>
      <c r="AO18" s="1142" t="n">
        <f aca="false">SUM(AL18:AN18)*1.12</f>
        <v>0</v>
      </c>
      <c r="AP18" s="2237" t="n">
        <f aca="false">IF(L18=0,0,(L18/12+L18/12)/(L18/12*L18/12)*C18*((K18/16*K18/16)*10.6870159))*(1+J$78)+IF(J18=0,0,(J18/12+J18/12)/(J18/12*J18/12)*C18*((I18/16*I18/16)*10.6870159))*(1+J$78)</f>
        <v>0</v>
      </c>
      <c r="AQ18" s="1142" t="n">
        <f aca="false">M18*(1+J$79)</f>
        <v>0</v>
      </c>
      <c r="AS18" s="16" t="n">
        <f aca="false">IF(M18="y",C18,0)</f>
        <v>0</v>
      </c>
      <c r="AT18" s="1142" t="n">
        <f aca="false">IF($G18=1,$U18,0)</f>
        <v>0</v>
      </c>
      <c r="AU18" s="16" t="n">
        <f aca="false">IF($G18=2,$U18,0)</f>
        <v>0</v>
      </c>
      <c r="AV18" s="16" t="n">
        <f aca="false">IF($G18=3,$U18,0)</f>
        <v>0</v>
      </c>
      <c r="AW18" s="16" t="n">
        <f aca="false">IF($G18=4,$U18,0)</f>
        <v>0</v>
      </c>
      <c r="AX18" s="16" t="n">
        <f aca="false">IF($G18=5,$U18,0)</f>
        <v>0</v>
      </c>
      <c r="AY18" s="16" t="n">
        <f aca="false">IF($G18=6,$U18,0)</f>
        <v>0</v>
      </c>
      <c r="AZ18" s="16" t="n">
        <f aca="false">IF($G18=7,$U18,0)</f>
        <v>0</v>
      </c>
      <c r="BA18" s="16" t="n">
        <f aca="false">IF($G18=8,$U18,0)</f>
        <v>0</v>
      </c>
      <c r="BB18" s="16" t="n">
        <f aca="false">IF($G18=9,$U18,0)</f>
        <v>0</v>
      </c>
      <c r="BC18" s="1116" t="n">
        <f aca="false">IF($G18=10,$U18,0)</f>
        <v>0</v>
      </c>
      <c r="BD18" s="16" t="n">
        <f aca="false">SUM(AT18:AY18)</f>
        <v>0</v>
      </c>
      <c r="BE18" s="600" t="n">
        <f aca="false">IF(F18="N",0,C18)</f>
        <v>0</v>
      </c>
      <c r="BF18" s="16" t="n">
        <f aca="false">IF(N18=1,O18*$U$53,0)+IF(N18=2,O18*$U$54,0)+IF(N18=3,O18*$U$55,0)+IF(N18=4,O18*$U$60,0)+IF(N18=5,O18*$U$61,0)+IF(N18=6,O18*$U$62,0)</f>
        <v>0</v>
      </c>
      <c r="BG18" s="16" t="n">
        <f aca="false">IF(P18=1,Q18*$U$53,0)+IF(P18=2,Q18*$U$54,0)+IF(P18=3,Q18*$U$55,0)+IF(P18=4,Q18*$U$60,0)+IF(P18=5,Q18*$U$61,0)+IF(P18=6,Q18*$U$62,0)</f>
        <v>0</v>
      </c>
      <c r="BH18" s="16" t="n">
        <f aca="false">IF(R18=1,S18*$U$53,0)+IF(R18=2,S18*$U$54,0)+IF(R18=3,S18*$U$55,0)+IF(R18=4,S18*$U$60,0)+IF(R18=5,S18*$U$61,0)+IF(R18=6,S18*$U$62,0)</f>
        <v>0</v>
      </c>
      <c r="BI18" s="506" t="n">
        <f aca="false">SUM(BJ18:CC19)</f>
        <v>0</v>
      </c>
      <c r="BJ18" s="2375" t="n">
        <f aca="false">(AT18*Pricing!F$3+AU18*Pricing!G$3+AV18*Pricing!H$3+AW18*Pricing!I$3+AX18*Pricing!J$3+AY18*Pricing!K$3+AZ18*Pricing!L$3+BA18*Pricing!M$3+BB18*Pricing!M$3+BC18*Pricing!O$3)*IF(T$64="N",(1+V$64),1)</f>
        <v>0</v>
      </c>
      <c r="BK18" s="2096" t="n">
        <f aca="false">T18*F$78*IF(T$64="n",1+V$64,1)</f>
        <v>0</v>
      </c>
      <c r="BL18" s="2096" t="n">
        <f aca="false">IF(BE$50=0,0,IF(F18="y",N$80/BE$50*BE18,0))</f>
        <v>0</v>
      </c>
      <c r="BM18" s="2096" t="n">
        <f aca="false">IF(N$79=0,0,N$79/H$87*C18)</f>
        <v>0</v>
      </c>
      <c r="BN18" s="2376" t="n">
        <f aca="false">(C18*G$87)</f>
        <v>0</v>
      </c>
      <c r="BO18" s="2096" t="n">
        <f aca="false">H18*D$91</f>
        <v>0</v>
      </c>
      <c r="BP18" s="2096" t="n">
        <f aca="false">SUM(BF18:BH18)*D$92</f>
        <v>0</v>
      </c>
      <c r="BQ18" s="2096" t="n">
        <f aca="false">D$93*C18</f>
        <v>0</v>
      </c>
      <c r="BR18" s="2096" t="str">
        <f aca="false">IF(C18="","",(N$95+N$94)/H$87*C18)</f>
        <v/>
      </c>
      <c r="BS18" s="2096" t="n">
        <f aca="false">IF(C18=0,0,(T18/2000*D$96))</f>
        <v>0</v>
      </c>
      <c r="BT18" s="2377" t="str">
        <f aca="false">IF(C18="","",N$97/H$87*C18)</f>
        <v/>
      </c>
      <c r="BU18" s="2096" t="n">
        <f aca="false">IF(C18=0,0,SUM(N$100:O$103)/C$50*C18)</f>
        <v>0</v>
      </c>
      <c r="BV18" s="2096" t="n">
        <f aca="false">IF(C18=0,0,SUM(W$73:W$106)/C$50*C18)+IF(H$87=0,0,(N$84+N$83+N$82)/H$87*C18)</f>
        <v>0</v>
      </c>
      <c r="BW18" s="2096" t="n">
        <f aca="false">IF(C18=0,0,SUM(N$105:O$110)/C$50*C18)</f>
        <v>0</v>
      </c>
      <c r="BX18" s="2096" t="n">
        <f aca="false">IF(C18=0,0,SUM(N$112:O$118)/C$50)*C18</f>
        <v>0</v>
      </c>
      <c r="BY18" s="2096" t="n">
        <f aca="false">IF(C$50=0,0,SUM(W$107:W$118)/C$50*C18)</f>
        <v>0</v>
      </c>
      <c r="BZ18" s="2096" t="n">
        <f aca="false">IF(N$119=0,0,N$119/H$87*C18)</f>
        <v>0</v>
      </c>
      <c r="CA18" s="2096"/>
      <c r="CB18" s="2096" t="n">
        <f aca="false">AG18*F$81*IF(T$64="n",(1+V$64),1)</f>
        <v>0</v>
      </c>
      <c r="CC18" s="2378" t="n">
        <f aca="false">AQ18*F$79*IF(T$64="Y",1,1+V$64)</f>
        <v>0</v>
      </c>
      <c r="CP18" s="16" t="n">
        <f aca="false">A26</f>
        <v>0</v>
      </c>
      <c r="CQ18" s="16" t="n">
        <f aca="false">BF26+BG26+BH26+BH27+BG27+BF27</f>
        <v>0</v>
      </c>
      <c r="CR18" s="1037" t="n">
        <f aca="false">T26</f>
        <v>0</v>
      </c>
      <c r="CS18" s="1037" t="e">
        <f aca="false">H$100/H$87*(C26+C27)</f>
        <v>#DIV/0!</v>
      </c>
      <c r="CT18" s="16" t="n">
        <f aca="false">BE26+BE27</f>
        <v>0</v>
      </c>
    </row>
    <row r="19" customFormat="false" ht="19.5" hidden="false" customHeight="true" outlineLevel="0" collapsed="false">
      <c r="A19" s="507"/>
      <c r="B19" s="1801"/>
      <c r="C19" s="2406"/>
      <c r="D19" s="1552"/>
      <c r="E19" s="2388"/>
      <c r="F19" s="528"/>
      <c r="G19" s="2082"/>
      <c r="H19" s="1235"/>
      <c r="I19" s="528"/>
      <c r="J19" s="895"/>
      <c r="K19" s="528"/>
      <c r="L19" s="895"/>
      <c r="M19" s="2381"/>
      <c r="N19" s="528"/>
      <c r="O19" s="895"/>
      <c r="P19" s="528"/>
      <c r="Q19" s="1582"/>
      <c r="R19" s="2382"/>
      <c r="S19" s="2383"/>
      <c r="T19" s="2384"/>
      <c r="U19" s="2385"/>
      <c r="V19" s="2399"/>
      <c r="W19" s="2184"/>
      <c r="X19" s="2184"/>
      <c r="Y19" s="1414"/>
      <c r="AH19" s="1142" t="n">
        <f aca="false">IF(N19=1,O19*$Q$53,0)+IF(N19=2,O19*$Q$54,0)+IF(N19=3,O19*$Q$55,0)+IF(N19=4,O19*$Q$60,0)+IF(N19=5,O19*$Q$61,0)+IF(N19=6,O19*$Q$62+IF(N19=7,O19*$Q$54,0)+IF(N19=8,O19*$Q$55,0)+IF(N19=9,O19*$Q$60,0)+IF(N19=10,O19*$Q$61,0),0)</f>
        <v>0</v>
      </c>
      <c r="AI19" s="16" t="n">
        <f aca="false">IF(P19=1,Q19*$Q$53,0)+IF(P19=2,Q19*$Q$54,0)+IF(P19=3,Q19*$Q$55,0)+IF(P19=4,Q19*$Q$60,0)+IF(P19=5,Q19*$Q$61,0)+IF(P19=6,Q19*$Q$62+IF(P19=7,Q19*$Q$54,0)+IF(P19=8,Q19*$Q$55,0)+IF(P19=9,Q19*$Q$60,0)+IF(P19=10,Q19*$Q$61,0),0)</f>
        <v>0</v>
      </c>
      <c r="AJ19" s="16" t="n">
        <f aca="false">IF(R19=1,S19*$Q$53,0)+IF(R19=2,S19*$Q$54,0)+IF(R19=3,S19*$Q$55,0)+IF(R19=4,S19*$Q$60,0)+IF(R19=5,S19*$Q$61,0)+IF(R19=6,S19*$Q$62+IF(R19=7,S19*$Q$54,0)+IF(R19=8,S19*$Q$55,0)+IF(R19=9,S19*$Q$60,0)+IF(R19=10,S19*$Q$61,0),0)</f>
        <v>0</v>
      </c>
      <c r="AK19" s="1116" t="n">
        <f aca="false">SUM(AH19:AJ19)</f>
        <v>0</v>
      </c>
      <c r="AL19" s="16" t="n">
        <f aca="false">ROUNDUP(IF(N19=1,O19*$O$53,0)+IF(N19=2,O19*$O$54,0)+IF(N19=3,O19*$O$55,0)+IF(N19=4,O19*$O$56,0)+IF(N19=5,O19*$O$57,0)+IF(N19=6,O19*$O$58+IF(N19=7,O19*$O$59,0)+IF(N19=8,O19*$O$60,0)+IF(N19=9,O19*$O$61+IF(N19=10,O19*$O$62,0),0),0),0)</f>
        <v>0</v>
      </c>
      <c r="AM19" s="16" t="n">
        <f aca="false">ROUNDUP(IF(P19=1,Q19*$Q$53,0)+IF(P19=2,Q19*$Q$54,0)+IF(P19=3,Q19*$Q$55,0)+IF(P19=4,Q19*$Q$56,0)+IF(P19=5,Q19*$Q$57,0)+IF(P19=6,Q19*$Q$58+IF(P19=7,Q19*$Q$59,0)+IF(P19=8,Q19*$Q$60,0)+IF(P19=9,Q19*$Q$61+IF(P19=10,Q19*$Q$62,0),0),0),0)</f>
        <v>0</v>
      </c>
      <c r="AN19" s="16" t="n">
        <f aca="false">ROUNDUP(IF(R19=1,S19*$S$53,0)+IF(R19=2,S19*$S$54,0)+IF(R19=3,S19*$S$55,0)+IF(R19=4,S19*$S$56,0)+IF(R19=5,S19*$S$57,0)+IF(R19=6,S19*$S$58+IF(R19=7,S19*$S$59,0)+IF(R19=8,S19*$S$60,0)+IF(R19=9,S19*$S$61+IF(R19=10,S19*$S$62,0),0),0),0)</f>
        <v>0</v>
      </c>
      <c r="AO19" s="1142" t="n">
        <f aca="false">SUM(AL19:AN19)*1.12</f>
        <v>0</v>
      </c>
      <c r="AP19" s="2237" t="n">
        <f aca="false">IF(L19=0,0,(L19/12+L19/12)/(L19/12*L19/12)*C19*((K19/16*K19/16)*10.6870159))*(1+J$78)+IF(J19=0,0,(J19/12+J19/12)/(J19/12*J19/12)*C19*((I19/16*I19/16)*10.6870159))*(1+J$78)</f>
        <v>0</v>
      </c>
      <c r="AQ19" s="1142" t="n">
        <f aca="false">M19*(1+J$79)</f>
        <v>0</v>
      </c>
      <c r="AS19" s="16" t="n">
        <f aca="false">IF(M19="y",C19,0)</f>
        <v>0</v>
      </c>
      <c r="AT19" s="1142" t="n">
        <f aca="false">IF($G19=1,$U19,0)</f>
        <v>0</v>
      </c>
      <c r="AU19" s="16" t="n">
        <f aca="false">IF($G19=2,$U19,0)</f>
        <v>0</v>
      </c>
      <c r="AV19" s="16" t="n">
        <f aca="false">IF($G19=3,$U19,0)</f>
        <v>0</v>
      </c>
      <c r="AW19" s="16" t="n">
        <f aca="false">IF($G19=4,$U19,0)</f>
        <v>0</v>
      </c>
      <c r="AX19" s="16" t="n">
        <f aca="false">IF($G19=5,$U19,0)</f>
        <v>0</v>
      </c>
      <c r="AY19" s="16" t="n">
        <f aca="false">IF($G19=6,$U19,0)</f>
        <v>0</v>
      </c>
      <c r="AZ19" s="16" t="n">
        <f aca="false">IF($G19=7,$U19,0)</f>
        <v>0</v>
      </c>
      <c r="BA19" s="16" t="n">
        <f aca="false">IF($G19=8,$U19,0)</f>
        <v>0</v>
      </c>
      <c r="BB19" s="16" t="n">
        <f aca="false">IF($G19=9,$U19,0)</f>
        <v>0</v>
      </c>
      <c r="BC19" s="1116" t="n">
        <f aca="false">IF($G19=10,$U19,0)</f>
        <v>0</v>
      </c>
      <c r="BD19" s="16" t="n">
        <f aca="false">SUM(AT19:AY19)</f>
        <v>0</v>
      </c>
      <c r="BE19" s="600" t="n">
        <f aca="false">IF(F19="N",0,C19)</f>
        <v>0</v>
      </c>
      <c r="BF19" s="16" t="n">
        <f aca="false">IF(N19=1,O19*$U$53,0)+IF(N19=2,O19*$U$54,0)+IF(N19=3,O19*$U$55,0)+IF(N19=4,O19*$U$60,0)+IF(N19=5,O19*$U$61,0)+IF(N19=6,O19*$U$62,0)</f>
        <v>0</v>
      </c>
      <c r="BG19" s="16" t="n">
        <f aca="false">IF(P19=1,Q19*$U$53,0)+IF(P19=2,Q19*$U$54,0)+IF(P19=3,Q19*$U$55,0)+IF(P19=4,Q19*$U$60,0)+IF(P19=5,Q19*$U$61,0)+IF(P19=6,Q19*$U$62,0)</f>
        <v>0</v>
      </c>
      <c r="BH19" s="16" t="n">
        <f aca="false">IF(R19=1,S19*$U$53,0)+IF(R19=2,S19*$U$54,0)+IF(R19=3,S19*$U$55,0)+IF(R19=4,S19*$U$60,0)+IF(R19=5,S19*$U$61,0)+IF(R19=6,S19*$U$62,0)</f>
        <v>0</v>
      </c>
      <c r="BI19" s="506"/>
      <c r="BJ19" s="2375" t="n">
        <f aca="false">(AT19*Pricing!F$3+AU19*Pricing!G$3+AV19*Pricing!H$3+AW19*Pricing!I$3+AX19*Pricing!J$3+AY19*Pricing!K$3+AZ19*Pricing!L$3+BA19*Pricing!M$3+BB19*Pricing!M$3+BC19*Pricing!O$3)*IF(T$64="N",(1+V$64),1)</f>
        <v>0</v>
      </c>
      <c r="BK19" s="2096" t="n">
        <f aca="false">T19*F$78*IF(T$64="n",1+V$64,1)</f>
        <v>0</v>
      </c>
      <c r="BL19" s="2096" t="n">
        <f aca="false">IF(BE$50=0,0,IF(F19="y",N$80/BE$50*BE19,0))</f>
        <v>0</v>
      </c>
      <c r="BM19" s="2096" t="n">
        <f aca="false">IF(N$79=0,0,N$79/H$87*C19)</f>
        <v>0</v>
      </c>
      <c r="BN19" s="2376" t="n">
        <f aca="false">(C19*G$87)</f>
        <v>0</v>
      </c>
      <c r="BO19" s="2096" t="n">
        <f aca="false">H19*D$91</f>
        <v>0</v>
      </c>
      <c r="BP19" s="2096" t="n">
        <f aca="false">SUM(BF19:BH19)*D$92</f>
        <v>0</v>
      </c>
      <c r="BQ19" s="2096" t="n">
        <f aca="false">D$93*C19</f>
        <v>0</v>
      </c>
      <c r="BR19" s="2096" t="str">
        <f aca="false">IF(C19="","",(N$95+N$94)/H$87*C19)</f>
        <v/>
      </c>
      <c r="BS19" s="2096" t="n">
        <f aca="false">IF(C19=0,0,(T19/2000*D$96))</f>
        <v>0</v>
      </c>
      <c r="BT19" s="2377" t="str">
        <f aca="false">IF(C19="","",N$97/H$87*C19)</f>
        <v/>
      </c>
      <c r="BU19" s="2096" t="n">
        <f aca="false">IF(C19=0,0,SUM(N$100:O$103)/C$50*C19)</f>
        <v>0</v>
      </c>
      <c r="BV19" s="2096" t="n">
        <f aca="false">IF(C19=0,0,SUM(W$73:W$106)/C$50*C19)+IF(H$87=0,0,(N$84+N$83+N$82)/H$87*C19)</f>
        <v>0</v>
      </c>
      <c r="BW19" s="2096" t="n">
        <f aca="false">IF(C19=0,0,SUM(N$105:O$110)/C$50*C19)</f>
        <v>0</v>
      </c>
      <c r="BX19" s="2096" t="n">
        <f aca="false">IF(C19=0,0,SUM(N$112:O$118)/C$50)*C19</f>
        <v>0</v>
      </c>
      <c r="BY19" s="2096" t="n">
        <f aca="false">IF(C$50=0,0,SUM(W$107:W$118)/C$50*C19)</f>
        <v>0</v>
      </c>
      <c r="BZ19" s="2096" t="n">
        <f aca="false">IF(N$119=0,0,N$119/H$87*C19)</f>
        <v>0</v>
      </c>
      <c r="CA19" s="2096"/>
      <c r="CB19" s="2096" t="n">
        <f aca="false">AG19*F$81*IF(T$64="n",(1+V$64),1)</f>
        <v>0</v>
      </c>
      <c r="CC19" s="2378" t="n">
        <f aca="false">AQ19*F$79*IF(T$64="Y",1,1+V$64)</f>
        <v>0</v>
      </c>
      <c r="CP19" s="16" t="n">
        <f aca="false">A28</f>
        <v>0</v>
      </c>
      <c r="CQ19" s="16" t="n">
        <f aca="false">BF28+BG28+BH28+BH29+BG29+BF29</f>
        <v>0</v>
      </c>
      <c r="CR19" s="1037" t="n">
        <f aca="false">T28</f>
        <v>0</v>
      </c>
      <c r="CS19" s="1037" t="e">
        <f aca="false">H$100/H$87*(C28+C29)</f>
        <v>#DIV/0!</v>
      </c>
      <c r="CT19" s="16" t="n">
        <f aca="false">BE28+BE29</f>
        <v>0</v>
      </c>
    </row>
    <row r="20" customFormat="false" ht="19.5" hidden="false" customHeight="true" outlineLevel="0" collapsed="false">
      <c r="A20" s="2402"/>
      <c r="B20" s="2403"/>
      <c r="C20" s="2407"/>
      <c r="D20" s="1508"/>
      <c r="E20" s="1356"/>
      <c r="F20" s="1511"/>
      <c r="G20" s="1553"/>
      <c r="H20" s="2389"/>
      <c r="I20" s="1511"/>
      <c r="J20" s="1512"/>
      <c r="K20" s="1511"/>
      <c r="L20" s="1512"/>
      <c r="M20" s="2408"/>
      <c r="N20" s="1511"/>
      <c r="O20" s="1512"/>
      <c r="P20" s="1511"/>
      <c r="Q20" s="2391"/>
      <c r="R20" s="2392"/>
      <c r="S20" s="2393"/>
      <c r="T20" s="1515" t="n">
        <f aca="false">SUM(AO20:AP21)</f>
        <v>0</v>
      </c>
      <c r="U20" s="1516" t="n">
        <f aca="false">((((C20*E20/324)+(C21*E21/324))*(1+J$73))+AK20+AK21)</f>
        <v>0</v>
      </c>
      <c r="V20" s="2386" t="n">
        <f aca="false">IF(C20=0,0,W20/(C20+C21))</f>
        <v>0</v>
      </c>
      <c r="W20" s="2184" t="n">
        <f aca="false">(IF(SUM(BJ20:CC21)=0,0,SUM(BJ20:CC21)-BZ20-BZ21))*(1+L$65)</f>
        <v>0</v>
      </c>
      <c r="X20" s="2184"/>
      <c r="Y20" s="1414"/>
      <c r="AH20" s="1142" t="n">
        <f aca="false">IF(N20=1,O20*$Q$53,0)+IF(N20=2,O20*$Q$54,0)+IF(N20=3,O20*$Q$55,0)+IF(N20=4,O20*$Q$60,0)+IF(N20=5,O20*$Q$61,0)+IF(N20=6,O20*$Q$62+IF(N20=7,O20*$Q$54,0)+IF(N20=8,O20*$Q$55,0)+IF(N20=9,O20*$Q$60,0)+IF(N20=10,O20*$Q$61,0),0)</f>
        <v>0</v>
      </c>
      <c r="AI20" s="16" t="n">
        <f aca="false">IF(P20=1,Q20*$Q$53,0)+IF(P20=2,Q20*$Q$54,0)+IF(P20=3,Q20*$Q$55,0)+IF(P20=4,Q20*$Q$60,0)+IF(P20=5,Q20*$Q$61,0)+IF(P20=6,Q20*$Q$62+IF(P20=7,Q20*$Q$54,0)+IF(P20=8,Q20*$Q$55,0)+IF(P20=9,Q20*$Q$60,0)+IF(P20=10,Q20*$Q$61,0),0)</f>
        <v>0</v>
      </c>
      <c r="AJ20" s="16" t="n">
        <f aca="false">IF(R20=1,S20*$Q$53,0)+IF(R20=2,S20*$Q$54,0)+IF(R20=3,S20*$Q$55,0)+IF(R20=4,S20*$Q$60,0)+IF(R20=5,S20*$Q$61,0)+IF(R20=6,S20*$Q$62+IF(R20=7,S20*$Q$54,0)+IF(R20=8,S20*$Q$55,0)+IF(R20=9,S20*$Q$60,0)+IF(R20=10,S20*$Q$61,0),0)</f>
        <v>0</v>
      </c>
      <c r="AK20" s="1116" t="n">
        <f aca="false">SUM(AH20:AJ20)</f>
        <v>0</v>
      </c>
      <c r="AL20" s="16" t="n">
        <f aca="false">ROUNDUP(IF(N20=1,O20*$O$53,0)+IF(N20=2,O20*$O$54,0)+IF(N20=3,O20*$O$55,0)+IF(N20=4,O20*$O$56,0)+IF(N20=5,O20*$O$57,0)+IF(N20=6,O20*$O$58+IF(N20=7,O20*$O$59,0)+IF(N20=8,O20*$O$60,0)+IF(N20=9,O20*$O$61+IF(N20=10,O20*$O$62,0),0),0),0)</f>
        <v>0</v>
      </c>
      <c r="AM20" s="16" t="n">
        <f aca="false">ROUNDUP(IF(P20=1,Q20*$Q$53,0)+IF(P20=2,Q20*$Q$54,0)+IF(P20=3,Q20*$Q$55,0)+IF(P20=4,Q20*$Q$56,0)+IF(P20=5,Q20*$Q$57,0)+IF(P20=6,Q20*$Q$58+IF(P20=7,Q20*$Q$59,0)+IF(P20=8,Q20*$Q$60,0)+IF(P20=9,Q20*$Q$61+IF(P20=10,Q20*$Q$62,0),0),0),0)</f>
        <v>0</v>
      </c>
      <c r="AN20" s="16" t="n">
        <f aca="false">ROUNDUP(IF(R20=1,S20*$S$53,0)+IF(R20=2,S20*$S$54,0)+IF(R20=3,S20*$S$55,0)+IF(R20=4,S20*$S$56,0)+IF(R20=5,S20*$S$57,0)+IF(R20=6,S20*$S$58+IF(R20=7,S20*$S$59,0)+IF(R20=8,S20*$S$60,0)+IF(R20=9,S20*$S$61+IF(R20=10,S20*$S$62,0),0),0),0)</f>
        <v>0</v>
      </c>
      <c r="AO20" s="1142" t="n">
        <f aca="false">SUM(AL20:AN20)*1.12</f>
        <v>0</v>
      </c>
      <c r="AP20" s="2237" t="n">
        <f aca="false">IF(L20=0,0,(L20/12+L20/12)/(L20/12*L20/12)*C20*((K20/16*K20/16)*10.6870159))*(1+J$78)+IF(J20=0,0,(J20/12+J20/12)/(J20/12*J20/12)*C20*((I20/16*I20/16)*10.6870159))*(1+J$78)</f>
        <v>0</v>
      </c>
      <c r="AQ20" s="1142" t="n">
        <f aca="false">M20*(1+J$79)</f>
        <v>0</v>
      </c>
      <c r="AS20" s="16" t="n">
        <f aca="false">IF(M20="y",C20,0)</f>
        <v>0</v>
      </c>
      <c r="AT20" s="1142" t="n">
        <f aca="false">IF($G20=1,$U20,0)</f>
        <v>0</v>
      </c>
      <c r="AU20" s="16" t="n">
        <f aca="false">IF($G20=2,$U20,0)</f>
        <v>0</v>
      </c>
      <c r="AV20" s="16" t="n">
        <f aca="false">IF($G20=3,$U20,0)</f>
        <v>0</v>
      </c>
      <c r="AW20" s="16" t="n">
        <f aca="false">IF($G20=4,$U20,0)</f>
        <v>0</v>
      </c>
      <c r="AX20" s="16" t="n">
        <f aca="false">IF($G20=5,$U20,0)</f>
        <v>0</v>
      </c>
      <c r="AY20" s="16" t="n">
        <f aca="false">IF($G20=6,$U20,0)</f>
        <v>0</v>
      </c>
      <c r="AZ20" s="16" t="n">
        <f aca="false">IF($G20=7,$U20,0)</f>
        <v>0</v>
      </c>
      <c r="BA20" s="16" t="n">
        <f aca="false">IF($G20=8,$U20,0)</f>
        <v>0</v>
      </c>
      <c r="BB20" s="16" t="n">
        <f aca="false">IF($G20=9,$U20,0)</f>
        <v>0</v>
      </c>
      <c r="BC20" s="1116" t="n">
        <f aca="false">IF($G20=10,$U20,0)</f>
        <v>0</v>
      </c>
      <c r="BD20" s="16" t="n">
        <f aca="false">SUM(AT20:AY20)</f>
        <v>0</v>
      </c>
      <c r="BE20" s="600" t="n">
        <f aca="false">IF(F20="N",0,C20)</f>
        <v>0</v>
      </c>
      <c r="BF20" s="16" t="n">
        <f aca="false">IF(N20=1,O20*$U$53,0)+IF(N20=2,O20*$U$54,0)+IF(N20=3,O20*$U$55,0)+IF(N20=4,O20*$U$60,0)+IF(N20=5,O20*$U$61,0)+IF(N20=6,O20*$U$62,0)</f>
        <v>0</v>
      </c>
      <c r="BG20" s="16" t="n">
        <f aca="false">IF(P20=1,Q20*$U$53,0)+IF(P20=2,Q20*$U$54,0)+IF(P20=3,Q20*$U$55,0)+IF(P20=4,Q20*$U$60,0)+IF(P20=5,Q20*$U$61,0)+IF(P20=6,Q20*$U$62,0)</f>
        <v>0</v>
      </c>
      <c r="BH20" s="16" t="n">
        <f aca="false">IF(R20=1,S20*$U$53,0)+IF(R20=2,S20*$U$54,0)+IF(R20=3,S20*$U$55,0)+IF(R20=4,S20*$U$60,0)+IF(R20=5,S20*$U$61,0)+IF(R20=6,S20*$U$62,0)</f>
        <v>0</v>
      </c>
      <c r="BI20" s="506" t="n">
        <f aca="false">SUM(BJ20:CC21)</f>
        <v>0</v>
      </c>
      <c r="BJ20" s="2375" t="n">
        <f aca="false">(AT20*Pricing!F$3+AU20*Pricing!G$3+AV20*Pricing!H$3+AW20*Pricing!I$3+AX20*Pricing!J$3+AY20*Pricing!K$3+AZ20*Pricing!L$3+BA20*Pricing!M$3+BB20*Pricing!M$3+BC20*Pricing!O$3)*IF(T$64="N",(1+V$64),1)</f>
        <v>0</v>
      </c>
      <c r="BK20" s="2096" t="n">
        <f aca="false">T20*F$78*IF(T$64="n",1+V$64,1)</f>
        <v>0</v>
      </c>
      <c r="BL20" s="2096" t="n">
        <f aca="false">IF(BE$50=0,0,IF(F20="y",N$80/BE$50*BE20,0))</f>
        <v>0</v>
      </c>
      <c r="BM20" s="2096" t="n">
        <f aca="false">IF(N$79=0,0,N$79/H$87*C20)</f>
        <v>0</v>
      </c>
      <c r="BN20" s="2376" t="n">
        <f aca="false">(C20*G$87)</f>
        <v>0</v>
      </c>
      <c r="BO20" s="2096" t="n">
        <f aca="false">H20*D$91</f>
        <v>0</v>
      </c>
      <c r="BP20" s="2096" t="n">
        <f aca="false">SUM(BF20:BH20)*D$92</f>
        <v>0</v>
      </c>
      <c r="BQ20" s="2096" t="n">
        <f aca="false">D$93*C20</f>
        <v>0</v>
      </c>
      <c r="BR20" s="2096" t="str">
        <f aca="false">IF(C20="","",(N$95+N$94)/H$87*C20)</f>
        <v/>
      </c>
      <c r="BS20" s="2096" t="n">
        <f aca="false">IF(C20=0,0,(T20/2000*D$96))</f>
        <v>0</v>
      </c>
      <c r="BT20" s="2377" t="str">
        <f aca="false">IF(C20="","",N$97/H$87*C20)</f>
        <v/>
      </c>
      <c r="BU20" s="2096" t="n">
        <f aca="false">IF(C20=0,0,SUM(N$100:O$103)/C$50*C20)</f>
        <v>0</v>
      </c>
      <c r="BV20" s="2096" t="n">
        <f aca="false">IF(C20=0,0,SUM(W$73:W$106)/C$50*C20)+IF(H$87=0,0,(N$84+N$83+N$82)/H$87*C20)</f>
        <v>0</v>
      </c>
      <c r="BW20" s="2096" t="n">
        <f aca="false">IF(C20=0,0,SUM(N$105:O$110)/C$50*C20)</f>
        <v>0</v>
      </c>
      <c r="BX20" s="2096" t="n">
        <f aca="false">IF(C20=0,0,SUM(N$112:O$118)/C$50)*C20</f>
        <v>0</v>
      </c>
      <c r="BY20" s="2096" t="n">
        <f aca="false">IF(C$50=0,0,SUM(W$107:W$118)/C$50*C20)</f>
        <v>0</v>
      </c>
      <c r="BZ20" s="2096" t="n">
        <f aca="false">IF(N$119=0,0,N$119/H$87*C20)</f>
        <v>0</v>
      </c>
      <c r="CA20" s="2096"/>
      <c r="CB20" s="2096" t="n">
        <f aca="false">AG20*F$81*IF(T$64="n",(1+V$64),1)</f>
        <v>0</v>
      </c>
      <c r="CC20" s="2378" t="n">
        <f aca="false">AQ20*F$79*IF(T$64="Y",1,1+V$64)</f>
        <v>0</v>
      </c>
      <c r="CP20" s="16" t="n">
        <f aca="false">A30</f>
        <v>0</v>
      </c>
      <c r="CQ20" s="16" t="n">
        <f aca="false">BF30+BG30+BH30+BH31+BG31+BF31</f>
        <v>0</v>
      </c>
      <c r="CR20" s="1037" t="n">
        <f aca="false">T30</f>
        <v>0</v>
      </c>
      <c r="CS20" s="1037" t="e">
        <f aca="false">H$100/H$87*(C30+C31)</f>
        <v>#DIV/0!</v>
      </c>
      <c r="CT20" s="16" t="n">
        <f aca="false">BE30+BE31</f>
        <v>0</v>
      </c>
    </row>
    <row r="21" customFormat="false" ht="19.5" hidden="false" customHeight="true" outlineLevel="0" collapsed="false">
      <c r="A21" s="2379"/>
      <c r="B21" s="2405"/>
      <c r="C21" s="2406"/>
      <c r="D21" s="1552"/>
      <c r="E21" s="1352"/>
      <c r="F21" s="1559"/>
      <c r="G21" s="1509"/>
      <c r="H21" s="2396"/>
      <c r="I21" s="1559"/>
      <c r="J21" s="1556"/>
      <c r="K21" s="1559"/>
      <c r="L21" s="1556"/>
      <c r="M21" s="2381"/>
      <c r="N21" s="1559"/>
      <c r="O21" s="1556"/>
      <c r="P21" s="1559"/>
      <c r="Q21" s="1581"/>
      <c r="R21" s="2397"/>
      <c r="S21" s="2398"/>
      <c r="T21" s="2384"/>
      <c r="U21" s="2385"/>
      <c r="V21" s="2399"/>
      <c r="W21" s="2184"/>
      <c r="X21" s="2184"/>
      <c r="Y21" s="1414"/>
      <c r="AH21" s="1142" t="n">
        <f aca="false">IF(N21=1,O21*$Q$53,0)+IF(N21=2,O21*$Q$54,0)+IF(N21=3,O21*$Q$55,0)+IF(N21=4,O21*$Q$60,0)+IF(N21=5,O21*$Q$61,0)+IF(N21=6,O21*$Q$62+IF(N21=7,O21*$Q$54,0)+IF(N21=8,O21*$Q$55,0)+IF(N21=9,O21*$Q$60,0)+IF(N21=10,O21*$Q$61,0),0)</f>
        <v>0</v>
      </c>
      <c r="AI21" s="16" t="n">
        <f aca="false">IF(P21=1,Q21*$Q$53,0)+IF(P21=2,Q21*$Q$54,0)+IF(P21=3,Q21*$Q$55,0)+IF(P21=4,Q21*$Q$60,0)+IF(P21=5,Q21*$Q$61,0)+IF(P21=6,Q21*$Q$62+IF(P21=7,Q21*$Q$54,0)+IF(P21=8,Q21*$Q$55,0)+IF(P21=9,Q21*$Q$60,0)+IF(P21=10,Q21*$Q$61,0),0)</f>
        <v>0</v>
      </c>
      <c r="AJ21" s="16" t="n">
        <f aca="false">IF(R21=1,S21*$Q$53,0)+IF(R21=2,S21*$Q$54,0)+IF(R21=3,S21*$Q$55,0)+IF(R21=4,S21*$Q$60,0)+IF(R21=5,S21*$Q$61,0)+IF(R21=6,S21*$Q$62+IF(R21=7,S21*$Q$54,0)+IF(R21=8,S21*$Q$55,0)+IF(R21=9,S21*$Q$60,0)+IF(R21=10,S21*$Q$61,0),0)</f>
        <v>0</v>
      </c>
      <c r="AK21" s="1116" t="n">
        <f aca="false">SUM(AH21:AJ21)</f>
        <v>0</v>
      </c>
      <c r="AL21" s="16" t="n">
        <f aca="false">ROUNDUP(IF(N21=1,O21*$O$53,0)+IF(N21=2,O21*$O$54,0)+IF(N21=3,O21*$O$55,0)+IF(N21=4,O21*$O$56,0)+IF(N21=5,O21*$O$57,0)+IF(N21=6,O21*$O$58+IF(N21=7,O21*$O$59,0)+IF(N21=8,O21*$O$60,0)+IF(N21=9,O21*$O$61+IF(N21=10,O21*$O$62,0),0),0),0)</f>
        <v>0</v>
      </c>
      <c r="AM21" s="16" t="n">
        <f aca="false">ROUNDUP(IF(P21=1,Q21*$Q$53,0)+IF(P21=2,Q21*$Q$54,0)+IF(P21=3,Q21*$Q$55,0)+IF(P21=4,Q21*$Q$56,0)+IF(P21=5,Q21*$Q$57,0)+IF(P21=6,Q21*$Q$58+IF(P21=7,Q21*$Q$59,0)+IF(P21=8,Q21*$Q$60,0)+IF(P21=9,Q21*$Q$61+IF(P21=10,Q21*$Q$62,0),0),0),0)</f>
        <v>0</v>
      </c>
      <c r="AN21" s="16" t="n">
        <f aca="false">ROUNDUP(IF(R21=1,S21*$S$53,0)+IF(R21=2,S21*$S$54,0)+IF(R21=3,S21*$S$55,0)+IF(R21=4,S21*$S$56,0)+IF(R21=5,S21*$S$57,0)+IF(R21=6,S21*$S$58+IF(R21=7,S21*$S$59,0)+IF(R21=8,S21*$S$60,0)+IF(R21=9,S21*$S$61+IF(R21=10,S21*$S$62,0),0),0),0)</f>
        <v>0</v>
      </c>
      <c r="AO21" s="1142" t="n">
        <f aca="false">SUM(AL21:AN21)*1.12</f>
        <v>0</v>
      </c>
      <c r="AP21" s="2237" t="n">
        <f aca="false">IF(L21=0,0,(L21/12+L21/12)/(L21/12*L21/12)*C21*((K21/16*K21/16)*10.6870159))*(1+J$78)+IF(J21=0,0,(J21/12+J21/12)/(J21/12*J21/12)*C21*((I21/16*I21/16)*10.6870159))*(1+J$78)</f>
        <v>0</v>
      </c>
      <c r="AQ21" s="1142" t="n">
        <f aca="false">M21*(1+J$79)</f>
        <v>0</v>
      </c>
      <c r="AS21" s="16" t="n">
        <f aca="false">IF(M21="y",C21,0)</f>
        <v>0</v>
      </c>
      <c r="AT21" s="1142" t="n">
        <f aca="false">IF($G21=1,$U21,0)</f>
        <v>0</v>
      </c>
      <c r="AU21" s="16" t="n">
        <f aca="false">IF($G21=2,$U21,0)</f>
        <v>0</v>
      </c>
      <c r="AV21" s="16" t="n">
        <f aca="false">IF($G21=3,$U21,0)</f>
        <v>0</v>
      </c>
      <c r="AW21" s="16" t="n">
        <f aca="false">IF($G21=4,$U21,0)</f>
        <v>0</v>
      </c>
      <c r="AX21" s="16" t="n">
        <f aca="false">IF($G21=5,$U21,0)</f>
        <v>0</v>
      </c>
      <c r="AY21" s="16" t="n">
        <f aca="false">IF($G21=6,$U21,0)</f>
        <v>0</v>
      </c>
      <c r="AZ21" s="16" t="n">
        <f aca="false">IF($G21=7,$U21,0)</f>
        <v>0</v>
      </c>
      <c r="BA21" s="16" t="n">
        <f aca="false">IF($G21=8,$U21,0)</f>
        <v>0</v>
      </c>
      <c r="BB21" s="16" t="n">
        <f aca="false">IF($G21=9,$U21,0)</f>
        <v>0</v>
      </c>
      <c r="BC21" s="1116" t="n">
        <f aca="false">IF($G21=10,$U21,0)</f>
        <v>0</v>
      </c>
      <c r="BD21" s="16" t="n">
        <f aca="false">SUM(AT21:AY21)</f>
        <v>0</v>
      </c>
      <c r="BE21" s="600" t="n">
        <f aca="false">IF(F21="N",0,C21)</f>
        <v>0</v>
      </c>
      <c r="BF21" s="16" t="n">
        <f aca="false">IF(N21=1,O21*$U$53,0)+IF(N21=2,O21*$U$54,0)+IF(N21=3,O21*$U$55,0)+IF(N21=4,O21*$U$60,0)+IF(N21=5,O21*$U$61,0)+IF(N21=6,O21*$U$62,0)</f>
        <v>0</v>
      </c>
      <c r="BG21" s="16" t="n">
        <f aca="false">IF(P21=1,Q21*$U$53,0)+IF(P21=2,Q21*$U$54,0)+IF(P21=3,Q21*$U$55,0)+IF(P21=4,Q21*$U$60,0)+IF(P21=5,Q21*$U$61,0)+IF(P21=6,Q21*$U$62,0)</f>
        <v>0</v>
      </c>
      <c r="BH21" s="16" t="n">
        <f aca="false">IF(R21=1,S21*$U$53,0)+IF(R21=2,S21*$U$54,0)+IF(R21=3,S21*$U$55,0)+IF(R21=4,S21*$U$60,0)+IF(R21=5,S21*$U$61,0)+IF(R21=6,S21*$U$62,0)</f>
        <v>0</v>
      </c>
      <c r="BI21" s="506"/>
      <c r="BJ21" s="2375" t="n">
        <f aca="false">(AT21*Pricing!F$3+AU21*Pricing!G$3+AV21*Pricing!H$3+AW21*Pricing!I$3+AX21*Pricing!J$3+AY21*Pricing!K$3+AZ21*Pricing!L$3+BA21*Pricing!M$3+BB21*Pricing!M$3+BC21*Pricing!O$3)*IF(T$64="N",(1+V$64),1)</f>
        <v>0</v>
      </c>
      <c r="BK21" s="2096" t="n">
        <f aca="false">T21*F$78*IF(T$64="n",1+V$64,1)</f>
        <v>0</v>
      </c>
      <c r="BL21" s="2096" t="n">
        <f aca="false">IF(BE$50=0,0,IF(F21="y",N$80/BE$50*BE21,0))</f>
        <v>0</v>
      </c>
      <c r="BM21" s="2096" t="n">
        <f aca="false">IF(N$79=0,0,N$79/H$87*C21)</f>
        <v>0</v>
      </c>
      <c r="BN21" s="2376" t="n">
        <f aca="false">(C21*G$87)</f>
        <v>0</v>
      </c>
      <c r="BO21" s="2096" t="n">
        <f aca="false">H21*D$91</f>
        <v>0</v>
      </c>
      <c r="BP21" s="2096" t="n">
        <f aca="false">SUM(BF21:BH21)*D$92</f>
        <v>0</v>
      </c>
      <c r="BQ21" s="2096" t="n">
        <f aca="false">D$93*C21</f>
        <v>0</v>
      </c>
      <c r="BR21" s="2096" t="str">
        <f aca="false">IF(C21="","",(N$95+N$94)/H$87*C21)</f>
        <v/>
      </c>
      <c r="BS21" s="2096" t="n">
        <f aca="false">IF(C21=0,0,(T21/2000*D$96))</f>
        <v>0</v>
      </c>
      <c r="BT21" s="2377" t="str">
        <f aca="false">IF(C21="","",N$97/H$87*C21)</f>
        <v/>
      </c>
      <c r="BU21" s="2096" t="n">
        <f aca="false">IF(C21=0,0,SUM(N$100:O$103)/C$50*C21)</f>
        <v>0</v>
      </c>
      <c r="BV21" s="2096" t="n">
        <f aca="false">IF(C21=0,0,SUM(W$73:W$106)/C$50*C21)+IF(H$87=0,0,(N$84+N$83+N$82)/H$87*C21)</f>
        <v>0</v>
      </c>
      <c r="BW21" s="2096" t="n">
        <f aca="false">IF(C21=0,0,SUM(N$105:O$110)/C$50*C21)</f>
        <v>0</v>
      </c>
      <c r="BX21" s="2096" t="n">
        <f aca="false">IF(C21=0,0,SUM(N$112:O$118)/C$50)*C21</f>
        <v>0</v>
      </c>
      <c r="BY21" s="2096" t="n">
        <f aca="false">IF(C$50=0,0,SUM(W$107:W$118)/C$50*C21)</f>
        <v>0</v>
      </c>
      <c r="BZ21" s="2096" t="n">
        <f aca="false">IF(N$119=0,0,N$119/H$87*C21)</f>
        <v>0</v>
      </c>
      <c r="CA21" s="2096"/>
      <c r="CB21" s="2096" t="n">
        <f aca="false">AG21*F$81*IF(T$64="n",(1+V$64),1)</f>
        <v>0</v>
      </c>
      <c r="CC21" s="2378" t="n">
        <f aca="false">AQ21*F$79*IF(T$64="Y",1,1+V$64)</f>
        <v>0</v>
      </c>
      <c r="CP21" s="16" t="n">
        <f aca="false">A32</f>
        <v>0</v>
      </c>
      <c r="CQ21" s="16" t="n">
        <f aca="false">BF32+BG32+BH32+BH33+BG33+BF33</f>
        <v>0</v>
      </c>
      <c r="CR21" s="1037" t="n">
        <f aca="false">T32</f>
        <v>0</v>
      </c>
      <c r="CS21" s="1037" t="e">
        <f aca="false">H$100/H$87*(C32+C33)</f>
        <v>#DIV/0!</v>
      </c>
      <c r="CT21" s="16" t="n">
        <f aca="false">BE32+BE33</f>
        <v>0</v>
      </c>
    </row>
    <row r="22" customFormat="false" ht="19.5" hidden="false" customHeight="true" outlineLevel="0" collapsed="false">
      <c r="A22" s="507"/>
      <c r="B22" s="1801"/>
      <c r="C22" s="2407"/>
      <c r="D22" s="1508"/>
      <c r="E22" s="2388"/>
      <c r="F22" s="528"/>
      <c r="G22" s="1553"/>
      <c r="H22" s="1235"/>
      <c r="I22" s="528"/>
      <c r="J22" s="895"/>
      <c r="K22" s="528"/>
      <c r="L22" s="895"/>
      <c r="M22" s="2390"/>
      <c r="N22" s="528"/>
      <c r="O22" s="895"/>
      <c r="P22" s="528"/>
      <c r="Q22" s="1582"/>
      <c r="R22" s="2382"/>
      <c r="S22" s="2383"/>
      <c r="T22" s="1515" t="n">
        <f aca="false">SUM(AO22:AP23)</f>
        <v>0</v>
      </c>
      <c r="U22" s="1516" t="n">
        <f aca="false">((((C22*E22/324)+(C23*E23/324))*(1+J$73))+AK22+AK23)</f>
        <v>0</v>
      </c>
      <c r="V22" s="2386" t="n">
        <f aca="false">IF(C22=0,0,W22/(C22+C23))</f>
        <v>0</v>
      </c>
      <c r="W22" s="2184" t="n">
        <f aca="false">(IF(SUM(BJ22:CC23)=0,0,SUM(BJ22:CC23)-BZ22-BZ23))*(1+L$65)</f>
        <v>0</v>
      </c>
      <c r="X22" s="2184"/>
      <c r="Y22" s="1414"/>
      <c r="AH22" s="1142" t="n">
        <f aca="false">IF(N22=1,O22*$Q$53,0)+IF(N22=2,O22*$Q$54,0)+IF(N22=3,O22*$Q$55,0)+IF(N22=4,O22*$Q$60,0)+IF(N22=5,O22*$Q$61,0)+IF(N22=6,O22*$Q$62+IF(N22=7,O22*$Q$54,0)+IF(N22=8,O22*$Q$55,0)+IF(N22=9,O22*$Q$60,0)+IF(N22=10,O22*$Q$61,0),0)</f>
        <v>0</v>
      </c>
      <c r="AI22" s="16" t="n">
        <f aca="false">IF(P22=1,Q22*$Q$53,0)+IF(P22=2,Q22*$Q$54,0)+IF(P22=3,Q22*$Q$55,0)+IF(P22=4,Q22*$Q$60,0)+IF(P22=5,Q22*$Q$61,0)+IF(P22=6,Q22*$Q$62+IF(P22=7,Q22*$Q$54,0)+IF(P22=8,Q22*$Q$55,0)+IF(P22=9,Q22*$Q$60,0)+IF(P22=10,Q22*$Q$61,0),0)</f>
        <v>0</v>
      </c>
      <c r="AJ22" s="16" t="n">
        <f aca="false">IF(R22=1,S22*$Q$53,0)+IF(R22=2,S22*$Q$54,0)+IF(R22=3,S22*$Q$55,0)+IF(R22=4,S22*$Q$60,0)+IF(R22=5,S22*$Q$61,0)+IF(R22=6,S22*$Q$62+IF(R22=7,S22*$Q$54,0)+IF(R22=8,S22*$Q$55,0)+IF(R22=9,S22*$Q$60,0)+IF(R22=10,S22*$Q$61,0),0)</f>
        <v>0</v>
      </c>
      <c r="AK22" s="1116" t="n">
        <f aca="false">SUM(AH22:AJ22)</f>
        <v>0</v>
      </c>
      <c r="AL22" s="16" t="n">
        <f aca="false">ROUNDUP(IF(N22=1,O22*$O$53,0)+IF(N22=2,O22*$O$54,0)+IF(N22=3,O22*$O$55,0)+IF(N22=4,O22*$O$56,0)+IF(N22=5,O22*$O$57,0)+IF(N22=6,O22*$O$58+IF(N22=7,O22*$O$59,0)+IF(N22=8,O22*$O$60,0)+IF(N22=9,O22*$O$61+IF(N22=10,O22*$O$62,0),0),0),0)</f>
        <v>0</v>
      </c>
      <c r="AM22" s="16" t="n">
        <f aca="false">ROUNDUP(IF(P22=1,Q22*$Q$53,0)+IF(P22=2,Q22*$Q$54,0)+IF(P22=3,Q22*$Q$55,0)+IF(P22=4,Q22*$Q$56,0)+IF(P22=5,Q22*$Q$57,0)+IF(P22=6,Q22*$Q$58+IF(P22=7,Q22*$Q$59,0)+IF(P22=8,Q22*$Q$60,0)+IF(P22=9,Q22*$Q$61+IF(P22=10,Q22*$Q$62,0),0),0),0)</f>
        <v>0</v>
      </c>
      <c r="AN22" s="16" t="n">
        <f aca="false">ROUNDUP(IF(R22=1,S22*$S$53,0)+IF(R22=2,S22*$S$54,0)+IF(R22=3,S22*$S$55,0)+IF(R22=4,S22*$S$56,0)+IF(R22=5,S22*$S$57,0)+IF(R22=6,S22*$S$58+IF(R22=7,S22*$S$59,0)+IF(R22=8,S22*$S$60,0)+IF(R22=9,S22*$S$61+IF(R22=10,S22*$S$62,0),0),0),0)</f>
        <v>0</v>
      </c>
      <c r="AO22" s="1142" t="n">
        <f aca="false">SUM(AL22:AN22)*1.12</f>
        <v>0</v>
      </c>
      <c r="AP22" s="2237" t="n">
        <f aca="false">IF(L22=0,0,(L22/12+L22/12)/(L22/12*L22/12)*C22*((K22/16*K22/16)*10.6870159))*(1+J$78)+IF(J22=0,0,(J22/12+J22/12)/(J22/12*J22/12)*C22*((I22/16*I22/16)*10.6870159))*(1+J$78)</f>
        <v>0</v>
      </c>
      <c r="AQ22" s="1142" t="n">
        <f aca="false">M22*(1+J$79)</f>
        <v>0</v>
      </c>
      <c r="AS22" s="16" t="n">
        <f aca="false">IF(M22="y",C22,0)</f>
        <v>0</v>
      </c>
      <c r="AT22" s="1142" t="n">
        <f aca="false">IF($G22=1,$U22,0)</f>
        <v>0</v>
      </c>
      <c r="AU22" s="16" t="n">
        <f aca="false">IF($G22=2,$U22,0)</f>
        <v>0</v>
      </c>
      <c r="AV22" s="16" t="n">
        <f aca="false">IF($G22=3,$U22,0)</f>
        <v>0</v>
      </c>
      <c r="AW22" s="16" t="n">
        <f aca="false">IF($G22=4,$U22,0)</f>
        <v>0</v>
      </c>
      <c r="AX22" s="16" t="n">
        <f aca="false">IF($G22=5,$U22,0)</f>
        <v>0</v>
      </c>
      <c r="AY22" s="16" t="n">
        <f aca="false">IF($G22=6,$U22,0)</f>
        <v>0</v>
      </c>
      <c r="AZ22" s="16" t="n">
        <f aca="false">IF($G22=7,$U22,0)</f>
        <v>0</v>
      </c>
      <c r="BA22" s="16" t="n">
        <f aca="false">IF($G22=8,$U22,0)</f>
        <v>0</v>
      </c>
      <c r="BB22" s="16" t="n">
        <f aca="false">IF($G22=9,$U22,0)</f>
        <v>0</v>
      </c>
      <c r="BC22" s="1116" t="n">
        <f aca="false">IF($G22=10,$U22,0)</f>
        <v>0</v>
      </c>
      <c r="BD22" s="16" t="n">
        <f aca="false">SUM(AT22:AY22)</f>
        <v>0</v>
      </c>
      <c r="BE22" s="600" t="n">
        <f aca="false">IF(F22="N",0,C22)</f>
        <v>0</v>
      </c>
      <c r="BF22" s="16" t="n">
        <f aca="false">IF(N22=1,O22*$U$53,0)+IF(N22=2,O22*$U$54,0)+IF(N22=3,O22*$U$55,0)+IF(N22=4,O22*$U$60,0)+IF(N22=5,O22*$U$61,0)+IF(N22=6,O22*$U$62,0)</f>
        <v>0</v>
      </c>
      <c r="BG22" s="16" t="n">
        <f aca="false">IF(P22=1,Q22*$U$53,0)+IF(P22=2,Q22*$U$54,0)+IF(P22=3,Q22*$U$55,0)+IF(P22=4,Q22*$U$60,0)+IF(P22=5,Q22*$U$61,0)+IF(P22=6,Q22*$U$62,0)</f>
        <v>0</v>
      </c>
      <c r="BH22" s="16" t="n">
        <f aca="false">IF(R22=1,S22*$U$53,0)+IF(R22=2,S22*$U$54,0)+IF(R22=3,S22*$U$55,0)+IF(R22=4,S22*$U$60,0)+IF(R22=5,S22*$U$61,0)+IF(R22=6,S22*$U$62,0)</f>
        <v>0</v>
      </c>
      <c r="BI22" s="506" t="n">
        <f aca="false">SUM(BJ22:CC23)</f>
        <v>0</v>
      </c>
      <c r="BJ22" s="2375" t="n">
        <f aca="false">(AT22*Pricing!F$3+AU22*Pricing!G$3+AV22*Pricing!H$3+AW22*Pricing!I$3+AX22*Pricing!J$3+AY22*Pricing!K$3+AZ22*Pricing!L$3+BA22*Pricing!M$3+BB22*Pricing!M$3+BC22*Pricing!O$3)*IF(T$64="N",(1+V$64),1)</f>
        <v>0</v>
      </c>
      <c r="BK22" s="2096" t="n">
        <f aca="false">T22*F$78*IF(T$64="n",1+V$64,1)</f>
        <v>0</v>
      </c>
      <c r="BL22" s="2096" t="n">
        <f aca="false">IF(BE$50=0,0,IF(F22="y",N$80/BE$50*BE22,0))</f>
        <v>0</v>
      </c>
      <c r="BM22" s="2096" t="n">
        <f aca="false">IF(N$79=0,0,N$79/H$87*C22)</f>
        <v>0</v>
      </c>
      <c r="BN22" s="2376" t="n">
        <f aca="false">(C22*G$87)</f>
        <v>0</v>
      </c>
      <c r="BO22" s="2096" t="n">
        <f aca="false">H22*D$91</f>
        <v>0</v>
      </c>
      <c r="BP22" s="2096" t="n">
        <f aca="false">SUM(BF22:BH22)*D$92</f>
        <v>0</v>
      </c>
      <c r="BQ22" s="2096" t="n">
        <f aca="false">D$93*C22</f>
        <v>0</v>
      </c>
      <c r="BR22" s="2096" t="str">
        <f aca="false">IF(C22="","",(N$95+N$94)/H$87*C22)</f>
        <v/>
      </c>
      <c r="BS22" s="2096" t="n">
        <f aca="false">IF(C22=0,0,(T22/2000*D$96))</f>
        <v>0</v>
      </c>
      <c r="BT22" s="2377" t="str">
        <f aca="false">IF(C22="","",N$97/H$87*C22)</f>
        <v/>
      </c>
      <c r="BU22" s="2096" t="n">
        <f aca="false">IF(C22=0,0,SUM(N$100:O$103)/C$50*C22)</f>
        <v>0</v>
      </c>
      <c r="BV22" s="2096" t="n">
        <f aca="false">IF(C22=0,0,SUM(W$73:W$106)/C$50*C22)+IF(H$87=0,0,(N$84+N$83+N$82)/H$87*C22)</f>
        <v>0</v>
      </c>
      <c r="BW22" s="2096" t="n">
        <f aca="false">IF(C22=0,0,SUM(N$105:O$110)/C$50*C22)</f>
        <v>0</v>
      </c>
      <c r="BX22" s="2096" t="n">
        <f aca="false">IF(C22=0,0,SUM(N$112:O$118)/C$50)*C22</f>
        <v>0</v>
      </c>
      <c r="BY22" s="2096" t="n">
        <f aca="false">IF(C$50=0,0,SUM(W$107:W$118)/C$50*C22)</f>
        <v>0</v>
      </c>
      <c r="BZ22" s="2096" t="n">
        <f aca="false">IF(N$119=0,0,N$119/H$87*C22)</f>
        <v>0</v>
      </c>
      <c r="CA22" s="2096"/>
      <c r="CB22" s="2096" t="n">
        <f aca="false">AG22*F$81*IF(T$64="n",(1+V$64),1)</f>
        <v>0</v>
      </c>
      <c r="CC22" s="2378" t="n">
        <f aca="false">AQ22*F$79*IF(T$64="Y",1,1+V$64)</f>
        <v>0</v>
      </c>
      <c r="CP22" s="16" t="n">
        <f aca="false">A34</f>
        <v>0</v>
      </c>
      <c r="CQ22" s="16" t="n">
        <f aca="false">BF34+BG34+BH34+BH35+BG35+BF35</f>
        <v>0</v>
      </c>
      <c r="CR22" s="1037" t="n">
        <f aca="false">T34</f>
        <v>0</v>
      </c>
      <c r="CS22" s="1037" t="e">
        <f aca="false">H$100/H$87*(C34+C35)</f>
        <v>#DIV/0!</v>
      </c>
      <c r="CT22" s="16" t="n">
        <f aca="false">BE34+BE35</f>
        <v>0</v>
      </c>
    </row>
    <row r="23" customFormat="false" ht="19.5" hidden="false" customHeight="true" outlineLevel="0" collapsed="false">
      <c r="A23" s="507"/>
      <c r="B23" s="1801"/>
      <c r="C23" s="2406"/>
      <c r="D23" s="1552"/>
      <c r="E23" s="2388"/>
      <c r="F23" s="528"/>
      <c r="G23" s="2082"/>
      <c r="H23" s="1235"/>
      <c r="I23" s="528"/>
      <c r="J23" s="895"/>
      <c r="K23" s="528"/>
      <c r="L23" s="895"/>
      <c r="M23" s="2381"/>
      <c r="N23" s="528"/>
      <c r="O23" s="895"/>
      <c r="P23" s="528"/>
      <c r="Q23" s="1582"/>
      <c r="R23" s="2382"/>
      <c r="S23" s="2383"/>
      <c r="T23" s="2384"/>
      <c r="U23" s="2385"/>
      <c r="V23" s="2399"/>
      <c r="W23" s="2184"/>
      <c r="X23" s="2184"/>
      <c r="Y23" s="1414"/>
      <c r="AH23" s="1142" t="n">
        <f aca="false">IF(N23=1,O23*$Q$53,0)+IF(N23=2,O23*$Q$54,0)+IF(N23=3,O23*$Q$55,0)+IF(N23=4,O23*$Q$60,0)+IF(N23=5,O23*$Q$61,0)+IF(N23=6,O23*$Q$62+IF(N23=7,O23*$Q$54,0)+IF(N23=8,O23*$Q$55,0)+IF(N23=9,O23*$Q$60,0)+IF(N23=10,O23*$Q$61,0),0)</f>
        <v>0</v>
      </c>
      <c r="AI23" s="16" t="n">
        <f aca="false">IF(P23=1,Q23*$Q$53,0)+IF(P23=2,Q23*$Q$54,0)+IF(P23=3,Q23*$Q$55,0)+IF(P23=4,Q23*$Q$60,0)+IF(P23=5,Q23*$Q$61,0)+IF(P23=6,Q23*$Q$62+IF(P23=7,Q23*$Q$54,0)+IF(P23=8,Q23*$Q$55,0)+IF(P23=9,Q23*$Q$60,0)+IF(P23=10,Q23*$Q$61,0),0)</f>
        <v>0</v>
      </c>
      <c r="AJ23" s="16" t="n">
        <f aca="false">IF(R23=1,S23*$Q$53,0)+IF(R23=2,S23*$Q$54,0)+IF(R23=3,S23*$Q$55,0)+IF(R23=4,S23*$Q$60,0)+IF(R23=5,S23*$Q$61,0)+IF(R23=6,S23*$Q$62+IF(R23=7,S23*$Q$54,0)+IF(R23=8,S23*$Q$55,0)+IF(R23=9,S23*$Q$60,0)+IF(R23=10,S23*$Q$61,0),0)</f>
        <v>0</v>
      </c>
      <c r="AK23" s="1116" t="n">
        <f aca="false">SUM(AH23:AJ23)</f>
        <v>0</v>
      </c>
      <c r="AL23" s="16" t="n">
        <f aca="false">ROUNDUP(IF(N23=1,O23*$O$53,0)+IF(N23=2,O23*$O$54,0)+IF(N23=3,O23*$O$55,0)+IF(N23=4,O23*$O$56,0)+IF(N23=5,O23*$O$57,0)+IF(N23=6,O23*$O$58+IF(N23=7,O23*$O$59,0)+IF(N23=8,O23*$O$60,0)+IF(N23=9,O23*$O$61+IF(N23=10,O23*$O$62,0),0),0),0)</f>
        <v>0</v>
      </c>
      <c r="AM23" s="16" t="n">
        <f aca="false">ROUNDUP(IF(P23=1,Q23*$Q$53,0)+IF(P23=2,Q23*$Q$54,0)+IF(P23=3,Q23*$Q$55,0)+IF(P23=4,Q23*$Q$56,0)+IF(P23=5,Q23*$Q$57,0)+IF(P23=6,Q23*$Q$58+IF(P23=7,Q23*$Q$59,0)+IF(P23=8,Q23*$Q$60,0)+IF(P23=9,Q23*$Q$61+IF(P23=10,Q23*$Q$62,0),0),0),0)</f>
        <v>0</v>
      </c>
      <c r="AN23" s="16" t="n">
        <f aca="false">ROUNDUP(IF(R23=1,S23*$S$53,0)+IF(R23=2,S23*$S$54,0)+IF(R23=3,S23*$S$55,0)+IF(R23=4,S23*$S$56,0)+IF(R23=5,S23*$S$57,0)+IF(R23=6,S23*$S$58+IF(R23=7,S23*$S$59,0)+IF(R23=8,S23*$S$60,0)+IF(R23=9,S23*$S$61+IF(R23=10,S23*$S$62,0),0),0),0)</f>
        <v>0</v>
      </c>
      <c r="AO23" s="1142" t="n">
        <f aca="false">SUM(AL23:AN23)*1.12</f>
        <v>0</v>
      </c>
      <c r="AP23" s="2237" t="n">
        <f aca="false">IF(L23=0,0,(L23/12+L23/12)/(L23/12*L23/12)*C23*((K23/16*K23/16)*10.6870159))*(1+J$78)+IF(J23=0,0,(J23/12+J23/12)/(J23/12*J23/12)*C23*((I23/16*I23/16)*10.6870159))*(1+J$78)</f>
        <v>0</v>
      </c>
      <c r="AQ23" s="1142" t="n">
        <f aca="false">M23*(1+J$79)</f>
        <v>0</v>
      </c>
      <c r="AS23" s="16" t="n">
        <f aca="false">IF(M23="y",C23,0)</f>
        <v>0</v>
      </c>
      <c r="AT23" s="1142" t="n">
        <f aca="false">IF($G23=1,$U23,0)</f>
        <v>0</v>
      </c>
      <c r="AU23" s="16" t="n">
        <f aca="false">IF($G23=2,$U23,0)</f>
        <v>0</v>
      </c>
      <c r="AV23" s="16" t="n">
        <f aca="false">IF($G23=3,$U23,0)</f>
        <v>0</v>
      </c>
      <c r="AW23" s="16" t="n">
        <f aca="false">IF($G23=4,$U23,0)</f>
        <v>0</v>
      </c>
      <c r="AX23" s="16" t="n">
        <f aca="false">IF($G23=5,$U23,0)</f>
        <v>0</v>
      </c>
      <c r="AY23" s="16" t="n">
        <f aca="false">IF($G23=6,$U23,0)</f>
        <v>0</v>
      </c>
      <c r="AZ23" s="16" t="n">
        <f aca="false">IF($G23=7,$U23,0)</f>
        <v>0</v>
      </c>
      <c r="BA23" s="16" t="n">
        <f aca="false">IF($G23=8,$U23,0)</f>
        <v>0</v>
      </c>
      <c r="BB23" s="16" t="n">
        <f aca="false">IF($G23=9,$U23,0)</f>
        <v>0</v>
      </c>
      <c r="BC23" s="1116" t="n">
        <f aca="false">IF($G23=10,$U23,0)</f>
        <v>0</v>
      </c>
      <c r="BD23" s="16" t="n">
        <f aca="false">SUM(AT23:AY23)</f>
        <v>0</v>
      </c>
      <c r="BE23" s="600" t="n">
        <f aca="false">IF(F23="N",0,C23)</f>
        <v>0</v>
      </c>
      <c r="BF23" s="16" t="n">
        <f aca="false">IF(N23=1,O23*$U$53,0)+IF(N23=2,O23*$U$54,0)+IF(N23=3,O23*$U$55,0)+IF(N23=4,O23*$U$60,0)+IF(N23=5,O23*$U$61,0)+IF(N23=6,O23*$U$62,0)</f>
        <v>0</v>
      </c>
      <c r="BG23" s="16" t="n">
        <f aca="false">IF(P23=1,Q23*$U$53,0)+IF(P23=2,Q23*$U$54,0)+IF(P23=3,Q23*$U$55,0)+IF(P23=4,Q23*$U$60,0)+IF(P23=5,Q23*$U$61,0)+IF(P23=6,Q23*$U$62,0)</f>
        <v>0</v>
      </c>
      <c r="BH23" s="16" t="n">
        <f aca="false">IF(R23=1,S23*$U$53,0)+IF(R23=2,S23*$U$54,0)+IF(R23=3,S23*$U$55,0)+IF(R23=4,S23*$U$60,0)+IF(R23=5,S23*$U$61,0)+IF(R23=6,S23*$U$62,0)</f>
        <v>0</v>
      </c>
      <c r="BI23" s="506"/>
      <c r="BJ23" s="2375" t="n">
        <f aca="false">(AT23*Pricing!F$3+AU23*Pricing!G$3+AV23*Pricing!H$3+AW23*Pricing!I$3+AX23*Pricing!J$3+AY23*Pricing!K$3+AZ23*Pricing!L$3+BA23*Pricing!M$3+BB23*Pricing!M$3+BC23*Pricing!O$3)*IF(T$64="N",(1+V$64),1)</f>
        <v>0</v>
      </c>
      <c r="BK23" s="2096" t="n">
        <f aca="false">T23*F$78*IF(T$64="n",1+V$64,1)</f>
        <v>0</v>
      </c>
      <c r="BL23" s="2096" t="n">
        <f aca="false">IF(BE$50=0,0,IF(F23="y",N$80/BE$50*BE23,0))</f>
        <v>0</v>
      </c>
      <c r="BM23" s="2096" t="n">
        <f aca="false">IF(N$79=0,0,N$79/H$87*C23)</f>
        <v>0</v>
      </c>
      <c r="BN23" s="2376" t="n">
        <f aca="false">(C23*G$87)</f>
        <v>0</v>
      </c>
      <c r="BO23" s="2096" t="n">
        <f aca="false">H23*D$91</f>
        <v>0</v>
      </c>
      <c r="BP23" s="2096" t="n">
        <f aca="false">SUM(BF23:BH23)*D$92</f>
        <v>0</v>
      </c>
      <c r="BQ23" s="2096" t="n">
        <f aca="false">D$93*C23</f>
        <v>0</v>
      </c>
      <c r="BR23" s="2096" t="str">
        <f aca="false">IF(C23="","",(N$95+N$94)/H$87*C23)</f>
        <v/>
      </c>
      <c r="BS23" s="2096" t="n">
        <f aca="false">IF(C23=0,0,(T23/2000*D$96))</f>
        <v>0</v>
      </c>
      <c r="BT23" s="2377" t="str">
        <f aca="false">IF(C23="","",N$97/H$87*C23)</f>
        <v/>
      </c>
      <c r="BU23" s="2096" t="n">
        <f aca="false">IF(C23=0,0,SUM(N$100:O$103)/C$50*C23)</f>
        <v>0</v>
      </c>
      <c r="BV23" s="2096" t="n">
        <f aca="false">IF(C23=0,0,SUM(W$73:W$106)/C$50*C23)+IF(H$87=0,0,(N$84+N$83+N$82)/H$87*C23)</f>
        <v>0</v>
      </c>
      <c r="BW23" s="2096" t="n">
        <f aca="false">IF(C23=0,0,SUM(N$105:O$110)/C$50*C23)</f>
        <v>0</v>
      </c>
      <c r="BX23" s="2096" t="n">
        <f aca="false">IF(C23=0,0,SUM(N$112:O$118)/C$50)*C23</f>
        <v>0</v>
      </c>
      <c r="BY23" s="2096" t="n">
        <f aca="false">IF(C$50=0,0,SUM(W$107:W$118)/C$50*C23)</f>
        <v>0</v>
      </c>
      <c r="BZ23" s="2096" t="n">
        <f aca="false">IF(N$119=0,0,N$119/H$87*C23)</f>
        <v>0</v>
      </c>
      <c r="CA23" s="2096"/>
      <c r="CB23" s="2096" t="n">
        <f aca="false">AG23*F$81*IF(T$64="n",(1+V$64),1)</f>
        <v>0</v>
      </c>
      <c r="CC23" s="2378" t="n">
        <f aca="false">AQ23*F$79*IF(T$64="Y",1,1+V$64)</f>
        <v>0</v>
      </c>
      <c r="CP23" s="16" t="n">
        <f aca="false">A36</f>
        <v>0</v>
      </c>
      <c r="CQ23" s="16" t="n">
        <f aca="false">BF36+BG36+BH36+BH37+BG37+BF37</f>
        <v>0</v>
      </c>
      <c r="CR23" s="1037" t="n">
        <f aca="false">T36</f>
        <v>0</v>
      </c>
      <c r="CS23" s="1037" t="e">
        <f aca="false">H$100/H$87*(C36+C37)</f>
        <v>#DIV/0!</v>
      </c>
      <c r="CT23" s="16" t="n">
        <f aca="false">BE36+BE37</f>
        <v>0</v>
      </c>
    </row>
    <row r="24" customFormat="false" ht="19.5" hidden="false" customHeight="true" outlineLevel="0" collapsed="false">
      <c r="A24" s="2402"/>
      <c r="B24" s="2403"/>
      <c r="C24" s="2407"/>
      <c r="D24" s="1508"/>
      <c r="E24" s="1356"/>
      <c r="F24" s="1511"/>
      <c r="G24" s="1553"/>
      <c r="H24" s="2389"/>
      <c r="I24" s="1511"/>
      <c r="J24" s="1512"/>
      <c r="K24" s="1511"/>
      <c r="L24" s="1512"/>
      <c r="M24" s="2390"/>
      <c r="N24" s="1511"/>
      <c r="O24" s="1512"/>
      <c r="P24" s="1511"/>
      <c r="Q24" s="2391"/>
      <c r="R24" s="2392"/>
      <c r="S24" s="2393"/>
      <c r="T24" s="1515" t="n">
        <f aca="false">SUM(AO24:AP25)</f>
        <v>0</v>
      </c>
      <c r="U24" s="1516" t="n">
        <f aca="false">((((C24*E24/324)+(C25*E25/324))*(1+J$73))+AK24+AK25)</f>
        <v>0</v>
      </c>
      <c r="V24" s="2386" t="n">
        <f aca="false">IF(C24=0,0,W24/(C24+C25))</f>
        <v>0</v>
      </c>
      <c r="W24" s="2184" t="n">
        <f aca="false">(IF(SUM(BJ24:CC25)=0,0,SUM(BJ24:CC25)-BZ24-BZ25))*(1+L$65)</f>
        <v>0</v>
      </c>
      <c r="X24" s="2184"/>
      <c r="Y24" s="1414"/>
      <c r="AH24" s="1142" t="n">
        <f aca="false">IF(N24=1,O24*$Q$53,0)+IF(N24=2,O24*$Q$54,0)+IF(N24=3,O24*$Q$55,0)+IF(N24=4,O24*$Q$60,0)+IF(N24=5,O24*$Q$61,0)+IF(N24=6,O24*$Q$62+IF(N24=7,O24*$Q$54,0)+IF(N24=8,O24*$Q$55,0)+IF(N24=9,O24*$Q$60,0)+IF(N24=10,O24*$Q$61,0),0)</f>
        <v>0</v>
      </c>
      <c r="AI24" s="16" t="n">
        <f aca="false">IF(P24=1,Q24*$Q$53,0)+IF(P24=2,Q24*$Q$54,0)+IF(P24=3,Q24*$Q$55,0)+IF(P24=4,Q24*$Q$60,0)+IF(P24=5,Q24*$Q$61,0)+IF(P24=6,Q24*$Q$62+IF(P24=7,Q24*$Q$54,0)+IF(P24=8,Q24*$Q$55,0)+IF(P24=9,Q24*$Q$60,0)+IF(P24=10,Q24*$Q$61,0),0)</f>
        <v>0</v>
      </c>
      <c r="AJ24" s="16" t="n">
        <f aca="false">IF(R24=1,S24*$Q$53,0)+IF(R24=2,S24*$Q$54,0)+IF(R24=3,S24*$Q$55,0)+IF(R24=4,S24*$Q$60,0)+IF(R24=5,S24*$Q$61,0)+IF(R24=6,S24*$Q$62+IF(R24=7,S24*$Q$54,0)+IF(R24=8,S24*$Q$55,0)+IF(R24=9,S24*$Q$60,0)+IF(R24=10,S24*$Q$61,0),0)</f>
        <v>0</v>
      </c>
      <c r="AK24" s="1116" t="n">
        <f aca="false">SUM(AH24:AJ24)</f>
        <v>0</v>
      </c>
      <c r="AL24" s="16" t="n">
        <f aca="false">ROUNDUP(IF(N24=1,O24*$O$53,0)+IF(N24=2,O24*$O$54,0)+IF(N24=3,O24*$O$55,0)+IF(N24=4,O24*$O$56,0)+IF(N24=5,O24*$O$57,0)+IF(N24=6,O24*$O$58+IF(N24=7,O24*$O$59,0)+IF(N24=8,O24*$O$60,0)+IF(N24=9,O24*$O$61+IF(N24=10,O24*$O$62,0),0),0),0)</f>
        <v>0</v>
      </c>
      <c r="AM24" s="16" t="n">
        <f aca="false">ROUNDUP(IF(P24=1,Q24*$Q$53,0)+IF(P24=2,Q24*$Q$54,0)+IF(P24=3,Q24*$Q$55,0)+IF(P24=4,Q24*$Q$56,0)+IF(P24=5,Q24*$Q$57,0)+IF(P24=6,Q24*$Q$58+IF(P24=7,Q24*$Q$59,0)+IF(P24=8,Q24*$Q$60,0)+IF(P24=9,Q24*$Q$61+IF(P24=10,Q24*$Q$62,0),0),0),0)</f>
        <v>0</v>
      </c>
      <c r="AN24" s="16" t="n">
        <f aca="false">ROUNDUP(IF(R24=1,S24*$S$53,0)+IF(R24=2,S24*$S$54,0)+IF(R24=3,S24*$S$55,0)+IF(R24=4,S24*$S$56,0)+IF(R24=5,S24*$S$57,0)+IF(R24=6,S24*$S$58+IF(R24=7,S24*$S$59,0)+IF(R24=8,S24*$S$60,0)+IF(R24=9,S24*$S$61+IF(R24=10,S24*$S$62,0),0),0),0)</f>
        <v>0</v>
      </c>
      <c r="AO24" s="1142" t="n">
        <f aca="false">SUM(AL24:AN24)*1.12</f>
        <v>0</v>
      </c>
      <c r="AP24" s="2237" t="n">
        <f aca="false">IF(L24=0,0,(L24/12+L24/12)/(L24/12*L24/12)*C24*((K24/16*K24/16)*10.6870159))*(1+J$78)+IF(J24=0,0,(J24/12+J24/12)/(J24/12*J24/12)*C24*((I24/16*I24/16)*10.6870159))*(1+J$78)</f>
        <v>0</v>
      </c>
      <c r="AQ24" s="1142" t="n">
        <f aca="false">M24*(1+J$79)</f>
        <v>0</v>
      </c>
      <c r="AS24" s="16" t="n">
        <f aca="false">IF(M24="y",C24,0)</f>
        <v>0</v>
      </c>
      <c r="AT24" s="1142" t="n">
        <f aca="false">IF($G24=1,$U24,0)</f>
        <v>0</v>
      </c>
      <c r="AU24" s="16" t="n">
        <f aca="false">IF($G24=2,$U24,0)</f>
        <v>0</v>
      </c>
      <c r="AV24" s="16" t="n">
        <f aca="false">IF($G24=3,$U24,0)</f>
        <v>0</v>
      </c>
      <c r="AW24" s="16" t="n">
        <f aca="false">IF($G24=4,$U24,0)</f>
        <v>0</v>
      </c>
      <c r="AX24" s="16" t="n">
        <f aca="false">IF($G24=5,$U24,0)</f>
        <v>0</v>
      </c>
      <c r="AY24" s="16" t="n">
        <f aca="false">IF($G24=6,$U24,0)</f>
        <v>0</v>
      </c>
      <c r="AZ24" s="16" t="n">
        <f aca="false">IF($G24=7,$U24,0)</f>
        <v>0</v>
      </c>
      <c r="BA24" s="16" t="n">
        <f aca="false">IF($G24=8,$U24,0)</f>
        <v>0</v>
      </c>
      <c r="BB24" s="16" t="n">
        <f aca="false">IF($G24=9,$U24,0)</f>
        <v>0</v>
      </c>
      <c r="BC24" s="1116" t="n">
        <f aca="false">IF($G24=10,$U24,0)</f>
        <v>0</v>
      </c>
      <c r="BD24" s="16" t="n">
        <f aca="false">SUM(AT24:AY24)</f>
        <v>0</v>
      </c>
      <c r="BE24" s="600" t="n">
        <f aca="false">IF(F24="N",0,C24)</f>
        <v>0</v>
      </c>
      <c r="BF24" s="16" t="n">
        <f aca="false">IF(N24=1,O24*$U$53,0)+IF(N24=2,O24*$U$54,0)+IF(N24=3,O24*$U$55,0)+IF(N24=4,O24*$U$60,0)+IF(N24=5,O24*$U$61,0)+IF(N24=6,O24*$U$62,0)</f>
        <v>0</v>
      </c>
      <c r="BG24" s="16" t="n">
        <f aca="false">IF(P24=1,Q24*$U$53,0)+IF(P24=2,Q24*$U$54,0)+IF(P24=3,Q24*$U$55,0)+IF(P24=4,Q24*$U$60,0)+IF(P24=5,Q24*$U$61,0)+IF(P24=6,Q24*$U$62,0)</f>
        <v>0</v>
      </c>
      <c r="BH24" s="16" t="n">
        <f aca="false">IF(R24=1,S24*$U$53,0)+IF(R24=2,S24*$U$54,0)+IF(R24=3,S24*$U$55,0)+IF(R24=4,S24*$U$60,0)+IF(R24=5,S24*$U$61,0)+IF(R24=6,S24*$U$62,0)</f>
        <v>0</v>
      </c>
      <c r="BI24" s="506" t="n">
        <f aca="false">SUM(BJ24:CC25)</f>
        <v>0</v>
      </c>
      <c r="BJ24" s="2375" t="n">
        <f aca="false">(AT24*Pricing!F$3+AU24*Pricing!G$3+AV24*Pricing!H$3+AW24*Pricing!I$3+AX24*Pricing!J$3+AY24*Pricing!K$3+AZ24*Pricing!L$3+BA24*Pricing!M$3+BB24*Pricing!M$3+BC24*Pricing!O$3)*IF(T$64="N",(1+V$64),1)</f>
        <v>0</v>
      </c>
      <c r="BK24" s="2096" t="n">
        <f aca="false">T24*F$78*IF(T$64="n",1+V$64,1)</f>
        <v>0</v>
      </c>
      <c r="BL24" s="2096" t="n">
        <f aca="false">IF(BE$50=0,0,IF(F24="y",N$80/BE$50*BE24,0))</f>
        <v>0</v>
      </c>
      <c r="BM24" s="2096" t="n">
        <f aca="false">IF(N$79=0,0,N$79/H$87*C24)</f>
        <v>0</v>
      </c>
      <c r="BN24" s="2376" t="n">
        <f aca="false">(C24*G$87)</f>
        <v>0</v>
      </c>
      <c r="BO24" s="2096" t="n">
        <f aca="false">H24*D$91</f>
        <v>0</v>
      </c>
      <c r="BP24" s="2096" t="n">
        <f aca="false">SUM(BF24:BH24)*D$92</f>
        <v>0</v>
      </c>
      <c r="BQ24" s="2096" t="n">
        <f aca="false">D$93*C24</f>
        <v>0</v>
      </c>
      <c r="BR24" s="2096" t="str">
        <f aca="false">IF(C24="","",(N$95+N$94)/H$87*C24)</f>
        <v/>
      </c>
      <c r="BS24" s="2096" t="n">
        <f aca="false">IF(C24=0,0,(T24/2000*D$96))</f>
        <v>0</v>
      </c>
      <c r="BT24" s="2377" t="str">
        <f aca="false">IF(C24="","",N$97/H$87*C24)</f>
        <v/>
      </c>
      <c r="BU24" s="2096" t="n">
        <f aca="false">IF(C24=0,0,SUM(N$100:O$103)/C$50*C24)</f>
        <v>0</v>
      </c>
      <c r="BV24" s="2096" t="n">
        <f aca="false">IF(C24=0,0,SUM(W$73:W$106)/C$50*C24)+IF(H$87=0,0,(N$84+N$83+N$82)/H$87*C24)</f>
        <v>0</v>
      </c>
      <c r="BW24" s="2096" t="n">
        <f aca="false">IF(C24=0,0,SUM(N$105:O$110)/C$50*C24)</f>
        <v>0</v>
      </c>
      <c r="BX24" s="2096" t="n">
        <f aca="false">IF(C24=0,0,SUM(N$112:O$118)/C$50)*C24</f>
        <v>0</v>
      </c>
      <c r="BY24" s="2096" t="n">
        <f aca="false">IF(C$50=0,0,SUM(W$107:W$118)/C$50*C24)</f>
        <v>0</v>
      </c>
      <c r="BZ24" s="2096" t="n">
        <f aca="false">IF(N$119=0,0,N$119/H$87*C24)</f>
        <v>0</v>
      </c>
      <c r="CA24" s="2096"/>
      <c r="CB24" s="2096" t="n">
        <f aca="false">AG24*F$81*IF(T$64="n",(1+V$64),1)</f>
        <v>0</v>
      </c>
      <c r="CC24" s="2378" t="n">
        <f aca="false">AQ24*F$79*IF(T$64="Y",1,1+V$64)</f>
        <v>0</v>
      </c>
      <c r="CP24" s="16" t="n">
        <f aca="false">A38</f>
        <v>0</v>
      </c>
      <c r="CQ24" s="16" t="n">
        <f aca="false">BF38+BG38+BH38+BH39+BG39+BF39</f>
        <v>0</v>
      </c>
      <c r="CR24" s="1037" t="n">
        <f aca="false">T38</f>
        <v>0</v>
      </c>
      <c r="CS24" s="1037" t="e">
        <f aca="false">H$100/H$87*(C38+C39)</f>
        <v>#DIV/0!</v>
      </c>
      <c r="CT24" s="16" t="n">
        <f aca="false">BE38+BE39</f>
        <v>0</v>
      </c>
    </row>
    <row r="25" customFormat="false" ht="19.5" hidden="false" customHeight="true" outlineLevel="0" collapsed="false">
      <c r="A25" s="2379"/>
      <c r="B25" s="2405"/>
      <c r="C25" s="2406"/>
      <c r="D25" s="1552"/>
      <c r="E25" s="1352"/>
      <c r="F25" s="1559"/>
      <c r="G25" s="1509"/>
      <c r="H25" s="2396"/>
      <c r="I25" s="1559"/>
      <c r="J25" s="1556"/>
      <c r="K25" s="1559"/>
      <c r="L25" s="1556"/>
      <c r="M25" s="2381"/>
      <c r="N25" s="1559"/>
      <c r="O25" s="1556"/>
      <c r="P25" s="1559"/>
      <c r="Q25" s="1581"/>
      <c r="R25" s="2397"/>
      <c r="S25" s="2398"/>
      <c r="T25" s="2384"/>
      <c r="U25" s="2385"/>
      <c r="V25" s="2399"/>
      <c r="W25" s="2184"/>
      <c r="X25" s="2184"/>
      <c r="Y25" s="1414"/>
      <c r="AH25" s="1142" t="n">
        <f aca="false">IF(N25=1,O25*$Q$53,0)+IF(N25=2,O25*$Q$54,0)+IF(N25=3,O25*$Q$55,0)+IF(N25=4,O25*$Q$60,0)+IF(N25=5,O25*$Q$61,0)+IF(N25=6,O25*$Q$62+IF(N25=7,O25*$Q$54,0)+IF(N25=8,O25*$Q$55,0)+IF(N25=9,O25*$Q$60,0)+IF(N25=10,O25*$Q$61,0),0)</f>
        <v>0</v>
      </c>
      <c r="AI25" s="16" t="n">
        <f aca="false">IF(P25=1,Q25*$Q$53,0)+IF(P25=2,Q25*$Q$54,0)+IF(P25=3,Q25*$Q$55,0)+IF(P25=4,Q25*$Q$60,0)+IF(P25=5,Q25*$Q$61,0)+IF(P25=6,Q25*$Q$62+IF(P25=7,Q25*$Q$54,0)+IF(P25=8,Q25*$Q$55,0)+IF(P25=9,Q25*$Q$60,0)+IF(P25=10,Q25*$Q$61,0),0)</f>
        <v>0</v>
      </c>
      <c r="AJ25" s="16" t="n">
        <f aca="false">IF(R25=1,S25*$Q$53,0)+IF(R25=2,S25*$Q$54,0)+IF(R25=3,S25*$Q$55,0)+IF(R25=4,S25*$Q$60,0)+IF(R25=5,S25*$Q$61,0)+IF(R25=6,S25*$Q$62+IF(R25=7,S25*$Q$54,0)+IF(R25=8,S25*$Q$55,0)+IF(R25=9,S25*$Q$60,0)+IF(R25=10,S25*$Q$61,0),0)</f>
        <v>0</v>
      </c>
      <c r="AK25" s="1116" t="n">
        <f aca="false">SUM(AH25:AJ25)</f>
        <v>0</v>
      </c>
      <c r="AL25" s="16" t="n">
        <f aca="false">ROUNDUP(IF(N25=1,O25*$O$53,0)+IF(N25=2,O25*$O$54,0)+IF(N25=3,O25*$O$55,0)+IF(N25=4,O25*$O$56,0)+IF(N25=5,O25*$O$57,0)+IF(N25=6,O25*$O$58+IF(N25=7,O25*$O$59,0)+IF(N25=8,O25*$O$60,0)+IF(N25=9,O25*$O$61+IF(N25=10,O25*$O$62,0),0),0),0)</f>
        <v>0</v>
      </c>
      <c r="AM25" s="16" t="n">
        <f aca="false">ROUNDUP(IF(P25=1,Q25*$Q$53,0)+IF(P25=2,Q25*$Q$54,0)+IF(P25=3,Q25*$Q$55,0)+IF(P25=4,Q25*$Q$56,0)+IF(P25=5,Q25*$Q$57,0)+IF(P25=6,Q25*$Q$58+IF(P25=7,Q25*$Q$59,0)+IF(P25=8,Q25*$Q$60,0)+IF(P25=9,Q25*$Q$61+IF(P25=10,Q25*$Q$62,0),0),0),0)</f>
        <v>0</v>
      </c>
      <c r="AN25" s="16" t="n">
        <f aca="false">ROUNDUP(IF(R25=1,S25*$S$53,0)+IF(R25=2,S25*$S$54,0)+IF(R25=3,S25*$S$55,0)+IF(R25=4,S25*$S$56,0)+IF(R25=5,S25*$S$57,0)+IF(R25=6,S25*$S$58+IF(R25=7,S25*$S$59,0)+IF(R25=8,S25*$S$60,0)+IF(R25=9,S25*$S$61+IF(R25=10,S25*$S$62,0),0),0),0)</f>
        <v>0</v>
      </c>
      <c r="AO25" s="1142" t="n">
        <f aca="false">SUM(AL25:AN25)*1.12</f>
        <v>0</v>
      </c>
      <c r="AP25" s="2237" t="n">
        <f aca="false">IF(L25=0,0,(L25/12+L25/12)/(L25/12*L25/12)*C25*((K25/16*K25/16)*10.6870159))*(1+J$78)+IF(J25=0,0,(J25/12+J25/12)/(J25/12*J25/12)*C25*((I25/16*I25/16)*10.6870159))*(1+J$78)</f>
        <v>0</v>
      </c>
      <c r="AQ25" s="1142" t="n">
        <f aca="false">M25*(1+J$79)</f>
        <v>0</v>
      </c>
      <c r="AS25" s="16" t="n">
        <f aca="false">IF(M25="y",C25,0)</f>
        <v>0</v>
      </c>
      <c r="AT25" s="1142" t="n">
        <f aca="false">IF($G25=1,$U25,0)</f>
        <v>0</v>
      </c>
      <c r="AU25" s="16" t="n">
        <f aca="false">IF($G25=2,$U25,0)</f>
        <v>0</v>
      </c>
      <c r="AV25" s="16" t="n">
        <f aca="false">IF($G25=3,$U25,0)</f>
        <v>0</v>
      </c>
      <c r="AW25" s="16" t="n">
        <f aca="false">IF($G25=4,$U25,0)</f>
        <v>0</v>
      </c>
      <c r="AX25" s="16" t="n">
        <f aca="false">IF($G25=5,$U25,0)</f>
        <v>0</v>
      </c>
      <c r="AY25" s="16" t="n">
        <f aca="false">IF($G25=6,$U25,0)</f>
        <v>0</v>
      </c>
      <c r="AZ25" s="16" t="n">
        <f aca="false">IF($G25=7,$U25,0)</f>
        <v>0</v>
      </c>
      <c r="BA25" s="16" t="n">
        <f aca="false">IF($G25=8,$U25,0)</f>
        <v>0</v>
      </c>
      <c r="BB25" s="16" t="n">
        <f aca="false">IF($G25=9,$U25,0)</f>
        <v>0</v>
      </c>
      <c r="BC25" s="1116" t="n">
        <f aca="false">IF($G25=10,$U25,0)</f>
        <v>0</v>
      </c>
      <c r="BD25" s="16" t="n">
        <f aca="false">SUM(AT25:AY25)</f>
        <v>0</v>
      </c>
      <c r="BE25" s="600" t="n">
        <f aca="false">IF(F25="N",0,C25)</f>
        <v>0</v>
      </c>
      <c r="BF25" s="16" t="n">
        <f aca="false">IF(N25=1,O25*$U$53,0)+IF(N25=2,O25*$U$54,0)+IF(N25=3,O25*$U$55,0)+IF(N25=4,O25*$U$60,0)+IF(N25=5,O25*$U$61,0)+IF(N25=6,O25*$U$62,0)</f>
        <v>0</v>
      </c>
      <c r="BG25" s="16" t="n">
        <f aca="false">IF(P25=1,Q25*$U$53,0)+IF(P25=2,Q25*$U$54,0)+IF(P25=3,Q25*$U$55,0)+IF(P25=4,Q25*$U$60,0)+IF(P25=5,Q25*$U$61,0)+IF(P25=6,Q25*$U$62,0)</f>
        <v>0</v>
      </c>
      <c r="BH25" s="16" t="n">
        <f aca="false">IF(R25=1,S25*$U$53,0)+IF(R25=2,S25*$U$54,0)+IF(R25=3,S25*$U$55,0)+IF(R25=4,S25*$U$60,0)+IF(R25=5,S25*$U$61,0)+IF(R25=6,S25*$U$62,0)</f>
        <v>0</v>
      </c>
      <c r="BI25" s="506"/>
      <c r="BJ25" s="2375" t="n">
        <f aca="false">(AT25*Pricing!F$3+AU25*Pricing!G$3+AV25*Pricing!H$3+AW25*Pricing!I$3+AX25*Pricing!J$3+AY25*Pricing!K$3+AZ25*Pricing!L$3+BA25*Pricing!M$3+BB25*Pricing!M$3+BC25*Pricing!O$3)*IF(T$64="N",(1+V$64),1)</f>
        <v>0</v>
      </c>
      <c r="BK25" s="2096" t="n">
        <f aca="false">T25*F$78*IF(T$64="n",1+V$64,1)</f>
        <v>0</v>
      </c>
      <c r="BL25" s="2096" t="n">
        <f aca="false">IF(BE$50=0,0,IF(F25="y",N$80/BE$50*BE25,0))</f>
        <v>0</v>
      </c>
      <c r="BM25" s="2096" t="n">
        <f aca="false">IF(N$79=0,0,N$79/H$87*C25)</f>
        <v>0</v>
      </c>
      <c r="BN25" s="2376" t="n">
        <f aca="false">(C25*G$87)</f>
        <v>0</v>
      </c>
      <c r="BO25" s="2096" t="n">
        <f aca="false">H25*D$91</f>
        <v>0</v>
      </c>
      <c r="BP25" s="2096" t="n">
        <f aca="false">SUM(BF25:BH25)*D$92</f>
        <v>0</v>
      </c>
      <c r="BQ25" s="2096" t="n">
        <f aca="false">D$93*C25</f>
        <v>0</v>
      </c>
      <c r="BR25" s="2096" t="str">
        <f aca="false">IF(C25="","",(N$95+N$94)/H$87*C25)</f>
        <v/>
      </c>
      <c r="BS25" s="2096" t="n">
        <f aca="false">IF(C25=0,0,(T25/2000*D$96))</f>
        <v>0</v>
      </c>
      <c r="BT25" s="2377" t="str">
        <f aca="false">IF(C25="","",N$97/H$87*C25)</f>
        <v/>
      </c>
      <c r="BU25" s="2096" t="n">
        <f aca="false">IF(C25=0,0,SUM(N$100:O$103)/C$50*C25)</f>
        <v>0</v>
      </c>
      <c r="BV25" s="2096" t="n">
        <f aca="false">IF(C25=0,0,SUM(W$73:W$106)/C$50*C25)+IF(H$87=0,0,(N$84+N$83+N$82)/H$87*C25)</f>
        <v>0</v>
      </c>
      <c r="BW25" s="2096" t="n">
        <f aca="false">IF(C25=0,0,SUM(N$105:O$110)/C$50*C25)</f>
        <v>0</v>
      </c>
      <c r="BX25" s="2096" t="n">
        <f aca="false">IF(C25=0,0,SUM(N$112:O$118)/C$50)*C25</f>
        <v>0</v>
      </c>
      <c r="BY25" s="2096" t="n">
        <f aca="false">IF(C$50=0,0,SUM(W$107:W$118)/C$50*C25)</f>
        <v>0</v>
      </c>
      <c r="BZ25" s="2096" t="n">
        <f aca="false">IF(N$119=0,0,N$119/H$87*C25)</f>
        <v>0</v>
      </c>
      <c r="CA25" s="2096"/>
      <c r="CB25" s="2096" t="n">
        <f aca="false">AG25*F$81*IF(T$64="n",(1+V$64),1)</f>
        <v>0</v>
      </c>
      <c r="CC25" s="2378" t="n">
        <f aca="false">AQ25*F$79*IF(T$64="Y",1,1+V$64)</f>
        <v>0</v>
      </c>
      <c r="CP25" s="16" t="n">
        <f aca="false">A40</f>
        <v>0</v>
      </c>
      <c r="CQ25" s="16" t="n">
        <f aca="false">BF40+BG40+BH40+BH41+BG41+BF41</f>
        <v>0</v>
      </c>
      <c r="CR25" s="1037" t="n">
        <f aca="false">T40</f>
        <v>0</v>
      </c>
      <c r="CS25" s="1037" t="e">
        <f aca="false">H$100/H$87*(C40+C41)</f>
        <v>#DIV/0!</v>
      </c>
      <c r="CT25" s="16" t="n">
        <f aca="false">BE40+BE41</f>
        <v>0</v>
      </c>
    </row>
    <row r="26" customFormat="false" ht="19.5" hidden="false" customHeight="true" outlineLevel="0" collapsed="false">
      <c r="A26" s="2402"/>
      <c r="B26" s="2403"/>
      <c r="C26" s="2407"/>
      <c r="D26" s="1508"/>
      <c r="E26" s="1356"/>
      <c r="F26" s="1511"/>
      <c r="G26" s="1553"/>
      <c r="H26" s="2389"/>
      <c r="I26" s="1511"/>
      <c r="J26" s="1512"/>
      <c r="K26" s="1511"/>
      <c r="L26" s="1512"/>
      <c r="M26" s="2390"/>
      <c r="N26" s="1511"/>
      <c r="O26" s="1512"/>
      <c r="P26" s="1511"/>
      <c r="Q26" s="2391"/>
      <c r="R26" s="2392"/>
      <c r="S26" s="2393"/>
      <c r="T26" s="1515" t="n">
        <f aca="false">SUM(AO26:AP27)</f>
        <v>0</v>
      </c>
      <c r="U26" s="1516" t="n">
        <f aca="false">((((C26*E26/324)+(C27*E27/324))*(1+J$73))+AK26+AK27)</f>
        <v>0</v>
      </c>
      <c r="V26" s="2386" t="n">
        <f aca="false">IF(C26=0,0,W26/(C26+C27))</f>
        <v>0</v>
      </c>
      <c r="W26" s="2184" t="n">
        <f aca="false">(IF(SUM(BJ26:CC27)=0,0,SUM(BJ26:CC27)-BZ26-BZ27))*(1+L$65)</f>
        <v>0</v>
      </c>
      <c r="X26" s="2184"/>
      <c r="Y26" s="1414"/>
      <c r="AH26" s="1142" t="n">
        <f aca="false">IF(N26=1,O26*$Q$53,0)+IF(N26=2,O26*$Q$54,0)+IF(N26=3,O26*$Q$55,0)+IF(N26=4,O26*$Q$60,0)+IF(N26=5,O26*$Q$61,0)+IF(N26=6,O26*$Q$62+IF(N26=7,O26*$Q$54,0)+IF(N26=8,O26*$Q$55,0)+IF(N26=9,O26*$Q$60,0)+IF(N26=10,O26*$Q$61,0),0)</f>
        <v>0</v>
      </c>
      <c r="AI26" s="16" t="n">
        <f aca="false">IF(P26=1,Q26*$Q$53,0)+IF(P26=2,Q26*$Q$54,0)+IF(P26=3,Q26*$Q$55,0)+IF(P26=4,Q26*$Q$60,0)+IF(P26=5,Q26*$Q$61,0)+IF(P26=6,Q26*$Q$62+IF(P26=7,Q26*$Q$54,0)+IF(P26=8,Q26*$Q$55,0)+IF(P26=9,Q26*$Q$60,0)+IF(P26=10,Q26*$Q$61,0),0)</f>
        <v>0</v>
      </c>
      <c r="AJ26" s="16" t="n">
        <f aca="false">IF(R26=1,S26*$Q$53,0)+IF(R26=2,S26*$Q$54,0)+IF(R26=3,S26*$Q$55,0)+IF(R26=4,S26*$Q$60,0)+IF(R26=5,S26*$Q$61,0)+IF(R26=6,S26*$Q$62+IF(R26=7,S26*$Q$54,0)+IF(R26=8,S26*$Q$55,0)+IF(R26=9,S26*$Q$60,0)+IF(R26=10,S26*$Q$61,0),0)</f>
        <v>0</v>
      </c>
      <c r="AK26" s="1116" t="n">
        <f aca="false">SUM(AH26:AJ26)</f>
        <v>0</v>
      </c>
      <c r="AL26" s="16" t="n">
        <f aca="false">ROUNDUP(IF(N26=1,O26*$O$53,0)+IF(N26=2,O26*$O$54,0)+IF(N26=3,O26*$O$55,0)+IF(N26=4,O26*$O$56,0)+IF(N26=5,O26*$O$57,0)+IF(N26=6,O26*$O$58+IF(N26=7,O26*$O$59,0)+IF(N26=8,O26*$O$60,0)+IF(N26=9,O26*$O$61+IF(N26=10,O26*$O$62,0),0),0),0)</f>
        <v>0</v>
      </c>
      <c r="AM26" s="16" t="n">
        <f aca="false">ROUNDUP(IF(P26=1,Q26*$Q$53,0)+IF(P26=2,Q26*$Q$54,0)+IF(P26=3,Q26*$Q$55,0)+IF(P26=4,Q26*$Q$56,0)+IF(P26=5,Q26*$Q$57,0)+IF(P26=6,Q26*$Q$58+IF(P26=7,Q26*$Q$59,0)+IF(P26=8,Q26*$Q$60,0)+IF(P26=9,Q26*$Q$61+IF(P26=10,Q26*$Q$62,0),0),0),0)</f>
        <v>0</v>
      </c>
      <c r="AN26" s="16" t="n">
        <f aca="false">ROUNDUP(IF(R26=1,S26*$S$53,0)+IF(R26=2,S26*$S$54,0)+IF(R26=3,S26*$S$55,0)+IF(R26=4,S26*$S$56,0)+IF(R26=5,S26*$S$57,0)+IF(R26=6,S26*$S$58+IF(R26=7,S26*$S$59,0)+IF(R26=8,S26*$S$60,0)+IF(R26=9,S26*$S$61+IF(R26=10,S26*$S$62,0),0),0),0)</f>
        <v>0</v>
      </c>
      <c r="AO26" s="1142" t="n">
        <f aca="false">SUM(AL26:AN26)*1.12</f>
        <v>0</v>
      </c>
      <c r="AP26" s="2237" t="n">
        <f aca="false">IF(L26=0,0,(L26/12+L26/12)/(L26/12*L26/12)*C26*((K26/16*K26/16)*10.6870159))*(1+J$78)+IF(J26=0,0,(J26/12+J26/12)/(J26/12*J26/12)*C26*((I26/16*I26/16)*10.6870159))*(1+J$78)</f>
        <v>0</v>
      </c>
      <c r="AQ26" s="1142" t="n">
        <f aca="false">M26*(1+J$79)</f>
        <v>0</v>
      </c>
      <c r="AS26" s="16" t="n">
        <f aca="false">IF(M26="y",C26,0)</f>
        <v>0</v>
      </c>
      <c r="AT26" s="1142" t="n">
        <f aca="false">IF($G26=1,$U26,0)</f>
        <v>0</v>
      </c>
      <c r="AU26" s="16" t="n">
        <f aca="false">IF($G26=2,$U26,0)</f>
        <v>0</v>
      </c>
      <c r="AV26" s="16" t="n">
        <f aca="false">IF($G26=3,$U26,0)</f>
        <v>0</v>
      </c>
      <c r="AW26" s="16" t="n">
        <f aca="false">IF($G26=4,$U26,0)</f>
        <v>0</v>
      </c>
      <c r="AX26" s="16" t="n">
        <f aca="false">IF($G26=5,$U26,0)</f>
        <v>0</v>
      </c>
      <c r="AY26" s="16" t="n">
        <f aca="false">IF($G26=6,$U26,0)</f>
        <v>0</v>
      </c>
      <c r="AZ26" s="16" t="n">
        <f aca="false">IF($G26=7,$U26,0)</f>
        <v>0</v>
      </c>
      <c r="BA26" s="16" t="n">
        <f aca="false">IF($G26=8,$U26,0)</f>
        <v>0</v>
      </c>
      <c r="BB26" s="16" t="n">
        <f aca="false">IF($G26=9,$U26,0)</f>
        <v>0</v>
      </c>
      <c r="BC26" s="1116" t="n">
        <f aca="false">IF($G26=10,$U26,0)</f>
        <v>0</v>
      </c>
      <c r="BD26" s="16" t="n">
        <f aca="false">SUM(AT26:AY26)</f>
        <v>0</v>
      </c>
      <c r="BE26" s="600" t="n">
        <f aca="false">IF(F26="N",0,C26)</f>
        <v>0</v>
      </c>
      <c r="BF26" s="16" t="n">
        <f aca="false">IF(N26=1,O26*$U$53,0)+IF(N26=2,O26*$U$54,0)+IF(N26=3,O26*$U$55,0)+IF(N26=4,O26*$U$60,0)+IF(N26=5,O26*$U$61,0)+IF(N26=6,O26*$U$62,0)</f>
        <v>0</v>
      </c>
      <c r="BG26" s="16" t="n">
        <f aca="false">IF(P26=1,Q26*$U$53,0)+IF(P26=2,Q26*$U$54,0)+IF(P26=3,Q26*$U$55,0)+IF(P26=4,Q26*$U$60,0)+IF(P26=5,Q26*$U$61,0)+IF(P26=6,Q26*$U$62,0)</f>
        <v>0</v>
      </c>
      <c r="BH26" s="16" t="n">
        <f aca="false">IF(R26=1,S26*$U$53,0)+IF(R26=2,S26*$U$54,0)+IF(R26=3,S26*$U$55,0)+IF(R26=4,S26*$U$60,0)+IF(R26=5,S26*$U$61,0)+IF(R26=6,S26*$U$62,0)</f>
        <v>0</v>
      </c>
      <c r="BI26" s="506" t="n">
        <f aca="false">SUM(BJ26:CC27)</f>
        <v>0</v>
      </c>
      <c r="BJ26" s="2375" t="n">
        <f aca="false">(AT26*Pricing!F$3+AU26*Pricing!G$3+AV26*Pricing!H$3+AW26*Pricing!I$3+AX26*Pricing!J$3+AY26*Pricing!K$3+AZ26*Pricing!L$3+BA26*Pricing!M$3+BB26*Pricing!M$3+BC26*Pricing!O$3)*IF(T$64="N",(1+V$64),1)</f>
        <v>0</v>
      </c>
      <c r="BK26" s="2096" t="n">
        <f aca="false">T26*F$78*IF(T$64="n",1+V$64,1)</f>
        <v>0</v>
      </c>
      <c r="BL26" s="2096" t="n">
        <f aca="false">IF(BE$50=0,0,IF(F26="y",N$80/BE$50*BE26,0))</f>
        <v>0</v>
      </c>
      <c r="BM26" s="2096" t="n">
        <f aca="false">IF(N$79=0,0,N$79/H$87*C26)</f>
        <v>0</v>
      </c>
      <c r="BN26" s="2376" t="n">
        <f aca="false">(C26*G$87)</f>
        <v>0</v>
      </c>
      <c r="BO26" s="2096" t="n">
        <f aca="false">H26*D$91</f>
        <v>0</v>
      </c>
      <c r="BP26" s="2096" t="n">
        <f aca="false">SUM(BF26:BH26)*D$92</f>
        <v>0</v>
      </c>
      <c r="BQ26" s="2096" t="n">
        <f aca="false">D$93*C26</f>
        <v>0</v>
      </c>
      <c r="BR26" s="2096" t="str">
        <f aca="false">IF(C26="","",(N$95+N$94)/H$87*C26)</f>
        <v/>
      </c>
      <c r="BS26" s="2096" t="n">
        <f aca="false">IF(C26=0,0,(T26/2000*D$96))</f>
        <v>0</v>
      </c>
      <c r="BT26" s="2377" t="str">
        <f aca="false">IF(C26="","",N$97/H$87*C26)</f>
        <v/>
      </c>
      <c r="BU26" s="2096" t="n">
        <f aca="false">IF(C26=0,0,SUM(N$100:O$103)/C$50*C26)</f>
        <v>0</v>
      </c>
      <c r="BV26" s="2096" t="n">
        <f aca="false">IF(C26=0,0,SUM(W$73:W$106)/C$50*C26)+IF(H$87=0,0,(N$84+N$83+N$82)/H$87*C26)</f>
        <v>0</v>
      </c>
      <c r="BW26" s="2096" t="n">
        <f aca="false">IF(C26=0,0,SUM(N$105:O$110)/C$50*C26)</f>
        <v>0</v>
      </c>
      <c r="BX26" s="2096" t="n">
        <f aca="false">IF(C26=0,0,SUM(N$112:O$118)/C$50)*C26</f>
        <v>0</v>
      </c>
      <c r="BY26" s="2096" t="n">
        <f aca="false">IF(C$50=0,0,SUM(W$107:W$118)/C$50*C26)</f>
        <v>0</v>
      </c>
      <c r="BZ26" s="2096" t="n">
        <f aca="false">IF(N$119=0,0,N$119/H$87*C26)</f>
        <v>0</v>
      </c>
      <c r="CA26" s="2096"/>
      <c r="CB26" s="2096" t="n">
        <f aca="false">AG26*F$81*IF(T$64="n",(1+V$64),1)</f>
        <v>0</v>
      </c>
      <c r="CC26" s="2378" t="n">
        <f aca="false">AQ26*F$79*IF(T$64="Y",1,1+V$64)</f>
        <v>0</v>
      </c>
      <c r="CP26" s="16" t="n">
        <f aca="false">A42</f>
        <v>0</v>
      </c>
      <c r="CQ26" s="16" t="n">
        <f aca="false">BF42+BG42+BH42+BH43+BG43+BF43</f>
        <v>0</v>
      </c>
      <c r="CR26" s="1037" t="n">
        <f aca="false">T42</f>
        <v>0</v>
      </c>
      <c r="CS26" s="1037" t="e">
        <f aca="false">H$100/H$87*(C42+C43)</f>
        <v>#DIV/0!</v>
      </c>
      <c r="CT26" s="16" t="n">
        <f aca="false">BE42+BE43</f>
        <v>0</v>
      </c>
    </row>
    <row r="27" customFormat="false" ht="19.5" hidden="false" customHeight="true" outlineLevel="0" collapsed="false">
      <c r="A27" s="2379"/>
      <c r="B27" s="2405"/>
      <c r="C27" s="2406"/>
      <c r="D27" s="1552"/>
      <c r="E27" s="1352"/>
      <c r="F27" s="1559"/>
      <c r="G27" s="1509"/>
      <c r="H27" s="2396"/>
      <c r="I27" s="1559"/>
      <c r="J27" s="1556"/>
      <c r="K27" s="1559"/>
      <c r="L27" s="1556"/>
      <c r="M27" s="2381"/>
      <c r="N27" s="1559"/>
      <c r="O27" s="1556"/>
      <c r="P27" s="1559"/>
      <c r="Q27" s="1581"/>
      <c r="R27" s="2397"/>
      <c r="S27" s="2398"/>
      <c r="T27" s="2384"/>
      <c r="U27" s="2385"/>
      <c r="V27" s="2399"/>
      <c r="W27" s="2184"/>
      <c r="X27" s="2184"/>
      <c r="Y27" s="1414"/>
      <c r="AH27" s="1142" t="n">
        <f aca="false">IF(N27=1,O27*$Q$53,0)+IF(N27=2,O27*$Q$54,0)+IF(N27=3,O27*$Q$55,0)+IF(N27=4,O27*$Q$60,0)+IF(N27=5,O27*$Q$61,0)+IF(N27=6,O27*$Q$62+IF(N27=7,O27*$Q$54,0)+IF(N27=8,O27*$Q$55,0)+IF(N27=9,O27*$Q$60,0)+IF(N27=10,O27*$Q$61,0),0)</f>
        <v>0</v>
      </c>
      <c r="AI27" s="16" t="n">
        <f aca="false">IF(P27=1,Q27*$Q$53,0)+IF(P27=2,Q27*$Q$54,0)+IF(P27=3,Q27*$Q$55,0)+IF(P27=4,Q27*$Q$60,0)+IF(P27=5,Q27*$Q$61,0)+IF(P27=6,Q27*$Q$62+IF(P27=7,Q27*$Q$54,0)+IF(P27=8,Q27*$Q$55,0)+IF(P27=9,Q27*$Q$60,0)+IF(P27=10,Q27*$Q$61,0),0)</f>
        <v>0</v>
      </c>
      <c r="AJ27" s="16" t="n">
        <f aca="false">IF(R27=1,S27*$Q$53,0)+IF(R27=2,S27*$Q$54,0)+IF(R27=3,S27*$Q$55,0)+IF(R27=4,S27*$Q$60,0)+IF(R27=5,S27*$Q$61,0)+IF(R27=6,S27*$Q$62+IF(R27=7,S27*$Q$54,0)+IF(R27=8,S27*$Q$55,0)+IF(R27=9,S27*$Q$60,0)+IF(R27=10,S27*$Q$61,0),0)</f>
        <v>0</v>
      </c>
      <c r="AK27" s="1116" t="n">
        <f aca="false">SUM(AH27:AJ27)</f>
        <v>0</v>
      </c>
      <c r="AL27" s="16" t="n">
        <f aca="false">ROUNDUP(IF(N27=1,O27*$O$53,0)+IF(N27=2,O27*$O$54,0)+IF(N27=3,O27*$O$55,0)+IF(N27=4,O27*$O$56,0)+IF(N27=5,O27*$O$57,0)+IF(N27=6,O27*$O$58+IF(N27=7,O27*$O$59,0)+IF(N27=8,O27*$O$60,0)+IF(N27=9,O27*$O$61+IF(N27=10,O27*$O$62,0),0),0),0)</f>
        <v>0</v>
      </c>
      <c r="AM27" s="16" t="n">
        <f aca="false">ROUNDUP(IF(P27=1,Q27*$Q$53,0)+IF(P27=2,Q27*$Q$54,0)+IF(P27=3,Q27*$Q$55,0)+IF(P27=4,Q27*$Q$56,0)+IF(P27=5,Q27*$Q$57,0)+IF(P27=6,Q27*$Q$58+IF(P27=7,Q27*$Q$59,0)+IF(P27=8,Q27*$Q$60,0)+IF(P27=9,Q27*$Q$61+IF(P27=10,Q27*$Q$62,0),0),0),0)</f>
        <v>0</v>
      </c>
      <c r="AN27" s="16" t="n">
        <f aca="false">ROUNDUP(IF(R27=1,S27*$S$53,0)+IF(R27=2,S27*$S$54,0)+IF(R27=3,S27*$S$55,0)+IF(R27=4,S27*$S$56,0)+IF(R27=5,S27*$S$57,0)+IF(R27=6,S27*$S$58+IF(R27=7,S27*$S$59,0)+IF(R27=8,S27*$S$60,0)+IF(R27=9,S27*$S$61+IF(R27=10,S27*$S$62,0),0),0),0)</f>
        <v>0</v>
      </c>
      <c r="AO27" s="1142" t="n">
        <f aca="false">SUM(AL27:AN27)*1.12</f>
        <v>0</v>
      </c>
      <c r="AP27" s="2237" t="n">
        <f aca="false">IF(L27=0,0,(L27/12+L27/12)/(L27/12*L27/12)*C27*((K27/16*K27/16)*10.6870159))*(1+J$78)+IF(J27=0,0,(J27/12+J27/12)/(J27/12*J27/12)*C27*((I27/16*I27/16)*10.6870159))*(1+J$78)</f>
        <v>0</v>
      </c>
      <c r="AQ27" s="1142" t="n">
        <f aca="false">M27*(1+J$79)</f>
        <v>0</v>
      </c>
      <c r="AS27" s="16" t="n">
        <f aca="false">IF(X8="y",C27,0)</f>
        <v>0</v>
      </c>
      <c r="AT27" s="1142" t="n">
        <f aca="false">IF($G27=1,$U27,0)</f>
        <v>0</v>
      </c>
      <c r="AU27" s="16" t="n">
        <f aca="false">IF($G27=2,$U27,0)</f>
        <v>0</v>
      </c>
      <c r="AV27" s="16" t="n">
        <f aca="false">IF($G27=3,$U27,0)</f>
        <v>0</v>
      </c>
      <c r="AW27" s="16" t="n">
        <f aca="false">IF($G27=4,$U27,0)</f>
        <v>0</v>
      </c>
      <c r="AX27" s="16" t="n">
        <f aca="false">IF($G27=5,$U27,0)</f>
        <v>0</v>
      </c>
      <c r="AY27" s="16" t="n">
        <f aca="false">IF($G27=6,$U27,0)</f>
        <v>0</v>
      </c>
      <c r="AZ27" s="16" t="n">
        <f aca="false">IF($G27=7,$U27,0)</f>
        <v>0</v>
      </c>
      <c r="BA27" s="16" t="n">
        <f aca="false">IF($G27=8,$U27,0)</f>
        <v>0</v>
      </c>
      <c r="BB27" s="16" t="n">
        <f aca="false">IF($G27=9,$U27,0)</f>
        <v>0</v>
      </c>
      <c r="BC27" s="1116" t="n">
        <f aca="false">IF($G27=10,$U27,0)</f>
        <v>0</v>
      </c>
      <c r="BD27" s="16" t="n">
        <f aca="false">SUM(AT27:AY27)</f>
        <v>0</v>
      </c>
      <c r="BE27" s="600" t="n">
        <f aca="false">IF(F27="N",0,C27)</f>
        <v>0</v>
      </c>
      <c r="BF27" s="16" t="n">
        <f aca="false">IF(N27=1,O27*$U$53,0)+IF(N27=2,O27*$U$54,0)+IF(N27=3,O27*$U$55,0)+IF(N27=4,O27*$U$60,0)+IF(N27=5,O27*$U$61,0)+IF(N27=6,O27*$U$62,0)</f>
        <v>0</v>
      </c>
      <c r="BG27" s="16" t="n">
        <f aca="false">IF(P27=1,Q27*$U$53,0)+IF(P27=2,Q27*$U$54,0)+IF(P27=3,Q27*$U$55,0)+IF(P27=4,Q27*$U$60,0)+IF(P27=5,Q27*$U$61,0)+IF(P27=6,Q27*$U$62,0)</f>
        <v>0</v>
      </c>
      <c r="BH27" s="16" t="n">
        <f aca="false">IF(R27=1,S27*$U$53,0)+IF(R27=2,S27*$U$54,0)+IF(R27=3,S27*$U$55,0)+IF(R27=4,S27*$U$60,0)+IF(R27=5,S27*$U$61,0)+IF(R27=6,S27*$U$62,0)</f>
        <v>0</v>
      </c>
      <c r="BI27" s="506"/>
      <c r="BJ27" s="2375" t="n">
        <f aca="false">(AT27*Pricing!F$3+AU27*Pricing!G$3+AV27*Pricing!H$3+AW27*Pricing!I$3+AX27*Pricing!J$3+AY27*Pricing!K$3+AZ27*Pricing!L$3+BA27*Pricing!M$3+BB27*Pricing!M$3+BC27*Pricing!O$3)*IF(T$64="N",(1+V$64),1)</f>
        <v>0</v>
      </c>
      <c r="BK27" s="2096" t="n">
        <f aca="false">T27*F$78*IF(T$64="n",1+V$64,1)</f>
        <v>0</v>
      </c>
      <c r="BL27" s="2096" t="n">
        <f aca="false">IF(BE$50=0,0,IF(F27="y",N$80/BE$50*BE27,0))</f>
        <v>0</v>
      </c>
      <c r="BM27" s="2096" t="n">
        <f aca="false">IF(N$79=0,0,N$79/H$87*C27)</f>
        <v>0</v>
      </c>
      <c r="BN27" s="2376" t="n">
        <f aca="false">(C27*G$87)</f>
        <v>0</v>
      </c>
      <c r="BO27" s="2096" t="n">
        <f aca="false">H27*D$91</f>
        <v>0</v>
      </c>
      <c r="BP27" s="2096" t="n">
        <f aca="false">SUM(BF27:BH27)*D$92</f>
        <v>0</v>
      </c>
      <c r="BQ27" s="2096" t="n">
        <f aca="false">D$93*C27</f>
        <v>0</v>
      </c>
      <c r="BR27" s="2096" t="str">
        <f aca="false">IF(C27="","",(N$95+N$94)/H$87*C27)</f>
        <v/>
      </c>
      <c r="BS27" s="2096" t="n">
        <f aca="false">IF(C27=0,0,(T27/2000*D$96))</f>
        <v>0</v>
      </c>
      <c r="BT27" s="2377" t="str">
        <f aca="false">IF(C27="","",N$97/H$87*C27)</f>
        <v/>
      </c>
      <c r="BU27" s="2096" t="n">
        <f aca="false">IF(C27=0,0,SUM(N$100:O$103)/C$50*C27)</f>
        <v>0</v>
      </c>
      <c r="BV27" s="2096" t="n">
        <f aca="false">IF(C27=0,0,SUM(W$73:W$106)/C$50*C27)+IF(H$87=0,0,(N$84+N$83+N$82)/H$87*C27)</f>
        <v>0</v>
      </c>
      <c r="BW27" s="2096" t="n">
        <f aca="false">IF(C27=0,0,SUM(N$105:O$110)/C$50*C27)</f>
        <v>0</v>
      </c>
      <c r="BX27" s="2096" t="n">
        <f aca="false">IF(C27=0,0,SUM(N$112:O$118)/C$50)*C27</f>
        <v>0</v>
      </c>
      <c r="BY27" s="2096" t="n">
        <f aca="false">IF(C$50=0,0,SUM(W$107:W$118)/C$50*C27)</f>
        <v>0</v>
      </c>
      <c r="BZ27" s="2096" t="n">
        <f aca="false">IF(N$119=0,0,N$119/H$87*C27)</f>
        <v>0</v>
      </c>
      <c r="CA27" s="2096"/>
      <c r="CB27" s="2096" t="n">
        <f aca="false">AG27*F$81*IF(T$64="n",(1+V$64),1)</f>
        <v>0</v>
      </c>
      <c r="CC27" s="2378" t="n">
        <f aca="false">AQ27*F$79*IF(T$64="Y",1,1+V$64)</f>
        <v>0</v>
      </c>
      <c r="CP27" s="16" t="n">
        <f aca="false">A44</f>
        <v>0</v>
      </c>
      <c r="CQ27" s="16" t="n">
        <f aca="false">BF44+BG44+BH44+BH45+BG45+BF45</f>
        <v>0</v>
      </c>
      <c r="CR27" s="1037" t="n">
        <f aca="false">T44</f>
        <v>0</v>
      </c>
      <c r="CS27" s="1037" t="e">
        <f aca="false">H$100/H$87*(C44+C45)</f>
        <v>#DIV/0!</v>
      </c>
      <c r="CT27" s="16" t="n">
        <f aca="false">BE44+BE45</f>
        <v>0</v>
      </c>
    </row>
    <row r="28" customFormat="false" ht="19.5" hidden="false" customHeight="true" outlineLevel="0" collapsed="false">
      <c r="A28" s="2402"/>
      <c r="B28" s="2403"/>
      <c r="C28" s="2407"/>
      <c r="D28" s="1508"/>
      <c r="E28" s="1356"/>
      <c r="F28" s="1511"/>
      <c r="G28" s="1553"/>
      <c r="H28" s="2389"/>
      <c r="I28" s="1511"/>
      <c r="J28" s="1512"/>
      <c r="K28" s="1511"/>
      <c r="L28" s="1512"/>
      <c r="M28" s="2390"/>
      <c r="N28" s="1511"/>
      <c r="O28" s="1512"/>
      <c r="P28" s="1511"/>
      <c r="Q28" s="2391"/>
      <c r="R28" s="2392"/>
      <c r="S28" s="2393"/>
      <c r="T28" s="1515" t="n">
        <f aca="false">SUM(AO28:AP29)</f>
        <v>0</v>
      </c>
      <c r="U28" s="1516" t="n">
        <f aca="false">((((C28*E28/324)+(C29*E29/324))*(1+J$73))+AK28+AK29)</f>
        <v>0</v>
      </c>
      <c r="V28" s="2386" t="n">
        <f aca="false">IF(C28=0,0,W28/(C28+C29))</f>
        <v>0</v>
      </c>
      <c r="W28" s="2184" t="n">
        <f aca="false">(IF(SUM(BJ28:CC29)=0,0,SUM(BJ28:CC29)-BZ28-BZ29))*(1+L$65)</f>
        <v>0</v>
      </c>
      <c r="X28" s="2184"/>
      <c r="Y28" s="1414"/>
      <c r="AH28" s="1142" t="n">
        <f aca="false">IF(N28=1,O28*$Q$53,0)+IF(N28=2,O28*$Q$54,0)+IF(N28=3,O28*$Q$55,0)+IF(N28=4,O28*$Q$60,0)+IF(N28=5,O28*$Q$61,0)+IF(N28=6,O28*$Q$62+IF(N28=7,O28*$Q$54,0)+IF(N28=8,O28*$Q$55,0)+IF(N28=9,O28*$Q$60,0)+IF(N28=10,O28*$Q$61,0),0)</f>
        <v>0</v>
      </c>
      <c r="AI28" s="16" t="n">
        <f aca="false">IF(P28=1,Q28*$Q$53,0)+IF(P28=2,Q28*$Q$54,0)+IF(P28=3,Q28*$Q$55,0)+IF(P28=4,Q28*$Q$60,0)+IF(P28=5,Q28*$Q$61,0)+IF(P28=6,Q28*$Q$62+IF(P28=7,Q28*$Q$54,0)+IF(P28=8,Q28*$Q$55,0)+IF(P28=9,Q28*$Q$60,0)+IF(P28=10,Q28*$Q$61,0),0)</f>
        <v>0</v>
      </c>
      <c r="AJ28" s="16" t="n">
        <f aca="false">IF(R28=1,S28*$Q$53,0)+IF(R28=2,S28*$Q$54,0)+IF(R28=3,S28*$Q$55,0)+IF(R28=4,S28*$Q$60,0)+IF(R28=5,S28*$Q$61,0)+IF(R28=6,S28*$Q$62+IF(R28=7,S28*$Q$54,0)+IF(R28=8,S28*$Q$55,0)+IF(R28=9,S28*$Q$60,0)+IF(R28=10,S28*$Q$61,0),0)</f>
        <v>0</v>
      </c>
      <c r="AK28" s="1116" t="n">
        <f aca="false">SUM(AH28:AJ28)</f>
        <v>0</v>
      </c>
      <c r="AL28" s="16" t="n">
        <f aca="false">ROUNDUP(IF(N28=1,O28*$O$53,0)+IF(N28=2,O28*$O$54,0)+IF(N28=3,O28*$O$55,0)+IF(N28=4,O28*$O$56,0)+IF(N28=5,O28*$O$57,0)+IF(N28=6,O28*$O$58+IF(N28=7,O28*$O$59,0)+IF(N28=8,O28*$O$60,0)+IF(N28=9,O28*$O$61+IF(N28=10,O28*$O$62,0),0),0),0)</f>
        <v>0</v>
      </c>
      <c r="AM28" s="16" t="n">
        <f aca="false">ROUNDUP(IF(P28=1,Q28*$Q$53,0)+IF(P28=2,Q28*$Q$54,0)+IF(P28=3,Q28*$Q$55,0)+IF(P28=4,Q28*$Q$56,0)+IF(P28=5,Q28*$Q$57,0)+IF(P28=6,Q28*$Q$58+IF(P28=7,Q28*$Q$59,0)+IF(P28=8,Q28*$Q$60,0)+IF(P28=9,Q28*$Q$61+IF(P28=10,Q28*$Q$62,0),0),0),0)</f>
        <v>0</v>
      </c>
      <c r="AN28" s="16" t="n">
        <f aca="false">ROUNDUP(IF(R28=1,S28*$S$53,0)+IF(R28=2,S28*$S$54,0)+IF(R28=3,S28*$S$55,0)+IF(R28=4,S28*$S$56,0)+IF(R28=5,S28*$S$57,0)+IF(R28=6,S28*$S$58+IF(R28=7,S28*$S$59,0)+IF(R28=8,S28*$S$60,0)+IF(R28=9,S28*$S$61+IF(R28=10,S28*$S$62,0),0),0),0)</f>
        <v>0</v>
      </c>
      <c r="AO28" s="1142" t="n">
        <f aca="false">SUM(AL28:AN28)*1.12</f>
        <v>0</v>
      </c>
      <c r="AP28" s="2237" t="n">
        <f aca="false">IF(L28=0,0,(L28/12+L28/12)/(L28/12*L28/12)*C28*((K28/16*K28/16)*10.6870159))*(1+J$78)+IF(J28=0,0,(J28/12+J28/12)/(J28/12*J28/12)*C28*((I28/16*I28/16)*10.6870159))*(1+J$78)</f>
        <v>0</v>
      </c>
      <c r="AQ28" s="1142" t="n">
        <f aca="false">M28*(1+J$79)</f>
        <v>0</v>
      </c>
      <c r="AS28" s="16" t="n">
        <f aca="false">IF(M28="y",C28,0)</f>
        <v>0</v>
      </c>
      <c r="AT28" s="1142" t="n">
        <f aca="false">IF($G28=1,$U28,0)</f>
        <v>0</v>
      </c>
      <c r="AU28" s="16" t="n">
        <f aca="false">IF($G28=2,$U28,0)</f>
        <v>0</v>
      </c>
      <c r="AV28" s="16" t="n">
        <f aca="false">IF($G28=3,$U28,0)</f>
        <v>0</v>
      </c>
      <c r="AW28" s="16" t="n">
        <f aca="false">IF($G28=4,$U28,0)</f>
        <v>0</v>
      </c>
      <c r="AX28" s="16" t="n">
        <f aca="false">IF($G28=5,$U28,0)</f>
        <v>0</v>
      </c>
      <c r="AY28" s="16" t="n">
        <f aca="false">IF($G28=6,$U28,0)</f>
        <v>0</v>
      </c>
      <c r="AZ28" s="16" t="n">
        <f aca="false">IF($G28=7,$U28,0)</f>
        <v>0</v>
      </c>
      <c r="BA28" s="16" t="n">
        <f aca="false">IF($G28=8,$U28,0)</f>
        <v>0</v>
      </c>
      <c r="BB28" s="16" t="n">
        <f aca="false">IF($G28=9,$U28,0)</f>
        <v>0</v>
      </c>
      <c r="BC28" s="1116" t="n">
        <f aca="false">IF($G28=10,$U28,0)</f>
        <v>0</v>
      </c>
      <c r="BD28" s="16" t="n">
        <f aca="false">SUM(AT28:AY28)</f>
        <v>0</v>
      </c>
      <c r="BE28" s="600" t="n">
        <f aca="false">IF(F28="N",0,C28)</f>
        <v>0</v>
      </c>
      <c r="BF28" s="16" t="n">
        <f aca="false">IF(N28=1,O28*$U$53,0)+IF(N28=2,O28*$U$54,0)+IF(N28=3,O28*$U$55,0)+IF(N28=4,O28*$U$60,0)+IF(N28=5,O28*$U$61,0)+IF(N28=6,O28*$U$62,0)</f>
        <v>0</v>
      </c>
      <c r="BG28" s="16" t="n">
        <f aca="false">IF(P28=1,Q28*$U$53,0)+IF(P28=2,Q28*$U$54,0)+IF(P28=3,Q28*$U$55,0)+IF(P28=4,Q28*$U$60,0)+IF(P28=5,Q28*$U$61,0)+IF(P28=6,Q28*$U$62,0)</f>
        <v>0</v>
      </c>
      <c r="BH28" s="16" t="n">
        <f aca="false">IF(R28=1,S28*$U$53,0)+IF(R28=2,S28*$U$54,0)+IF(R28=3,S28*$U$55,0)+IF(R28=4,S28*$U$60,0)+IF(R28=5,S28*$U$61,0)+IF(R28=6,S28*$U$62,0)</f>
        <v>0</v>
      </c>
      <c r="BI28" s="506" t="n">
        <f aca="false">SUM(BJ28:CC29)</f>
        <v>0</v>
      </c>
      <c r="BJ28" s="2375" t="n">
        <f aca="false">(AT28*Pricing!F$3+AU28*Pricing!G$3+AV28*Pricing!H$3+AW28*Pricing!I$3+AX28*Pricing!J$3+AY28*Pricing!K$3+AZ28*Pricing!L$3+BA28*Pricing!M$3+BB28*Pricing!M$3+BC28*Pricing!O$3)*IF(T$64="N",(1+V$64),1)</f>
        <v>0</v>
      </c>
      <c r="BK28" s="2096" t="n">
        <f aca="false">T28*F$78*IF(T$64="n",1+V$64,1)</f>
        <v>0</v>
      </c>
      <c r="BL28" s="2096" t="n">
        <f aca="false">IF(BE$50=0,0,IF(F28="y",N$80/BE$50*BE28,0))</f>
        <v>0</v>
      </c>
      <c r="BM28" s="2096" t="n">
        <f aca="false">IF(N$79=0,0,N$79/H$87*C28)</f>
        <v>0</v>
      </c>
      <c r="BN28" s="2376" t="n">
        <f aca="false">(C28*G$87)</f>
        <v>0</v>
      </c>
      <c r="BO28" s="2096" t="n">
        <f aca="false">H28*D$91</f>
        <v>0</v>
      </c>
      <c r="BP28" s="2096" t="n">
        <f aca="false">SUM(BF28:BH28)*D$92</f>
        <v>0</v>
      </c>
      <c r="BQ28" s="2096" t="n">
        <f aca="false">D$93*C28</f>
        <v>0</v>
      </c>
      <c r="BR28" s="2096" t="str">
        <f aca="false">IF(C28="","",(N$95+N$94)/H$87*C28)</f>
        <v/>
      </c>
      <c r="BS28" s="2096" t="n">
        <f aca="false">IF(C28=0,0,(T28/2000*D$96))</f>
        <v>0</v>
      </c>
      <c r="BT28" s="2377" t="str">
        <f aca="false">IF(C28="","",N$97/H$87*C28)</f>
        <v/>
      </c>
      <c r="BU28" s="2096" t="n">
        <f aca="false">IF(C28=0,0,SUM(N$100:O$103)/C$50*C28)</f>
        <v>0</v>
      </c>
      <c r="BV28" s="2096" t="n">
        <f aca="false">IF(C28=0,0,SUM(W$73:W$106)/C$50*C28)+IF(H$87=0,0,(N$84+N$83+N$82)/H$87*C28)</f>
        <v>0</v>
      </c>
      <c r="BW28" s="2096" t="n">
        <f aca="false">IF(C28=0,0,SUM(N$105:O$110)/C$50*C28)</f>
        <v>0</v>
      </c>
      <c r="BX28" s="2096" t="n">
        <f aca="false">IF(C28=0,0,SUM(N$112:O$118)/C$50)*C28</f>
        <v>0</v>
      </c>
      <c r="BY28" s="2096" t="n">
        <f aca="false">IF(C$50=0,0,SUM(W$107:W$118)/C$50*C28)</f>
        <v>0</v>
      </c>
      <c r="BZ28" s="2096" t="n">
        <f aca="false">IF(N$119=0,0,N$119/H$87*C28)</f>
        <v>0</v>
      </c>
      <c r="CA28" s="2096"/>
      <c r="CB28" s="2096" t="n">
        <f aca="false">AG28*F$81*IF(T$64="n",(1+V$64),1)</f>
        <v>0</v>
      </c>
      <c r="CC28" s="2378" t="n">
        <f aca="false">AQ28*F$79*IF(T$64="Y",1,1+V$64)</f>
        <v>0</v>
      </c>
      <c r="CP28" s="16" t="n">
        <f aca="false">A46</f>
        <v>0</v>
      </c>
      <c r="CQ28" s="16" t="n">
        <f aca="false">BF46+BG46+BH46+BH47+BG47+BF47</f>
        <v>0</v>
      </c>
      <c r="CR28" s="1037" t="n">
        <f aca="false">T46</f>
        <v>0</v>
      </c>
      <c r="CS28" s="1037" t="e">
        <f aca="false">H$100/H$87*(C46+C47)</f>
        <v>#DIV/0!</v>
      </c>
      <c r="CT28" s="16" t="n">
        <f aca="false">BE46+BE47</f>
        <v>0</v>
      </c>
    </row>
    <row r="29" customFormat="false" ht="19.5" hidden="false" customHeight="true" outlineLevel="0" collapsed="false">
      <c r="A29" s="2379"/>
      <c r="B29" s="2405"/>
      <c r="C29" s="2406"/>
      <c r="D29" s="1552"/>
      <c r="E29" s="1352"/>
      <c r="F29" s="1559"/>
      <c r="G29" s="1509"/>
      <c r="H29" s="2396"/>
      <c r="I29" s="1559"/>
      <c r="J29" s="1556"/>
      <c r="K29" s="1559"/>
      <c r="L29" s="1556"/>
      <c r="M29" s="2381"/>
      <c r="N29" s="1559"/>
      <c r="O29" s="1556"/>
      <c r="P29" s="1559"/>
      <c r="Q29" s="1581"/>
      <c r="R29" s="2397"/>
      <c r="S29" s="2398"/>
      <c r="T29" s="2384"/>
      <c r="U29" s="2385"/>
      <c r="V29" s="2399"/>
      <c r="W29" s="2184"/>
      <c r="X29" s="2184"/>
      <c r="Y29" s="1414"/>
      <c r="AH29" s="1142" t="n">
        <f aca="false">IF(N29=1,O29*$Q$53,0)+IF(N29=2,O29*$Q$54,0)+IF(N29=3,O29*$Q$55,0)+IF(N29=4,O29*$Q$60,0)+IF(N29=5,O29*$Q$61,0)+IF(N29=6,O29*$Q$62+IF(N29=7,O29*$Q$54,0)+IF(N29=8,O29*$Q$55,0)+IF(N29=9,O29*$Q$60,0)+IF(N29=10,O29*$Q$61,0),0)</f>
        <v>0</v>
      </c>
      <c r="AI29" s="16" t="n">
        <f aca="false">IF(P29=1,Q29*$Q$53,0)+IF(P29=2,Q29*$Q$54,0)+IF(P29=3,Q29*$Q$55,0)+IF(P29=4,Q29*$Q$60,0)+IF(P29=5,Q29*$Q$61,0)+IF(P29=6,Q29*$Q$62+IF(P29=7,Q29*$Q$54,0)+IF(P29=8,Q29*$Q$55,0)+IF(P29=9,Q29*$Q$60,0)+IF(P29=10,Q29*$Q$61,0),0)</f>
        <v>0</v>
      </c>
      <c r="AJ29" s="16" t="n">
        <f aca="false">IF(R29=1,S29*$Q$53,0)+IF(R29=2,S29*$Q$54,0)+IF(R29=3,S29*$Q$55,0)+IF(R29=4,S29*$Q$60,0)+IF(R29=5,S29*$Q$61,0)+IF(R29=6,S29*$Q$62+IF(R29=7,S29*$Q$54,0)+IF(R29=8,S29*$Q$55,0)+IF(R29=9,S29*$Q$60,0)+IF(R29=10,S29*$Q$61,0),0)</f>
        <v>0</v>
      </c>
      <c r="AK29" s="1116" t="n">
        <f aca="false">SUM(AH29:AJ29)</f>
        <v>0</v>
      </c>
      <c r="AL29" s="16" t="n">
        <f aca="false">ROUNDUP(IF(N29=1,O29*$O$53,0)+IF(N29=2,O29*$O$54,0)+IF(N29=3,O29*$O$55,0)+IF(N29=4,O29*$O$56,0)+IF(N29=5,O29*$O$57,0)+IF(N29=6,O29*$O$58+IF(N29=7,O29*$O$59,0)+IF(N29=8,O29*$O$60,0)+IF(N29=9,O29*$O$61+IF(N29=10,O29*$O$62,0),0),0),0)</f>
        <v>0</v>
      </c>
      <c r="AM29" s="16" t="n">
        <f aca="false">ROUNDUP(IF(P29=1,Q29*$Q$53,0)+IF(P29=2,Q29*$Q$54,0)+IF(P29=3,Q29*$Q$55,0)+IF(P29=4,Q29*$Q$56,0)+IF(P29=5,Q29*$Q$57,0)+IF(P29=6,Q29*$Q$58+IF(P29=7,Q29*$Q$59,0)+IF(P29=8,Q29*$Q$60,0)+IF(P29=9,Q29*$Q$61+IF(P29=10,Q29*$Q$62,0),0),0),0)</f>
        <v>0</v>
      </c>
      <c r="AN29" s="16" t="n">
        <f aca="false">ROUNDUP(IF(R29=1,S29*$S$53,0)+IF(R29=2,S29*$S$54,0)+IF(R29=3,S29*$S$55,0)+IF(R29=4,S29*$S$56,0)+IF(R29=5,S29*$S$57,0)+IF(R29=6,S29*$S$58+IF(R29=7,S29*$S$59,0)+IF(R29=8,S29*$S$60,0)+IF(R29=9,S29*$S$61+IF(R29=10,S29*$S$62,0),0),0),0)</f>
        <v>0</v>
      </c>
      <c r="AO29" s="1142" t="n">
        <f aca="false">SUM(AL29:AN29)*1.12</f>
        <v>0</v>
      </c>
      <c r="AP29" s="2237" t="n">
        <f aca="false">IF(L29=0,0,(L29/12+L29/12)/(L29/12*L29/12)*C29*((K29/16*K29/16)*10.6870159))*(1+J$78)+IF(J29=0,0,(J29/12+J29/12)/(J29/12*J29/12)*C29*((I29/16*I29/16)*10.6870159))*(1+J$78)</f>
        <v>0</v>
      </c>
      <c r="AQ29" s="1142" t="n">
        <f aca="false">M29*(1+J$79)</f>
        <v>0</v>
      </c>
      <c r="AS29" s="16" t="n">
        <f aca="false">IF(M29="y",C29,0)</f>
        <v>0</v>
      </c>
      <c r="AT29" s="1142" t="n">
        <f aca="false">IF($G29=1,$U29,0)</f>
        <v>0</v>
      </c>
      <c r="AU29" s="16" t="n">
        <f aca="false">IF($G29=2,$U29,0)</f>
        <v>0</v>
      </c>
      <c r="AV29" s="16" t="n">
        <f aca="false">IF($G29=3,$U29,0)</f>
        <v>0</v>
      </c>
      <c r="AW29" s="16" t="n">
        <f aca="false">IF($G29=4,$U29,0)</f>
        <v>0</v>
      </c>
      <c r="AX29" s="16" t="n">
        <f aca="false">IF($G29=5,$U29,0)</f>
        <v>0</v>
      </c>
      <c r="AY29" s="16" t="n">
        <f aca="false">IF($G29=6,$U29,0)</f>
        <v>0</v>
      </c>
      <c r="AZ29" s="16" t="n">
        <f aca="false">IF($G29=7,$U29,0)</f>
        <v>0</v>
      </c>
      <c r="BA29" s="16" t="n">
        <f aca="false">IF($G29=8,$U29,0)</f>
        <v>0</v>
      </c>
      <c r="BB29" s="16" t="n">
        <f aca="false">IF($G29=9,$U29,0)</f>
        <v>0</v>
      </c>
      <c r="BC29" s="1116" t="n">
        <f aca="false">IF($G29=10,$U29,0)</f>
        <v>0</v>
      </c>
      <c r="BD29" s="16" t="n">
        <f aca="false">SUM(AT29:AY29)</f>
        <v>0</v>
      </c>
      <c r="BE29" s="600" t="n">
        <f aca="false">IF(F29="N",0,C29)</f>
        <v>0</v>
      </c>
      <c r="BF29" s="16" t="n">
        <f aca="false">IF(N29=1,O29*$U$53,0)+IF(N29=2,O29*$U$54,0)+IF(N29=3,O29*$U$55,0)+IF(N29=4,O29*$U$60,0)+IF(N29=5,O29*$U$61,0)+IF(N29=6,O29*$U$62,0)</f>
        <v>0</v>
      </c>
      <c r="BG29" s="16" t="n">
        <f aca="false">IF(P29=1,Q29*$U$53,0)+IF(P29=2,Q29*$U$54,0)+IF(P29=3,Q29*$U$55,0)+IF(P29=4,Q29*$U$60,0)+IF(P29=5,Q29*$U$61,0)+IF(P29=6,Q29*$U$62,0)</f>
        <v>0</v>
      </c>
      <c r="BH29" s="16" t="n">
        <f aca="false">IF(R29=1,S29*$U$53,0)+IF(R29=2,S29*$U$54,0)+IF(R29=3,S29*$U$55,0)+IF(R29=4,S29*$U$60,0)+IF(R29=5,S29*$U$61,0)+IF(R29=6,S29*$U$62,0)</f>
        <v>0</v>
      </c>
      <c r="BI29" s="506"/>
      <c r="BJ29" s="2375" t="n">
        <f aca="false">(AT29*Pricing!F$3+AU29*Pricing!G$3+AV29*Pricing!H$3+AW29*Pricing!I$3+AX29*Pricing!J$3+AY29*Pricing!K$3+AZ29*Pricing!L$3+BA29*Pricing!M$3+BB29*Pricing!M$3+BC29*Pricing!O$3)*IF(T$64="N",(1+V$64),1)</f>
        <v>0</v>
      </c>
      <c r="BK29" s="2096" t="n">
        <f aca="false">T29*F$78*IF(T$64="n",1+V$64,1)</f>
        <v>0</v>
      </c>
      <c r="BL29" s="2096" t="n">
        <f aca="false">IF(BE$50=0,0,IF(F29="y",N$80/BE$50*BE29,0))</f>
        <v>0</v>
      </c>
      <c r="BM29" s="2096" t="n">
        <f aca="false">IF(N$79=0,0,N$79/H$87*C29)</f>
        <v>0</v>
      </c>
      <c r="BN29" s="2376" t="n">
        <f aca="false">(C29*G$87)</f>
        <v>0</v>
      </c>
      <c r="BO29" s="2096" t="n">
        <f aca="false">H29*D$91</f>
        <v>0</v>
      </c>
      <c r="BP29" s="2096" t="n">
        <f aca="false">SUM(BF29:BH29)*D$92</f>
        <v>0</v>
      </c>
      <c r="BQ29" s="2096" t="n">
        <f aca="false">D$93*C29</f>
        <v>0</v>
      </c>
      <c r="BR29" s="2096" t="str">
        <f aca="false">IF(C29="","",(N$95+N$94)/H$87*C29)</f>
        <v/>
      </c>
      <c r="BS29" s="2096" t="n">
        <f aca="false">IF(C29=0,0,(T29/2000*D$96))</f>
        <v>0</v>
      </c>
      <c r="BT29" s="2377" t="str">
        <f aca="false">IF(C29="","",N$97/H$87*C29)</f>
        <v/>
      </c>
      <c r="BU29" s="2096" t="n">
        <f aca="false">IF(C29=0,0,SUM(N$100:O$103)/C$50*C29)</f>
        <v>0</v>
      </c>
      <c r="BV29" s="2096" t="n">
        <f aca="false">IF(C29=0,0,SUM(W$73:W$106)/C$50*C29)+IF(H$87=0,0,(N$84+N$83+N$82)/H$87*C29)</f>
        <v>0</v>
      </c>
      <c r="BW29" s="2096" t="n">
        <f aca="false">IF(C29=0,0,SUM(N$105:O$110)/C$50*C29)</f>
        <v>0</v>
      </c>
      <c r="BX29" s="2096" t="n">
        <f aca="false">IF(C29=0,0,SUM(N$112:O$118)/C$50)*C29</f>
        <v>0</v>
      </c>
      <c r="BY29" s="2096" t="n">
        <f aca="false">IF(C$50=0,0,SUM(W$107:W$118)/C$50*C29)</f>
        <v>0</v>
      </c>
      <c r="BZ29" s="2096" t="n">
        <f aca="false">IF(N$119=0,0,N$119/H$87*C29)</f>
        <v>0</v>
      </c>
      <c r="CA29" s="2096"/>
      <c r="CB29" s="2096" t="n">
        <f aca="false">AG29*F$81*IF(T$64="n",(1+V$64),1)</f>
        <v>0</v>
      </c>
      <c r="CC29" s="2378" t="n">
        <f aca="false">AQ29*F$79*IF(T$64="Y",1,1+V$64)</f>
        <v>0</v>
      </c>
      <c r="CP29" s="16" t="n">
        <f aca="false">A48</f>
        <v>0</v>
      </c>
      <c r="CQ29" s="16" t="n">
        <f aca="false">BF48+BG48+BH48+BH49+BG49+BF49</f>
        <v>0</v>
      </c>
      <c r="CR29" s="1037" t="n">
        <f aca="false">T48</f>
        <v>0</v>
      </c>
      <c r="CS29" s="1037" t="e">
        <f aca="false">H$100/H$87*(C48+C49)</f>
        <v>#DIV/0!</v>
      </c>
      <c r="CT29" s="16" t="n">
        <f aca="false">BE48+BE49</f>
        <v>0</v>
      </c>
    </row>
    <row r="30" customFormat="false" ht="19.5" hidden="false" customHeight="true" outlineLevel="0" collapsed="false">
      <c r="A30" s="2402"/>
      <c r="B30" s="2403"/>
      <c r="C30" s="2407"/>
      <c r="D30" s="1508"/>
      <c r="E30" s="1356"/>
      <c r="F30" s="1511"/>
      <c r="G30" s="1553"/>
      <c r="H30" s="2389"/>
      <c r="I30" s="1511"/>
      <c r="J30" s="1512"/>
      <c r="K30" s="1511"/>
      <c r="L30" s="1512"/>
      <c r="M30" s="2390"/>
      <c r="N30" s="1511"/>
      <c r="O30" s="1512"/>
      <c r="P30" s="1511"/>
      <c r="Q30" s="2391"/>
      <c r="R30" s="2392"/>
      <c r="S30" s="2393"/>
      <c r="T30" s="1515" t="n">
        <f aca="false">SUM(AO30:AP31)</f>
        <v>0</v>
      </c>
      <c r="U30" s="1516" t="n">
        <f aca="false">((((C30*E30/324)+(C31*E31/324))*(1+J$73))+AK30+AK31)</f>
        <v>0</v>
      </c>
      <c r="V30" s="2386" t="n">
        <f aca="false">IF(C30=0,0,W30/(C30+C31))</f>
        <v>0</v>
      </c>
      <c r="W30" s="2184" t="n">
        <f aca="false">(IF(SUM(BJ30:CC31)=0,0,SUM(BJ30:CC31)-BZ30-BZ31))*(1+L$65)</f>
        <v>0</v>
      </c>
      <c r="X30" s="2184"/>
      <c r="Y30" s="1414"/>
      <c r="AH30" s="1142" t="n">
        <f aca="false">IF(N30=1,O30*$Q$53,0)+IF(N30=2,O30*$Q$54,0)+IF(N30=3,O30*$Q$55,0)+IF(N30=4,O30*$Q$60,0)+IF(N30=5,O30*$Q$61,0)+IF(N30=6,O30*$Q$62+IF(N30=7,O30*$Q$54,0)+IF(N30=8,O30*$Q$55,0)+IF(N30=9,O30*$Q$60,0)+IF(N30=10,O30*$Q$61,0),0)</f>
        <v>0</v>
      </c>
      <c r="AI30" s="16" t="n">
        <f aca="false">IF(P30=1,Q30*$Q$53,0)+IF(P30=2,Q30*$Q$54,0)+IF(P30=3,Q30*$Q$55,0)+IF(P30=4,Q30*$Q$60,0)+IF(P30=5,Q30*$Q$61,0)+IF(P30=6,Q30*$Q$62+IF(P30=7,Q30*$Q$54,0)+IF(P30=8,Q30*$Q$55,0)+IF(P30=9,Q30*$Q$60,0)+IF(P30=10,Q30*$Q$61,0),0)</f>
        <v>0</v>
      </c>
      <c r="AJ30" s="16" t="n">
        <f aca="false">IF(R30=1,S30*$Q$53,0)+IF(R30=2,S30*$Q$54,0)+IF(R30=3,S30*$Q$55,0)+IF(R30=4,S30*$Q$60,0)+IF(R30=5,S30*$Q$61,0)+IF(R30=6,S30*$Q$62+IF(R30=7,S30*$Q$54,0)+IF(R30=8,S30*$Q$55,0)+IF(R30=9,S30*$Q$60,0)+IF(R30=10,S30*$Q$61,0),0)</f>
        <v>0</v>
      </c>
      <c r="AK30" s="1116" t="n">
        <f aca="false">SUM(AH30:AJ30)</f>
        <v>0</v>
      </c>
      <c r="AL30" s="16" t="n">
        <f aca="false">ROUNDUP(IF(N30=1,O30*$O$53,0)+IF(N30=2,O30*$O$54,0)+IF(N30=3,O30*$O$55,0)+IF(N30=4,O30*$O$56,0)+IF(N30=5,O30*$O$57,0)+IF(N30=6,O30*$O$58+IF(N30=7,O30*$O$59,0)+IF(N30=8,O30*$O$60,0)+IF(N30=9,O30*$O$61+IF(N30=10,O30*$O$62,0),0),0),0)</f>
        <v>0</v>
      </c>
      <c r="AM30" s="16" t="n">
        <f aca="false">ROUNDUP(IF(P30=1,Q30*$Q$53,0)+IF(P30=2,Q30*$Q$54,0)+IF(P30=3,Q30*$Q$55,0)+IF(P30=4,Q30*$Q$56,0)+IF(P30=5,Q30*$Q$57,0)+IF(P30=6,Q30*$Q$58+IF(P30=7,Q30*$Q$59,0)+IF(P30=8,Q30*$Q$60,0)+IF(P30=9,Q30*$Q$61+IF(P30=10,Q30*$Q$62,0),0),0),0)</f>
        <v>0</v>
      </c>
      <c r="AN30" s="16" t="n">
        <f aca="false">ROUNDUP(IF(R30=1,S30*$S$53,0)+IF(R30=2,S30*$S$54,0)+IF(R30=3,S30*$S$55,0)+IF(R30=4,S30*$S$56,0)+IF(R30=5,S30*$S$57,0)+IF(R30=6,S30*$S$58+IF(R30=7,S30*$S$59,0)+IF(R30=8,S30*$S$60,0)+IF(R30=9,S30*$S$61+IF(R30=10,S30*$S$62,0),0),0),0)</f>
        <v>0</v>
      </c>
      <c r="AO30" s="1142" t="n">
        <f aca="false">SUM(AL30:AN30)*1.12</f>
        <v>0</v>
      </c>
      <c r="AP30" s="2237" t="n">
        <f aca="false">IF(L30=0,0,(L30/12+L30/12)/(L30/12*L30/12)*C30*((K30/16*K30/16)*10.6870159))*(1+J$78)+IF(J30=0,0,(J30/12+J30/12)/(J30/12*J30/12)*C30*((I30/16*I30/16)*10.6870159))*(1+J$78)</f>
        <v>0</v>
      </c>
      <c r="AQ30" s="1142" t="n">
        <f aca="false">M30*(1+J$79)</f>
        <v>0</v>
      </c>
      <c r="AS30" s="16" t="n">
        <f aca="false">IF(M30="y",C30,0)</f>
        <v>0</v>
      </c>
      <c r="AT30" s="1142" t="n">
        <f aca="false">IF($G30=1,$U30,0)</f>
        <v>0</v>
      </c>
      <c r="AU30" s="16" t="n">
        <f aca="false">IF($G30=2,$U30,0)</f>
        <v>0</v>
      </c>
      <c r="AV30" s="16" t="n">
        <f aca="false">IF($G30=3,$U30,0)</f>
        <v>0</v>
      </c>
      <c r="AW30" s="16" t="n">
        <f aca="false">IF($G30=4,$U30,0)</f>
        <v>0</v>
      </c>
      <c r="AX30" s="16" t="n">
        <f aca="false">IF($G30=5,$U30,0)</f>
        <v>0</v>
      </c>
      <c r="AY30" s="16" t="n">
        <f aca="false">IF($G30=6,$U30,0)</f>
        <v>0</v>
      </c>
      <c r="AZ30" s="16" t="n">
        <f aca="false">IF($G30=7,$U30,0)</f>
        <v>0</v>
      </c>
      <c r="BA30" s="16" t="n">
        <f aca="false">IF($G30=8,$U30,0)</f>
        <v>0</v>
      </c>
      <c r="BB30" s="16" t="n">
        <f aca="false">IF($G30=9,$U30,0)</f>
        <v>0</v>
      </c>
      <c r="BC30" s="1116" t="n">
        <f aca="false">IF($G30=10,$U30,0)</f>
        <v>0</v>
      </c>
      <c r="BD30" s="16" t="n">
        <f aca="false">SUM(AT30:AY30)</f>
        <v>0</v>
      </c>
      <c r="BE30" s="600" t="n">
        <f aca="false">IF(F30="N",0,C30)</f>
        <v>0</v>
      </c>
      <c r="BF30" s="16" t="n">
        <f aca="false">IF(N30=1,O30*$U$53,0)+IF(N30=2,O30*$U$54,0)+IF(N30=3,O30*$U$55,0)+IF(N30=4,O30*$U$60,0)+IF(N30=5,O30*$U$61,0)+IF(N30=6,O30*$U$62,0)</f>
        <v>0</v>
      </c>
      <c r="BG30" s="16" t="n">
        <f aca="false">IF(P30=1,Q30*$U$53,0)+IF(P30=2,Q30*$U$54,0)+IF(P30=3,Q30*$U$55,0)+IF(P30=4,Q30*$U$60,0)+IF(P30=5,Q30*$U$61,0)+IF(P30=6,Q30*$U$62,0)</f>
        <v>0</v>
      </c>
      <c r="BH30" s="16" t="n">
        <f aca="false">IF(R30=1,S30*$U$53,0)+IF(R30=2,S30*$U$54,0)+IF(R30=3,S30*$U$55,0)+IF(R30=4,S30*$U$60,0)+IF(R30=5,S30*$U$61,0)+IF(R30=6,S30*$U$62,0)</f>
        <v>0</v>
      </c>
      <c r="BI30" s="506" t="n">
        <f aca="false">SUM(BJ30:CC31)</f>
        <v>0</v>
      </c>
      <c r="BJ30" s="2375" t="n">
        <f aca="false">(AT30*Pricing!F$3+AU30*Pricing!G$3+AV30*Pricing!H$3+AW30*Pricing!I$3+AX30*Pricing!J$3+AY30*Pricing!K$3+AZ30*Pricing!L$3+BA30*Pricing!M$3+BB30*Pricing!M$3+BC30*Pricing!O$3)*IF(T$64="N",(1+V$64),1)</f>
        <v>0</v>
      </c>
      <c r="BK30" s="2096" t="n">
        <f aca="false">T30*F$78*IF(T$64="n",1+V$64,1)</f>
        <v>0</v>
      </c>
      <c r="BL30" s="2096" t="n">
        <f aca="false">IF(BE$50=0,0,IF(F30="y",N$80/BE$50*BE30,0))</f>
        <v>0</v>
      </c>
      <c r="BM30" s="2096" t="n">
        <f aca="false">IF(N$79=0,0,N$79/H$87*C30)</f>
        <v>0</v>
      </c>
      <c r="BN30" s="2376" t="n">
        <f aca="false">(C30*G$87)</f>
        <v>0</v>
      </c>
      <c r="BO30" s="2096" t="n">
        <f aca="false">H30*D$91</f>
        <v>0</v>
      </c>
      <c r="BP30" s="2096" t="n">
        <f aca="false">SUM(BF30:BH30)*D$92</f>
        <v>0</v>
      </c>
      <c r="BQ30" s="2096" t="n">
        <f aca="false">D$93*C30</f>
        <v>0</v>
      </c>
      <c r="BR30" s="2096" t="str">
        <f aca="false">IF(C30="","",(N$95+N$94)/H$87*C30)</f>
        <v/>
      </c>
      <c r="BS30" s="2096" t="n">
        <f aca="false">IF(C30=0,0,(T30/2000*D$96))</f>
        <v>0</v>
      </c>
      <c r="BT30" s="2377" t="str">
        <f aca="false">IF(C30="","",N$97/H$87*C30)</f>
        <v/>
      </c>
      <c r="BU30" s="2096" t="n">
        <f aca="false">IF(C30=0,0,SUM(N$100:O$103)/C$50*C30)</f>
        <v>0</v>
      </c>
      <c r="BV30" s="2096" t="n">
        <f aca="false">IF(C30=0,0,SUM(W$73:W$106)/C$50*C30)+IF(H$87=0,0,(N$84+N$83+N$82)/H$87*C30)</f>
        <v>0</v>
      </c>
      <c r="BW30" s="2096" t="n">
        <f aca="false">IF(C30=0,0,SUM(N$105:O$110)/C$50*C30)</f>
        <v>0</v>
      </c>
      <c r="BX30" s="2096" t="n">
        <f aca="false">IF(C30=0,0,SUM(N$112:O$118)/C$50)*C30</f>
        <v>0</v>
      </c>
      <c r="BY30" s="2096" t="n">
        <f aca="false">IF(C$50=0,0,SUM(W$107:W$118)/C$50*C30)</f>
        <v>0</v>
      </c>
      <c r="BZ30" s="2096" t="n">
        <f aca="false">IF(N$119=0,0,N$119/H$87*C30)</f>
        <v>0</v>
      </c>
      <c r="CA30" s="2096"/>
      <c r="CB30" s="2096" t="n">
        <f aca="false">AG30*F$81*IF(T$64="n",(1+V$64),1)</f>
        <v>0</v>
      </c>
      <c r="CC30" s="2378" t="n">
        <f aca="false">AQ30*F$79*IF(T$64="Y",1,1+V$64)</f>
        <v>0</v>
      </c>
      <c r="CP30" s="702"/>
      <c r="CQ30" s="702"/>
      <c r="CR30" s="2409"/>
      <c r="CS30" s="2409"/>
      <c r="CT30" s="702"/>
    </row>
    <row r="31" customFormat="false" ht="19.5" hidden="false" customHeight="true" outlineLevel="0" collapsed="false">
      <c r="A31" s="2379"/>
      <c r="B31" s="2405"/>
      <c r="C31" s="2406"/>
      <c r="D31" s="1552"/>
      <c r="E31" s="1352"/>
      <c r="F31" s="1559"/>
      <c r="G31" s="1509"/>
      <c r="H31" s="2396"/>
      <c r="I31" s="1559"/>
      <c r="J31" s="1556"/>
      <c r="K31" s="1559"/>
      <c r="L31" s="1556"/>
      <c r="M31" s="2381"/>
      <c r="N31" s="1559"/>
      <c r="O31" s="1556"/>
      <c r="P31" s="1559"/>
      <c r="Q31" s="1581"/>
      <c r="R31" s="2397"/>
      <c r="S31" s="2410"/>
      <c r="T31" s="2384"/>
      <c r="U31" s="2385"/>
      <c r="V31" s="2399"/>
      <c r="W31" s="2184"/>
      <c r="X31" s="2184"/>
      <c r="Y31" s="1414"/>
      <c r="AH31" s="1142" t="n">
        <f aca="false">IF(N31=1,O31*$Q$53,0)+IF(N31=2,O31*$Q$54,0)+IF(N31=3,O31*$Q$55,0)+IF(N31=4,O31*$Q$60,0)+IF(N31=5,O31*$Q$61,0)+IF(N31=6,O31*$Q$62+IF(N31=7,O31*$Q$54,0)+IF(N31=8,O31*$Q$55,0)+IF(N31=9,O31*$Q$60,0)+IF(N31=10,O31*$Q$61,0),0)</f>
        <v>0</v>
      </c>
      <c r="AI31" s="16" t="n">
        <f aca="false">IF(P31=1,Q31*$Q$53,0)+IF(P31=2,Q31*$Q$54,0)+IF(P31=3,Q31*$Q$55,0)+IF(P31=4,Q31*$Q$60,0)+IF(P31=5,Q31*$Q$61,0)+IF(P31=6,Q31*$Q$62+IF(P31=7,Q31*$Q$54,0)+IF(P31=8,Q31*$Q$55,0)+IF(P31=9,Q31*$Q$60,0)+IF(P31=10,Q31*$Q$61,0),0)</f>
        <v>0</v>
      </c>
      <c r="AJ31" s="16" t="n">
        <f aca="false">IF(R31=1,S31*$Q$53,0)+IF(R31=2,S31*$Q$54,0)+IF(R31=3,S31*$Q$55,0)+IF(R31=4,S31*$Q$60,0)+IF(R31=5,S31*$Q$61,0)+IF(R31=6,S31*$Q$62+IF(R31=7,S31*$Q$54,0)+IF(R31=8,S31*$Q$55,0)+IF(R31=9,S31*$Q$60,0)+IF(R31=10,S31*$Q$61,0),0)</f>
        <v>0</v>
      </c>
      <c r="AK31" s="1116" t="n">
        <f aca="false">SUM(AH31:AJ31)</f>
        <v>0</v>
      </c>
      <c r="AL31" s="16" t="n">
        <f aca="false">ROUNDUP(IF(N31=1,O31*$O$53,0)+IF(N31=2,O31*$O$54,0)+IF(N31=3,O31*$O$55,0)+IF(N31=4,O31*$O$56,0)+IF(N31=5,O31*$O$57,0)+IF(N31=6,O31*$O$58+IF(N31=7,O31*$O$59,0)+IF(N31=8,O31*$O$60,0)+IF(N31=9,O31*$O$61+IF(N31=10,O31*$O$62,0),0),0),0)</f>
        <v>0</v>
      </c>
      <c r="AM31" s="16" t="n">
        <f aca="false">ROUNDUP(IF(P31=1,Q31*$Q$53,0)+IF(P31=2,Q31*$Q$54,0)+IF(P31=3,Q31*$Q$55,0)+IF(P31=4,Q31*$Q$56,0)+IF(P31=5,Q31*$Q$57,0)+IF(P31=6,Q31*$Q$58+IF(P31=7,Q31*$Q$59,0)+IF(P31=8,Q31*$Q$60,0)+IF(P31=9,Q31*$Q$61+IF(P31=10,Q31*$Q$62,0),0),0),0)</f>
        <v>0</v>
      </c>
      <c r="AN31" s="16" t="n">
        <f aca="false">ROUNDUP(IF(R31=1,S31*$S$53,0)+IF(R31=2,S31*$S$54,0)+IF(R31=3,S31*$S$55,0)+IF(R31=4,S31*$S$56,0)+IF(R31=5,S31*$S$57,0)+IF(R31=6,S31*$S$58+IF(R31=7,S31*$S$59,0)+IF(R31=8,S31*$S$60,0)+IF(R31=9,S31*$S$61+IF(R31=10,S31*$S$62,0),0),0),0)</f>
        <v>0</v>
      </c>
      <c r="AO31" s="1142" t="n">
        <f aca="false">SUM(AL31:AN31)*1.12</f>
        <v>0</v>
      </c>
      <c r="AP31" s="2237" t="n">
        <f aca="false">IF(L31=0,0,(L31/12+L31/12)/(L31/12*L31/12)*C31*((K31/16*K31/16)*10.6870159))*(1+J$78)+IF(J31=0,0,(J31/12+J31/12)/(J31/12*J31/12)*C31*((I31/16*I31/16)*10.6870159))*(1+J$78)</f>
        <v>0</v>
      </c>
      <c r="AQ31" s="1142" t="n">
        <f aca="false">M31*(1+J$79)</f>
        <v>0</v>
      </c>
      <c r="AS31" s="16" t="n">
        <f aca="false">IF(M31="y",C31,0)</f>
        <v>0</v>
      </c>
      <c r="AT31" s="1142" t="n">
        <f aca="false">IF($G31=1,$U31,0)</f>
        <v>0</v>
      </c>
      <c r="AU31" s="16" t="n">
        <f aca="false">IF($G31=2,$U31,0)</f>
        <v>0</v>
      </c>
      <c r="AV31" s="16" t="n">
        <f aca="false">IF($G31=3,$U31,0)</f>
        <v>0</v>
      </c>
      <c r="AW31" s="16" t="n">
        <f aca="false">IF($G31=4,$U31,0)</f>
        <v>0</v>
      </c>
      <c r="AX31" s="16" t="n">
        <f aca="false">IF($G31=5,$U31,0)</f>
        <v>0</v>
      </c>
      <c r="AY31" s="16" t="n">
        <f aca="false">IF($G31=6,$U31,0)</f>
        <v>0</v>
      </c>
      <c r="AZ31" s="16" t="n">
        <f aca="false">IF($G31=7,$U31,0)</f>
        <v>0</v>
      </c>
      <c r="BA31" s="16" t="n">
        <f aca="false">IF($G31=8,$U31,0)</f>
        <v>0</v>
      </c>
      <c r="BB31" s="16" t="n">
        <f aca="false">IF($G31=9,$U31,0)</f>
        <v>0</v>
      </c>
      <c r="BC31" s="1116" t="n">
        <f aca="false">IF($G31=10,$U31,0)</f>
        <v>0</v>
      </c>
      <c r="BD31" s="16" t="n">
        <f aca="false">SUM(AT31:AY31)</f>
        <v>0</v>
      </c>
      <c r="BE31" s="600" t="n">
        <f aca="false">IF(F31="N",0,C31)</f>
        <v>0</v>
      </c>
      <c r="BF31" s="16" t="n">
        <f aca="false">IF(N31=1,O31*$U$53,0)+IF(N31=2,O31*$U$54,0)+IF(N31=3,O31*$U$55,0)+IF(N31=4,O31*$U$60,0)+IF(N31=5,O31*$U$61,0)+IF(N31=6,O31*$U$62,0)</f>
        <v>0</v>
      </c>
      <c r="BG31" s="16" t="n">
        <f aca="false">IF(P31=1,Q31*$U$53,0)+IF(P31=2,Q31*$U$54,0)+IF(P31=3,Q31*$U$55,0)+IF(P31=4,Q31*$U$60,0)+IF(P31=5,Q31*$U$61,0)+IF(P31=6,Q31*$U$62,0)</f>
        <v>0</v>
      </c>
      <c r="BH31" s="16" t="n">
        <f aca="false">IF(R31=1,S31*$U$53,0)+IF(R31=2,S31*$U$54,0)+IF(R31=3,S31*$U$55,0)+IF(R31=4,S31*$U$60,0)+IF(R31=5,S31*$U$61,0)+IF(R31=6,S31*$U$62,0)</f>
        <v>0</v>
      </c>
      <c r="BI31" s="506"/>
      <c r="BJ31" s="2375" t="n">
        <f aca="false">(AT31*Pricing!F$3+AU31*Pricing!G$3+AV31*Pricing!H$3+AW31*Pricing!I$3+AX31*Pricing!J$3+AY31*Pricing!K$3+AZ31*Pricing!L$3+BA31*Pricing!M$3+BB31*Pricing!M$3+BC31*Pricing!O$3)*IF(T$64="N",(1+V$64),1)</f>
        <v>0</v>
      </c>
      <c r="BK31" s="2096" t="n">
        <f aca="false">T31*F$78*IF(T$64="n",1+V$64,1)</f>
        <v>0</v>
      </c>
      <c r="BL31" s="2096" t="n">
        <f aca="false">IF(BE$50=0,0,IF(F31="y",N$80/BE$50*BE31,0))</f>
        <v>0</v>
      </c>
      <c r="BM31" s="2096" t="n">
        <f aca="false">IF(N$79=0,0,N$79/H$87*C31)</f>
        <v>0</v>
      </c>
      <c r="BN31" s="2376" t="n">
        <f aca="false">(C31*G$87)</f>
        <v>0</v>
      </c>
      <c r="BO31" s="2096" t="n">
        <f aca="false">H31*D$91</f>
        <v>0</v>
      </c>
      <c r="BP31" s="2096" t="n">
        <f aca="false">SUM(BF31:BH31)*D$92</f>
        <v>0</v>
      </c>
      <c r="BQ31" s="2096" t="n">
        <f aca="false">D$93*C31</f>
        <v>0</v>
      </c>
      <c r="BR31" s="2096" t="str">
        <f aca="false">IF(C31="","",(N$95+N$94)/H$87*C31)</f>
        <v/>
      </c>
      <c r="BS31" s="2096" t="n">
        <f aca="false">IF(C31=0,0,(T31/2000*D$96))</f>
        <v>0</v>
      </c>
      <c r="BT31" s="2377" t="str">
        <f aca="false">IF(C31="","",N$97/H$87*C31)</f>
        <v/>
      </c>
      <c r="BU31" s="2096" t="n">
        <f aca="false">IF(C31=0,0,SUM(N$100:O$103)/C$50*C31)</f>
        <v>0</v>
      </c>
      <c r="BV31" s="2096" t="n">
        <f aca="false">IF(C31=0,0,SUM(W$73:W$106)/C$50*C31)+IF(H$87=0,0,(N$84+N$83+N$82)/H$87*C31)</f>
        <v>0</v>
      </c>
      <c r="BW31" s="2096" t="n">
        <f aca="false">IF(C31=0,0,SUM(N$105:O$110)/C$50*C31)</f>
        <v>0</v>
      </c>
      <c r="BX31" s="2096" t="n">
        <f aca="false">IF(C31=0,0,SUM(N$112:O$118)/C$50)*C31</f>
        <v>0</v>
      </c>
      <c r="BY31" s="2096" t="n">
        <f aca="false">IF(C$50=0,0,SUM(W$107:W$118)/C$50*C31)</f>
        <v>0</v>
      </c>
      <c r="BZ31" s="2096" t="n">
        <f aca="false">IF(N$119=0,0,N$119/H$87*C31)</f>
        <v>0</v>
      </c>
      <c r="CA31" s="2096"/>
      <c r="CB31" s="2096" t="n">
        <f aca="false">AG31*F$81*IF(T$64="n",(1+V$64),1)</f>
        <v>0</v>
      </c>
      <c r="CC31" s="2378" t="n">
        <f aca="false">AQ31*F$79*IF(T$64="Y",1,1+V$64)</f>
        <v>0</v>
      </c>
      <c r="CR31" s="1037"/>
      <c r="CS31" s="1037"/>
    </row>
    <row r="32" customFormat="false" ht="19.5" hidden="false" customHeight="true" outlineLevel="0" collapsed="false">
      <c r="A32" s="2402"/>
      <c r="B32" s="2403"/>
      <c r="C32" s="2407"/>
      <c r="D32" s="1508"/>
      <c r="E32" s="1356"/>
      <c r="F32" s="1511"/>
      <c r="G32" s="1553"/>
      <c r="H32" s="2389"/>
      <c r="I32" s="1511"/>
      <c r="J32" s="1512"/>
      <c r="K32" s="1511"/>
      <c r="L32" s="1512"/>
      <c r="M32" s="2390"/>
      <c r="N32" s="1511"/>
      <c r="O32" s="1512"/>
      <c r="P32" s="1511"/>
      <c r="Q32" s="2391"/>
      <c r="R32" s="2392"/>
      <c r="S32" s="2393"/>
      <c r="T32" s="1515" t="n">
        <f aca="false">SUM(AO32:AP33)</f>
        <v>0</v>
      </c>
      <c r="U32" s="1516" t="n">
        <f aca="false">((((C32*E32/324)+(C33*E33/324))*(1+J$73))+AK32+AK33)</f>
        <v>0</v>
      </c>
      <c r="V32" s="2386" t="n">
        <f aca="false">IF(C32=0,0,W32/(C32+C33))</f>
        <v>0</v>
      </c>
      <c r="W32" s="2184" t="n">
        <f aca="false">(IF(SUM(BJ32:CC33)=0,0,SUM(BJ32:CC33)-BZ32-BZ33))*(1+L$65)</f>
        <v>0</v>
      </c>
      <c r="X32" s="2184"/>
      <c r="Y32" s="1414"/>
      <c r="AH32" s="1142" t="n">
        <f aca="false">IF(N32=1,O32*$Q$53,0)+IF(N32=2,O32*$Q$54,0)+IF(N32=3,O32*$Q$55,0)+IF(N32=4,O32*$Q$60,0)+IF(N32=5,O32*$Q$61,0)+IF(N32=6,O32*$Q$62+IF(N32=7,O32*$Q$54,0)+IF(N32=8,O32*$Q$55,0)+IF(N32=9,O32*$Q$60,0)+IF(N32=10,O32*$Q$61,0),0)</f>
        <v>0</v>
      </c>
      <c r="AI32" s="16" t="n">
        <f aca="false">IF(P32=1,Q32*$Q$53,0)+IF(P32=2,Q32*$Q$54,0)+IF(P32=3,Q32*$Q$55,0)+IF(P32=4,Q32*$Q$60,0)+IF(P32=5,Q32*$Q$61,0)+IF(P32=6,Q32*$Q$62+IF(P32=7,Q32*$Q$54,0)+IF(P32=8,Q32*$Q$55,0)+IF(P32=9,Q32*$Q$60,0)+IF(P32=10,Q32*$Q$61,0),0)</f>
        <v>0</v>
      </c>
      <c r="AJ32" s="16" t="n">
        <f aca="false">IF(R32=1,S32*$Q$53,0)+IF(R32=2,S32*$Q$54,0)+IF(R32=3,S32*$Q$55,0)+IF(R32=4,S32*$Q$60,0)+IF(R32=5,S32*$Q$61,0)+IF(R32=6,S32*$Q$62+IF(R32=7,S32*$Q$54,0)+IF(R32=8,S32*$Q$55,0)+IF(R32=9,S32*$Q$60,0)+IF(R32=10,S32*$Q$61,0),0)</f>
        <v>0</v>
      </c>
      <c r="AK32" s="1116" t="n">
        <f aca="false">SUM(AH32:AJ32)</f>
        <v>0</v>
      </c>
      <c r="AL32" s="16" t="n">
        <f aca="false">ROUNDUP(IF(N32=1,O32*$O$53,0)+IF(N32=2,O32*$O$54,0)+IF(N32=3,O32*$O$55,0)+IF(N32=4,O32*$O$56,0)+IF(N32=5,O32*$O$57,0)+IF(N32=6,O32*$O$58+IF(N32=7,O32*$O$59,0)+IF(N32=8,O32*$O$60,0)+IF(N32=9,O32*$O$61+IF(N32=10,O32*$O$62,0),0),0),0)</f>
        <v>0</v>
      </c>
      <c r="AM32" s="16" t="n">
        <f aca="false">ROUNDUP(IF(P32=1,Q32*$Q$53,0)+IF(P32=2,Q32*$Q$54,0)+IF(P32=3,Q32*$Q$55,0)+IF(P32=4,Q32*$Q$56,0)+IF(P32=5,Q32*$Q$57,0)+IF(P32=6,Q32*$Q$58+IF(P32=7,Q32*$Q$59,0)+IF(P32=8,Q32*$Q$60,0)+IF(P32=9,Q32*$Q$61+IF(P32=10,Q32*$Q$62,0),0),0),0)</f>
        <v>0</v>
      </c>
      <c r="AN32" s="16" t="n">
        <f aca="false">ROUNDUP(IF(R32=1,S32*$S$53,0)+IF(R32=2,S32*$S$54,0)+IF(R32=3,S32*$S$55,0)+IF(R32=4,S32*$S$56,0)+IF(R32=5,S32*$S$57,0)+IF(R32=6,S32*$S$58+IF(R32=7,S32*$S$59,0)+IF(R32=8,S32*$S$60,0)+IF(R32=9,S32*$S$61+IF(R32=10,S32*$S$62,0),0),0),0)</f>
        <v>0</v>
      </c>
      <c r="AO32" s="1142" t="n">
        <f aca="false">SUM(AL32:AN32)*1.12</f>
        <v>0</v>
      </c>
      <c r="AP32" s="2237" t="n">
        <f aca="false">IF(L32=0,0,(L32/12+L32/12)/(L32/12*L32/12)*C32*((K32/16*K32/16)*10.6870159))*(1+J$78)+IF(J32=0,0,(J32/12+J32/12)/(J32/12*J32/12)*C32*((I32/16*I32/16)*10.6870159))*(1+J$78)</f>
        <v>0</v>
      </c>
      <c r="AQ32" s="1142" t="n">
        <f aca="false">M32*(1+J$79)</f>
        <v>0</v>
      </c>
      <c r="AS32" s="16" t="n">
        <f aca="false">IF(M32="y",C32,0)</f>
        <v>0</v>
      </c>
      <c r="AT32" s="1142" t="n">
        <f aca="false">IF($G32=1,$U32,0)</f>
        <v>0</v>
      </c>
      <c r="AU32" s="16" t="n">
        <f aca="false">IF($G32=2,$U32,0)</f>
        <v>0</v>
      </c>
      <c r="AV32" s="16" t="n">
        <f aca="false">IF($G32=3,$U32,0)</f>
        <v>0</v>
      </c>
      <c r="AW32" s="16" t="n">
        <f aca="false">IF($G32=4,$U32,0)</f>
        <v>0</v>
      </c>
      <c r="AX32" s="16" t="n">
        <f aca="false">IF($G32=5,$U32,0)</f>
        <v>0</v>
      </c>
      <c r="AY32" s="16" t="n">
        <f aca="false">IF($G32=6,$U32,0)</f>
        <v>0</v>
      </c>
      <c r="AZ32" s="16" t="n">
        <f aca="false">IF($G32=7,$U32,0)</f>
        <v>0</v>
      </c>
      <c r="BA32" s="16" t="n">
        <f aca="false">IF($G32=8,$U32,0)</f>
        <v>0</v>
      </c>
      <c r="BB32" s="16" t="n">
        <f aca="false">IF($G32=9,$U32,0)</f>
        <v>0</v>
      </c>
      <c r="BC32" s="1116" t="n">
        <f aca="false">IF($G32=10,$U32,0)</f>
        <v>0</v>
      </c>
      <c r="BD32" s="16" t="n">
        <f aca="false">SUM(AT32:AY32)</f>
        <v>0</v>
      </c>
      <c r="BE32" s="600" t="n">
        <f aca="false">IF(F32="N",0,C32)</f>
        <v>0</v>
      </c>
      <c r="BF32" s="16" t="n">
        <f aca="false">IF(N32=1,O32*$U$53,0)+IF(N32=2,O32*$U$54,0)+IF(N32=3,O32*$U$55,0)+IF(N32=4,O32*$U$60,0)+IF(N32=5,O32*$U$61,0)+IF(N32=6,O32*$U$62,0)</f>
        <v>0</v>
      </c>
      <c r="BG32" s="16" t="n">
        <f aca="false">IF(P32=1,Q32*$U$53,0)+IF(P32=2,Q32*$U$54,0)+IF(P32=3,Q32*$U$55,0)+IF(P32=4,Q32*$U$60,0)+IF(P32=5,Q32*$U$61,0)+IF(P32=6,Q32*$U$62,0)</f>
        <v>0</v>
      </c>
      <c r="BH32" s="16" t="n">
        <f aca="false">IF(R32=1,S32*$U$53,0)+IF(R32=2,S32*$U$54,0)+IF(R32=3,S32*$U$55,0)+IF(R32=4,S32*$U$60,0)+IF(R32=5,S32*$U$61,0)+IF(R32=6,S32*$U$62,0)</f>
        <v>0</v>
      </c>
      <c r="BI32" s="506" t="n">
        <f aca="false">SUM(BJ32:CC33)</f>
        <v>0</v>
      </c>
      <c r="BJ32" s="2375" t="n">
        <f aca="false">(AT32*Pricing!F$3+AU32*Pricing!G$3+AV32*Pricing!H$3+AW32*Pricing!I$3+AX32*Pricing!J$3+AY32*Pricing!K$3+AZ32*Pricing!L$3+BA32*Pricing!M$3+BB32*Pricing!M$3+BC32*Pricing!O$3)*IF(T$64="N",(1+V$64),1)</f>
        <v>0</v>
      </c>
      <c r="BK32" s="2096" t="n">
        <f aca="false">T32*F$78*IF(T$64="n",1+V$64,1)</f>
        <v>0</v>
      </c>
      <c r="BL32" s="2096" t="n">
        <f aca="false">IF(BE$50=0,0,IF(F32="y",N$80/BE$50*BE32,0))</f>
        <v>0</v>
      </c>
      <c r="BM32" s="2096" t="n">
        <f aca="false">IF(N$79=0,0,N$79/H$87*C32)</f>
        <v>0</v>
      </c>
      <c r="BN32" s="2376" t="n">
        <f aca="false">(C32*G$87)</f>
        <v>0</v>
      </c>
      <c r="BO32" s="2096" t="n">
        <f aca="false">H32*D$91</f>
        <v>0</v>
      </c>
      <c r="BP32" s="2096" t="n">
        <f aca="false">SUM(BF32:BH32)*D$92</f>
        <v>0</v>
      </c>
      <c r="BQ32" s="2096" t="n">
        <f aca="false">D$93*C32</f>
        <v>0</v>
      </c>
      <c r="BR32" s="2096" t="str">
        <f aca="false">IF(C32="","",(N$95+N$94)/H$87*C32)</f>
        <v/>
      </c>
      <c r="BS32" s="2096" t="n">
        <f aca="false">IF(C32=0,0,(T32/2000*D$96))</f>
        <v>0</v>
      </c>
      <c r="BT32" s="2377" t="str">
        <f aca="false">IF(C32="","",N$97/H$87*C32)</f>
        <v/>
      </c>
      <c r="BU32" s="2096" t="n">
        <f aca="false">IF(C32=0,0,SUM(N$100:O$103)/C$50*C32)</f>
        <v>0</v>
      </c>
      <c r="BV32" s="2096" t="n">
        <f aca="false">IF(C32=0,0,SUM(W$73:W$106)/C$50*C32)+IF(H$87=0,0,(N$84+N$83+N$82)/H$87*C32)</f>
        <v>0</v>
      </c>
      <c r="BW32" s="2096" t="n">
        <f aca="false">IF(C32=0,0,SUM(N$105:O$110)/C$50*C32)</f>
        <v>0</v>
      </c>
      <c r="BX32" s="2096" t="n">
        <f aca="false">IF(C32=0,0,SUM(N$112:O$118)/C$50)*C32</f>
        <v>0</v>
      </c>
      <c r="BY32" s="2096" t="n">
        <f aca="false">IF(C$50=0,0,SUM(W$107:W$118)/C$50*C32)</f>
        <v>0</v>
      </c>
      <c r="BZ32" s="2096" t="n">
        <f aca="false">IF(N$119=0,0,N$119/H$87*C32)</f>
        <v>0</v>
      </c>
      <c r="CA32" s="2096"/>
      <c r="CB32" s="2096" t="n">
        <f aca="false">AG32*F$81*IF(T$64="n",(1+V$64),1)</f>
        <v>0</v>
      </c>
      <c r="CC32" s="2378" t="n">
        <f aca="false">AQ32*F$79*IF(T$64="Y",1,1+V$64)</f>
        <v>0</v>
      </c>
      <c r="CP32" s="654"/>
      <c r="CQ32" s="654"/>
      <c r="CR32" s="654"/>
      <c r="CS32" s="654"/>
      <c r="CT32" s="654"/>
    </row>
    <row r="33" customFormat="false" ht="19.5" hidden="false" customHeight="true" outlineLevel="0" collapsed="false">
      <c r="A33" s="2379"/>
      <c r="B33" s="2405"/>
      <c r="C33" s="2406"/>
      <c r="D33" s="1552"/>
      <c r="E33" s="1352"/>
      <c r="F33" s="1559"/>
      <c r="G33" s="1509"/>
      <c r="H33" s="2396"/>
      <c r="I33" s="1559"/>
      <c r="J33" s="1556"/>
      <c r="K33" s="1559"/>
      <c r="L33" s="1556"/>
      <c r="M33" s="2381"/>
      <c r="N33" s="1559"/>
      <c r="O33" s="1556"/>
      <c r="P33" s="1559"/>
      <c r="Q33" s="1581"/>
      <c r="R33" s="2397"/>
      <c r="S33" s="2410"/>
      <c r="T33" s="2384"/>
      <c r="U33" s="2385"/>
      <c r="V33" s="2399"/>
      <c r="W33" s="2184"/>
      <c r="X33" s="2184"/>
      <c r="Y33" s="1414"/>
      <c r="AH33" s="1142" t="n">
        <f aca="false">IF(N33=1,O33*$Q$53,0)+IF(N33=2,O33*$Q$54,0)+IF(N33=3,O33*$Q$55,0)+IF(N33=4,O33*$Q$60,0)+IF(N33=5,O33*$Q$61,0)+IF(N33=6,O33*$Q$62+IF(N33=7,O33*$Q$54,0)+IF(N33=8,O33*$Q$55,0)+IF(N33=9,O33*$Q$60,0)+IF(N33=10,O33*$Q$61,0),0)</f>
        <v>0</v>
      </c>
      <c r="AI33" s="16" t="n">
        <f aca="false">IF(P33=1,Q33*$Q$53,0)+IF(P33=2,Q33*$Q$54,0)+IF(P33=3,Q33*$Q$55,0)+IF(P33=4,Q33*$Q$60,0)+IF(P33=5,Q33*$Q$61,0)+IF(P33=6,Q33*$Q$62+IF(P33=7,Q33*$Q$54,0)+IF(P33=8,Q33*$Q$55,0)+IF(P33=9,Q33*$Q$60,0)+IF(P33=10,Q33*$Q$61,0),0)</f>
        <v>0</v>
      </c>
      <c r="AJ33" s="16" t="n">
        <f aca="false">IF(R33=1,S33*$Q$53,0)+IF(R33=2,S33*$Q$54,0)+IF(R33=3,S33*$Q$55,0)+IF(R33=4,S33*$Q$60,0)+IF(R33=5,S33*$Q$61,0)+IF(R33=6,S33*$Q$62+IF(R33=7,S33*$Q$54,0)+IF(R33=8,S33*$Q$55,0)+IF(R33=9,S33*$Q$60,0)+IF(R33=10,S33*$Q$61,0),0)</f>
        <v>0</v>
      </c>
      <c r="AK33" s="1116" t="n">
        <f aca="false">SUM(AH33:AJ33)</f>
        <v>0</v>
      </c>
      <c r="AL33" s="16" t="n">
        <f aca="false">ROUNDUP(IF(N33=1,O33*$O$53,0)+IF(N33=2,O33*$O$54,0)+IF(N33=3,O33*$O$55,0)+IF(N33=4,O33*$O$56,0)+IF(N33=5,O33*$O$57,0)+IF(N33=6,O33*$O$58+IF(N33=7,O33*$O$59,0)+IF(N33=8,O33*$O$60,0)+IF(N33=9,O33*$O$61+IF(N33=10,O33*$O$62,0),0),0),0)</f>
        <v>0</v>
      </c>
      <c r="AM33" s="16" t="n">
        <f aca="false">ROUNDUP(IF(P33=1,Q33*$Q$53,0)+IF(P33=2,Q33*$Q$54,0)+IF(P33=3,Q33*$Q$55,0)+IF(P33=4,Q33*$Q$56,0)+IF(P33=5,Q33*$Q$57,0)+IF(P33=6,Q33*$Q$58+IF(P33=7,Q33*$Q$59,0)+IF(P33=8,Q33*$Q$60,0)+IF(P33=9,Q33*$Q$61+IF(P33=10,Q33*$Q$62,0),0),0),0)</f>
        <v>0</v>
      </c>
      <c r="AN33" s="16" t="n">
        <f aca="false">ROUNDUP(IF(R33=1,S33*$S$53,0)+IF(R33=2,S33*$S$54,0)+IF(R33=3,S33*$S$55,0)+IF(R33=4,S33*$S$56,0)+IF(R33=5,S33*$S$57,0)+IF(R33=6,S33*$S$58+IF(R33=7,S33*$S$59,0)+IF(R33=8,S33*$S$60,0)+IF(R33=9,S33*$S$61+IF(R33=10,S33*$S$62,0),0),0),0)</f>
        <v>0</v>
      </c>
      <c r="AO33" s="1142" t="n">
        <f aca="false">SUM(AL33:AN33)*1.12</f>
        <v>0</v>
      </c>
      <c r="AP33" s="2237" t="n">
        <f aca="false">IF(L33=0,0,(L33/12+L33/12)/(L33/12*L33/12)*C33*((K33/16*K33/16)*10.6870159))*(1+J$78)+IF(J33=0,0,(J33/12+J33/12)/(J33/12*J33/12)*C33*((I33/16*I33/16)*10.6870159))*(1+J$78)</f>
        <v>0</v>
      </c>
      <c r="AQ33" s="1142" t="n">
        <f aca="false">M33*(1+J$79)</f>
        <v>0</v>
      </c>
      <c r="AS33" s="16" t="n">
        <f aca="false">IF(M33="y",C33,0)</f>
        <v>0</v>
      </c>
      <c r="AT33" s="1142" t="n">
        <f aca="false">IF($G33=1,$U33,0)</f>
        <v>0</v>
      </c>
      <c r="AU33" s="16" t="n">
        <f aca="false">IF($G33=2,$U33,0)</f>
        <v>0</v>
      </c>
      <c r="AV33" s="16" t="n">
        <f aca="false">IF($G33=3,$U33,0)</f>
        <v>0</v>
      </c>
      <c r="AW33" s="16" t="n">
        <f aca="false">IF($G33=4,$U33,0)</f>
        <v>0</v>
      </c>
      <c r="AX33" s="16" t="n">
        <f aca="false">IF($G33=5,$U33,0)</f>
        <v>0</v>
      </c>
      <c r="AY33" s="16" t="n">
        <f aca="false">IF($G33=6,$U33,0)</f>
        <v>0</v>
      </c>
      <c r="AZ33" s="16" t="n">
        <f aca="false">IF($G33=7,$U33,0)</f>
        <v>0</v>
      </c>
      <c r="BA33" s="16" t="n">
        <f aca="false">IF($G33=8,$U33,0)</f>
        <v>0</v>
      </c>
      <c r="BB33" s="16" t="n">
        <f aca="false">IF($G33=9,$U33,0)</f>
        <v>0</v>
      </c>
      <c r="BC33" s="1116" t="n">
        <f aca="false">IF($G33=10,$U33,0)</f>
        <v>0</v>
      </c>
      <c r="BD33" s="16" t="n">
        <f aca="false">SUM(AT33:AY33)</f>
        <v>0</v>
      </c>
      <c r="BE33" s="600" t="n">
        <f aca="false">IF(F33="N",0,C33)</f>
        <v>0</v>
      </c>
      <c r="BF33" s="16" t="n">
        <f aca="false">IF(N33=1,O33*$U$53,0)+IF(N33=2,O33*$U$54,0)+IF(N33=3,O33*$U$55,0)+IF(N33=4,O33*$U$60,0)+IF(N33=5,O33*$U$61,0)+IF(N33=6,O33*$U$62,0)</f>
        <v>0</v>
      </c>
      <c r="BG33" s="16" t="n">
        <f aca="false">IF(P33=1,Q33*$U$53,0)+IF(P33=2,Q33*$U$54,0)+IF(P33=3,Q33*$U$55,0)+IF(P33=4,Q33*$U$60,0)+IF(P33=5,Q33*$U$61,0)+IF(P33=6,Q33*$U$62,0)</f>
        <v>0</v>
      </c>
      <c r="BH33" s="16" t="n">
        <f aca="false">IF(R33=1,S33*$U$53,0)+IF(R33=2,S33*$U$54,0)+IF(R33=3,S33*$U$55,0)+IF(R33=4,S33*$U$60,0)+IF(R33=5,S33*$U$61,0)+IF(R33=6,S33*$U$62,0)</f>
        <v>0</v>
      </c>
      <c r="BI33" s="506"/>
      <c r="BJ33" s="2375" t="n">
        <f aca="false">(AT33*Pricing!F$3+AU33*Pricing!G$3+AV33*Pricing!H$3+AW33*Pricing!I$3+AX33*Pricing!J$3+AY33*Pricing!K$3+AZ33*Pricing!L$3+BA33*Pricing!M$3+BB33*Pricing!M$3+BC33*Pricing!O$3)*IF(T$64="N",(1+V$64),1)</f>
        <v>0</v>
      </c>
      <c r="BK33" s="2096" t="n">
        <f aca="false">T33*F$78*IF(T$64="n",1+V$64,1)</f>
        <v>0</v>
      </c>
      <c r="BL33" s="2096" t="n">
        <f aca="false">IF(BE$50=0,0,IF(F33="y",N$80/BE$50*BE33,0))</f>
        <v>0</v>
      </c>
      <c r="BM33" s="2096" t="n">
        <f aca="false">IF(N$79=0,0,N$79/H$87*C33)</f>
        <v>0</v>
      </c>
      <c r="BN33" s="2376" t="n">
        <f aca="false">(C33*G$87)</f>
        <v>0</v>
      </c>
      <c r="BO33" s="2096" t="n">
        <f aca="false">H33*D$91</f>
        <v>0</v>
      </c>
      <c r="BP33" s="2096" t="n">
        <f aca="false">SUM(BF33:BH33)*D$92</f>
        <v>0</v>
      </c>
      <c r="BQ33" s="2096" t="n">
        <f aca="false">D$93*C33</f>
        <v>0</v>
      </c>
      <c r="BR33" s="2096" t="str">
        <f aca="false">IF(C33="","",(N$95+N$94)/H$87*C33)</f>
        <v/>
      </c>
      <c r="BS33" s="2096" t="n">
        <f aca="false">IF(C33=0,0,(T33/2000*D$96))</f>
        <v>0</v>
      </c>
      <c r="BT33" s="2377" t="str">
        <f aca="false">IF(C33="","",N$97/H$87*C33)</f>
        <v/>
      </c>
      <c r="BU33" s="2096" t="n">
        <f aca="false">IF(C33=0,0,SUM(N$100:O$103)/C$50*C33)</f>
        <v>0</v>
      </c>
      <c r="BV33" s="2096" t="n">
        <f aca="false">IF(C33=0,0,SUM(W$73:W$106)/C$50*C33)+IF(H$87=0,0,(N$84+N$83+N$82)/H$87*C33)</f>
        <v>0</v>
      </c>
      <c r="BW33" s="2096" t="n">
        <f aca="false">IF(C33=0,0,SUM(N$105:O$110)/C$50*C33)</f>
        <v>0</v>
      </c>
      <c r="BX33" s="2096" t="n">
        <f aca="false">IF(C33=0,0,SUM(N$112:O$118)/C$50)*C33</f>
        <v>0</v>
      </c>
      <c r="BY33" s="2096" t="n">
        <f aca="false">IF(C$50=0,0,SUM(W$107:W$118)/C$50*C33)</f>
        <v>0</v>
      </c>
      <c r="BZ33" s="2096" t="n">
        <f aca="false">IF(N$119=0,0,N$119/H$87*C33)</f>
        <v>0</v>
      </c>
      <c r="CA33" s="2096"/>
      <c r="CB33" s="2096" t="n">
        <f aca="false">AG33*F$81*IF(T$64="n",(1+V$64),1)</f>
        <v>0</v>
      </c>
      <c r="CC33" s="2378" t="n">
        <f aca="false">AQ33*F$79*IF(T$64="Y",1,1+V$64)</f>
        <v>0</v>
      </c>
    </row>
    <row r="34" customFormat="false" ht="19.5" hidden="false" customHeight="true" outlineLevel="0" collapsed="false">
      <c r="A34" s="2402"/>
      <c r="B34" s="2403"/>
      <c r="C34" s="2407"/>
      <c r="D34" s="1508"/>
      <c r="E34" s="1356"/>
      <c r="F34" s="1511"/>
      <c r="G34" s="1553"/>
      <c r="H34" s="2389"/>
      <c r="I34" s="1511"/>
      <c r="J34" s="1512"/>
      <c r="K34" s="1511"/>
      <c r="L34" s="1512"/>
      <c r="M34" s="2390"/>
      <c r="N34" s="1511"/>
      <c r="O34" s="1512"/>
      <c r="P34" s="1511"/>
      <c r="Q34" s="2391"/>
      <c r="R34" s="2392"/>
      <c r="S34" s="2393"/>
      <c r="T34" s="1515" t="n">
        <f aca="false">SUM(AO34:AP35)</f>
        <v>0</v>
      </c>
      <c r="U34" s="1516" t="n">
        <f aca="false">((((C34*E34/324)+(C35*E35/324))*(1+J$73))+AK34+AK35)</f>
        <v>0</v>
      </c>
      <c r="V34" s="2386" t="n">
        <f aca="false">IF(C34=0,0,W34/(C34+C35))</f>
        <v>0</v>
      </c>
      <c r="W34" s="2184" t="n">
        <f aca="false">(IF(SUM(BJ34:CC35)=0,0,SUM(BJ34:CC35)-BZ34-BZ35))*(1+L$65)</f>
        <v>0</v>
      </c>
      <c r="X34" s="2184"/>
      <c r="Y34" s="1414"/>
      <c r="AH34" s="1142" t="n">
        <f aca="false">IF(N34=1,O34*$Q$53,0)+IF(N34=2,O34*$Q$54,0)+IF(N34=3,O34*$Q$55,0)+IF(N34=4,O34*$Q$60,0)+IF(N34=5,O34*$Q$61,0)+IF(N34=6,O34*$Q$62+IF(N34=7,O34*$Q$54,0)+IF(N34=8,O34*$Q$55,0)+IF(N34=9,O34*$Q$60,0)+IF(N34=10,O34*$Q$61,0),0)</f>
        <v>0</v>
      </c>
      <c r="AI34" s="16" t="n">
        <f aca="false">IF(P34=1,Q34*$Q$53,0)+IF(P34=2,Q34*$Q$54,0)+IF(P34=3,Q34*$Q$55,0)+IF(P34=4,Q34*$Q$60,0)+IF(P34=5,Q34*$Q$61,0)+IF(P34=6,Q34*$Q$62+IF(P34=7,Q34*$Q$54,0)+IF(P34=8,Q34*$Q$55,0)+IF(P34=9,Q34*$Q$60,0)+IF(P34=10,Q34*$Q$61,0),0)</f>
        <v>0</v>
      </c>
      <c r="AJ34" s="16" t="n">
        <f aca="false">IF(R34=1,S34*$Q$53,0)+IF(R34=2,S34*$Q$54,0)+IF(R34=3,S34*$Q$55,0)+IF(R34=4,S34*$Q$60,0)+IF(R34=5,S34*$Q$61,0)+IF(R34=6,S34*$Q$62+IF(R34=7,S34*$Q$54,0)+IF(R34=8,S34*$Q$55,0)+IF(R34=9,S34*$Q$60,0)+IF(R34=10,S34*$Q$61,0),0)</f>
        <v>0</v>
      </c>
      <c r="AK34" s="1116" t="n">
        <f aca="false">SUM(AH34:AJ34)</f>
        <v>0</v>
      </c>
      <c r="AL34" s="16" t="n">
        <f aca="false">ROUNDUP(IF(N34=1,O34*$O$53,0)+IF(N34=2,O34*$O$54,0)+IF(N34=3,O34*$O$55,0)+IF(N34=4,O34*$O$56,0)+IF(N34=5,O34*$O$57,0)+IF(N34=6,O34*$O$58+IF(N34=7,O34*$O$59,0)+IF(N34=8,O34*$O$60,0)+IF(N34=9,O34*$O$61+IF(N34=10,O34*$O$62,0),0),0),0)</f>
        <v>0</v>
      </c>
      <c r="AM34" s="16" t="n">
        <f aca="false">ROUNDUP(IF(P34=1,Q34*$Q$53,0)+IF(P34=2,Q34*$Q$54,0)+IF(P34=3,Q34*$Q$55,0)+IF(P34=4,Q34*$Q$56,0)+IF(P34=5,Q34*$Q$57,0)+IF(P34=6,Q34*$Q$58+IF(P34=7,Q34*$Q$59,0)+IF(P34=8,Q34*$Q$60,0)+IF(P34=9,Q34*$Q$61+IF(P34=10,Q34*$Q$62,0),0),0),0)</f>
        <v>0</v>
      </c>
      <c r="AN34" s="16" t="n">
        <f aca="false">ROUNDUP(IF(R34=1,S34*$S$53,0)+IF(R34=2,S34*$S$54,0)+IF(R34=3,S34*$S$55,0)+IF(R34=4,S34*$S$56,0)+IF(R34=5,S34*$S$57,0)+IF(R34=6,S34*$S$58+IF(R34=7,S34*$S$59,0)+IF(R34=8,S34*$S$60,0)+IF(R34=9,S34*$S$61+IF(R34=10,S34*$S$62,0),0),0),0)</f>
        <v>0</v>
      </c>
      <c r="AO34" s="1142" t="n">
        <f aca="false">SUM(AL34:AN34)*1.12</f>
        <v>0</v>
      </c>
      <c r="AP34" s="2237" t="n">
        <f aca="false">IF(L34=0,0,(L34/12+L34/12)/(L34/12*L34/12)*C34*((K34/16*K34/16)*10.6870159))*(1+J$78)+IF(J34=0,0,(J34/12+J34/12)/(J34/12*J34/12)*C34*((I34/16*I34/16)*10.6870159))*(1+J$78)</f>
        <v>0</v>
      </c>
      <c r="AQ34" s="1142" t="n">
        <f aca="false">M34*(1+J$79)</f>
        <v>0</v>
      </c>
      <c r="AS34" s="16" t="n">
        <f aca="false">IF(M34="y",C34,0)</f>
        <v>0</v>
      </c>
      <c r="AT34" s="1142" t="n">
        <f aca="false">IF($G34=1,$U34,0)</f>
        <v>0</v>
      </c>
      <c r="AU34" s="16" t="n">
        <f aca="false">IF($G34=2,$U34,0)</f>
        <v>0</v>
      </c>
      <c r="AV34" s="16" t="n">
        <f aca="false">IF($G34=3,$U34,0)</f>
        <v>0</v>
      </c>
      <c r="AW34" s="16" t="n">
        <f aca="false">IF($G34=4,$U34,0)</f>
        <v>0</v>
      </c>
      <c r="AX34" s="16" t="n">
        <f aca="false">IF($G34=5,$U34,0)</f>
        <v>0</v>
      </c>
      <c r="AY34" s="16" t="n">
        <f aca="false">IF($G34=6,$U34,0)</f>
        <v>0</v>
      </c>
      <c r="AZ34" s="16" t="n">
        <f aca="false">IF($G34=7,$U34,0)</f>
        <v>0</v>
      </c>
      <c r="BA34" s="16" t="n">
        <f aca="false">IF($G34=8,$U34,0)</f>
        <v>0</v>
      </c>
      <c r="BB34" s="16" t="n">
        <f aca="false">IF($G34=9,$U34,0)</f>
        <v>0</v>
      </c>
      <c r="BC34" s="1116" t="n">
        <f aca="false">IF($G34=10,$U34,0)</f>
        <v>0</v>
      </c>
      <c r="BD34" s="16" t="n">
        <f aca="false">SUM(AT34:AY34)</f>
        <v>0</v>
      </c>
      <c r="BE34" s="600" t="n">
        <f aca="false">IF(F34="N",0,C34)</f>
        <v>0</v>
      </c>
      <c r="BF34" s="16" t="n">
        <f aca="false">IF(N34=1,O34*$U$53,0)+IF(N34=2,O34*$U$54,0)+IF(N34=3,O34*$U$55,0)+IF(N34=4,O34*$U$60,0)+IF(N34=5,O34*$U$61,0)+IF(N34=6,O34*$U$62,0)</f>
        <v>0</v>
      </c>
      <c r="BG34" s="16" t="n">
        <f aca="false">IF(P34=1,Q34*$U$53,0)+IF(P34=2,Q34*$U$54,0)+IF(P34=3,Q34*$U$55,0)+IF(P34=4,Q34*$U$60,0)+IF(P34=5,Q34*$U$61,0)+IF(P34=6,Q34*$U$62,0)</f>
        <v>0</v>
      </c>
      <c r="BH34" s="16" t="n">
        <f aca="false">IF(R34=1,S34*$U$53,0)+IF(R34=2,S34*$U$54,0)+IF(R34=3,S34*$U$55,0)+IF(R34=4,S34*$U$60,0)+IF(R34=5,S34*$U$61,0)+IF(R34=6,S34*$U$62,0)</f>
        <v>0</v>
      </c>
      <c r="BI34" s="506" t="n">
        <f aca="false">SUM(BJ34:CC35)</f>
        <v>0</v>
      </c>
      <c r="BJ34" s="2375" t="n">
        <f aca="false">(AT34*Pricing!F$3+AU34*Pricing!G$3+AV34*Pricing!H$3+AW34*Pricing!I$3+AX34*Pricing!J$3+AY34*Pricing!K$3+AZ34*Pricing!L$3+BA34*Pricing!M$3+BB34*Pricing!M$3+BC34*Pricing!O$3)*IF(T$64="N",(1+V$64),1)</f>
        <v>0</v>
      </c>
      <c r="BK34" s="2096" t="n">
        <f aca="false">T34*F$78*IF(T$64="n",1+V$64,1)</f>
        <v>0</v>
      </c>
      <c r="BL34" s="2096" t="n">
        <f aca="false">IF(BE$50=0,0,IF(F34="y",N$80/BE$50*BE34,0))</f>
        <v>0</v>
      </c>
      <c r="BM34" s="2096" t="n">
        <f aca="false">IF(N$79=0,0,N$79/H$87*C34)</f>
        <v>0</v>
      </c>
      <c r="BN34" s="2376" t="n">
        <f aca="false">(C34*G$87)</f>
        <v>0</v>
      </c>
      <c r="BO34" s="2096" t="n">
        <f aca="false">H34*D$91</f>
        <v>0</v>
      </c>
      <c r="BP34" s="2096" t="n">
        <f aca="false">SUM(BF34:BH34)*D$92</f>
        <v>0</v>
      </c>
      <c r="BQ34" s="2096" t="n">
        <f aca="false">D$93*C34</f>
        <v>0</v>
      </c>
      <c r="BR34" s="2096" t="str">
        <f aca="false">IF(C34="","",(N$95+N$94)/H$87*C34)</f>
        <v/>
      </c>
      <c r="BS34" s="2096" t="n">
        <f aca="false">IF(C34=0,0,(T34/2000*D$96))</f>
        <v>0</v>
      </c>
      <c r="BT34" s="2377" t="str">
        <f aca="false">IF(C34="","",N$97/H$87*C34)</f>
        <v/>
      </c>
      <c r="BU34" s="2096" t="n">
        <f aca="false">IF(C34=0,0,SUM(N$100:O$103)/C$50*C34)</f>
        <v>0</v>
      </c>
      <c r="BV34" s="2096" t="n">
        <f aca="false">IF(C34=0,0,SUM(W$73:W$106)/C$50*C34)+IF(H$87=0,0,(N$84+N$83+N$82)/H$87*C34)</f>
        <v>0</v>
      </c>
      <c r="BW34" s="2096" t="n">
        <f aca="false">IF(C34=0,0,SUM(N$105:O$110)/C$50*C34)</f>
        <v>0</v>
      </c>
      <c r="BX34" s="2096" t="n">
        <f aca="false">IF(C34=0,0,SUM(N$112:O$118)/C$50)*C34</f>
        <v>0</v>
      </c>
      <c r="BY34" s="2096" t="n">
        <f aca="false">IF(C$50=0,0,SUM(W$107:W$118)/C$50*C34)</f>
        <v>0</v>
      </c>
      <c r="BZ34" s="2096" t="n">
        <f aca="false">IF(N$119=0,0,N$119/H$87*C34)</f>
        <v>0</v>
      </c>
      <c r="CA34" s="2096"/>
      <c r="CB34" s="2096" t="n">
        <f aca="false">AG34*F$81*IF(T$64="n",(1+V$64),1)</f>
        <v>0</v>
      </c>
      <c r="CC34" s="2378" t="n">
        <f aca="false">AQ34*F$79*IF(T$64="Y",1,1+V$64)</f>
        <v>0</v>
      </c>
    </row>
    <row r="35" customFormat="false" ht="19.5" hidden="false" customHeight="true" outlineLevel="0" collapsed="false">
      <c r="A35" s="2379"/>
      <c r="B35" s="2405"/>
      <c r="C35" s="2406"/>
      <c r="D35" s="1552"/>
      <c r="E35" s="1352"/>
      <c r="F35" s="1559"/>
      <c r="G35" s="1509"/>
      <c r="H35" s="2396"/>
      <c r="I35" s="1559"/>
      <c r="J35" s="1556"/>
      <c r="K35" s="1559"/>
      <c r="L35" s="1556"/>
      <c r="M35" s="2381"/>
      <c r="N35" s="1559"/>
      <c r="O35" s="1556"/>
      <c r="P35" s="1559"/>
      <c r="Q35" s="1581"/>
      <c r="R35" s="2397"/>
      <c r="S35" s="2410"/>
      <c r="T35" s="2384"/>
      <c r="U35" s="2385"/>
      <c r="V35" s="2399"/>
      <c r="W35" s="2184"/>
      <c r="X35" s="2184"/>
      <c r="Y35" s="1414"/>
      <c r="AH35" s="1142" t="n">
        <f aca="false">IF(N35=1,O35*$Q$53,0)+IF(N35=2,O35*$Q$54,0)+IF(N35=3,O35*$Q$55,0)+IF(N35=4,O35*$Q$60,0)+IF(N35=5,O35*$Q$61,0)+IF(N35=6,O35*$Q$62+IF(N35=7,O35*$Q$54,0)+IF(N35=8,O35*$Q$55,0)+IF(N35=9,O35*$Q$60,0)+IF(N35=10,O35*$Q$61,0),0)</f>
        <v>0</v>
      </c>
      <c r="AI35" s="16" t="n">
        <f aca="false">IF(P35=1,Q35*$Q$53,0)+IF(P35=2,Q35*$Q$54,0)+IF(P35=3,Q35*$Q$55,0)+IF(P35=4,Q35*$Q$60,0)+IF(P35=5,Q35*$Q$61,0)+IF(P35=6,Q35*$Q$62+IF(P35=7,Q35*$Q$54,0)+IF(P35=8,Q35*$Q$55,0)+IF(P35=9,Q35*$Q$60,0)+IF(P35=10,Q35*$Q$61,0),0)</f>
        <v>0</v>
      </c>
      <c r="AJ35" s="16" t="n">
        <f aca="false">IF(R35=1,S35*$Q$53,0)+IF(R35=2,S35*$Q$54,0)+IF(R35=3,S35*$Q$55,0)+IF(R35=4,S35*$Q$60,0)+IF(R35=5,S35*$Q$61,0)+IF(R35=6,S35*$Q$62+IF(R35=7,S35*$Q$54,0)+IF(R35=8,S35*$Q$55,0)+IF(R35=9,S35*$Q$60,0)+IF(R35=10,S35*$Q$61,0),0)</f>
        <v>0</v>
      </c>
      <c r="AK35" s="1116" t="n">
        <f aca="false">SUM(AH35:AJ35)</f>
        <v>0</v>
      </c>
      <c r="AL35" s="16" t="n">
        <f aca="false">ROUNDUP(IF(N35=1,O35*$O$53,0)+IF(N35=2,O35*$O$54,0)+IF(N35=3,O35*$O$55,0)+IF(N35=4,O35*$O$56,0)+IF(N35=5,O35*$O$57,0)+IF(N35=6,O35*$O$58+IF(N35=7,O35*$O$59,0)+IF(N35=8,O35*$O$60,0)+IF(N35=9,O35*$O$61+IF(N35=10,O35*$O$62,0),0),0),0)</f>
        <v>0</v>
      </c>
      <c r="AM35" s="16" t="n">
        <f aca="false">ROUNDUP(IF(P35=1,Q35*$Q$53,0)+IF(P35=2,Q35*$Q$54,0)+IF(P35=3,Q35*$Q$55,0)+IF(P35=4,Q35*$Q$56,0)+IF(P35=5,Q35*$Q$57,0)+IF(P35=6,Q35*$Q$58+IF(P35=7,Q35*$Q$59,0)+IF(P35=8,Q35*$Q$60,0)+IF(P35=9,Q35*$Q$61+IF(P35=10,Q35*$Q$62,0),0),0),0)</f>
        <v>0</v>
      </c>
      <c r="AN35" s="16" t="n">
        <f aca="false">ROUNDUP(IF(R35=1,S35*$S$53,0)+IF(R35=2,S35*$S$54,0)+IF(R35=3,S35*$S$55,0)+IF(R35=4,S35*$S$56,0)+IF(R35=5,S35*$S$57,0)+IF(R35=6,S35*$S$58+IF(R35=7,S35*$S$59,0)+IF(R35=8,S35*$S$60,0)+IF(R35=9,S35*$S$61+IF(R35=10,S35*$S$62,0),0),0),0)</f>
        <v>0</v>
      </c>
      <c r="AO35" s="1142" t="n">
        <f aca="false">SUM(AL35:AN35)*1.12</f>
        <v>0</v>
      </c>
      <c r="AP35" s="2237" t="n">
        <f aca="false">IF(L35=0,0,(L35/12+L35/12)/(L35/12*L35/12)*C35*((K35/16*K35/16)*10.6870159))*(1+J$78)+IF(J35=0,0,(J35/12+J35/12)/(J35/12*J35/12)*C35*((I35/16*I35/16)*10.6870159))*(1+J$78)</f>
        <v>0</v>
      </c>
      <c r="AQ35" s="1142" t="n">
        <f aca="false">M35*(1+J$79)</f>
        <v>0</v>
      </c>
      <c r="AS35" s="16" t="n">
        <f aca="false">IF(M35="y",C35,0)</f>
        <v>0</v>
      </c>
      <c r="AT35" s="1142" t="n">
        <f aca="false">IF($G35=1,$U35,0)</f>
        <v>0</v>
      </c>
      <c r="AU35" s="16" t="n">
        <f aca="false">IF($G35=2,$U35,0)</f>
        <v>0</v>
      </c>
      <c r="AV35" s="16" t="n">
        <f aca="false">IF($G35=3,$U35,0)</f>
        <v>0</v>
      </c>
      <c r="AW35" s="16" t="n">
        <f aca="false">IF($G35=4,$U35,0)</f>
        <v>0</v>
      </c>
      <c r="AX35" s="16" t="n">
        <f aca="false">IF($G35=5,$U35,0)</f>
        <v>0</v>
      </c>
      <c r="AY35" s="16" t="n">
        <f aca="false">IF($G35=6,$U35,0)</f>
        <v>0</v>
      </c>
      <c r="AZ35" s="16" t="n">
        <f aca="false">IF($G35=7,$U35,0)</f>
        <v>0</v>
      </c>
      <c r="BA35" s="16" t="n">
        <f aca="false">IF($G35=8,$U35,0)</f>
        <v>0</v>
      </c>
      <c r="BB35" s="16" t="n">
        <f aca="false">IF($G35=9,$U35,0)</f>
        <v>0</v>
      </c>
      <c r="BC35" s="1116" t="n">
        <f aca="false">IF($G35=10,$U35,0)</f>
        <v>0</v>
      </c>
      <c r="BD35" s="16" t="n">
        <f aca="false">SUM(AT35:AY35)</f>
        <v>0</v>
      </c>
      <c r="BE35" s="600" t="n">
        <f aca="false">IF(F35="N",0,C35)</f>
        <v>0</v>
      </c>
      <c r="BF35" s="16" t="n">
        <f aca="false">IF(N35=1,O35*$U$53,0)+IF(N35=2,O35*$U$54,0)+IF(N35=3,O35*$U$55,0)+IF(N35=4,O35*$U$60,0)+IF(N35=5,O35*$U$61,0)+IF(N35=6,O35*$U$62,0)</f>
        <v>0</v>
      </c>
      <c r="BG35" s="16" t="n">
        <f aca="false">IF(P35=1,Q35*$U$53,0)+IF(P35=2,Q35*$U$54,0)+IF(P35=3,Q35*$U$55,0)+IF(P35=4,Q35*$U$60,0)+IF(P35=5,Q35*$U$61,0)+IF(P35=6,Q35*$U$62,0)</f>
        <v>0</v>
      </c>
      <c r="BH35" s="16" t="n">
        <f aca="false">IF(R35=1,S35*$U$53,0)+IF(R35=2,S35*$U$54,0)+IF(R35=3,S35*$U$55,0)+IF(R35=4,S35*$U$60,0)+IF(R35=5,S35*$U$61,0)+IF(R35=6,S35*$U$62,0)</f>
        <v>0</v>
      </c>
      <c r="BI35" s="506"/>
      <c r="BJ35" s="2375" t="n">
        <f aca="false">(AT35*Pricing!F$3+AU35*Pricing!G$3+AV35*Pricing!H$3+AW35*Pricing!I$3+AX35*Pricing!J$3+AY35*Pricing!K$3+AZ35*Pricing!L$3+BA35*Pricing!M$3+BB35*Pricing!M$3+BC35*Pricing!O$3)*IF(T$64="N",(1+V$64),1)</f>
        <v>0</v>
      </c>
      <c r="BK35" s="2096" t="n">
        <f aca="false">T35*F$78*IF(T$64="n",1+V$64,1)</f>
        <v>0</v>
      </c>
      <c r="BL35" s="2096" t="n">
        <f aca="false">IF(BE$50=0,0,IF(F35="y",N$80/BE$50*BE35,0))</f>
        <v>0</v>
      </c>
      <c r="BM35" s="2096" t="n">
        <f aca="false">IF(N$79=0,0,N$79/H$87*C35)</f>
        <v>0</v>
      </c>
      <c r="BN35" s="2376" t="n">
        <f aca="false">(C35*G$87)</f>
        <v>0</v>
      </c>
      <c r="BO35" s="2096" t="n">
        <f aca="false">H35*D$91</f>
        <v>0</v>
      </c>
      <c r="BP35" s="2096" t="n">
        <f aca="false">SUM(BF35:BH35)*D$92</f>
        <v>0</v>
      </c>
      <c r="BQ35" s="2096" t="n">
        <f aca="false">D$93*C35</f>
        <v>0</v>
      </c>
      <c r="BR35" s="2096" t="str">
        <f aca="false">IF(C35="","",(N$95+N$94)/H$87*C35)</f>
        <v/>
      </c>
      <c r="BS35" s="2096" t="n">
        <f aca="false">IF(C35=0,0,(T35/2000*D$96))</f>
        <v>0</v>
      </c>
      <c r="BT35" s="2377" t="str">
        <f aca="false">IF(C35="","",N$97/H$87*C35)</f>
        <v/>
      </c>
      <c r="BU35" s="2096" t="n">
        <f aca="false">IF(C35=0,0,SUM(N$100:O$103)/C$50*C35)</f>
        <v>0</v>
      </c>
      <c r="BV35" s="2096" t="n">
        <f aca="false">IF(C35=0,0,SUM(W$73:W$106)/C$50*C35)+IF(H$87=0,0,(N$84+N$83+N$82)/H$87*C35)</f>
        <v>0</v>
      </c>
      <c r="BW35" s="2096" t="n">
        <f aca="false">IF(C35=0,0,SUM(N$105:O$110)/C$50*C35)</f>
        <v>0</v>
      </c>
      <c r="BX35" s="2096" t="n">
        <f aca="false">IF(C35=0,0,SUM(N$112:O$118)/C$50)*C35</f>
        <v>0</v>
      </c>
      <c r="BY35" s="2096" t="n">
        <f aca="false">IF(C$50=0,0,SUM(W$107:W$118)/C$50*C35)</f>
        <v>0</v>
      </c>
      <c r="BZ35" s="2096" t="n">
        <f aca="false">IF(N$119=0,0,N$119/H$87*C35)</f>
        <v>0</v>
      </c>
      <c r="CA35" s="2096"/>
      <c r="CB35" s="2096" t="n">
        <f aca="false">AG35*F$81*IF(T$64="n",(1+V$64),1)</f>
        <v>0</v>
      </c>
      <c r="CC35" s="2378" t="n">
        <f aca="false">AQ35*F$79*IF(T$64="Y",1,1+V$64)</f>
        <v>0</v>
      </c>
    </row>
    <row r="36" customFormat="false" ht="19.5" hidden="false" customHeight="true" outlineLevel="0" collapsed="false">
      <c r="A36" s="2402"/>
      <c r="B36" s="2403"/>
      <c r="C36" s="2407"/>
      <c r="D36" s="1508"/>
      <c r="E36" s="1356"/>
      <c r="F36" s="1511"/>
      <c r="G36" s="1553"/>
      <c r="H36" s="2389"/>
      <c r="I36" s="1511"/>
      <c r="J36" s="1512"/>
      <c r="K36" s="1511"/>
      <c r="L36" s="1512"/>
      <c r="M36" s="2390"/>
      <c r="N36" s="1511"/>
      <c r="O36" s="1512"/>
      <c r="P36" s="1511"/>
      <c r="Q36" s="2391"/>
      <c r="R36" s="2238"/>
      <c r="S36" s="2393"/>
      <c r="T36" s="1515" t="n">
        <f aca="false">SUM(AO36:AP37)</f>
        <v>0</v>
      </c>
      <c r="U36" s="1516" t="n">
        <f aca="false">((((C36*E36/324)+(C37*E37/324))*(1+J$73))+AK36+AK37)</f>
        <v>0</v>
      </c>
      <c r="V36" s="2386" t="n">
        <f aca="false">IF(C36=0,0,W36/(C36+C37))</f>
        <v>0</v>
      </c>
      <c r="W36" s="2184" t="n">
        <f aca="false">(IF(SUM(BJ36:CC37)=0,0,SUM(BJ36:CC37)-BZ36-BZ37))*(1+L$65)</f>
        <v>0</v>
      </c>
      <c r="X36" s="2184"/>
      <c r="Y36" s="1414"/>
      <c r="AH36" s="1142" t="n">
        <f aca="false">IF(N36=1,O36*$Q$53,0)+IF(N36=2,O36*$Q$54,0)+IF(N36=3,O36*$Q$55,0)+IF(N36=4,O36*$Q$60,0)+IF(N36=5,O36*$Q$61,0)+IF(N36=6,O36*$Q$62+IF(N36=7,O36*$Q$54,0)+IF(N36=8,O36*$Q$55,0)+IF(N36=9,O36*$Q$60,0)+IF(N36=10,O36*$Q$61,0),0)</f>
        <v>0</v>
      </c>
      <c r="AI36" s="16" t="n">
        <f aca="false">IF(P36=1,Q36*$Q$53,0)+IF(P36=2,Q36*$Q$54,0)+IF(P36=3,Q36*$Q$55,0)+IF(P36=4,Q36*$Q$60,0)+IF(P36=5,Q36*$Q$61,0)+IF(P36=6,Q36*$Q$62+IF(P36=7,Q36*$Q$54,0)+IF(P36=8,Q36*$Q$55,0)+IF(P36=9,Q36*$Q$60,0)+IF(P36=10,Q36*$Q$61,0),0)</f>
        <v>0</v>
      </c>
      <c r="AJ36" s="16" t="n">
        <f aca="false">IF(R36=1,S36*$Q$53,0)+IF(R36=2,S36*$Q$54,0)+IF(R36=3,S36*$Q$55,0)+IF(R36=4,S36*$Q$60,0)+IF(R36=5,S36*$Q$61,0)+IF(R36=6,S36*$Q$62+IF(R36=7,S36*$Q$54,0)+IF(R36=8,S36*$Q$55,0)+IF(R36=9,S36*$Q$60,0)+IF(R36=10,S36*$Q$61,0),0)</f>
        <v>0</v>
      </c>
      <c r="AK36" s="1116" t="n">
        <f aca="false">SUM(AH36:AJ36)</f>
        <v>0</v>
      </c>
      <c r="AL36" s="16" t="n">
        <f aca="false">ROUNDUP(IF(N36=1,O36*$O$53,0)+IF(N36=2,O36*$O$54,0)+IF(N36=3,O36*$O$55,0)+IF(N36=4,O36*$O$56,0)+IF(N36=5,O36*$O$57,0)+IF(N36=6,O36*$O$58+IF(N36=7,O36*$O$59,0)+IF(N36=8,O36*$O$60,0)+IF(N36=9,O36*$O$61+IF(N36=10,O36*$O$62,0),0),0),0)</f>
        <v>0</v>
      </c>
      <c r="AM36" s="16" t="n">
        <f aca="false">ROUNDUP(IF(P36=1,Q36*$Q$53,0)+IF(P36=2,Q36*$Q$54,0)+IF(P36=3,Q36*$Q$55,0)+IF(P36=4,Q36*$Q$56,0)+IF(P36=5,Q36*$Q$57,0)+IF(P36=6,Q36*$Q$58+IF(P36=7,Q36*$Q$59,0)+IF(P36=8,Q36*$Q$60,0)+IF(P36=9,Q36*$Q$61+IF(P36=10,Q36*$Q$62,0),0),0),0)</f>
        <v>0</v>
      </c>
      <c r="AN36" s="16" t="n">
        <f aca="false">ROUNDUP(IF(R36=1,S36*$S$53,0)+IF(R36=2,S36*$S$54,0)+IF(R36=3,S36*$S$55,0)+IF(R36=4,S36*$S$56,0)+IF(R36=5,S36*$S$57,0)+IF(R36=6,S36*$S$58+IF(R36=7,S36*$S$59,0)+IF(R36=8,S36*$S$60,0)+IF(R36=9,S36*$S$61+IF(R36=10,S36*$S$62,0),0),0),0)</f>
        <v>0</v>
      </c>
      <c r="AO36" s="1142" t="n">
        <f aca="false">SUM(AL36:AN36)*1.12</f>
        <v>0</v>
      </c>
      <c r="AP36" s="2237" t="n">
        <f aca="false">IF(L36=0,0,(L36/12+L36/12)/(L36/12*L36/12)*C36*((K36/16*K36/16)*10.6870159))*(1+J$78)+IF(J36=0,0,(J36/12+J36/12)/(J36/12*J36/12)*C36*((I36/16*I36/16)*10.6870159))*(1+J$78)</f>
        <v>0</v>
      </c>
      <c r="AQ36" s="1142" t="n">
        <f aca="false">M36*(1+J$79)</f>
        <v>0</v>
      </c>
      <c r="AS36" s="16" t="n">
        <f aca="false">IF(M36="y",C36,0)</f>
        <v>0</v>
      </c>
      <c r="AT36" s="1142" t="n">
        <f aca="false">IF($G36=1,$U36,0)</f>
        <v>0</v>
      </c>
      <c r="AU36" s="16" t="n">
        <f aca="false">IF($G36=2,$U36,0)</f>
        <v>0</v>
      </c>
      <c r="AV36" s="16" t="n">
        <f aca="false">IF($G36=3,$U36,0)</f>
        <v>0</v>
      </c>
      <c r="AW36" s="16" t="n">
        <f aca="false">IF($G36=4,$U36,0)</f>
        <v>0</v>
      </c>
      <c r="AX36" s="16" t="n">
        <f aca="false">IF($G36=5,$U36,0)</f>
        <v>0</v>
      </c>
      <c r="AY36" s="16" t="n">
        <f aca="false">IF($G36=6,$U36,0)</f>
        <v>0</v>
      </c>
      <c r="AZ36" s="16" t="n">
        <f aca="false">IF($G36=7,$U36,0)</f>
        <v>0</v>
      </c>
      <c r="BA36" s="16" t="n">
        <f aca="false">IF($G36=8,$U36,0)</f>
        <v>0</v>
      </c>
      <c r="BB36" s="16" t="n">
        <f aca="false">IF($G36=9,$U36,0)</f>
        <v>0</v>
      </c>
      <c r="BC36" s="1116" t="n">
        <f aca="false">IF($G36=10,$U36,0)</f>
        <v>0</v>
      </c>
      <c r="BD36" s="16" t="n">
        <f aca="false">SUM(AT36:AY36)</f>
        <v>0</v>
      </c>
      <c r="BE36" s="600" t="n">
        <f aca="false">IF(F36="N",0,C36)</f>
        <v>0</v>
      </c>
      <c r="BF36" s="16" t="n">
        <f aca="false">IF(N36=1,O36*$U$53,0)+IF(N36=2,O36*$U$54,0)+IF(N36=3,O36*$U$55,0)+IF(N36=4,O36*$U$60,0)+IF(N36=5,O36*$U$61,0)+IF(N36=6,O36*$U$62,0)</f>
        <v>0</v>
      </c>
      <c r="BG36" s="16" t="n">
        <f aca="false">IF(P36=1,Q36*$U$53,0)+IF(P36=2,Q36*$U$54,0)+IF(P36=3,Q36*$U$55,0)+IF(P36=4,Q36*$U$60,0)+IF(P36=5,Q36*$U$61,0)+IF(P36=6,Q36*$U$62,0)</f>
        <v>0</v>
      </c>
      <c r="BH36" s="16" t="n">
        <f aca="false">IF(R36=1,S36*$U$53,0)+IF(R36=2,S36*$U$54,0)+IF(R36=3,S36*$U$55,0)+IF(R36=4,S36*$U$60,0)+IF(R36=5,S36*$U$61,0)+IF(R36=6,S36*$U$62,0)</f>
        <v>0</v>
      </c>
      <c r="BI36" s="506" t="n">
        <f aca="false">SUM(BJ36:CC37)</f>
        <v>0</v>
      </c>
      <c r="BJ36" s="2375" t="n">
        <f aca="false">(AT36*Pricing!F$3+AU36*Pricing!G$3+AV36*Pricing!H$3+AW36*Pricing!I$3+AX36*Pricing!J$3+AY36*Pricing!K$3+AZ36*Pricing!L$3+BA36*Pricing!M$3+BB36*Pricing!M$3+BC36*Pricing!O$3)*IF(T$64="N",(1+V$64),1)</f>
        <v>0</v>
      </c>
      <c r="BK36" s="2096" t="n">
        <f aca="false">T36*F$78*IF(T$64="n",1+V$64,1)</f>
        <v>0</v>
      </c>
      <c r="BL36" s="2096" t="n">
        <f aca="false">IF(BE$50=0,0,IF(F36="y",N$80/BE$50*BE36,0))</f>
        <v>0</v>
      </c>
      <c r="BM36" s="2096" t="n">
        <f aca="false">IF(N$79=0,0,N$79/H$87*C36)</f>
        <v>0</v>
      </c>
      <c r="BN36" s="2376" t="n">
        <f aca="false">(C36*G$87)</f>
        <v>0</v>
      </c>
      <c r="BO36" s="2096" t="n">
        <f aca="false">H36*D$91</f>
        <v>0</v>
      </c>
      <c r="BP36" s="2096" t="n">
        <f aca="false">SUM(BF36:BH36)*D$92</f>
        <v>0</v>
      </c>
      <c r="BQ36" s="2096" t="n">
        <f aca="false">D$93*C36</f>
        <v>0</v>
      </c>
      <c r="BR36" s="2096" t="str">
        <f aca="false">IF(C36="","",(N$95+N$94)/H$87*C36)</f>
        <v/>
      </c>
      <c r="BS36" s="2096" t="n">
        <f aca="false">IF(C36=0,0,(T36/2000*D$96))</f>
        <v>0</v>
      </c>
      <c r="BT36" s="2377" t="str">
        <f aca="false">IF(C36="","",N$97/H$87*C36)</f>
        <v/>
      </c>
      <c r="BU36" s="2096" t="n">
        <f aca="false">IF(C36=0,0,SUM(N$100:O$103)/C$50*C36)</f>
        <v>0</v>
      </c>
      <c r="BV36" s="2096" t="n">
        <f aca="false">IF(C36=0,0,SUM(W$73:W$106)/C$50*C36)+IF(H$87=0,0,(N$84+N$83+N$82)/H$87*C36)</f>
        <v>0</v>
      </c>
      <c r="BW36" s="2096" t="n">
        <f aca="false">IF(C36=0,0,SUM(N$105:O$110)/C$50*C36)</f>
        <v>0</v>
      </c>
      <c r="BX36" s="2096" t="n">
        <f aca="false">IF(C36=0,0,SUM(N$112:O$118)/C$50)*C36</f>
        <v>0</v>
      </c>
      <c r="BY36" s="2096" t="n">
        <f aca="false">IF(C$50=0,0,SUM(W$107:W$118)/C$50*C36)</f>
        <v>0</v>
      </c>
      <c r="BZ36" s="2096" t="n">
        <f aca="false">IF(N$119=0,0,N$119/H$87*C36)</f>
        <v>0</v>
      </c>
      <c r="CA36" s="2096"/>
      <c r="CB36" s="2096" t="n">
        <f aca="false">AG36*F$81*IF(T$64="n",(1+V$64),1)</f>
        <v>0</v>
      </c>
      <c r="CC36" s="2378" t="n">
        <f aca="false">AQ36*F$79*IF(T$64="Y",1,1+V$64)</f>
        <v>0</v>
      </c>
    </row>
    <row r="37" customFormat="false" ht="19.5" hidden="false" customHeight="true" outlineLevel="0" collapsed="false">
      <c r="A37" s="2379"/>
      <c r="B37" s="2405"/>
      <c r="C37" s="2406"/>
      <c r="D37" s="1552"/>
      <c r="E37" s="1352"/>
      <c r="F37" s="1559"/>
      <c r="G37" s="1509"/>
      <c r="H37" s="2396"/>
      <c r="I37" s="1559"/>
      <c r="J37" s="1556"/>
      <c r="K37" s="1559"/>
      <c r="L37" s="1556"/>
      <c r="M37" s="2381"/>
      <c r="N37" s="1559"/>
      <c r="O37" s="1556"/>
      <c r="P37" s="1559"/>
      <c r="Q37" s="1581"/>
      <c r="R37" s="2238"/>
      <c r="S37" s="2398"/>
      <c r="T37" s="2384"/>
      <c r="U37" s="2385"/>
      <c r="V37" s="2399"/>
      <c r="W37" s="2184"/>
      <c r="X37" s="2184"/>
      <c r="Y37" s="1414"/>
      <c r="AH37" s="1142" t="n">
        <f aca="false">IF(N37=1,O37*$Q$53,0)+IF(N37=2,O37*$Q$54,0)+IF(N37=3,O37*$Q$55,0)+IF(N37=4,O37*$Q$60,0)+IF(N37=5,O37*$Q$61,0)+IF(N37=6,O37*$Q$62+IF(N37=7,O37*$Q$54,0)+IF(N37=8,O37*$Q$55,0)+IF(N37=9,O37*$Q$60,0)+IF(N37=10,O37*$Q$61,0),0)</f>
        <v>0</v>
      </c>
      <c r="AI37" s="16" t="n">
        <f aca="false">IF(P37=1,Q37*$Q$53,0)+IF(P37=2,Q37*$Q$54,0)+IF(P37=3,Q37*$Q$55,0)+IF(P37=4,Q37*$Q$60,0)+IF(P37=5,Q37*$Q$61,0)+IF(P37=6,Q37*$Q$62+IF(P37=7,Q37*$Q$54,0)+IF(P37=8,Q37*$Q$55,0)+IF(P37=9,Q37*$Q$60,0)+IF(P37=10,Q37*$Q$61,0),0)</f>
        <v>0</v>
      </c>
      <c r="AJ37" s="16" t="n">
        <f aca="false">IF(R37=1,S37*$Q$53,0)+IF(R37=2,S37*$Q$54,0)+IF(R37=3,S37*$Q$55,0)+IF(R37=4,S37*$Q$60,0)+IF(R37=5,S37*$Q$61,0)+IF(R37=6,S37*$Q$62+IF(R37=7,S37*$Q$54,0)+IF(R37=8,S37*$Q$55,0)+IF(R37=9,S37*$Q$60,0)+IF(R37=10,S37*$Q$61,0),0)</f>
        <v>0</v>
      </c>
      <c r="AK37" s="1116" t="n">
        <f aca="false">SUM(AH37:AJ37)</f>
        <v>0</v>
      </c>
      <c r="AL37" s="16" t="n">
        <f aca="false">ROUNDUP(IF(N37=1,O37*$O$53,0)+IF(N37=2,O37*$O$54,0)+IF(N37=3,O37*$O$55,0)+IF(N37=4,O37*$O$56,0)+IF(N37=5,O37*$O$57,0)+IF(N37=6,O37*$O$58+IF(N37=7,O37*$O$59,0)+IF(N37=8,O37*$O$60,0)+IF(N37=9,O37*$O$61+IF(N37=10,O37*$O$62,0),0),0),0)</f>
        <v>0</v>
      </c>
      <c r="AM37" s="16" t="n">
        <f aca="false">ROUNDUP(IF(P37=1,Q37*$Q$53,0)+IF(P37=2,Q37*$Q$54,0)+IF(P37=3,Q37*$Q$55,0)+IF(P37=4,Q37*$Q$56,0)+IF(P37=5,Q37*$Q$57,0)+IF(P37=6,Q37*$Q$58+IF(P37=7,Q37*$Q$59,0)+IF(P37=8,Q37*$Q$60,0)+IF(P37=9,Q37*$Q$61+IF(P37=10,Q37*$Q$62,0),0),0),0)</f>
        <v>0</v>
      </c>
      <c r="AN37" s="16" t="n">
        <f aca="false">ROUNDUP(IF(R37=1,S37*$S$53,0)+IF(R37=2,S37*$S$54,0)+IF(R37=3,S37*$S$55,0)+IF(R37=4,S37*$S$56,0)+IF(R37=5,S37*$S$57,0)+IF(R37=6,S37*$S$58+IF(R37=7,S37*$S$59,0)+IF(R37=8,S37*$S$60,0)+IF(R37=9,S37*$S$61+IF(R37=10,S37*$S$62,0),0),0),0)</f>
        <v>0</v>
      </c>
      <c r="AO37" s="1142" t="n">
        <f aca="false">SUM(AL37:AN37)*1.12</f>
        <v>0</v>
      </c>
      <c r="AP37" s="2237" t="n">
        <f aca="false">IF(L37=0,0,(L37/12+L37/12)/(L37/12*L37/12)*C37*((K37/16*K37/16)*10.6870159))*(1+J$78)+IF(J37=0,0,(J37/12+J37/12)/(J37/12*J37/12)*C37*((I37/16*I37/16)*10.6870159))*(1+J$78)</f>
        <v>0</v>
      </c>
      <c r="AQ37" s="1142" t="n">
        <f aca="false">M37*(1+J$79)</f>
        <v>0</v>
      </c>
      <c r="AS37" s="16" t="n">
        <f aca="false">IF(M37="y",C37,0)</f>
        <v>0</v>
      </c>
      <c r="AT37" s="1142" t="n">
        <f aca="false">IF($G37=1,$U37,0)</f>
        <v>0</v>
      </c>
      <c r="AU37" s="16" t="n">
        <f aca="false">IF($G37=2,$U37,0)</f>
        <v>0</v>
      </c>
      <c r="AV37" s="16" t="n">
        <f aca="false">IF($G37=3,$U37,0)</f>
        <v>0</v>
      </c>
      <c r="AW37" s="16" t="n">
        <f aca="false">IF($G37=4,$U37,0)</f>
        <v>0</v>
      </c>
      <c r="AX37" s="16" t="n">
        <f aca="false">IF($G37=5,$U37,0)</f>
        <v>0</v>
      </c>
      <c r="AY37" s="16" t="n">
        <f aca="false">IF($G37=6,$U37,0)</f>
        <v>0</v>
      </c>
      <c r="AZ37" s="16" t="n">
        <f aca="false">IF($G37=7,$U37,0)</f>
        <v>0</v>
      </c>
      <c r="BA37" s="16" t="n">
        <f aca="false">IF($G37=8,$U37,0)</f>
        <v>0</v>
      </c>
      <c r="BB37" s="16" t="n">
        <f aca="false">IF($G37=9,$U37,0)</f>
        <v>0</v>
      </c>
      <c r="BC37" s="1116" t="n">
        <f aca="false">IF($G37=10,$U37,0)</f>
        <v>0</v>
      </c>
      <c r="BD37" s="16" t="n">
        <f aca="false">SUM(AT37:AY37)</f>
        <v>0</v>
      </c>
      <c r="BE37" s="600" t="n">
        <f aca="false">IF(F37="N",0,C37)</f>
        <v>0</v>
      </c>
      <c r="BF37" s="16" t="n">
        <f aca="false">IF(N37=1,O37*$U$53,0)+IF(N37=2,O37*$U$54,0)+IF(N37=3,O37*$U$55,0)+IF(N37=4,O37*$U$60,0)+IF(N37=5,O37*$U$61,0)+IF(N37=6,O37*$U$62,0)</f>
        <v>0</v>
      </c>
      <c r="BG37" s="16" t="n">
        <f aca="false">IF(P37=1,Q37*$U$53,0)+IF(P37=2,Q37*$U$54,0)+IF(P37=3,Q37*$U$55,0)+IF(P37=4,Q37*$U$60,0)+IF(P37=5,Q37*$U$61,0)+IF(P37=6,Q37*$U$62,0)</f>
        <v>0</v>
      </c>
      <c r="BH37" s="16" t="n">
        <f aca="false">IF(R37=1,S37*$U$53,0)+IF(R37=2,S37*$U$54,0)+IF(R37=3,S37*$U$55,0)+IF(R37=4,S37*$U$60,0)+IF(R37=5,S37*$U$61,0)+IF(R37=6,S37*$U$62,0)</f>
        <v>0</v>
      </c>
      <c r="BI37" s="506"/>
      <c r="BJ37" s="2375" t="n">
        <f aca="false">(AT37*Pricing!F$3+AU37*Pricing!G$3+AV37*Pricing!H$3+AW37*Pricing!I$3+AX37*Pricing!J$3+AY37*Pricing!K$3+AZ37*Pricing!L$3+BA37*Pricing!M$3+BB37*Pricing!M$3+BC37*Pricing!O$3)*IF(T$64="N",(1+V$64),1)</f>
        <v>0</v>
      </c>
      <c r="BK37" s="2096" t="n">
        <f aca="false">T37*F$78*IF(T$64="n",1+V$64,1)</f>
        <v>0</v>
      </c>
      <c r="BL37" s="2096" t="n">
        <f aca="false">IF(BE$50=0,0,IF(F37="y",N$80/BE$50*BE37,0))</f>
        <v>0</v>
      </c>
      <c r="BM37" s="2096" t="n">
        <f aca="false">IF(N$79=0,0,N$79/H$87*C37)</f>
        <v>0</v>
      </c>
      <c r="BN37" s="2376" t="n">
        <f aca="false">(C37*G$87)</f>
        <v>0</v>
      </c>
      <c r="BO37" s="2096" t="n">
        <f aca="false">H37*D$91</f>
        <v>0</v>
      </c>
      <c r="BP37" s="2096" t="n">
        <f aca="false">SUM(BF37:BH37)*D$92</f>
        <v>0</v>
      </c>
      <c r="BQ37" s="2096" t="n">
        <f aca="false">D$93*C37</f>
        <v>0</v>
      </c>
      <c r="BR37" s="2096" t="str">
        <f aca="false">IF(C37="","",(N$95+N$94)/H$87*C37)</f>
        <v/>
      </c>
      <c r="BS37" s="2096" t="n">
        <f aca="false">IF(C37=0,0,(T37/2000*D$96))</f>
        <v>0</v>
      </c>
      <c r="BT37" s="2377" t="str">
        <f aca="false">IF(C37="","",N$97/H$87*C37)</f>
        <v/>
      </c>
      <c r="BU37" s="2096" t="n">
        <f aca="false">IF(C37=0,0,SUM(N$100:O$103)/C$50*C37)</f>
        <v>0</v>
      </c>
      <c r="BV37" s="2096" t="n">
        <f aca="false">IF(C37=0,0,SUM(W$73:W$106)/C$50*C37)+IF(H$87=0,0,(N$84+N$83+N$82)/H$87*C37)</f>
        <v>0</v>
      </c>
      <c r="BW37" s="2096" t="n">
        <f aca="false">IF(C37=0,0,SUM(N$105:O$110)/C$50*C37)</f>
        <v>0</v>
      </c>
      <c r="BX37" s="2096" t="n">
        <f aca="false">IF(C37=0,0,SUM(N$112:O$118)/C$50)*C37</f>
        <v>0</v>
      </c>
      <c r="BY37" s="2096" t="n">
        <f aca="false">IF(C$50=0,0,SUM(W$107:W$118)/C$50*C37)</f>
        <v>0</v>
      </c>
      <c r="BZ37" s="2096" t="n">
        <f aca="false">IF(N$119=0,0,N$119/H$87*C37)</f>
        <v>0</v>
      </c>
      <c r="CA37" s="2096"/>
      <c r="CB37" s="2096" t="n">
        <f aca="false">AG37*F$81*IF(T$64="n",(1+V$64),1)</f>
        <v>0</v>
      </c>
      <c r="CC37" s="2378" t="n">
        <f aca="false">AQ37*F$79*IF(T$64="Y",1,1+V$64)</f>
        <v>0</v>
      </c>
    </row>
    <row r="38" customFormat="false" ht="19.5" hidden="false" customHeight="true" outlineLevel="0" collapsed="false">
      <c r="A38" s="2402"/>
      <c r="B38" s="2403"/>
      <c r="C38" s="2407"/>
      <c r="D38" s="1508"/>
      <c r="E38" s="1356"/>
      <c r="F38" s="1511"/>
      <c r="G38" s="1553"/>
      <c r="H38" s="2389"/>
      <c r="I38" s="1511"/>
      <c r="J38" s="1512"/>
      <c r="K38" s="1511"/>
      <c r="L38" s="1512"/>
      <c r="M38" s="2390"/>
      <c r="N38" s="1511"/>
      <c r="O38" s="1512"/>
      <c r="P38" s="1511"/>
      <c r="Q38" s="2391"/>
      <c r="R38" s="2392"/>
      <c r="S38" s="2393"/>
      <c r="T38" s="1515" t="n">
        <f aca="false">SUM(AO38:AP39)</f>
        <v>0</v>
      </c>
      <c r="U38" s="1516" t="n">
        <f aca="false">((((C38*E38/324)+(C39*E39/324))*(1+J$73))+AK38+AK39)</f>
        <v>0</v>
      </c>
      <c r="V38" s="2386" t="n">
        <f aca="false">IF(C38=0,0,W38/(C38+C39))</f>
        <v>0</v>
      </c>
      <c r="W38" s="2184" t="n">
        <f aca="false">(IF(SUM(BJ38:CC39)=0,0,SUM(BJ38:CC39)-BZ38-BZ39))*(1+L$65)</f>
        <v>0</v>
      </c>
      <c r="X38" s="2184"/>
      <c r="Y38" s="1414"/>
      <c r="AH38" s="1142" t="n">
        <f aca="false">IF(N38=1,O38*$Q$53,0)+IF(N38=2,O38*$Q$54,0)+IF(N38=3,O38*$Q$55,0)+IF(N38=4,O38*$Q$60,0)+IF(N38=5,O38*$Q$61,0)+IF(N38=6,O38*$Q$62+IF(N38=7,O38*$Q$54,0)+IF(N38=8,O38*$Q$55,0)+IF(N38=9,O38*$Q$60,0)+IF(N38=10,O38*$Q$61,0),0)</f>
        <v>0</v>
      </c>
      <c r="AI38" s="16" t="n">
        <f aca="false">IF(P38=1,Q38*$Q$53,0)+IF(P38=2,Q38*$Q$54,0)+IF(P38=3,Q38*$Q$55,0)+IF(P38=4,Q38*$Q$60,0)+IF(P38=5,Q38*$Q$61,0)+IF(P38=6,Q38*$Q$62+IF(P38=7,Q38*$Q$54,0)+IF(P38=8,Q38*$Q$55,0)+IF(P38=9,Q38*$Q$60,0)+IF(P38=10,Q38*$Q$61,0),0)</f>
        <v>0</v>
      </c>
      <c r="AJ38" s="16" t="n">
        <f aca="false">IF(R38=1,S38*$Q$53,0)+IF(R38=2,S38*$Q$54,0)+IF(R38=3,S38*$Q$55,0)+IF(R38=4,S38*$Q$60,0)+IF(R38=5,S38*$Q$61,0)+IF(R38=6,S38*$Q$62+IF(R38=7,S38*$Q$54,0)+IF(R38=8,S38*$Q$55,0)+IF(R38=9,S38*$Q$60,0)+IF(R38=10,S38*$Q$61,0),0)</f>
        <v>0</v>
      </c>
      <c r="AK38" s="1116" t="n">
        <f aca="false">SUM(AH38:AJ38)</f>
        <v>0</v>
      </c>
      <c r="AL38" s="16" t="n">
        <f aca="false">ROUNDUP(IF(N38=1,O38*$O$53,0)+IF(N38=2,O38*$O$54,0)+IF(N38=3,O38*$O$55,0)+IF(N38=4,O38*$O$56,0)+IF(N38=5,O38*$O$57,0)+IF(N38=6,O38*$O$58+IF(N38=7,O38*$O$59,0)+IF(N38=8,O38*$O$60,0)+IF(N38=9,O38*$O$61+IF(N38=10,O38*$O$62,0),0),0),0)</f>
        <v>0</v>
      </c>
      <c r="AM38" s="16" t="n">
        <f aca="false">ROUNDUP(IF(P38=1,Q38*$Q$53,0)+IF(P38=2,Q38*$Q$54,0)+IF(P38=3,Q38*$Q$55,0)+IF(P38=4,Q38*$Q$56,0)+IF(P38=5,Q38*$Q$57,0)+IF(P38=6,Q38*$Q$58+IF(P38=7,Q38*$Q$59,0)+IF(P38=8,Q38*$Q$60,0)+IF(P38=9,Q38*$Q$61+IF(P38=10,Q38*$Q$62,0),0),0),0)</f>
        <v>0</v>
      </c>
      <c r="AN38" s="16" t="n">
        <f aca="false">ROUNDUP(IF(R38=1,S38*$S$53,0)+IF(R38=2,S38*$S$54,0)+IF(R38=3,S38*$S$55,0)+IF(R38=4,S38*$S$56,0)+IF(R38=5,S38*$S$57,0)+IF(R38=6,S38*$S$58+IF(R38=7,S38*$S$59,0)+IF(R38=8,S38*$S$60,0)+IF(R38=9,S38*$S$61+IF(R38=10,S38*$S$62,0),0),0),0)</f>
        <v>0</v>
      </c>
      <c r="AO38" s="1142" t="n">
        <f aca="false">SUM(AL38:AN38)*1.12</f>
        <v>0</v>
      </c>
      <c r="AP38" s="2237" t="n">
        <f aca="false">IF(L38=0,0,(L38/12+L38/12)/(L38/12*L38/12)*C38*((K38/16*K38/16)*10.6870159))*(1+J$78)+IF(J38=0,0,(J38/12+J38/12)/(J38/12*J38/12)*C38*((I38/16*I38/16)*10.6870159))*(1+J$78)</f>
        <v>0</v>
      </c>
      <c r="AQ38" s="1142" t="n">
        <f aca="false">M38*(1+J$79)</f>
        <v>0</v>
      </c>
      <c r="AS38" s="16" t="n">
        <f aca="false">IF(M38="y",C38,0)</f>
        <v>0</v>
      </c>
      <c r="AT38" s="1142" t="n">
        <f aca="false">IF($G38=1,$U38,0)</f>
        <v>0</v>
      </c>
      <c r="AU38" s="16" t="n">
        <f aca="false">IF($G38=2,$U38,0)</f>
        <v>0</v>
      </c>
      <c r="AV38" s="16" t="n">
        <f aca="false">IF($G38=3,$U38,0)</f>
        <v>0</v>
      </c>
      <c r="AW38" s="16" t="n">
        <f aca="false">IF($G38=4,$U38,0)</f>
        <v>0</v>
      </c>
      <c r="AX38" s="16" t="n">
        <f aca="false">IF($G38=5,$U38,0)</f>
        <v>0</v>
      </c>
      <c r="AY38" s="16" t="n">
        <f aca="false">IF($G38=6,$U38,0)</f>
        <v>0</v>
      </c>
      <c r="AZ38" s="16" t="n">
        <f aca="false">IF($G38=7,$U38,0)</f>
        <v>0</v>
      </c>
      <c r="BA38" s="16" t="n">
        <f aca="false">IF($G38=8,$U38,0)</f>
        <v>0</v>
      </c>
      <c r="BB38" s="16" t="n">
        <f aca="false">IF($G38=9,$U38,0)</f>
        <v>0</v>
      </c>
      <c r="BC38" s="1116" t="n">
        <f aca="false">IF($G38=10,$U38,0)</f>
        <v>0</v>
      </c>
      <c r="BD38" s="16" t="n">
        <f aca="false">SUM(AT38:AY38)</f>
        <v>0</v>
      </c>
      <c r="BE38" s="600" t="n">
        <f aca="false">IF(F38="N",0,C38)</f>
        <v>0</v>
      </c>
      <c r="BF38" s="16" t="n">
        <f aca="false">IF(N38=1,O38*$U$53,0)+IF(N38=2,O38*$U$54,0)+IF(N38=3,O38*$U$55,0)+IF(N38=4,O38*$U$60,0)+IF(N38=5,O38*$U$61,0)+IF(N38=6,O38*$U$62,0)</f>
        <v>0</v>
      </c>
      <c r="BG38" s="16" t="n">
        <f aca="false">IF(P38=1,Q38*$U$53,0)+IF(P38=2,Q38*$U$54,0)+IF(P38=3,Q38*$U$55,0)+IF(P38=4,Q38*$U$60,0)+IF(P38=5,Q38*$U$61,0)+IF(P38=6,Q38*$U$62,0)</f>
        <v>0</v>
      </c>
      <c r="BH38" s="16" t="n">
        <f aca="false">IF(R38=1,S38*$U$53,0)+IF(R38=2,S38*$U$54,0)+IF(R38=3,S38*$U$55,0)+IF(R38=4,S38*$U$60,0)+IF(R38=5,S38*$U$61,0)+IF(R38=6,S38*$U$62,0)</f>
        <v>0</v>
      </c>
      <c r="BI38" s="506" t="n">
        <f aca="false">SUM(BJ38:CC39)</f>
        <v>0</v>
      </c>
      <c r="BJ38" s="2375" t="n">
        <f aca="false">(AT38*Pricing!F$3+AU38*Pricing!G$3+AV38*Pricing!H$3+AW38*Pricing!I$3+AX38*Pricing!J$3+AY38*Pricing!K$3+AZ38*Pricing!L$3+BA38*Pricing!M$3+BB38*Pricing!M$3+BC38*Pricing!O$3)*IF(T$64="N",(1+V$64),1)</f>
        <v>0</v>
      </c>
      <c r="BK38" s="2096" t="n">
        <f aca="false">T38*F$78*IF(T$64="n",1+V$64,1)</f>
        <v>0</v>
      </c>
      <c r="BL38" s="2096" t="n">
        <f aca="false">IF(BE$50=0,0,IF(F38="y",N$80/BE$50*BE38,0))</f>
        <v>0</v>
      </c>
      <c r="BM38" s="2096" t="n">
        <f aca="false">IF(N$79=0,0,N$79/H$87*C38)</f>
        <v>0</v>
      </c>
      <c r="BN38" s="2376" t="n">
        <f aca="false">(C38*G$87)</f>
        <v>0</v>
      </c>
      <c r="BO38" s="2096" t="n">
        <f aca="false">H38*D$91</f>
        <v>0</v>
      </c>
      <c r="BP38" s="2096" t="n">
        <f aca="false">SUM(BF38:BH38)*D$92</f>
        <v>0</v>
      </c>
      <c r="BQ38" s="2096" t="n">
        <f aca="false">D$93*C38</f>
        <v>0</v>
      </c>
      <c r="BR38" s="2096" t="str">
        <f aca="false">IF(C38="","",(N$95+N$94)/H$87*C38)</f>
        <v/>
      </c>
      <c r="BS38" s="2096" t="n">
        <f aca="false">IF(C38=0,0,(T38/2000*D$96))</f>
        <v>0</v>
      </c>
      <c r="BT38" s="2377" t="str">
        <f aca="false">IF(C38="","",N$97/H$87*C38)</f>
        <v/>
      </c>
      <c r="BU38" s="2096" t="n">
        <f aca="false">IF(C38=0,0,SUM(N$100:O$103)/C$50*C38)</f>
        <v>0</v>
      </c>
      <c r="BV38" s="2096" t="n">
        <f aca="false">IF(C38=0,0,SUM(W$73:W$106)/C$50*C38)+IF(H$87=0,0,(N$84+N$83+N$82)/H$87*C38)</f>
        <v>0</v>
      </c>
      <c r="BW38" s="2096" t="n">
        <f aca="false">IF(C38=0,0,SUM(N$105:O$110)/C$50*C38)</f>
        <v>0</v>
      </c>
      <c r="BX38" s="2096" t="n">
        <f aca="false">IF(C38=0,0,SUM(N$112:O$118)/C$50)*C38</f>
        <v>0</v>
      </c>
      <c r="BY38" s="2096" t="n">
        <f aca="false">IF(C$50=0,0,SUM(W$107:W$118)/C$50*C38)</f>
        <v>0</v>
      </c>
      <c r="BZ38" s="2096" t="n">
        <f aca="false">IF(N$119=0,0,N$119/H$87*C38)</f>
        <v>0</v>
      </c>
      <c r="CA38" s="2096"/>
      <c r="CB38" s="2096" t="n">
        <f aca="false">AG38*F$81*IF(T$64="n",(1+V$64),1)</f>
        <v>0</v>
      </c>
      <c r="CC38" s="2378" t="n">
        <f aca="false">AQ38*F$79*IF(T$64="Y",1,1+V$64)</f>
        <v>0</v>
      </c>
    </row>
    <row r="39" customFormat="false" ht="19.5" hidden="false" customHeight="true" outlineLevel="0" collapsed="false">
      <c r="A39" s="2379"/>
      <c r="B39" s="2405"/>
      <c r="C39" s="2406"/>
      <c r="D39" s="1552"/>
      <c r="E39" s="1352"/>
      <c r="F39" s="1559"/>
      <c r="G39" s="1509"/>
      <c r="H39" s="2396"/>
      <c r="I39" s="1559"/>
      <c r="J39" s="1556"/>
      <c r="K39" s="1559"/>
      <c r="L39" s="1556"/>
      <c r="M39" s="2381"/>
      <c r="N39" s="1559"/>
      <c r="O39" s="1556"/>
      <c r="P39" s="1559"/>
      <c r="Q39" s="1581"/>
      <c r="R39" s="2397"/>
      <c r="S39" s="2398"/>
      <c r="T39" s="2384"/>
      <c r="U39" s="2385"/>
      <c r="V39" s="2399"/>
      <c r="W39" s="2184"/>
      <c r="X39" s="2184"/>
      <c r="Y39" s="1414"/>
      <c r="AH39" s="1142" t="n">
        <f aca="false">IF(N39=1,O39*$Q$53,0)+IF(N39=2,O39*$Q$54,0)+IF(N39=3,O39*$Q$55,0)+IF(N39=4,O39*$Q$60,0)+IF(N39=5,O39*$Q$61,0)+IF(N39=6,O39*$Q$62+IF(N39=7,O39*$Q$54,0)+IF(N39=8,O39*$Q$55,0)+IF(N39=9,O39*$Q$60,0)+IF(N39=10,O39*$Q$61,0),0)</f>
        <v>0</v>
      </c>
      <c r="AI39" s="16" t="n">
        <f aca="false">IF(P39=1,Q39*$Q$53,0)+IF(P39=2,Q39*$Q$54,0)+IF(P39=3,Q39*$Q$55,0)+IF(P39=4,Q39*$Q$60,0)+IF(P39=5,Q39*$Q$61,0)+IF(P39=6,Q39*$Q$62+IF(P39=7,Q39*$Q$54,0)+IF(P39=8,Q39*$Q$55,0)+IF(P39=9,Q39*$Q$60,0)+IF(P39=10,Q39*$Q$61,0),0)</f>
        <v>0</v>
      </c>
      <c r="AJ39" s="16" t="n">
        <f aca="false">IF(R39=1,S39*$Q$53,0)+IF(R39=2,S39*$Q$54,0)+IF(R39=3,S39*$Q$55,0)+IF(R39=4,S39*$Q$60,0)+IF(R39=5,S39*$Q$61,0)+IF(R39=6,S39*$Q$62+IF(R39=7,S39*$Q$54,0)+IF(R39=8,S39*$Q$55,0)+IF(R39=9,S39*$Q$60,0)+IF(R39=10,S39*$Q$61,0),0)</f>
        <v>0</v>
      </c>
      <c r="AK39" s="1116" t="n">
        <f aca="false">SUM(AH39:AJ39)</f>
        <v>0</v>
      </c>
      <c r="AL39" s="16" t="n">
        <f aca="false">ROUNDUP(IF(N39=1,O39*$O$53,0)+IF(N39=2,O39*$O$54,0)+IF(N39=3,O39*$O$55,0)+IF(N39=4,O39*$O$56,0)+IF(N39=5,O39*$O$57,0)+IF(N39=6,O39*$O$58+IF(N39=7,O39*$O$59,0)+IF(N39=8,O39*$O$60,0)+IF(N39=9,O39*$O$61+IF(N39=10,O39*$O$62,0),0),0),0)</f>
        <v>0</v>
      </c>
      <c r="AM39" s="16" t="n">
        <f aca="false">ROUNDUP(IF(P39=1,Q39*$Q$53,0)+IF(P39=2,Q39*$Q$54,0)+IF(P39=3,Q39*$Q$55,0)+IF(P39=4,Q39*$Q$56,0)+IF(P39=5,Q39*$Q$57,0)+IF(P39=6,Q39*$Q$58+IF(P39=7,Q39*$Q$59,0)+IF(P39=8,Q39*$Q$60,0)+IF(P39=9,Q39*$Q$61+IF(P39=10,Q39*$Q$62,0),0),0),0)</f>
        <v>0</v>
      </c>
      <c r="AN39" s="16" t="n">
        <f aca="false">ROUNDUP(IF(R39=1,S39*$S$53,0)+IF(R39=2,S39*$S$54,0)+IF(R39=3,S39*$S$55,0)+IF(R39=4,S39*$S$56,0)+IF(R39=5,S39*$S$57,0)+IF(R39=6,S39*$S$58+IF(R39=7,S39*$S$59,0)+IF(R39=8,S39*$S$60,0)+IF(R39=9,S39*$S$61+IF(R39=10,S39*$S$62,0),0),0),0)</f>
        <v>0</v>
      </c>
      <c r="AO39" s="1142" t="n">
        <f aca="false">SUM(AL39:AN39)*1.12</f>
        <v>0</v>
      </c>
      <c r="AP39" s="2237" t="n">
        <f aca="false">IF(L39=0,0,(L39/12+L39/12)/(L39/12*L39/12)*C39*((K39/16*K39/16)*10.6870159))*(1+J$78)+IF(J39=0,0,(J39/12+J39/12)/(J39/12*J39/12)*C39*((I39/16*I39/16)*10.6870159))*(1+J$78)</f>
        <v>0</v>
      </c>
      <c r="AQ39" s="1142" t="n">
        <f aca="false">M39*(1+J$79)</f>
        <v>0</v>
      </c>
      <c r="AS39" s="16" t="n">
        <f aca="false">IF(M39="y",C39,0)</f>
        <v>0</v>
      </c>
      <c r="AT39" s="1142" t="n">
        <f aca="false">IF($G39=1,$U39,0)</f>
        <v>0</v>
      </c>
      <c r="AU39" s="16" t="n">
        <f aca="false">IF($G39=2,$U39,0)</f>
        <v>0</v>
      </c>
      <c r="AV39" s="16" t="n">
        <f aca="false">IF($G39=3,$U39,0)</f>
        <v>0</v>
      </c>
      <c r="AW39" s="16" t="n">
        <f aca="false">IF($G39=4,$U39,0)</f>
        <v>0</v>
      </c>
      <c r="AX39" s="16" t="n">
        <f aca="false">IF($G39=5,$U39,0)</f>
        <v>0</v>
      </c>
      <c r="AY39" s="16" t="n">
        <f aca="false">IF($G39=6,$U39,0)</f>
        <v>0</v>
      </c>
      <c r="AZ39" s="16" t="n">
        <f aca="false">IF($G39=7,$U39,0)</f>
        <v>0</v>
      </c>
      <c r="BA39" s="16" t="n">
        <f aca="false">IF($G39=8,$U39,0)</f>
        <v>0</v>
      </c>
      <c r="BB39" s="16" t="n">
        <f aca="false">IF($G39=9,$U39,0)</f>
        <v>0</v>
      </c>
      <c r="BC39" s="1116" t="n">
        <f aca="false">IF($G39=10,$U39,0)</f>
        <v>0</v>
      </c>
      <c r="BD39" s="16" t="n">
        <f aca="false">SUM(AT39:AY39)</f>
        <v>0</v>
      </c>
      <c r="BE39" s="600" t="n">
        <f aca="false">IF(F39="N",0,C39)</f>
        <v>0</v>
      </c>
      <c r="BF39" s="16" t="n">
        <f aca="false">IF(N39=1,O39*$U$53,0)+IF(N39=2,O39*$U$54,0)+IF(N39=3,O39*$U$55,0)+IF(N39=4,O39*$U$60,0)+IF(N39=5,O39*$U$61,0)+IF(N39=6,O39*$U$62,0)</f>
        <v>0</v>
      </c>
      <c r="BG39" s="16" t="n">
        <f aca="false">IF(P39=1,Q39*$U$53,0)+IF(P39=2,Q39*$U$54,0)+IF(P39=3,Q39*$U$55,0)+IF(P39=4,Q39*$U$60,0)+IF(P39=5,Q39*$U$61,0)+IF(P39=6,Q39*$U$62,0)</f>
        <v>0</v>
      </c>
      <c r="BH39" s="16" t="n">
        <f aca="false">IF(R39=1,S39*$U$53,0)+IF(R39=2,S39*$U$54,0)+IF(R39=3,S39*$U$55,0)+IF(R39=4,S39*$U$60,0)+IF(R39=5,S39*$U$61,0)+IF(R39=6,S39*$U$62,0)</f>
        <v>0</v>
      </c>
      <c r="BI39" s="506"/>
      <c r="BJ39" s="2375" t="n">
        <f aca="false">(AT39*Pricing!F$3+AU39*Pricing!G$3+AV39*Pricing!H$3+AW39*Pricing!I$3+AX39*Pricing!J$3+AY39*Pricing!K$3+AZ39*Pricing!L$3+BA39*Pricing!M$3+BB39*Pricing!M$3+BC39*Pricing!O$3)*IF(T$64="N",(1+V$64),1)</f>
        <v>0</v>
      </c>
      <c r="BK39" s="2096" t="n">
        <f aca="false">T39*F$78*IF(T$64="n",1+V$64,1)</f>
        <v>0</v>
      </c>
      <c r="BL39" s="2096" t="n">
        <f aca="false">IF(BE$50=0,0,IF(F39="y",N$80/BE$50*BE39,0))</f>
        <v>0</v>
      </c>
      <c r="BM39" s="2096" t="n">
        <f aca="false">IF(N$79=0,0,N$79/H$87*C39)</f>
        <v>0</v>
      </c>
      <c r="BN39" s="2376" t="n">
        <f aca="false">(C39*G$87)</f>
        <v>0</v>
      </c>
      <c r="BO39" s="2096" t="n">
        <f aca="false">H39*D$91</f>
        <v>0</v>
      </c>
      <c r="BP39" s="2096" t="n">
        <f aca="false">SUM(BF39:BH39)*D$92</f>
        <v>0</v>
      </c>
      <c r="BQ39" s="2096" t="n">
        <f aca="false">D$93*C39</f>
        <v>0</v>
      </c>
      <c r="BR39" s="2096" t="str">
        <f aca="false">IF(C39="","",(N$95+N$94)/H$87*C39)</f>
        <v/>
      </c>
      <c r="BS39" s="2096" t="n">
        <f aca="false">IF(C39=0,0,(T39/2000*D$96))</f>
        <v>0</v>
      </c>
      <c r="BT39" s="2377" t="str">
        <f aca="false">IF(C39="","",N$97/H$87*C39)</f>
        <v/>
      </c>
      <c r="BU39" s="2096" t="n">
        <f aca="false">IF(C39=0,0,SUM(N$100:O$103)/C$50*C39)</f>
        <v>0</v>
      </c>
      <c r="BV39" s="2096" t="n">
        <f aca="false">IF(C39=0,0,SUM(W$73:W$106)/C$50*C39)+IF(H$87=0,0,(N$84+N$83+N$82)/H$87*C39)</f>
        <v>0</v>
      </c>
      <c r="BW39" s="2096" t="n">
        <f aca="false">IF(C39=0,0,SUM(N$105:O$110)/C$50*C39)</f>
        <v>0</v>
      </c>
      <c r="BX39" s="2096" t="n">
        <f aca="false">IF(C39=0,0,SUM(N$112:O$118)/C$50)*C39</f>
        <v>0</v>
      </c>
      <c r="BY39" s="2096" t="n">
        <f aca="false">IF(C$50=0,0,SUM(W$107:W$118)/C$50*C39)</f>
        <v>0</v>
      </c>
      <c r="BZ39" s="2096" t="n">
        <f aca="false">IF(N$119=0,0,N$119/H$87*C39)</f>
        <v>0</v>
      </c>
      <c r="CA39" s="2096"/>
      <c r="CB39" s="2096" t="n">
        <f aca="false">AG39*F$81*IF(T$64="n",(1+V$64),1)</f>
        <v>0</v>
      </c>
      <c r="CC39" s="2378" t="n">
        <f aca="false">AQ39*F$79*IF(T$64="Y",1,1+V$64)</f>
        <v>0</v>
      </c>
    </row>
    <row r="40" customFormat="false" ht="19.5" hidden="false" customHeight="true" outlineLevel="0" collapsed="false">
      <c r="A40" s="2402"/>
      <c r="B40" s="2403"/>
      <c r="C40" s="2407"/>
      <c r="D40" s="1508"/>
      <c r="E40" s="1356"/>
      <c r="F40" s="1511"/>
      <c r="G40" s="1553"/>
      <c r="H40" s="2389"/>
      <c r="I40" s="1511"/>
      <c r="J40" s="1512"/>
      <c r="K40" s="1511"/>
      <c r="L40" s="1512"/>
      <c r="M40" s="2390"/>
      <c r="N40" s="1511"/>
      <c r="O40" s="1512"/>
      <c r="P40" s="1511"/>
      <c r="Q40" s="2391"/>
      <c r="R40" s="2392"/>
      <c r="S40" s="2393"/>
      <c r="T40" s="1515" t="n">
        <f aca="false">SUM(AO40:AP41)</f>
        <v>0</v>
      </c>
      <c r="U40" s="1516" t="n">
        <f aca="false">((((C40*E40/324)+(C41*E41/324))*(1+J$73))+AK40+AK41)</f>
        <v>0</v>
      </c>
      <c r="V40" s="2386" t="n">
        <f aca="false">IF(C40=0,0,W40/(C40+C41))</f>
        <v>0</v>
      </c>
      <c r="W40" s="2184" t="n">
        <f aca="false">(IF(SUM(BJ40:CC41)=0,0,SUM(BJ40:CC41)-BZ40-BZ41))*(1+L$65)</f>
        <v>0</v>
      </c>
      <c r="X40" s="2184"/>
      <c r="Y40" s="1414"/>
      <c r="AH40" s="1142" t="n">
        <f aca="false">IF(N40=1,O40*$Q$53,0)+IF(N40=2,O40*$Q$54,0)+IF(N40=3,O40*$Q$55,0)+IF(N40=4,O40*$Q$60,0)+IF(N40=5,O40*$Q$61,0)+IF(N40=6,O40*$Q$62+IF(N40=7,O40*$Q$54,0)+IF(N40=8,O40*$Q$55,0)+IF(N40=9,O40*$Q$60,0)+IF(N40=10,O40*$Q$61,0),0)</f>
        <v>0</v>
      </c>
      <c r="AI40" s="16" t="n">
        <f aca="false">IF(P40=1,Q40*$Q$53,0)+IF(P40=2,Q40*$Q$54,0)+IF(P40=3,Q40*$Q$55,0)+IF(P40=4,Q40*$Q$60,0)+IF(P40=5,Q40*$Q$61,0)+IF(P40=6,Q40*$Q$62+IF(P40=7,Q40*$Q$54,0)+IF(P40=8,Q40*$Q$55,0)+IF(P40=9,Q40*$Q$60,0)+IF(P40=10,Q40*$Q$61,0),0)</f>
        <v>0</v>
      </c>
      <c r="AJ40" s="16" t="n">
        <f aca="false">IF(R40=1,S40*$Q$53,0)+IF(R40=2,S40*$Q$54,0)+IF(R40=3,S40*$Q$55,0)+IF(R40=4,S40*$Q$60,0)+IF(R40=5,S40*$Q$61,0)+IF(R40=6,S40*$Q$62+IF(R40=7,S40*$Q$54,0)+IF(R40=8,S40*$Q$55,0)+IF(R40=9,S40*$Q$60,0)+IF(R40=10,S40*$Q$61,0),0)</f>
        <v>0</v>
      </c>
      <c r="AK40" s="1116" t="n">
        <f aca="false">SUM(AH40:AJ40)</f>
        <v>0</v>
      </c>
      <c r="AL40" s="16" t="n">
        <f aca="false">ROUNDUP(IF(N40=1,O40*$O$53,0)+IF(N40=2,O40*$O$54,0)+IF(N40=3,O40*$O$55,0)+IF(N40=4,O40*$O$56,0)+IF(N40=5,O40*$O$57,0)+IF(N40=6,O40*$O$58+IF(N40=7,O40*$O$59,0)+IF(N40=8,O40*$O$60,0)+IF(N40=9,O40*$O$61+IF(N40=10,O40*$O$62,0),0),0),0)</f>
        <v>0</v>
      </c>
      <c r="AM40" s="16" t="n">
        <f aca="false">ROUNDUP(IF(P40=1,Q40*$Q$53,0)+IF(P40=2,Q40*$Q$54,0)+IF(P40=3,Q40*$Q$55,0)+IF(P40=4,Q40*$Q$56,0)+IF(P40=5,Q40*$Q$57,0)+IF(P40=6,Q40*$Q$58+IF(P40=7,Q40*$Q$59,0)+IF(P40=8,Q40*$Q$60,0)+IF(P40=9,Q40*$Q$61+IF(P40=10,Q40*$Q$62,0),0),0),0)</f>
        <v>0</v>
      </c>
      <c r="AN40" s="16" t="n">
        <f aca="false">ROUNDUP(IF(R40=1,S40*$S$53,0)+IF(R40=2,S40*$S$54,0)+IF(R40=3,S40*$S$55,0)+IF(R40=4,S40*$S$56,0)+IF(R40=5,S40*$S$57,0)+IF(R40=6,S40*$S$58+IF(R40=7,S40*$S$59,0)+IF(R40=8,S40*$S$60,0)+IF(R40=9,S40*$S$61+IF(R40=10,S40*$S$62,0),0),0),0)</f>
        <v>0</v>
      </c>
      <c r="AO40" s="1142" t="n">
        <f aca="false">SUM(AL40:AN40)*1.12</f>
        <v>0</v>
      </c>
      <c r="AP40" s="2237" t="n">
        <f aca="false">IF(L40=0,0,(L40/12+L40/12)/(L40/12*L40/12)*C40*((K40/16*K40/16)*10.6870159))*(1+J$78)+IF(J40=0,0,(J40/12+J40/12)/(J40/12*J40/12)*C40*((I40/16*I40/16)*10.6870159))*(1+J$78)</f>
        <v>0</v>
      </c>
      <c r="AQ40" s="1142" t="n">
        <f aca="false">M40*(1+J$79)</f>
        <v>0</v>
      </c>
      <c r="AS40" s="16" t="n">
        <f aca="false">IF(M40="y",C40,0)</f>
        <v>0</v>
      </c>
      <c r="AT40" s="1142" t="n">
        <f aca="false">IF($G40=1,$U40,0)</f>
        <v>0</v>
      </c>
      <c r="AU40" s="16" t="n">
        <f aca="false">IF($G40=2,$U40,0)</f>
        <v>0</v>
      </c>
      <c r="AV40" s="16" t="n">
        <f aca="false">IF($G40=3,$U40,0)</f>
        <v>0</v>
      </c>
      <c r="AW40" s="16" t="n">
        <f aca="false">IF($G40=4,$U40,0)</f>
        <v>0</v>
      </c>
      <c r="AX40" s="16" t="n">
        <f aca="false">IF($G40=5,$U40,0)</f>
        <v>0</v>
      </c>
      <c r="AY40" s="16" t="n">
        <f aca="false">IF($G40=6,$U40,0)</f>
        <v>0</v>
      </c>
      <c r="AZ40" s="16" t="n">
        <f aca="false">IF($G40=7,$U40,0)</f>
        <v>0</v>
      </c>
      <c r="BA40" s="16" t="n">
        <f aca="false">IF($G40=8,$U40,0)</f>
        <v>0</v>
      </c>
      <c r="BB40" s="16" t="n">
        <f aca="false">IF($G40=9,$U40,0)</f>
        <v>0</v>
      </c>
      <c r="BC40" s="1116" t="n">
        <f aca="false">IF($G40=10,$U40,0)</f>
        <v>0</v>
      </c>
      <c r="BD40" s="16" t="n">
        <f aca="false">SUM(AT40:AY40)</f>
        <v>0</v>
      </c>
      <c r="BE40" s="600" t="n">
        <f aca="false">IF(F40="N",0,C40)</f>
        <v>0</v>
      </c>
      <c r="BF40" s="16" t="n">
        <f aca="false">IF(N40=1,O40*$U$53,0)+IF(N40=2,O40*$U$54,0)+IF(N40=3,O40*$U$55,0)+IF(N40=4,O40*$U$60,0)+IF(N40=5,O40*$U$61,0)+IF(N40=6,O40*$U$62,0)</f>
        <v>0</v>
      </c>
      <c r="BG40" s="16" t="n">
        <f aca="false">IF(P40=1,Q40*$U$53,0)+IF(P40=2,Q40*$U$54,0)+IF(P40=3,Q40*$U$55,0)+IF(P40=4,Q40*$U$60,0)+IF(P40=5,Q40*$U$61,0)+IF(P40=6,Q40*$U$62,0)</f>
        <v>0</v>
      </c>
      <c r="BH40" s="16" t="n">
        <f aca="false">IF(R40=1,S40*$U$53,0)+IF(R40=2,S40*$U$54,0)+IF(R40=3,S40*$U$55,0)+IF(R40=4,S40*$U$60,0)+IF(R40=5,S40*$U$61,0)+IF(R40=6,S40*$U$62,0)</f>
        <v>0</v>
      </c>
      <c r="BI40" s="506" t="n">
        <f aca="false">SUM(BJ40:CC41)</f>
        <v>0</v>
      </c>
      <c r="BJ40" s="2375" t="n">
        <f aca="false">(AT40*Pricing!F$3+AU40*Pricing!G$3+AV40*Pricing!H$3+AW40*Pricing!I$3+AX40*Pricing!J$3+AY40*Pricing!K$3+AZ40*Pricing!L$3+BA40*Pricing!M$3+BB40*Pricing!M$3+BC40*Pricing!O$3)*IF(T$64="N",(1+V$64),1)</f>
        <v>0</v>
      </c>
      <c r="BK40" s="2096" t="n">
        <f aca="false">T40*F$78*IF(T$64="n",1+V$64,1)</f>
        <v>0</v>
      </c>
      <c r="BL40" s="2096" t="n">
        <f aca="false">IF(BE$50=0,0,IF(F40="y",N$80/BE$50*BE40,0))</f>
        <v>0</v>
      </c>
      <c r="BM40" s="2096" t="n">
        <f aca="false">IF(N$79=0,0,N$79/H$87*C40)</f>
        <v>0</v>
      </c>
      <c r="BN40" s="2376" t="n">
        <f aca="false">(C40*G$87)</f>
        <v>0</v>
      </c>
      <c r="BO40" s="2096" t="n">
        <f aca="false">H40*D$91</f>
        <v>0</v>
      </c>
      <c r="BP40" s="2096" t="n">
        <f aca="false">SUM(BF40:BH40)*D$92</f>
        <v>0</v>
      </c>
      <c r="BQ40" s="2096" t="n">
        <f aca="false">D$93*C40</f>
        <v>0</v>
      </c>
      <c r="BR40" s="2096" t="str">
        <f aca="false">IF(C40="","",(N$95+N$94)/H$87*C40)</f>
        <v/>
      </c>
      <c r="BS40" s="2096" t="n">
        <f aca="false">IF(C40=0,0,(T40/2000*D$96))</f>
        <v>0</v>
      </c>
      <c r="BT40" s="2377" t="str">
        <f aca="false">IF(C40="","",N$97/H$87*C40)</f>
        <v/>
      </c>
      <c r="BU40" s="2096" t="n">
        <f aca="false">IF(C40=0,0,SUM(N$100:O$103)/C$50*C40)</f>
        <v>0</v>
      </c>
      <c r="BV40" s="2096" t="n">
        <f aca="false">IF(C40=0,0,SUM(W$73:W$106)/C$50*C40)+IF(H$87=0,0,(N$84+N$83+N$82)/H$87*C40)</f>
        <v>0</v>
      </c>
      <c r="BW40" s="2096" t="n">
        <f aca="false">IF(C40=0,0,SUM(N$105:O$110)/C$50*C40)</f>
        <v>0</v>
      </c>
      <c r="BX40" s="2096" t="n">
        <f aca="false">IF(C40=0,0,SUM(N$112:O$118)/C$50)*C40</f>
        <v>0</v>
      </c>
      <c r="BY40" s="2096" t="n">
        <f aca="false">IF(C$50=0,0,SUM(W$107:W$118)/C$50*C40)</f>
        <v>0</v>
      </c>
      <c r="BZ40" s="2096" t="n">
        <f aca="false">IF(N$119=0,0,N$119/H$87*C40)</f>
        <v>0</v>
      </c>
      <c r="CA40" s="2096"/>
      <c r="CB40" s="2096" t="n">
        <f aca="false">AG40*F$81*IF(T$64="n",(1+V$64),1)</f>
        <v>0</v>
      </c>
      <c r="CC40" s="2378" t="n">
        <f aca="false">AQ40*F$79*IF(T$64="Y",1,1+V$64)</f>
        <v>0</v>
      </c>
    </row>
    <row r="41" customFormat="false" ht="19.5" hidden="false" customHeight="true" outlineLevel="0" collapsed="false">
      <c r="A41" s="2379"/>
      <c r="B41" s="2405"/>
      <c r="C41" s="2406"/>
      <c r="D41" s="1552"/>
      <c r="E41" s="1352"/>
      <c r="F41" s="1559"/>
      <c r="G41" s="1509"/>
      <c r="H41" s="2396"/>
      <c r="I41" s="1559"/>
      <c r="J41" s="1556"/>
      <c r="K41" s="1559"/>
      <c r="L41" s="1556"/>
      <c r="M41" s="2381"/>
      <c r="N41" s="1559"/>
      <c r="O41" s="1556"/>
      <c r="P41" s="1559"/>
      <c r="Q41" s="1581"/>
      <c r="R41" s="2397"/>
      <c r="S41" s="2398"/>
      <c r="T41" s="2384"/>
      <c r="U41" s="2385"/>
      <c r="V41" s="2399"/>
      <c r="W41" s="2184"/>
      <c r="X41" s="2184"/>
      <c r="Y41" s="1414"/>
      <c r="AH41" s="1142" t="n">
        <f aca="false">IF(N41=1,O41*$Q$53,0)+IF(N41=2,O41*$Q$54,0)+IF(N41=3,O41*$Q$55,0)+IF(N41=4,O41*$Q$60,0)+IF(N41=5,O41*$Q$61,0)+IF(N41=6,O41*$Q$62+IF(N41=7,O41*$Q$54,0)+IF(N41=8,O41*$Q$55,0)+IF(N41=9,O41*$Q$60,0)+IF(N41=10,O41*$Q$61,0),0)</f>
        <v>0</v>
      </c>
      <c r="AI41" s="16" t="n">
        <f aca="false">IF(P41=1,Q41*$Q$53,0)+IF(P41=2,Q41*$Q$54,0)+IF(P41=3,Q41*$Q$55,0)+IF(P41=4,Q41*$Q$60,0)+IF(P41=5,Q41*$Q$61,0)+IF(P41=6,Q41*$Q$62+IF(P41=7,Q41*$Q$54,0)+IF(P41=8,Q41*$Q$55,0)+IF(P41=9,Q41*$Q$60,0)+IF(P41=10,Q41*$Q$61,0),0)</f>
        <v>0</v>
      </c>
      <c r="AJ41" s="16" t="n">
        <f aca="false">IF(R41=1,S41*$Q$53,0)+IF(R41=2,S41*$Q$54,0)+IF(R41=3,S41*$Q$55,0)+IF(R41=4,S41*$Q$60,0)+IF(R41=5,S41*$Q$61,0)+IF(R41=6,S41*$Q$62+IF(R41=7,S41*$Q$54,0)+IF(R41=8,S41*$Q$55,0)+IF(R41=9,S41*$Q$60,0)+IF(R41=10,S41*$Q$61,0),0)</f>
        <v>0</v>
      </c>
      <c r="AK41" s="1116" t="n">
        <f aca="false">SUM(AH41:AJ41)</f>
        <v>0</v>
      </c>
      <c r="AL41" s="16" t="n">
        <f aca="false">ROUNDUP(IF(N41=1,O41*$O$53,0)+IF(N41=2,O41*$O$54,0)+IF(N41=3,O41*$O$55,0)+IF(N41=4,O41*$O$56,0)+IF(N41=5,O41*$O$57,0)+IF(N41=6,O41*$O$58+IF(N41=7,O41*$O$59,0)+IF(N41=8,O41*$O$60,0)+IF(N41=9,O41*$O$61+IF(N41=10,O41*$O$62,0),0),0),0)</f>
        <v>0</v>
      </c>
      <c r="AM41" s="16" t="n">
        <f aca="false">ROUNDUP(IF(P41=1,Q41*$Q$53,0)+IF(P41=2,Q41*$Q$54,0)+IF(P41=3,Q41*$Q$55,0)+IF(P41=4,Q41*$Q$56,0)+IF(P41=5,Q41*$Q$57,0)+IF(P41=6,Q41*$Q$58+IF(P41=7,Q41*$Q$59,0)+IF(P41=8,Q41*$Q$60,0)+IF(P41=9,Q41*$Q$61+IF(P41=10,Q41*$Q$62,0),0),0),0)</f>
        <v>0</v>
      </c>
      <c r="AN41" s="16" t="n">
        <f aca="false">ROUNDUP(IF(R41=1,S41*$S$53,0)+IF(R41=2,S41*$S$54,0)+IF(R41=3,S41*$S$55,0)+IF(R41=4,S41*$S$56,0)+IF(R41=5,S41*$S$57,0)+IF(R41=6,S41*$S$58+IF(R41=7,S41*$S$59,0)+IF(R41=8,S41*$S$60,0)+IF(R41=9,S41*$S$61+IF(R41=10,S41*$S$62,0),0),0),0)</f>
        <v>0</v>
      </c>
      <c r="AO41" s="1142" t="n">
        <f aca="false">SUM(AL41:AN41)*1.12</f>
        <v>0</v>
      </c>
      <c r="AP41" s="2237" t="n">
        <f aca="false">IF(L41=0,0,(L41/12+L41/12)/(L41/12*L41/12)*C41*((K41/16*K41/16)*10.6870159))*(1+J$78)+IF(J41=0,0,(J41/12+J41/12)/(J41/12*J41/12)*C41*((I41/16*I41/16)*10.6870159))*(1+J$78)</f>
        <v>0</v>
      </c>
      <c r="AQ41" s="1142" t="n">
        <f aca="false">M41*(1+J$79)</f>
        <v>0</v>
      </c>
      <c r="AS41" s="16" t="n">
        <f aca="false">IF(M41="y",C41,0)</f>
        <v>0</v>
      </c>
      <c r="AT41" s="1142" t="n">
        <f aca="false">IF($G41=1,$U41,0)</f>
        <v>0</v>
      </c>
      <c r="AU41" s="16" t="n">
        <f aca="false">IF($G41=2,$U41,0)</f>
        <v>0</v>
      </c>
      <c r="AV41" s="16" t="n">
        <f aca="false">IF($G41=3,$U41,0)</f>
        <v>0</v>
      </c>
      <c r="AW41" s="16" t="n">
        <f aca="false">IF($G41=4,$U41,0)</f>
        <v>0</v>
      </c>
      <c r="AX41" s="16" t="n">
        <f aca="false">IF($G41=5,$U41,0)</f>
        <v>0</v>
      </c>
      <c r="AY41" s="16" t="n">
        <f aca="false">IF($G41=6,$U41,0)</f>
        <v>0</v>
      </c>
      <c r="AZ41" s="16" t="n">
        <f aca="false">IF($G41=7,$U41,0)</f>
        <v>0</v>
      </c>
      <c r="BA41" s="16" t="n">
        <f aca="false">IF($G41=8,$U41,0)</f>
        <v>0</v>
      </c>
      <c r="BB41" s="16" t="n">
        <f aca="false">IF($G41=9,$U41,0)</f>
        <v>0</v>
      </c>
      <c r="BC41" s="1116" t="n">
        <f aca="false">IF($G41=10,$U41,0)</f>
        <v>0</v>
      </c>
      <c r="BD41" s="16" t="n">
        <f aca="false">SUM(AT41:AY41)</f>
        <v>0</v>
      </c>
      <c r="BE41" s="600" t="n">
        <f aca="false">IF(F41="N",0,C41)</f>
        <v>0</v>
      </c>
      <c r="BF41" s="16" t="n">
        <f aca="false">IF(N41=1,O41*$U$53,0)+IF(N41=2,O41*$U$54,0)+IF(N41=3,O41*$U$55,0)+IF(N41=4,O41*$U$60,0)+IF(N41=5,O41*$U$61,0)+IF(N41=6,O41*$U$62,0)</f>
        <v>0</v>
      </c>
      <c r="BG41" s="16" t="n">
        <f aca="false">IF(P41=1,Q41*$U$53,0)+IF(P41=2,Q41*$U$54,0)+IF(P41=3,Q41*$U$55,0)+IF(P41=4,Q41*$U$60,0)+IF(P41=5,Q41*$U$61,0)+IF(P41=6,Q41*$U$62,0)</f>
        <v>0</v>
      </c>
      <c r="BH41" s="16" t="n">
        <f aca="false">IF(R41=1,S41*$U$53,0)+IF(R41=2,S41*$U$54,0)+IF(R41=3,S41*$U$55,0)+IF(R41=4,S41*$U$60,0)+IF(R41=5,S41*$U$61,0)+IF(R41=6,S41*$U$62,0)</f>
        <v>0</v>
      </c>
      <c r="BI41" s="506"/>
      <c r="BJ41" s="2375" t="n">
        <f aca="false">(AT41*Pricing!F$3+AU41*Pricing!G$3+AV41*Pricing!H$3+AW41*Pricing!I$3+AX41*Pricing!J$3+AY41*Pricing!K$3+AZ41*Pricing!L$3+BA41*Pricing!M$3+BB41*Pricing!M$3+BC41*Pricing!O$3)*IF(T$64="N",(1+V$64),1)</f>
        <v>0</v>
      </c>
      <c r="BK41" s="2096" t="n">
        <f aca="false">T41*F$78*IF(T$64="n",1+V$64,1)</f>
        <v>0</v>
      </c>
      <c r="BL41" s="2096" t="n">
        <f aca="false">IF(BE$50=0,0,IF(F41="y",N$80/BE$50*BE41,0))</f>
        <v>0</v>
      </c>
      <c r="BM41" s="2096" t="n">
        <f aca="false">IF(N$79=0,0,N$79/H$87*C41)</f>
        <v>0</v>
      </c>
      <c r="BN41" s="2376" t="n">
        <f aca="false">(C41*G$87)</f>
        <v>0</v>
      </c>
      <c r="BO41" s="2096" t="n">
        <f aca="false">H41*D$91</f>
        <v>0</v>
      </c>
      <c r="BP41" s="2096" t="n">
        <f aca="false">SUM(BF41:BH41)*D$92</f>
        <v>0</v>
      </c>
      <c r="BQ41" s="2096" t="n">
        <f aca="false">D$93*C41</f>
        <v>0</v>
      </c>
      <c r="BR41" s="2096" t="str">
        <f aca="false">IF(C41="","",(N$95+N$94)/H$87*C41)</f>
        <v/>
      </c>
      <c r="BS41" s="2096" t="n">
        <f aca="false">IF(C41=0,0,(T41/2000*D$96))</f>
        <v>0</v>
      </c>
      <c r="BT41" s="2377" t="str">
        <f aca="false">IF(C41="","",N$97/H$87*C41)</f>
        <v/>
      </c>
      <c r="BU41" s="2096" t="n">
        <f aca="false">IF(C41=0,0,SUM(N$100:O$103)/C$50*C41)</f>
        <v>0</v>
      </c>
      <c r="BV41" s="2096" t="n">
        <f aca="false">IF(C41=0,0,SUM(W$73:W$106)/C$50*C41)+IF(H$87=0,0,(N$84+N$83+N$82)/H$87*C41)</f>
        <v>0</v>
      </c>
      <c r="BW41" s="2096" t="n">
        <f aca="false">IF(C41=0,0,SUM(N$105:O$110)/C$50*C41)</f>
        <v>0</v>
      </c>
      <c r="BX41" s="2096" t="n">
        <f aca="false">IF(C41=0,0,SUM(N$112:O$118)/C$50)*C41</f>
        <v>0</v>
      </c>
      <c r="BY41" s="2096" t="n">
        <f aca="false">IF(C$50=0,0,SUM(W$107:W$118)/C$50*C41)</f>
        <v>0</v>
      </c>
      <c r="BZ41" s="2096" t="n">
        <f aca="false">IF(N$119=0,0,N$119/H$87*C41)</f>
        <v>0</v>
      </c>
      <c r="CA41" s="2096"/>
      <c r="CB41" s="2096" t="n">
        <f aca="false">AG41*F$81*IF(T$64="n",(1+V$64),1)</f>
        <v>0</v>
      </c>
      <c r="CC41" s="2378" t="n">
        <f aca="false">AQ41*F$79*IF(T$64="Y",1,1+V$64)</f>
        <v>0</v>
      </c>
    </row>
    <row r="42" customFormat="false" ht="19.5" hidden="false" customHeight="true" outlineLevel="0" collapsed="false">
      <c r="A42" s="2402"/>
      <c r="B42" s="2403"/>
      <c r="C42" s="2407"/>
      <c r="D42" s="1508"/>
      <c r="E42" s="1356"/>
      <c r="F42" s="1511"/>
      <c r="G42" s="1553"/>
      <c r="H42" s="2389"/>
      <c r="I42" s="1511"/>
      <c r="J42" s="1512"/>
      <c r="K42" s="1511"/>
      <c r="L42" s="1512"/>
      <c r="M42" s="2390"/>
      <c r="N42" s="1511"/>
      <c r="O42" s="1512"/>
      <c r="P42" s="1511"/>
      <c r="Q42" s="2391"/>
      <c r="R42" s="2392"/>
      <c r="S42" s="2393"/>
      <c r="T42" s="1515" t="n">
        <f aca="false">SUM(AO42:AP43)</f>
        <v>0</v>
      </c>
      <c r="U42" s="1516" t="n">
        <f aca="false">((((C42*E42/324)+(C43*E43/324))*(1+J$73))+AK42+AK43)</f>
        <v>0</v>
      </c>
      <c r="V42" s="2386" t="n">
        <f aca="false">IF(C42=0,0,W42/(C42+C43))</f>
        <v>0</v>
      </c>
      <c r="W42" s="2184" t="n">
        <f aca="false">(IF(SUM(BJ42:CC43)=0,0,SUM(BJ42:CC43)-BZ42-BZ43))*(1+L$65)</f>
        <v>0</v>
      </c>
      <c r="X42" s="2184"/>
      <c r="Y42" s="1414"/>
      <c r="AH42" s="1142" t="n">
        <f aca="false">IF(N42=1,O42*$Q$53,0)+IF(N42=2,O42*$Q$54,0)+IF(N42=3,O42*$Q$55,0)+IF(N42=4,O42*$Q$60,0)+IF(N42=5,O42*$Q$61,0)+IF(N42=6,O42*$Q$62+IF(N42=7,O42*$Q$54,0)+IF(N42=8,O42*$Q$55,0)+IF(N42=9,O42*$Q$60,0)+IF(N42=10,O42*$Q$61,0),0)</f>
        <v>0</v>
      </c>
      <c r="AI42" s="16" t="n">
        <f aca="false">IF(P42=1,Q42*$Q$53,0)+IF(P42=2,Q42*$Q$54,0)+IF(P42=3,Q42*$Q$55,0)+IF(P42=4,Q42*$Q$60,0)+IF(P42=5,Q42*$Q$61,0)+IF(P42=6,Q42*$Q$62+IF(P42=7,Q42*$Q$54,0)+IF(P42=8,Q42*$Q$55,0)+IF(P42=9,Q42*$Q$60,0)+IF(P42=10,Q42*$Q$61,0),0)</f>
        <v>0</v>
      </c>
      <c r="AJ42" s="16" t="n">
        <f aca="false">IF(R42=1,S42*$Q$53,0)+IF(R42=2,S42*$Q$54,0)+IF(R42=3,S42*$Q$55,0)+IF(R42=4,S42*$Q$60,0)+IF(R42=5,S42*$Q$61,0)+IF(R42=6,S42*$Q$62+IF(R42=7,S42*$Q$54,0)+IF(R42=8,S42*$Q$55,0)+IF(R42=9,S42*$Q$60,0)+IF(R42=10,S42*$Q$61,0),0)</f>
        <v>0</v>
      </c>
      <c r="AK42" s="1116" t="n">
        <f aca="false">SUM(AH42:AJ42)</f>
        <v>0</v>
      </c>
      <c r="AL42" s="16" t="n">
        <f aca="false">ROUNDUP(IF(N42=1,O42*$O$53,0)+IF(N42=2,O42*$O$54,0)+IF(N42=3,O42*$O$55,0)+IF(N42=4,O42*$O$56,0)+IF(N42=5,O42*$O$57,0)+IF(N42=6,O42*$O$58+IF(N42=7,O42*$O$59,0)+IF(N42=8,O42*$O$60,0)+IF(N42=9,O42*$O$61+IF(N42=10,O42*$O$62,0),0),0),0)</f>
        <v>0</v>
      </c>
      <c r="AM42" s="16" t="n">
        <f aca="false">ROUNDUP(IF(P42=1,Q42*$Q$53,0)+IF(P42=2,Q42*$Q$54,0)+IF(P42=3,Q42*$Q$55,0)+IF(P42=4,Q42*$Q$56,0)+IF(P42=5,Q42*$Q$57,0)+IF(P42=6,Q42*$Q$58+IF(P42=7,Q42*$Q$59,0)+IF(P42=8,Q42*$Q$60,0)+IF(P42=9,Q42*$Q$61+IF(P42=10,Q42*$Q$62,0),0),0),0)</f>
        <v>0</v>
      </c>
      <c r="AN42" s="16" t="n">
        <f aca="false">ROUNDUP(IF(R42=1,S42*$S$53,0)+IF(R42=2,S42*$S$54,0)+IF(R42=3,S42*$S$55,0)+IF(R42=4,S42*$S$56,0)+IF(R42=5,S42*$S$57,0)+IF(R42=6,S42*$S$58+IF(R42=7,S42*$S$59,0)+IF(R42=8,S42*$S$60,0)+IF(R42=9,S42*$S$61+IF(R42=10,S42*$S$62,0),0),0),0)</f>
        <v>0</v>
      </c>
      <c r="AO42" s="1142" t="n">
        <f aca="false">SUM(AL42:AN42)*1.12</f>
        <v>0</v>
      </c>
      <c r="AP42" s="2237" t="n">
        <f aca="false">IF(L42=0,0,(L42/12+L42/12)/(L42/12*L42/12)*C42*((K42/16*K42/16)*10.6870159))*(1+J$78)+IF(J42=0,0,(J42/12+J42/12)/(J42/12*J42/12)*C42*((I42/16*I42/16)*10.6870159))*(1+J$78)</f>
        <v>0</v>
      </c>
      <c r="AQ42" s="1142" t="n">
        <f aca="false">M42*(1+J$79)</f>
        <v>0</v>
      </c>
      <c r="AS42" s="16" t="n">
        <f aca="false">IF(M42="y",C42,0)</f>
        <v>0</v>
      </c>
      <c r="AT42" s="1142" t="n">
        <f aca="false">IF($G42=1,$U42,0)</f>
        <v>0</v>
      </c>
      <c r="AU42" s="16" t="n">
        <f aca="false">IF($G42=2,$U42,0)</f>
        <v>0</v>
      </c>
      <c r="AV42" s="16" t="n">
        <f aca="false">IF($G42=3,$U42,0)</f>
        <v>0</v>
      </c>
      <c r="AW42" s="16" t="n">
        <f aca="false">IF($G42=4,$U42,0)</f>
        <v>0</v>
      </c>
      <c r="AX42" s="16" t="n">
        <f aca="false">IF($G42=5,$U42,0)</f>
        <v>0</v>
      </c>
      <c r="AY42" s="16" t="n">
        <f aca="false">IF($G42=6,$U42,0)</f>
        <v>0</v>
      </c>
      <c r="AZ42" s="16" t="n">
        <f aca="false">IF($G42=7,$U42,0)</f>
        <v>0</v>
      </c>
      <c r="BA42" s="16" t="n">
        <f aca="false">IF($G42=8,$U42,0)</f>
        <v>0</v>
      </c>
      <c r="BB42" s="16" t="n">
        <f aca="false">IF($G42=9,$U42,0)</f>
        <v>0</v>
      </c>
      <c r="BC42" s="1116" t="n">
        <f aca="false">IF($G42=10,$U42,0)</f>
        <v>0</v>
      </c>
      <c r="BD42" s="16" t="n">
        <f aca="false">SUM(AT42:AY42)</f>
        <v>0</v>
      </c>
      <c r="BE42" s="600" t="n">
        <f aca="false">IF(F42="N",0,C42)</f>
        <v>0</v>
      </c>
      <c r="BF42" s="16" t="n">
        <f aca="false">IF(N42=1,O42*$U$53,0)+IF(N42=2,O42*$U$54,0)+IF(N42=3,O42*$U$55,0)+IF(N42=4,O42*$U$60,0)+IF(N42=5,O42*$U$61,0)+IF(N42=6,O42*$U$62,0)</f>
        <v>0</v>
      </c>
      <c r="BG42" s="16" t="n">
        <f aca="false">IF(P42=1,Q42*$U$53,0)+IF(P42=2,Q42*$U$54,0)+IF(P42=3,Q42*$U$55,0)+IF(P42=4,Q42*$U$60,0)+IF(P42=5,Q42*$U$61,0)+IF(P42=6,Q42*$U$62,0)</f>
        <v>0</v>
      </c>
      <c r="BH42" s="16" t="n">
        <f aca="false">IF(R42=1,S42*$U$53,0)+IF(R42=2,S42*$U$54,0)+IF(R42=3,S42*$U$55,0)+IF(R42=4,S42*$U$60,0)+IF(R42=5,S42*$U$61,0)+IF(R42=6,S42*$U$62,0)</f>
        <v>0</v>
      </c>
      <c r="BI42" s="506" t="n">
        <f aca="false">SUM(BJ42:CC43)</f>
        <v>0</v>
      </c>
      <c r="BJ42" s="2375" t="n">
        <f aca="false">(AT42*Pricing!F$3+AU42*Pricing!G$3+AV42*Pricing!H$3+AW42*Pricing!I$3+AX42*Pricing!J$3+AY42*Pricing!K$3+AZ42*Pricing!L$3+BA42*Pricing!M$3+BB42*Pricing!M$3+BC42*Pricing!O$3)*IF(T$64="N",(1+V$64),1)</f>
        <v>0</v>
      </c>
      <c r="BK42" s="2096" t="n">
        <f aca="false">T42*F$78*IF(T$64="n",1+V$64,1)</f>
        <v>0</v>
      </c>
      <c r="BL42" s="2096" t="n">
        <f aca="false">IF(BE$50=0,0,IF(F42="y",N$80/BE$50*BE42,0))</f>
        <v>0</v>
      </c>
      <c r="BM42" s="2096" t="n">
        <f aca="false">IF(N$79=0,0,N$79/H$87*C42)</f>
        <v>0</v>
      </c>
      <c r="BN42" s="2376" t="n">
        <f aca="false">(C42*G$87)</f>
        <v>0</v>
      </c>
      <c r="BO42" s="2096" t="n">
        <f aca="false">H42*D$91</f>
        <v>0</v>
      </c>
      <c r="BP42" s="2096" t="n">
        <f aca="false">SUM(BF42:BH42)*D$92</f>
        <v>0</v>
      </c>
      <c r="BQ42" s="2096" t="n">
        <f aca="false">D$93*C42</f>
        <v>0</v>
      </c>
      <c r="BR42" s="2096" t="str">
        <f aca="false">IF(C42="","",(N$95+N$94)/H$87*C42)</f>
        <v/>
      </c>
      <c r="BS42" s="2096" t="n">
        <f aca="false">IF(C42=0,0,(T42/2000*D$96))</f>
        <v>0</v>
      </c>
      <c r="BT42" s="2377" t="str">
        <f aca="false">IF(C42="","",N$97/H$87*C42)</f>
        <v/>
      </c>
      <c r="BU42" s="2096" t="n">
        <f aca="false">IF(C42=0,0,SUM(N$100:O$103)/C$50*C42)</f>
        <v>0</v>
      </c>
      <c r="BV42" s="2096" t="n">
        <f aca="false">IF(C42=0,0,SUM(W$73:W$106)/C$50*C42)+IF(H$87=0,0,(N$84+N$83+N$82)/H$87*C42)</f>
        <v>0</v>
      </c>
      <c r="BW42" s="2096" t="n">
        <f aca="false">IF(C42=0,0,SUM(N$105:O$110)/C$50*C42)</f>
        <v>0</v>
      </c>
      <c r="BX42" s="2096" t="n">
        <f aca="false">IF(C42=0,0,SUM(N$112:O$118)/C$50)*C42</f>
        <v>0</v>
      </c>
      <c r="BY42" s="2096" t="n">
        <f aca="false">IF(C$50=0,0,SUM(W$107:W$118)/C$50*C42)</f>
        <v>0</v>
      </c>
      <c r="BZ42" s="2096" t="n">
        <f aca="false">IF(N$119=0,0,N$119/H$87*C42)</f>
        <v>0</v>
      </c>
      <c r="CA42" s="2096"/>
      <c r="CB42" s="2096" t="n">
        <f aca="false">AG42*F$81*IF(T$64="n",(1+V$64),1)</f>
        <v>0</v>
      </c>
      <c r="CC42" s="2378" t="n">
        <f aca="false">AQ42*F$79*IF(T$64="Y",1,1+V$64)</f>
        <v>0</v>
      </c>
    </row>
    <row r="43" customFormat="false" ht="19.5" hidden="false" customHeight="true" outlineLevel="0" collapsed="false">
      <c r="A43" s="2379"/>
      <c r="B43" s="2405"/>
      <c r="C43" s="2406"/>
      <c r="D43" s="1552"/>
      <c r="E43" s="1352"/>
      <c r="F43" s="1559"/>
      <c r="G43" s="1509"/>
      <c r="H43" s="2396"/>
      <c r="I43" s="1559"/>
      <c r="J43" s="1556"/>
      <c r="K43" s="1559"/>
      <c r="L43" s="1556"/>
      <c r="M43" s="2381"/>
      <c r="N43" s="1559"/>
      <c r="O43" s="1556"/>
      <c r="P43" s="1559"/>
      <c r="Q43" s="1581"/>
      <c r="R43" s="2397"/>
      <c r="S43" s="2398"/>
      <c r="T43" s="2384"/>
      <c r="U43" s="2385"/>
      <c r="V43" s="2399"/>
      <c r="W43" s="2184"/>
      <c r="X43" s="2184"/>
      <c r="Y43" s="1414"/>
      <c r="AH43" s="1142" t="n">
        <f aca="false">IF(N43=1,O43*$Q$53,0)+IF(N43=2,O43*$Q$54,0)+IF(N43=3,O43*$Q$55,0)+IF(N43=4,O43*$Q$60,0)+IF(N43=5,O43*$Q$61,0)+IF(N43=6,O43*$Q$62+IF(N43=7,O43*$Q$54,0)+IF(N43=8,O43*$Q$55,0)+IF(N43=9,O43*$Q$60,0)+IF(N43=10,O43*$Q$61,0),0)</f>
        <v>0</v>
      </c>
      <c r="AI43" s="16" t="n">
        <f aca="false">IF(P43=1,Q43*$Q$53,0)+IF(P43=2,Q43*$Q$54,0)+IF(P43=3,Q43*$Q$55,0)+IF(P43=4,Q43*$Q$60,0)+IF(P43=5,Q43*$Q$61,0)+IF(P43=6,Q43*$Q$62+IF(P43=7,Q43*$Q$54,0)+IF(P43=8,Q43*$Q$55,0)+IF(P43=9,Q43*$Q$60,0)+IF(P43=10,Q43*$Q$61,0),0)</f>
        <v>0</v>
      </c>
      <c r="AJ43" s="16" t="n">
        <f aca="false">IF(R43=1,S43*$Q$53,0)+IF(R43=2,S43*$Q$54,0)+IF(R43=3,S43*$Q$55,0)+IF(R43=4,S43*$Q$60,0)+IF(R43=5,S43*$Q$61,0)+IF(R43=6,S43*$Q$62+IF(R43=7,S43*$Q$54,0)+IF(R43=8,S43*$Q$55,0)+IF(R43=9,S43*$Q$60,0)+IF(R43=10,S43*$Q$61,0),0)</f>
        <v>0</v>
      </c>
      <c r="AK43" s="1116" t="n">
        <f aca="false">SUM(AH43:AJ43)</f>
        <v>0</v>
      </c>
      <c r="AL43" s="16" t="n">
        <f aca="false">ROUNDUP(IF(N43=1,O43*$O$53,0)+IF(N43=2,O43*$O$54,0)+IF(N43=3,O43*$O$55,0)+IF(N43=4,O43*$O$56,0)+IF(N43=5,O43*$O$57,0)+IF(N43=6,O43*$O$58+IF(N43=7,O43*$O$59,0)+IF(N43=8,O43*$O$60,0)+IF(N43=9,O43*$O$61+IF(N43=10,O43*$O$62,0),0),0),0)</f>
        <v>0</v>
      </c>
      <c r="AM43" s="16" t="n">
        <f aca="false">ROUNDUP(IF(P43=1,Q43*$Q$53,0)+IF(P43=2,Q43*$Q$54,0)+IF(P43=3,Q43*$Q$55,0)+IF(P43=4,Q43*$Q$56,0)+IF(P43=5,Q43*$Q$57,0)+IF(P43=6,Q43*$Q$58+IF(P43=7,Q43*$Q$59,0)+IF(P43=8,Q43*$Q$60,0)+IF(P43=9,Q43*$Q$61+IF(P43=10,Q43*$Q$62,0),0),0),0)</f>
        <v>0</v>
      </c>
      <c r="AN43" s="16" t="n">
        <f aca="false">ROUNDUP(IF(R43=1,S43*$S$53,0)+IF(R43=2,S43*$S$54,0)+IF(R43=3,S43*$S$55,0)+IF(R43=4,S43*$S$56,0)+IF(R43=5,S43*$S$57,0)+IF(R43=6,S43*$S$58+IF(R43=7,S43*$S$59,0)+IF(R43=8,S43*$S$60,0)+IF(R43=9,S43*$S$61+IF(R43=10,S43*$S$62,0),0),0),0)</f>
        <v>0</v>
      </c>
      <c r="AO43" s="1142" t="n">
        <f aca="false">SUM(AL43:AN43)*1.12</f>
        <v>0</v>
      </c>
      <c r="AP43" s="2237" t="n">
        <f aca="false">IF(L43=0,0,(L43/12+L43/12)/(L43/12*L43/12)*C43*((K43/16*K43/16)*10.6870159))*(1+J$78)+IF(J43=0,0,(J43/12+J43/12)/(J43/12*J43/12)*C43*((I43/16*I43/16)*10.6870159))*(1+J$78)</f>
        <v>0</v>
      </c>
      <c r="AQ43" s="1142" t="n">
        <f aca="false">M43*(1+J$79)</f>
        <v>0</v>
      </c>
      <c r="AS43" s="16" t="n">
        <f aca="false">IF(M43="y",C43,0)</f>
        <v>0</v>
      </c>
      <c r="AT43" s="1142" t="n">
        <f aca="false">IF($G43=1,$U43,0)</f>
        <v>0</v>
      </c>
      <c r="AU43" s="16" t="n">
        <f aca="false">IF($G43=2,$U43,0)</f>
        <v>0</v>
      </c>
      <c r="AV43" s="16" t="n">
        <f aca="false">IF($G43=3,$U43,0)</f>
        <v>0</v>
      </c>
      <c r="AW43" s="16" t="n">
        <f aca="false">IF($G43=4,$U43,0)</f>
        <v>0</v>
      </c>
      <c r="AX43" s="16" t="n">
        <f aca="false">IF($G43=5,$U43,0)</f>
        <v>0</v>
      </c>
      <c r="AY43" s="16" t="n">
        <f aca="false">IF($G43=6,$U43,0)</f>
        <v>0</v>
      </c>
      <c r="AZ43" s="16" t="n">
        <f aca="false">IF($G43=7,$U43,0)</f>
        <v>0</v>
      </c>
      <c r="BA43" s="16" t="n">
        <f aca="false">IF($G43=8,$U43,0)</f>
        <v>0</v>
      </c>
      <c r="BB43" s="16" t="n">
        <f aca="false">IF($G43=9,$U43,0)</f>
        <v>0</v>
      </c>
      <c r="BC43" s="1116" t="n">
        <f aca="false">IF($G43=10,$U43,0)</f>
        <v>0</v>
      </c>
      <c r="BD43" s="16" t="n">
        <f aca="false">SUM(AT43:AY43)</f>
        <v>0</v>
      </c>
      <c r="BE43" s="600" t="n">
        <f aca="false">IF(F43="N",0,C43)</f>
        <v>0</v>
      </c>
      <c r="BF43" s="16" t="n">
        <f aca="false">IF(N43=1,O43*$U$53,0)+IF(N43=2,O43*$U$54,0)+IF(N43=3,O43*$U$55,0)+IF(N43=4,O43*$U$60,0)+IF(N43=5,O43*$U$61,0)+IF(N43=6,O43*$U$62,0)</f>
        <v>0</v>
      </c>
      <c r="BG43" s="16" t="n">
        <f aca="false">IF(P43=1,Q43*$U$53,0)+IF(P43=2,Q43*$U$54,0)+IF(P43=3,Q43*$U$55,0)+IF(P43=4,Q43*$U$60,0)+IF(P43=5,Q43*$U$61,0)+IF(P43=6,Q43*$U$62,0)</f>
        <v>0</v>
      </c>
      <c r="BH43" s="16" t="n">
        <f aca="false">IF(R43=1,S43*$U$53,0)+IF(R43=2,S43*$U$54,0)+IF(R43=3,S43*$U$55,0)+IF(R43=4,S43*$U$60,0)+IF(R43=5,S43*$U$61,0)+IF(R43=6,S43*$U$62,0)</f>
        <v>0</v>
      </c>
      <c r="BI43" s="506"/>
      <c r="BJ43" s="2375" t="n">
        <f aca="false">(AT43*Pricing!F$3+AU43*Pricing!G$3+AV43*Pricing!H$3+AW43*Pricing!I$3+AX43*Pricing!J$3+AY43*Pricing!K$3+AZ43*Pricing!L$3+BA43*Pricing!M$3+BB43*Pricing!M$3+BC43*Pricing!O$3)*IF(T$64="N",(1+V$64),1)</f>
        <v>0</v>
      </c>
      <c r="BK43" s="2096" t="n">
        <f aca="false">T43*F$78*IF(T$64="n",1+V$64,1)</f>
        <v>0</v>
      </c>
      <c r="BL43" s="2096" t="n">
        <f aca="false">IF(BE$50=0,0,IF(F43="y",N$80/BE$50*BE43,0))</f>
        <v>0</v>
      </c>
      <c r="BM43" s="2096" t="n">
        <f aca="false">IF(N$79=0,0,N$79/H$87*C43)</f>
        <v>0</v>
      </c>
      <c r="BN43" s="2376" t="n">
        <f aca="false">(C43*G$87)</f>
        <v>0</v>
      </c>
      <c r="BO43" s="2096" t="n">
        <f aca="false">H43*D$91</f>
        <v>0</v>
      </c>
      <c r="BP43" s="2096" t="n">
        <f aca="false">SUM(BF43:BH43)*D$92</f>
        <v>0</v>
      </c>
      <c r="BQ43" s="2096" t="n">
        <f aca="false">D$93*C43</f>
        <v>0</v>
      </c>
      <c r="BR43" s="2096" t="str">
        <f aca="false">IF(C43="","",(N$95+N$94)/H$87*C43)</f>
        <v/>
      </c>
      <c r="BS43" s="2096" t="n">
        <f aca="false">IF(C43=0,0,(T43/2000*D$96))</f>
        <v>0</v>
      </c>
      <c r="BT43" s="2377" t="str">
        <f aca="false">IF(C43="","",N$97/H$87*C43)</f>
        <v/>
      </c>
      <c r="BU43" s="2096" t="n">
        <f aca="false">IF(C43=0,0,SUM(N$100:O$103)/C$50*C43)</f>
        <v>0</v>
      </c>
      <c r="BV43" s="2096" t="n">
        <f aca="false">IF(C43=0,0,SUM(W$73:W$106)/C$50*C43)+IF(H$87=0,0,(N$84+N$83+N$82)/H$87*C43)</f>
        <v>0</v>
      </c>
      <c r="BW43" s="2096" t="n">
        <f aca="false">IF(C43=0,0,SUM(N$105:O$110)/C$50*C43)</f>
        <v>0</v>
      </c>
      <c r="BX43" s="2096" t="n">
        <f aca="false">IF(C43=0,0,SUM(N$112:O$118)/C$50)*C43</f>
        <v>0</v>
      </c>
      <c r="BY43" s="2096" t="n">
        <f aca="false">IF(C$50=0,0,SUM(W$107:W$118)/C$50*C43)</f>
        <v>0</v>
      </c>
      <c r="BZ43" s="2096" t="n">
        <f aca="false">IF(N$119=0,0,N$119/H$87*C43)</f>
        <v>0</v>
      </c>
      <c r="CA43" s="2096"/>
      <c r="CB43" s="2096" t="n">
        <f aca="false">AG43*F$81*IF(T$64="n",(1+V$64),1)</f>
        <v>0</v>
      </c>
      <c r="CC43" s="2378" t="n">
        <f aca="false">AQ43*F$79*IF(T$64="Y",1,1+V$64)</f>
        <v>0</v>
      </c>
    </row>
    <row r="44" customFormat="false" ht="19.5" hidden="false" customHeight="true" outlineLevel="0" collapsed="false">
      <c r="A44" s="2402"/>
      <c r="B44" s="2403"/>
      <c r="C44" s="2407"/>
      <c r="D44" s="1508"/>
      <c r="E44" s="1356"/>
      <c r="F44" s="1511"/>
      <c r="G44" s="1553"/>
      <c r="H44" s="2389"/>
      <c r="I44" s="1511"/>
      <c r="J44" s="1512"/>
      <c r="K44" s="1511"/>
      <c r="L44" s="1512"/>
      <c r="M44" s="2390"/>
      <c r="N44" s="1511"/>
      <c r="O44" s="1512"/>
      <c r="P44" s="1511"/>
      <c r="Q44" s="2391"/>
      <c r="R44" s="2238"/>
      <c r="S44" s="2393"/>
      <c r="T44" s="1515" t="n">
        <f aca="false">SUM(AO44:AP45)</f>
        <v>0</v>
      </c>
      <c r="U44" s="1516" t="n">
        <f aca="false">((((C44*E44/324)+(C45*E45/324))*(1+J$73))+AK44+AK45)</f>
        <v>0</v>
      </c>
      <c r="V44" s="2386" t="n">
        <f aca="false">IF(C44=0,0,W44/(C44+C45))</f>
        <v>0</v>
      </c>
      <c r="W44" s="2184" t="n">
        <f aca="false">(IF(SUM(BJ44:CC45)=0,0,SUM(BJ44:CC45)-BZ44-BZ45))*(1+L$65)</f>
        <v>0</v>
      </c>
      <c r="X44" s="2184"/>
      <c r="Y44" s="1414"/>
      <c r="AH44" s="1142" t="n">
        <f aca="false">IF(N44=1,O44*$Q$53,0)+IF(N44=2,O44*$Q$54,0)+IF(N44=3,O44*$Q$55,0)+IF(N44=4,O44*$Q$60,0)+IF(N44=5,O44*$Q$61,0)+IF(N44=6,O44*$Q$62+IF(N44=7,O44*$Q$54,0)+IF(N44=8,O44*$Q$55,0)+IF(N44=9,O44*$Q$60,0)+IF(N44=10,O44*$Q$61,0),0)</f>
        <v>0</v>
      </c>
      <c r="AI44" s="16" t="n">
        <f aca="false">IF(P44=1,Q44*$Q$53,0)+IF(P44=2,Q44*$Q$54,0)+IF(P44=3,Q44*$Q$55,0)+IF(P44=4,Q44*$Q$60,0)+IF(P44=5,Q44*$Q$61,0)+IF(P44=6,Q44*$Q$62+IF(P44=7,Q44*$Q$54,0)+IF(P44=8,Q44*$Q$55,0)+IF(P44=9,Q44*$Q$60,0)+IF(P44=10,Q44*$Q$61,0),0)</f>
        <v>0</v>
      </c>
      <c r="AJ44" s="16" t="n">
        <f aca="false">IF(R44=1,S44*$Q$53,0)+IF(R44=2,S44*$Q$54,0)+IF(R44=3,S44*$Q$55,0)+IF(R44=4,S44*$Q$60,0)+IF(R44=5,S44*$Q$61,0)+IF(R44=6,S44*$Q$62+IF(R44=7,S44*$Q$54,0)+IF(R44=8,S44*$Q$55,0)+IF(R44=9,S44*$Q$60,0)+IF(R44=10,S44*$Q$61,0),0)</f>
        <v>0</v>
      </c>
      <c r="AK44" s="1116" t="n">
        <f aca="false">SUM(AH44:AJ44)</f>
        <v>0</v>
      </c>
      <c r="AL44" s="16" t="n">
        <f aca="false">ROUNDUP(IF(N44=1,O44*$O$53,0)+IF(N44=2,O44*$O$54,0)+IF(N44=3,O44*$O$55,0)+IF(N44=4,O44*$O$56,0)+IF(N44=5,O44*$O$57,0)+IF(N44=6,O44*$O$58+IF(N44=7,O44*$O$59,0)+IF(N44=8,O44*$O$60,0)+IF(N44=9,O44*$O$61+IF(N44=10,O44*$O$62,0),0),0),0)</f>
        <v>0</v>
      </c>
      <c r="AM44" s="16" t="n">
        <f aca="false">ROUNDUP(IF(P44=1,Q44*$Q$53,0)+IF(P44=2,Q44*$Q$54,0)+IF(P44=3,Q44*$Q$55,0)+IF(P44=4,Q44*$Q$56,0)+IF(P44=5,Q44*$Q$57,0)+IF(P44=6,Q44*$Q$58+IF(P44=7,Q44*$Q$59,0)+IF(P44=8,Q44*$Q$60,0)+IF(P44=9,Q44*$Q$61+IF(P44=10,Q44*$Q$62,0),0),0),0)</f>
        <v>0</v>
      </c>
      <c r="AN44" s="16" t="n">
        <f aca="false">ROUNDUP(IF(R44=1,S44*$S$53,0)+IF(R44=2,S44*$S$54,0)+IF(R44=3,S44*$S$55,0)+IF(R44=4,S44*$S$56,0)+IF(R44=5,S44*$S$57,0)+IF(R44=6,S44*$S$58+IF(R44=7,S44*$S$59,0)+IF(R44=8,S44*$S$60,0)+IF(R44=9,S44*$S$61+IF(R44=10,S44*$S$62,0),0),0),0)</f>
        <v>0</v>
      </c>
      <c r="AO44" s="1142" t="n">
        <f aca="false">SUM(AL44:AN44)*1.12</f>
        <v>0</v>
      </c>
      <c r="AP44" s="2237" t="n">
        <f aca="false">IF(L44=0,0,(L44/12+L44/12)/(L44/12*L44/12)*C44*((K44/16*K44/16)*10.6870159))*(1+J$78)+IF(J44=0,0,(J44/12+J44/12)/(J44/12*J44/12)*C44*((I44/16*I44/16)*10.6870159))*(1+J$78)</f>
        <v>0</v>
      </c>
      <c r="AQ44" s="1142" t="n">
        <f aca="false">M44*(1+J$79)</f>
        <v>0</v>
      </c>
      <c r="AS44" s="16" t="n">
        <f aca="false">IF(M44="y",C44,0)</f>
        <v>0</v>
      </c>
      <c r="AT44" s="1142" t="n">
        <f aca="false">IF($G44=1,$U44,0)</f>
        <v>0</v>
      </c>
      <c r="AU44" s="16" t="n">
        <f aca="false">IF($G44=2,$U44,0)</f>
        <v>0</v>
      </c>
      <c r="AV44" s="16" t="n">
        <f aca="false">IF($G44=3,$U44,0)</f>
        <v>0</v>
      </c>
      <c r="AW44" s="16" t="n">
        <f aca="false">IF($G44=4,$U44,0)</f>
        <v>0</v>
      </c>
      <c r="AX44" s="16" t="n">
        <f aca="false">IF($G44=5,$U44,0)</f>
        <v>0</v>
      </c>
      <c r="AY44" s="16" t="n">
        <f aca="false">IF($G44=6,$U44,0)</f>
        <v>0</v>
      </c>
      <c r="AZ44" s="16" t="n">
        <f aca="false">IF($G44=7,$U44,0)</f>
        <v>0</v>
      </c>
      <c r="BA44" s="16" t="n">
        <f aca="false">IF($G44=8,$U44,0)</f>
        <v>0</v>
      </c>
      <c r="BB44" s="16" t="n">
        <f aca="false">IF($G44=9,$U44,0)</f>
        <v>0</v>
      </c>
      <c r="BC44" s="1116" t="n">
        <f aca="false">IF($G44=10,$U44,0)</f>
        <v>0</v>
      </c>
      <c r="BD44" s="16" t="n">
        <f aca="false">SUM(AT44:AY44)</f>
        <v>0</v>
      </c>
      <c r="BE44" s="600" t="n">
        <f aca="false">IF(F44="N",0,C44)</f>
        <v>0</v>
      </c>
      <c r="BF44" s="16" t="n">
        <f aca="false">IF(N44=1,O44*$U$53,0)+IF(N44=2,O44*$U$54,0)+IF(N44=3,O44*$U$55,0)+IF(N44=4,O44*$U$60,0)+IF(N44=5,O44*$U$61,0)+IF(N44=6,O44*$U$62,0)</f>
        <v>0</v>
      </c>
      <c r="BG44" s="16" t="n">
        <f aca="false">IF(P44=1,Q44*$U$53,0)+IF(P44=2,Q44*$U$54,0)+IF(P44=3,Q44*$U$55,0)+IF(P44=4,Q44*$U$60,0)+IF(P44=5,Q44*$U$61,0)+IF(P44=6,Q44*$U$62,0)</f>
        <v>0</v>
      </c>
      <c r="BH44" s="16" t="n">
        <f aca="false">IF(R44=1,S44*$U$53,0)+IF(R44=2,S44*$U$54,0)+IF(R44=3,S44*$U$55,0)+IF(R44=4,S44*$U$60,0)+IF(R44=5,S44*$U$61,0)+IF(R44=6,S44*$U$62,0)</f>
        <v>0</v>
      </c>
      <c r="BI44" s="506" t="n">
        <f aca="false">SUM(BJ44:CC45)</f>
        <v>0</v>
      </c>
      <c r="BJ44" s="2375" t="n">
        <f aca="false">(AT44*Pricing!F$3+AU44*Pricing!G$3+AV44*Pricing!H$3+AW44*Pricing!I$3+AX44*Pricing!J$3+AY44*Pricing!K$3+AZ44*Pricing!L$3+BA44*Pricing!M$3+BB44*Pricing!M$3+BC44*Pricing!O$3)*IF(T$64="N",(1+V$64),1)</f>
        <v>0</v>
      </c>
      <c r="BK44" s="2096" t="n">
        <f aca="false">T44*F$78*IF(T$64="n",1+V$64,1)</f>
        <v>0</v>
      </c>
      <c r="BL44" s="2096" t="n">
        <f aca="false">IF(BE$50=0,0,IF(F44="y",N$80/BE$50*BE44,0))</f>
        <v>0</v>
      </c>
      <c r="BM44" s="2096" t="n">
        <f aca="false">IF(N$79=0,0,N$79/H$87*C44)</f>
        <v>0</v>
      </c>
      <c r="BN44" s="2376" t="n">
        <f aca="false">(C44*G$87)</f>
        <v>0</v>
      </c>
      <c r="BO44" s="2096" t="n">
        <f aca="false">H44*D$91</f>
        <v>0</v>
      </c>
      <c r="BP44" s="2096" t="n">
        <f aca="false">SUM(BF44:BH44)*D$92</f>
        <v>0</v>
      </c>
      <c r="BQ44" s="2096" t="n">
        <f aca="false">D$93*C44</f>
        <v>0</v>
      </c>
      <c r="BR44" s="2096" t="str">
        <f aca="false">IF(C44="","",(N$95+N$94)/H$87*C44)</f>
        <v/>
      </c>
      <c r="BS44" s="2096" t="n">
        <f aca="false">IF(C44=0,0,(T44/2000*D$96))</f>
        <v>0</v>
      </c>
      <c r="BT44" s="2377" t="str">
        <f aca="false">IF(C44="","",N$97/H$87*C44)</f>
        <v/>
      </c>
      <c r="BU44" s="2096" t="n">
        <f aca="false">IF(C44=0,0,SUM(N$100:O$103)/C$50*C44)</f>
        <v>0</v>
      </c>
      <c r="BV44" s="2096" t="n">
        <f aca="false">IF(C44=0,0,SUM(W$73:W$106)/C$50*C44)+IF(H$87=0,0,(N$84+N$83+N$82)/H$87*C44)</f>
        <v>0</v>
      </c>
      <c r="BW44" s="2096" t="n">
        <f aca="false">IF(C44=0,0,SUM(N$105:O$110)/C$50*C44)</f>
        <v>0</v>
      </c>
      <c r="BX44" s="2096" t="n">
        <f aca="false">IF(C44=0,0,SUM(N$112:O$118)/C$50)*C44</f>
        <v>0</v>
      </c>
      <c r="BY44" s="2096" t="n">
        <f aca="false">IF(C$50=0,0,SUM(W$107:W$118)/C$50*C44)</f>
        <v>0</v>
      </c>
      <c r="BZ44" s="2096" t="n">
        <f aca="false">IF(N$119=0,0,N$119/H$87*C44)</f>
        <v>0</v>
      </c>
      <c r="CA44" s="2096"/>
      <c r="CB44" s="2096" t="n">
        <f aca="false">AG44*F$81*IF(T$64="n",(1+V$64),1)</f>
        <v>0</v>
      </c>
      <c r="CC44" s="2378" t="n">
        <f aca="false">AQ44*F$79*IF(T$64="Y",1,1+V$64)</f>
        <v>0</v>
      </c>
    </row>
    <row r="45" customFormat="false" ht="19.5" hidden="false" customHeight="true" outlineLevel="0" collapsed="false">
      <c r="A45" s="2379"/>
      <c r="B45" s="2405"/>
      <c r="C45" s="2406"/>
      <c r="D45" s="1552"/>
      <c r="E45" s="1352"/>
      <c r="F45" s="1559"/>
      <c r="G45" s="1509"/>
      <c r="H45" s="2396"/>
      <c r="I45" s="1559"/>
      <c r="J45" s="1556"/>
      <c r="K45" s="1559"/>
      <c r="L45" s="1556"/>
      <c r="M45" s="2381"/>
      <c r="N45" s="1559"/>
      <c r="O45" s="1556"/>
      <c r="P45" s="1559"/>
      <c r="Q45" s="1581"/>
      <c r="R45" s="2238"/>
      <c r="S45" s="2398"/>
      <c r="T45" s="2384"/>
      <c r="U45" s="2385"/>
      <c r="V45" s="2399"/>
      <c r="W45" s="2184"/>
      <c r="X45" s="2184"/>
      <c r="Y45" s="1414"/>
      <c r="AH45" s="1142" t="n">
        <f aca="false">IF(N45=1,O45*$Q$53,0)+IF(N45=2,O45*$Q$54,0)+IF(N45=3,O45*$Q$55,0)+IF(N45=4,O45*$Q$60,0)+IF(N45=5,O45*$Q$61,0)+IF(N45=6,O45*$Q$62+IF(N45=7,O45*$Q$54,0)+IF(N45=8,O45*$Q$55,0)+IF(N45=9,O45*$Q$60,0)+IF(N45=10,O45*$Q$61,0),0)</f>
        <v>0</v>
      </c>
      <c r="AI45" s="16" t="n">
        <f aca="false">IF(P45=1,Q45*$Q$53,0)+IF(P45=2,Q45*$Q$54,0)+IF(P45=3,Q45*$Q$55,0)+IF(P45=4,Q45*$Q$60,0)+IF(P45=5,Q45*$Q$61,0)+IF(P45=6,Q45*$Q$62+IF(P45=7,Q45*$Q$54,0)+IF(P45=8,Q45*$Q$55,0)+IF(P45=9,Q45*$Q$60,0)+IF(P45=10,Q45*$Q$61,0),0)</f>
        <v>0</v>
      </c>
      <c r="AJ45" s="16" t="n">
        <f aca="false">IF(R45=1,S45*$Q$53,0)+IF(R45=2,S45*$Q$54,0)+IF(R45=3,S45*$Q$55,0)+IF(R45=4,S45*$Q$60,0)+IF(R45=5,S45*$Q$61,0)+IF(R45=6,S45*$Q$62+IF(R45=7,S45*$Q$54,0)+IF(R45=8,S45*$Q$55,0)+IF(R45=9,S45*$Q$60,0)+IF(R45=10,S45*$Q$61,0),0)</f>
        <v>0</v>
      </c>
      <c r="AK45" s="1116" t="n">
        <f aca="false">SUM(AH45:AJ45)</f>
        <v>0</v>
      </c>
      <c r="AL45" s="16" t="n">
        <f aca="false">ROUNDUP(IF(N45=1,O45*$O$53,0)+IF(N45=2,O45*$O$54,0)+IF(N45=3,O45*$O$55,0)+IF(N45=4,O45*$O$56,0)+IF(N45=5,O45*$O$57,0)+IF(N45=6,O45*$O$58+IF(N45=7,O45*$O$59,0)+IF(N45=8,O45*$O$60,0)+IF(N45=9,O45*$O$61+IF(N45=10,O45*$O$62,0),0),0),0)</f>
        <v>0</v>
      </c>
      <c r="AM45" s="16" t="n">
        <f aca="false">ROUNDUP(IF(P45=1,Q45*$Q$53,0)+IF(P45=2,Q45*$Q$54,0)+IF(P45=3,Q45*$Q$55,0)+IF(P45=4,Q45*$Q$56,0)+IF(P45=5,Q45*$Q$57,0)+IF(P45=6,Q45*$Q$58+IF(P45=7,Q45*$Q$59,0)+IF(P45=8,Q45*$Q$60,0)+IF(P45=9,Q45*$Q$61+IF(P45=10,Q45*$Q$62,0),0),0),0)</f>
        <v>0</v>
      </c>
      <c r="AN45" s="16" t="n">
        <f aca="false">ROUNDUP(IF(R45=1,S45*$S$53,0)+IF(R45=2,S45*$S$54,0)+IF(R45=3,S45*$S$55,0)+IF(R45=4,S45*$S$56,0)+IF(R45=5,S45*$S$57,0)+IF(R45=6,S45*$S$58+IF(R45=7,S45*$S$59,0)+IF(R45=8,S45*$S$60,0)+IF(R45=9,S45*$S$61+IF(R45=10,S45*$S$62,0),0),0),0)</f>
        <v>0</v>
      </c>
      <c r="AO45" s="1142" t="n">
        <f aca="false">SUM(AL45:AN45)*1.12</f>
        <v>0</v>
      </c>
      <c r="AP45" s="2237" t="n">
        <f aca="false">IF(L45=0,0,(L45/12+L45/12)/(L45/12*L45/12)*C45*((K45/16*K45/16)*10.6870159))*(1+J$78)+IF(J45=0,0,(J45/12+J45/12)/(J45/12*J45/12)*C45*((I45/16*I45/16)*10.6870159))*(1+J$78)</f>
        <v>0</v>
      </c>
      <c r="AQ45" s="1142" t="n">
        <f aca="false">M45*(1+J$79)</f>
        <v>0</v>
      </c>
      <c r="AS45" s="16" t="n">
        <f aca="false">IF(M45="y",C45,0)</f>
        <v>0</v>
      </c>
      <c r="AT45" s="1142" t="n">
        <f aca="false">IF($G45=1,$U45,0)</f>
        <v>0</v>
      </c>
      <c r="AU45" s="16" t="n">
        <f aca="false">IF($G45=2,$U45,0)</f>
        <v>0</v>
      </c>
      <c r="AV45" s="16" t="n">
        <f aca="false">IF($G45=3,$U45,0)</f>
        <v>0</v>
      </c>
      <c r="AW45" s="16" t="n">
        <f aca="false">IF($G45=4,$U45,0)</f>
        <v>0</v>
      </c>
      <c r="AX45" s="16" t="n">
        <f aca="false">IF($G45=5,$U45,0)</f>
        <v>0</v>
      </c>
      <c r="AY45" s="16" t="n">
        <f aca="false">IF($G45=6,$U45,0)</f>
        <v>0</v>
      </c>
      <c r="AZ45" s="16" t="n">
        <f aca="false">IF($G45=7,$U45,0)</f>
        <v>0</v>
      </c>
      <c r="BA45" s="16" t="n">
        <f aca="false">IF($G45=8,$U45,0)</f>
        <v>0</v>
      </c>
      <c r="BB45" s="16" t="n">
        <f aca="false">IF($G45=9,$U45,0)</f>
        <v>0</v>
      </c>
      <c r="BC45" s="1116" t="n">
        <f aca="false">IF($G45=10,$U45,0)</f>
        <v>0</v>
      </c>
      <c r="BD45" s="16" t="n">
        <f aca="false">SUM(AT45:AY45)</f>
        <v>0</v>
      </c>
      <c r="BE45" s="600" t="n">
        <f aca="false">IF(F45="N",0,C45)</f>
        <v>0</v>
      </c>
      <c r="BF45" s="16" t="n">
        <f aca="false">IF(N45=1,O45*$U$53,0)+IF(N45=2,O45*$U$54,0)+IF(N45=3,O45*$U$55,0)+IF(N45=4,O45*$U$60,0)+IF(N45=5,O45*$U$61,0)+IF(N45=6,O45*$U$62,0)</f>
        <v>0</v>
      </c>
      <c r="BG45" s="16" t="n">
        <f aca="false">IF(P45=1,Q45*$U$53,0)+IF(P45=2,Q45*$U$54,0)+IF(P45=3,Q45*$U$55,0)+IF(P45=4,Q45*$U$60,0)+IF(P45=5,Q45*$U$61,0)+IF(P45=6,Q45*$U$62,0)</f>
        <v>0</v>
      </c>
      <c r="BH45" s="16" t="n">
        <f aca="false">IF(R45=1,S45*$U$53,0)+IF(R45=2,S45*$U$54,0)+IF(R45=3,S45*$U$55,0)+IF(R45=4,S45*$U$60,0)+IF(R45=5,S45*$U$61,0)+IF(R45=6,S45*$U$62,0)</f>
        <v>0</v>
      </c>
      <c r="BI45" s="506"/>
      <c r="BJ45" s="2375" t="n">
        <f aca="false">(AT45*Pricing!F$3+AU45*Pricing!G$3+AV45*Pricing!H$3+AW45*Pricing!I$3+AX45*Pricing!J$3+AY45*Pricing!K$3+AZ45*Pricing!L$3+BA45*Pricing!M$3+BB45*Pricing!M$3+BC45*Pricing!O$3)*IF(T$64="N",(1+V$64),1)</f>
        <v>0</v>
      </c>
      <c r="BK45" s="2096" t="n">
        <f aca="false">T45*F$78*IF(T$64="n",1+V$64,1)</f>
        <v>0</v>
      </c>
      <c r="BL45" s="2096" t="n">
        <f aca="false">IF(BE$50=0,0,IF(F45="y",N$80/BE$50*BE45,0))</f>
        <v>0</v>
      </c>
      <c r="BM45" s="2096" t="n">
        <f aca="false">IF(N$79=0,0,N$79/H$87*C45)</f>
        <v>0</v>
      </c>
      <c r="BN45" s="2376" t="n">
        <f aca="false">(C45*G$87)</f>
        <v>0</v>
      </c>
      <c r="BO45" s="2096" t="n">
        <f aca="false">H45*D$91</f>
        <v>0</v>
      </c>
      <c r="BP45" s="2096" t="n">
        <f aca="false">SUM(BF45:BH45)*D$92</f>
        <v>0</v>
      </c>
      <c r="BQ45" s="2096" t="n">
        <f aca="false">D$93*C45</f>
        <v>0</v>
      </c>
      <c r="BR45" s="2096" t="str">
        <f aca="false">IF(C45="","",(N$95+N$94)/H$87*C45)</f>
        <v/>
      </c>
      <c r="BS45" s="2096" t="n">
        <f aca="false">IF(C45=0,0,(T45/2000*D$96))</f>
        <v>0</v>
      </c>
      <c r="BT45" s="2377" t="str">
        <f aca="false">IF(C45="","",N$97/H$87*C45)</f>
        <v/>
      </c>
      <c r="BU45" s="2096" t="n">
        <f aca="false">IF(C45=0,0,SUM(N$100:O$103)/C$50*C45)</f>
        <v>0</v>
      </c>
      <c r="BV45" s="2096" t="n">
        <f aca="false">IF(C45=0,0,SUM(W$73:W$106)/C$50*C45)+IF(H$87=0,0,(N$84+N$83+N$82)/H$87*C45)</f>
        <v>0</v>
      </c>
      <c r="BW45" s="2096" t="n">
        <f aca="false">IF(C45=0,0,SUM(N$105:O$110)/C$50*C45)</f>
        <v>0</v>
      </c>
      <c r="BX45" s="2096" t="n">
        <f aca="false">IF(C45=0,0,SUM(N$112:O$118)/C$50)*C45</f>
        <v>0</v>
      </c>
      <c r="BY45" s="2096" t="n">
        <f aca="false">IF(C$50=0,0,SUM(W$107:W$118)/C$50*C45)</f>
        <v>0</v>
      </c>
      <c r="BZ45" s="2096" t="n">
        <f aca="false">IF(N$119=0,0,N$119/H$87*C45)</f>
        <v>0</v>
      </c>
      <c r="CA45" s="2096"/>
      <c r="CB45" s="2096" t="n">
        <f aca="false">AG45*F$81*IF(T$64="n",(1+V$64),1)</f>
        <v>0</v>
      </c>
      <c r="CC45" s="2378" t="n">
        <f aca="false">AQ45*F$79*IF(T$64="Y",1,1+V$64)</f>
        <v>0</v>
      </c>
    </row>
    <row r="46" customFormat="false" ht="19.5" hidden="false" customHeight="true" outlineLevel="0" collapsed="false">
      <c r="A46" s="2402"/>
      <c r="B46" s="2403"/>
      <c r="C46" s="2407"/>
      <c r="D46" s="1508"/>
      <c r="E46" s="1356"/>
      <c r="F46" s="1511"/>
      <c r="G46" s="1553"/>
      <c r="H46" s="2389"/>
      <c r="I46" s="1511"/>
      <c r="J46" s="1512"/>
      <c r="K46" s="1511"/>
      <c r="L46" s="1512"/>
      <c r="M46" s="2390"/>
      <c r="N46" s="1511"/>
      <c r="O46" s="1512"/>
      <c r="P46" s="1511"/>
      <c r="Q46" s="2391"/>
      <c r="R46" s="2392"/>
      <c r="S46" s="2393"/>
      <c r="T46" s="1515" t="n">
        <f aca="false">SUM(AO46:AP47)</f>
        <v>0</v>
      </c>
      <c r="U46" s="1516" t="n">
        <f aca="false">((((C46*E46/324)+(C47*E47/324))*(1+J$73))+AK46+AK47)</f>
        <v>0</v>
      </c>
      <c r="V46" s="2386" t="n">
        <f aca="false">IF(C46=0,0,W46/(C46+C47))</f>
        <v>0</v>
      </c>
      <c r="W46" s="2184" t="n">
        <f aca="false">(IF(SUM(BJ46:CC47)=0,0,SUM(BJ46:CC47)-BZ46-BZ47))*(1+L$65)</f>
        <v>0</v>
      </c>
      <c r="X46" s="2184"/>
      <c r="Y46" s="1414"/>
      <c r="AH46" s="1142" t="n">
        <f aca="false">IF(N46=1,O46*$Q$53,0)+IF(N46=2,O46*$Q$54,0)+IF(N46=3,O46*$Q$55,0)+IF(N46=4,O46*$Q$60,0)+IF(N46=5,O46*$Q$61,0)+IF(N46=6,O46*$Q$62+IF(N46=7,O46*$Q$54,0)+IF(N46=8,O46*$Q$55,0)+IF(N46=9,O46*$Q$60,0)+IF(N46=10,O46*$Q$61,0),0)</f>
        <v>0</v>
      </c>
      <c r="AI46" s="16" t="n">
        <f aca="false">IF(P46=1,Q46*$Q$53,0)+IF(P46=2,Q46*$Q$54,0)+IF(P46=3,Q46*$Q$55,0)+IF(P46=4,Q46*$Q$60,0)+IF(P46=5,Q46*$Q$61,0)+IF(P46=6,Q46*$Q$62+IF(P46=7,Q46*$Q$54,0)+IF(P46=8,Q46*$Q$55,0)+IF(P46=9,Q46*$Q$60,0)+IF(P46=10,Q46*$Q$61,0),0)</f>
        <v>0</v>
      </c>
      <c r="AJ46" s="16" t="n">
        <f aca="false">IF(R46=1,S46*$Q$53,0)+IF(R46=2,S46*$Q$54,0)+IF(R46=3,S46*$Q$55,0)+IF(R46=4,S46*$Q$60,0)+IF(R46=5,S46*$Q$61,0)+IF(R46=6,S46*$Q$62+IF(R46=7,S46*$Q$54,0)+IF(R46=8,S46*$Q$55,0)+IF(R46=9,S46*$Q$60,0)+IF(R46=10,S46*$Q$61,0),0)</f>
        <v>0</v>
      </c>
      <c r="AK46" s="1116" t="n">
        <f aca="false">SUM(AH46:AJ46)</f>
        <v>0</v>
      </c>
      <c r="AL46" s="16" t="n">
        <f aca="false">ROUNDUP(IF(N46=1,O46*$O$53,0)+IF(N46=2,O46*$O$54,0)+IF(N46=3,O46*$O$55,0)+IF(N46=4,O46*$O$56,0)+IF(N46=5,O46*$O$57,0)+IF(N46=6,O46*$O$58+IF(N46=7,O46*$O$59,0)+IF(N46=8,O46*$O$60,0)+IF(N46=9,O46*$O$61+IF(N46=10,O46*$O$62,0),0),0),0)</f>
        <v>0</v>
      </c>
      <c r="AM46" s="16" t="n">
        <f aca="false">ROUNDUP(IF(P46=1,Q46*$Q$53,0)+IF(P46=2,Q46*$Q$54,0)+IF(P46=3,Q46*$Q$55,0)+IF(P46=4,Q46*$Q$56,0)+IF(P46=5,Q46*$Q$57,0)+IF(P46=6,Q46*$Q$58+IF(P46=7,Q46*$Q$59,0)+IF(P46=8,Q46*$Q$60,0)+IF(P46=9,Q46*$Q$61+IF(P46=10,Q46*$Q$62,0),0),0),0)</f>
        <v>0</v>
      </c>
      <c r="AN46" s="16" t="n">
        <f aca="false">ROUNDUP(IF(R46=1,S46*$S$53,0)+IF(R46=2,S46*$S$54,0)+IF(R46=3,S46*$S$55,0)+IF(R46=4,S46*$S$56,0)+IF(R46=5,S46*$S$57,0)+IF(R46=6,S46*$S$58+IF(R46=7,S46*$S$59,0)+IF(R46=8,S46*$S$60,0)+IF(R46=9,S46*$S$61+IF(R46=10,S46*$S$62,0),0),0),0)</f>
        <v>0</v>
      </c>
      <c r="AO46" s="1142" t="n">
        <f aca="false">SUM(AL46:AN46)*1.12</f>
        <v>0</v>
      </c>
      <c r="AP46" s="2237" t="n">
        <f aca="false">IF(L46=0,0,(L46/12+L46/12)/(L46/12*L46/12)*C46*((K46/16*K46/16)*10.6870159))*(1+J$78)+IF(J46=0,0,(J46/12+J46/12)/(J46/12*J46/12)*C46*((I46/16*I46/16)*10.6870159))*(1+J$78)</f>
        <v>0</v>
      </c>
      <c r="AQ46" s="1142" t="n">
        <f aca="false">M46*(1+J$79)</f>
        <v>0</v>
      </c>
      <c r="AS46" s="16" t="n">
        <f aca="false">IF(M46="y",C46,0)</f>
        <v>0</v>
      </c>
      <c r="AT46" s="1142" t="n">
        <f aca="false">IF($G46=1,$U46,0)</f>
        <v>0</v>
      </c>
      <c r="AU46" s="16" t="n">
        <f aca="false">IF($G46=2,$U46,0)</f>
        <v>0</v>
      </c>
      <c r="AV46" s="16" t="n">
        <f aca="false">IF($G46=3,$U46,0)</f>
        <v>0</v>
      </c>
      <c r="AW46" s="16" t="n">
        <f aca="false">IF($G46=4,$U46,0)</f>
        <v>0</v>
      </c>
      <c r="AX46" s="16" t="n">
        <f aca="false">IF($G46=5,$U46,0)</f>
        <v>0</v>
      </c>
      <c r="AY46" s="16" t="n">
        <f aca="false">IF($G46=6,$U46,0)</f>
        <v>0</v>
      </c>
      <c r="AZ46" s="16" t="n">
        <f aca="false">IF($G46=7,$U46,0)</f>
        <v>0</v>
      </c>
      <c r="BA46" s="16" t="n">
        <f aca="false">IF($G46=8,$U46,0)</f>
        <v>0</v>
      </c>
      <c r="BB46" s="16" t="n">
        <f aca="false">IF($G46=9,$U46,0)</f>
        <v>0</v>
      </c>
      <c r="BC46" s="1116" t="n">
        <f aca="false">IF($G46=10,$U46,0)</f>
        <v>0</v>
      </c>
      <c r="BD46" s="16" t="n">
        <f aca="false">SUM(AT46:AY46)</f>
        <v>0</v>
      </c>
      <c r="BE46" s="600" t="n">
        <f aca="false">IF(F46="N",0,C46)</f>
        <v>0</v>
      </c>
      <c r="BF46" s="16" t="n">
        <f aca="false">IF(N46=1,O46*$U$53,0)+IF(N46=2,O46*$U$54,0)+IF(N46=3,O46*$U$55,0)+IF(N46=4,O46*$U$60,0)+IF(N46=5,O46*$U$61,0)+IF(N46=6,O46*$U$62,0)</f>
        <v>0</v>
      </c>
      <c r="BG46" s="16" t="n">
        <f aca="false">IF(P46=1,Q46*$U$53,0)+IF(P46=2,Q46*$U$54,0)+IF(P46=3,Q46*$U$55,0)+IF(P46=4,Q46*$U$60,0)+IF(P46=5,Q46*$U$61,0)+IF(P46=6,Q46*$U$62,0)</f>
        <v>0</v>
      </c>
      <c r="BH46" s="16" t="n">
        <f aca="false">IF(R46=1,S46*$U$53,0)+IF(R46=2,S46*$U$54,0)+IF(R46=3,S46*$U$55,0)+IF(R46=4,S46*$U$60,0)+IF(R46=5,S46*$U$61,0)+IF(R46=6,S46*$U$62,0)</f>
        <v>0</v>
      </c>
      <c r="BI46" s="506" t="n">
        <f aca="false">SUM(BJ46:CC47)</f>
        <v>0</v>
      </c>
      <c r="BJ46" s="2375" t="n">
        <f aca="false">(AT46*Pricing!F$3+AU46*Pricing!G$3+AV46*Pricing!H$3+AW46*Pricing!I$3+AX46*Pricing!J$3+AY46*Pricing!K$3+AZ46*Pricing!L$3+BA46*Pricing!M$3+BB46*Pricing!M$3+BC46*Pricing!O$3)*IF(T$64="N",(1+V$64),1)</f>
        <v>0</v>
      </c>
      <c r="BK46" s="2096" t="n">
        <f aca="false">T46*F$78*IF(T$64="n",1+V$64,1)</f>
        <v>0</v>
      </c>
      <c r="BL46" s="2096" t="n">
        <f aca="false">IF(BE$50=0,0,IF(F46="y",N$80/BE$50*BE46,0))</f>
        <v>0</v>
      </c>
      <c r="BM46" s="2096" t="n">
        <f aca="false">IF(N$79=0,0,N$79/H$87*C46)</f>
        <v>0</v>
      </c>
      <c r="BN46" s="2376" t="n">
        <f aca="false">(C46*G$87)</f>
        <v>0</v>
      </c>
      <c r="BO46" s="2096" t="n">
        <f aca="false">H46*D$91</f>
        <v>0</v>
      </c>
      <c r="BP46" s="2096" t="n">
        <f aca="false">SUM(BF46:BH46)*D$92</f>
        <v>0</v>
      </c>
      <c r="BQ46" s="2096" t="n">
        <f aca="false">D$93*C46</f>
        <v>0</v>
      </c>
      <c r="BR46" s="2096" t="str">
        <f aca="false">IF(C46="","",(N$95+N$94)/H$87*C46)</f>
        <v/>
      </c>
      <c r="BS46" s="2096" t="n">
        <f aca="false">IF(C46=0,0,(T46/2000*D$96))</f>
        <v>0</v>
      </c>
      <c r="BT46" s="2377" t="str">
        <f aca="false">IF(C46="","",N$97/H$87*C46)</f>
        <v/>
      </c>
      <c r="BU46" s="2096" t="n">
        <f aca="false">IF(C46=0,0,SUM(N$100:O$103)/C$50*C46)</f>
        <v>0</v>
      </c>
      <c r="BV46" s="2096" t="n">
        <f aca="false">IF(C46=0,0,SUM(W$73:W$106)/C$50*C46)+IF(H$87=0,0,(N$84+N$83+N$82)/H$87*C46)</f>
        <v>0</v>
      </c>
      <c r="BW46" s="2096" t="n">
        <f aca="false">IF(C46=0,0,SUM(N$105:O$110)/C$50*C46)</f>
        <v>0</v>
      </c>
      <c r="BX46" s="2096" t="n">
        <f aca="false">IF(C46=0,0,SUM(N$112:O$118)/C$50)*C46</f>
        <v>0</v>
      </c>
      <c r="BY46" s="2096" t="n">
        <f aca="false">IF(C$50=0,0,SUM(W$107:W$118)/C$50*C46)</f>
        <v>0</v>
      </c>
      <c r="BZ46" s="2096" t="n">
        <f aca="false">IF(N$119=0,0,N$119/H$87*C46)</f>
        <v>0</v>
      </c>
      <c r="CA46" s="2096"/>
      <c r="CB46" s="2096" t="n">
        <f aca="false">AG46*F$81*IF(T$64="n",(1+V$64),1)</f>
        <v>0</v>
      </c>
      <c r="CC46" s="2378" t="n">
        <f aca="false">AQ46*F$79*IF(T$64="Y",1,1+V$64)</f>
        <v>0</v>
      </c>
    </row>
    <row r="47" customFormat="false" ht="19.5" hidden="false" customHeight="true" outlineLevel="0" collapsed="false">
      <c r="A47" s="2379"/>
      <c r="B47" s="2405"/>
      <c r="C47" s="2406"/>
      <c r="D47" s="1552"/>
      <c r="E47" s="1352"/>
      <c r="F47" s="1559"/>
      <c r="G47" s="1509"/>
      <c r="H47" s="2396"/>
      <c r="I47" s="1559"/>
      <c r="J47" s="1556"/>
      <c r="K47" s="1559"/>
      <c r="L47" s="1556"/>
      <c r="M47" s="2381"/>
      <c r="N47" s="1559"/>
      <c r="O47" s="1556"/>
      <c r="P47" s="1559"/>
      <c r="Q47" s="1581"/>
      <c r="R47" s="2397"/>
      <c r="S47" s="2410"/>
      <c r="T47" s="2384"/>
      <c r="U47" s="2385"/>
      <c r="V47" s="2399"/>
      <c r="W47" s="2184"/>
      <c r="X47" s="2184"/>
      <c r="Y47" s="1414"/>
      <c r="AH47" s="1142" t="n">
        <f aca="false">IF(N47=1,O47*$Q$53,0)+IF(N47=2,O47*$Q$54,0)+IF(N47=3,O47*$Q$55,0)+IF(N47=4,O47*$Q$60,0)+IF(N47=5,O47*$Q$61,0)+IF(N47=6,O47*$Q$62+IF(N47=7,O47*$Q$54,0)+IF(N47=8,O47*$Q$55,0)+IF(N47=9,O47*$Q$60,0)+IF(N47=10,O47*$Q$61,0),0)</f>
        <v>0</v>
      </c>
      <c r="AI47" s="16" t="n">
        <f aca="false">IF(P47=1,Q47*$Q$53,0)+IF(P47=2,Q47*$Q$54,0)+IF(P47=3,Q47*$Q$55,0)+IF(P47=4,Q47*$Q$60,0)+IF(P47=5,Q47*$Q$61,0)+IF(P47=6,Q47*$Q$62+IF(P47=7,Q47*$Q$54,0)+IF(P47=8,Q47*$Q$55,0)+IF(P47=9,Q47*$Q$60,0)+IF(P47=10,Q47*$Q$61,0),0)</f>
        <v>0</v>
      </c>
      <c r="AJ47" s="16" t="n">
        <f aca="false">IF(R47=1,S47*$Q$53,0)+IF(R47=2,S47*$Q$54,0)+IF(R47=3,S47*$Q$55,0)+IF(R47=4,S47*$Q$60,0)+IF(R47=5,S47*$Q$61,0)+IF(R47=6,S47*$Q$62+IF(R47=7,S47*$Q$54,0)+IF(R47=8,S47*$Q$55,0)+IF(R47=9,S47*$Q$60,0)+IF(R47=10,S47*$Q$61,0),0)</f>
        <v>0</v>
      </c>
      <c r="AK47" s="1116" t="n">
        <f aca="false">SUM(AH47:AJ47)</f>
        <v>0</v>
      </c>
      <c r="AL47" s="16" t="n">
        <f aca="false">ROUNDUP(IF(N47=1,O47*$O$53,0)+IF(N47=2,O47*$O$54,0)+IF(N47=3,O47*$O$55,0)+IF(N47=4,O47*$O$56,0)+IF(N47=5,O47*$O$57,0)+IF(N47=6,O47*$O$58+IF(N47=7,O47*$O$59,0)+IF(N47=8,O47*$O$60,0)+IF(N47=9,O47*$O$61+IF(N47=10,O47*$O$62,0),0),0),0)</f>
        <v>0</v>
      </c>
      <c r="AM47" s="16" t="n">
        <f aca="false">ROUNDUP(IF(P47=1,Q47*$Q$53,0)+IF(P47=2,Q47*$Q$54,0)+IF(P47=3,Q47*$Q$55,0)+IF(P47=4,Q47*$Q$56,0)+IF(P47=5,Q47*$Q$57,0)+IF(P47=6,Q47*$Q$58+IF(P47=7,Q47*$Q$59,0)+IF(P47=8,Q47*$Q$60,0)+IF(P47=9,Q47*$Q$61+IF(P47=10,Q47*$Q$62,0),0),0),0)</f>
        <v>0</v>
      </c>
      <c r="AN47" s="16" t="n">
        <f aca="false">ROUNDUP(IF(R47=1,S47*$S$53,0)+IF(R47=2,S47*$S$54,0)+IF(R47=3,S47*$S$55,0)+IF(R47=4,S47*$S$56,0)+IF(R47=5,S47*$S$57,0)+IF(R47=6,S47*$S$58+IF(R47=7,S47*$S$59,0)+IF(R47=8,S47*$S$60,0)+IF(R47=9,S47*$S$61+IF(R47=10,S47*$S$62,0),0),0),0)</f>
        <v>0</v>
      </c>
      <c r="AO47" s="1142" t="n">
        <f aca="false">SUM(AL47:AN47)*1.12</f>
        <v>0</v>
      </c>
      <c r="AP47" s="2237" t="n">
        <f aca="false">IF(L47=0,0,(L47/12+L47/12)/(L47/12*L47/12)*C47*((K47/16*K47/16)*10.6870159))*(1+J$78)+IF(J47=0,0,(J47/12+J47/12)/(J47/12*J47/12)*C47*((I47/16*I47/16)*10.6870159))*(1+J$78)</f>
        <v>0</v>
      </c>
      <c r="AQ47" s="1142" t="n">
        <f aca="false">M47*(1+J$79)</f>
        <v>0</v>
      </c>
      <c r="AS47" s="16" t="n">
        <f aca="false">IF(M47="y",C47,0)</f>
        <v>0</v>
      </c>
      <c r="AT47" s="1142" t="n">
        <f aca="false">IF($G47=1,$U47,0)</f>
        <v>0</v>
      </c>
      <c r="AU47" s="16" t="n">
        <f aca="false">IF($G47=2,$U47,0)</f>
        <v>0</v>
      </c>
      <c r="AV47" s="16" t="n">
        <f aca="false">IF($G47=3,$U47,0)</f>
        <v>0</v>
      </c>
      <c r="AW47" s="16" t="n">
        <f aca="false">IF($G47=4,$U47,0)</f>
        <v>0</v>
      </c>
      <c r="AX47" s="16" t="n">
        <f aca="false">IF($G47=5,$U47,0)</f>
        <v>0</v>
      </c>
      <c r="AY47" s="16" t="n">
        <f aca="false">IF($G47=6,$U47,0)</f>
        <v>0</v>
      </c>
      <c r="AZ47" s="16" t="n">
        <f aca="false">IF($G47=7,$U47,0)</f>
        <v>0</v>
      </c>
      <c r="BA47" s="16" t="n">
        <f aca="false">IF($G47=8,$U47,0)</f>
        <v>0</v>
      </c>
      <c r="BB47" s="16" t="n">
        <f aca="false">IF($G47=9,$U47,0)</f>
        <v>0</v>
      </c>
      <c r="BC47" s="1116" t="n">
        <f aca="false">IF($G47=10,$U47,0)</f>
        <v>0</v>
      </c>
      <c r="BD47" s="16" t="n">
        <f aca="false">SUM(AT47:AY47)</f>
        <v>0</v>
      </c>
      <c r="BE47" s="600" t="n">
        <f aca="false">IF(F47="N",0,C47)</f>
        <v>0</v>
      </c>
      <c r="BF47" s="16" t="n">
        <f aca="false">IF(N47=1,O47*$U$53,0)+IF(N47=2,O47*$U$54,0)+IF(N47=3,O47*$U$55,0)+IF(N47=4,O47*$U$60,0)+IF(N47=5,O47*$U$61,0)+IF(N47=6,O47*$U$62,0)</f>
        <v>0</v>
      </c>
      <c r="BG47" s="16" t="n">
        <f aca="false">IF(P47=1,Q47*$U$53,0)+IF(P47=2,Q47*$U$54,0)+IF(P47=3,Q47*$U$55,0)+IF(P47=4,Q47*$U$60,0)+IF(P47=5,Q47*$U$61,0)+IF(P47=6,Q47*$U$62,0)</f>
        <v>0</v>
      </c>
      <c r="BH47" s="16" t="n">
        <f aca="false">IF(R47=1,S47*$U$53,0)+IF(R47=2,S47*$U$54,0)+IF(R47=3,S47*$U$55,0)+IF(R47=4,S47*$U$60,0)+IF(R47=5,S47*$U$61,0)+IF(R47=6,S47*$U$62,0)</f>
        <v>0</v>
      </c>
      <c r="BI47" s="506"/>
      <c r="BJ47" s="2375" t="n">
        <f aca="false">(AT47*Pricing!F$3+AU47*Pricing!G$3+AV47*Pricing!H$3+AW47*Pricing!I$3+AX47*Pricing!J$3+AY47*Pricing!K$3+AZ47*Pricing!L$3+BA47*Pricing!M$3+BB47*Pricing!M$3+BC47*Pricing!O$3)*IF(T$64="N",(1+V$64),1)</f>
        <v>0</v>
      </c>
      <c r="BK47" s="2096" t="n">
        <f aca="false">T47*F$78*IF(T$64="n",1+V$64,1)</f>
        <v>0</v>
      </c>
      <c r="BL47" s="2096" t="n">
        <f aca="false">IF(BE$50=0,0,IF(F47="y",N$80/BE$50*BE47,0))</f>
        <v>0</v>
      </c>
      <c r="BM47" s="2096" t="n">
        <f aca="false">IF(N$79=0,0,N$79/H$87*C47)</f>
        <v>0</v>
      </c>
      <c r="BN47" s="2376" t="n">
        <f aca="false">(C47*G$87)</f>
        <v>0</v>
      </c>
      <c r="BO47" s="2096" t="n">
        <f aca="false">H47*D$91</f>
        <v>0</v>
      </c>
      <c r="BP47" s="2096" t="n">
        <f aca="false">SUM(BF47:BH47)*D$92</f>
        <v>0</v>
      </c>
      <c r="BQ47" s="2096" t="n">
        <f aca="false">D$93*C47</f>
        <v>0</v>
      </c>
      <c r="BR47" s="2096" t="str">
        <f aca="false">IF(C47="","",(N$95+N$94)/H$87*C47)</f>
        <v/>
      </c>
      <c r="BS47" s="2096" t="n">
        <f aca="false">IF(C47=0,0,(T47/2000*D$96))</f>
        <v>0</v>
      </c>
      <c r="BT47" s="2377" t="str">
        <f aca="false">IF(C47="","",N$97/H$87*C47)</f>
        <v/>
      </c>
      <c r="BU47" s="2096" t="n">
        <f aca="false">IF(C47=0,0,SUM(N$100:O$103)/C$50*C47)</f>
        <v>0</v>
      </c>
      <c r="BV47" s="2096" t="n">
        <f aca="false">IF(C47=0,0,SUM(W$73:W$106)/C$50*C47)+IF(H$87=0,0,(N$84+N$83+N$82)/H$87*C47)</f>
        <v>0</v>
      </c>
      <c r="BW47" s="2096" t="n">
        <f aca="false">IF(C47=0,0,SUM(N$105:O$110)/C$50*C47)</f>
        <v>0</v>
      </c>
      <c r="BX47" s="2096" t="n">
        <f aca="false">IF(C47=0,0,SUM(N$112:O$118)/C$50)*C47</f>
        <v>0</v>
      </c>
      <c r="BY47" s="2096" t="n">
        <f aca="false">IF(C$50=0,0,SUM(W$107:W$118)/C$50*C47)</f>
        <v>0</v>
      </c>
      <c r="BZ47" s="2096" t="n">
        <f aca="false">IF(N$119=0,0,N$119/H$87*C47)</f>
        <v>0</v>
      </c>
      <c r="CA47" s="2096"/>
      <c r="CB47" s="2096" t="n">
        <f aca="false">AG47*F$81*IF(T$64="n",(1+V$64),1)</f>
        <v>0</v>
      </c>
      <c r="CC47" s="2378" t="n">
        <f aca="false">AQ47*F$79*IF(T$64="Y",1,1+V$64)</f>
        <v>0</v>
      </c>
    </row>
    <row r="48" customFormat="false" ht="19.5" hidden="false" customHeight="true" outlineLevel="0" collapsed="false">
      <c r="A48" s="507"/>
      <c r="B48" s="1801"/>
      <c r="C48" s="2411"/>
      <c r="D48" s="1587"/>
      <c r="E48" s="2388"/>
      <c r="F48" s="528"/>
      <c r="G48" s="1553"/>
      <c r="H48" s="1235"/>
      <c r="I48" s="528"/>
      <c r="J48" s="895"/>
      <c r="K48" s="528"/>
      <c r="L48" s="895"/>
      <c r="M48" s="2390"/>
      <c r="N48" s="528"/>
      <c r="O48" s="895"/>
      <c r="P48" s="528"/>
      <c r="Q48" s="1582"/>
      <c r="R48" s="2382"/>
      <c r="S48" s="2383"/>
      <c r="T48" s="1515" t="n">
        <f aca="false">SUM(AO48:AP49)</f>
        <v>0</v>
      </c>
      <c r="U48" s="1516" t="n">
        <f aca="false">((((C48*E48/324)+(C49*E49/324))*(1+J$73))+AK48+AK49)</f>
        <v>0</v>
      </c>
      <c r="V48" s="2386" t="n">
        <f aca="false">IF(C48=0,0,W48/(C48+C49))</f>
        <v>0</v>
      </c>
      <c r="W48" s="2184" t="n">
        <f aca="false">(IF(SUM(BJ48:CC49)=0,0,SUM(BJ48:CC49)-BZ48-BZ49))*(1+L$65)</f>
        <v>0</v>
      </c>
      <c r="X48" s="2184"/>
      <c r="Y48" s="1414"/>
      <c r="AH48" s="1142" t="n">
        <f aca="false">IF(N48=1,O48*$Q$53,0)+IF(N48=2,O48*$Q$54,0)+IF(N48=3,O48*$Q$55,0)+IF(N48=4,O48*$Q$60,0)+IF(N48=5,O48*$Q$61,0)+IF(N48=6,O48*$Q$62+IF(N48=7,O48*$Q$54,0)+IF(N48=8,O48*$Q$55,0)+IF(N48=9,O48*$Q$60,0)+IF(N48=10,O48*$Q$61,0),0)</f>
        <v>0</v>
      </c>
      <c r="AI48" s="16" t="n">
        <f aca="false">IF(P48=1,Q48*$Q$53,0)+IF(P48=2,Q48*$Q$54,0)+IF(P48=3,Q48*$Q$55,0)+IF(P48=4,Q48*$Q$60,0)+IF(P48=5,Q48*$Q$61,0)+IF(P48=6,Q48*$Q$62+IF(P48=7,Q48*$Q$54,0)+IF(P48=8,Q48*$Q$55,0)+IF(P48=9,Q48*$Q$60,0)+IF(P48=10,Q48*$Q$61,0),0)</f>
        <v>0</v>
      </c>
      <c r="AJ48" s="16" t="n">
        <f aca="false">IF(R48=1,S48*$Q$53,0)+IF(R48=2,S48*$Q$54,0)+IF(R48=3,S48*$Q$55,0)+IF(R48=4,S48*$Q$60,0)+IF(R48=5,S48*$Q$61,0)+IF(R48=6,S48*$Q$62+IF(R48=7,S48*$Q$54,0)+IF(R48=8,S48*$Q$55,0)+IF(R48=9,S48*$Q$60,0)+IF(R48=10,S48*$Q$61,0),0)</f>
        <v>0</v>
      </c>
      <c r="AK48" s="1116" t="n">
        <f aca="false">SUM(AH48:AJ48)</f>
        <v>0</v>
      </c>
      <c r="AL48" s="16" t="n">
        <f aca="false">ROUNDUP(IF(N48=1,O48*$O$53,0)+IF(N48=2,O48*$O$54,0)+IF(N48=3,O48*$O$55,0)+IF(N48=4,O48*$O$56,0)+IF(N48=5,O48*$O$57,0)+IF(N48=6,O48*$O$58+IF(N48=7,O48*$O$59,0)+IF(N48=8,O48*$O$60,0)+IF(N48=9,O48*$O$61+IF(N48=10,O48*$O$62,0),0),0),0)</f>
        <v>0</v>
      </c>
      <c r="AM48" s="16" t="n">
        <f aca="false">ROUNDUP(IF(P48=1,Q48*$Q$53,0)+IF(P48=2,Q48*$Q$54,0)+IF(P48=3,Q48*$Q$55,0)+IF(P48=4,Q48*$Q$56,0)+IF(P48=5,Q48*$Q$57,0)+IF(P48=6,Q48*$Q$58+IF(P48=7,Q48*$Q$59,0)+IF(P48=8,Q48*$Q$60,0)+IF(P48=9,Q48*$Q$61+IF(P48=10,Q48*$Q$62,0),0),0),0)</f>
        <v>0</v>
      </c>
      <c r="AN48" s="16" t="n">
        <f aca="false">ROUNDUP(IF(R48=1,S48*$S$53,0)+IF(R48=2,S48*$S$54,0)+IF(R48=3,S48*$S$55,0)+IF(R48=4,S48*$S$56,0)+IF(R48=5,S48*$S$57,0)+IF(R48=6,S48*$S$58+IF(R48=7,S48*$S$59,0)+IF(R48=8,S48*$S$60,0)+IF(R48=9,S48*$S$61+IF(R48=10,S48*$S$62,0),0),0),0)</f>
        <v>0</v>
      </c>
      <c r="AO48" s="1142" t="n">
        <f aca="false">SUM(AL48:AN48)*1.12</f>
        <v>0</v>
      </c>
      <c r="AP48" s="2237" t="n">
        <f aca="false">IF(L48=0,0,(L48/12+L48/12)/(L48/12*L48/12)*C48*((K48/16*K48/16)*10.6870159))*(1+J$78)+IF(J48=0,0,(J48/12+J48/12)/(J48/12*J48/12)*C48*((I48/16*I48/16)*10.6870159))*(1+J$78)</f>
        <v>0</v>
      </c>
      <c r="AQ48" s="1142" t="n">
        <f aca="false">M48*(1+J$79)</f>
        <v>0</v>
      </c>
      <c r="AS48" s="16" t="n">
        <f aca="false">IF(M48="y",C48,0)</f>
        <v>0</v>
      </c>
      <c r="AT48" s="1142" t="n">
        <f aca="false">IF($G48=1,$U48,0)</f>
        <v>0</v>
      </c>
      <c r="AU48" s="16" t="n">
        <f aca="false">IF($G48=2,$U48,0)</f>
        <v>0</v>
      </c>
      <c r="AV48" s="16" t="n">
        <f aca="false">IF($G48=3,$U48,0)</f>
        <v>0</v>
      </c>
      <c r="AW48" s="16" t="n">
        <f aca="false">IF($G48=4,$U48,0)</f>
        <v>0</v>
      </c>
      <c r="AX48" s="16" t="n">
        <f aca="false">IF($G48=5,$U48,0)</f>
        <v>0</v>
      </c>
      <c r="AY48" s="16" t="n">
        <f aca="false">IF($G48=6,$U48,0)</f>
        <v>0</v>
      </c>
      <c r="AZ48" s="16" t="n">
        <f aca="false">IF($G48=7,$U48,0)</f>
        <v>0</v>
      </c>
      <c r="BA48" s="16" t="n">
        <f aca="false">IF($G48=8,$U48,0)</f>
        <v>0</v>
      </c>
      <c r="BB48" s="16" t="n">
        <f aca="false">IF($G48=9,$U48,0)</f>
        <v>0</v>
      </c>
      <c r="BC48" s="1116" t="n">
        <f aca="false">IF($G48=10,$U48,0)</f>
        <v>0</v>
      </c>
      <c r="BD48" s="16" t="n">
        <f aca="false">SUM(AT48:AY48)</f>
        <v>0</v>
      </c>
      <c r="BE48" s="600" t="n">
        <f aca="false">IF(F48="N",0,C48)</f>
        <v>0</v>
      </c>
      <c r="BF48" s="16" t="n">
        <f aca="false">IF(N48=1,O48*$U$53,0)+IF(N48=2,O48*$U$54,0)+IF(N48=3,O48*$U$55,0)+IF(N48=4,O48*$U$60,0)+IF(N48=5,O48*$U$61,0)+IF(N48=6,O48*$U$62,0)</f>
        <v>0</v>
      </c>
      <c r="BG48" s="16" t="n">
        <f aca="false">IF(P48=1,Q48*$U$53,0)+IF(P48=2,Q48*$U$54,0)+IF(P48=3,Q48*$U$55,0)+IF(P48=4,Q48*$U$60,0)+IF(P48=5,Q48*$U$61,0)+IF(P48=6,Q48*$U$62,0)</f>
        <v>0</v>
      </c>
      <c r="BH48" s="16" t="n">
        <f aca="false">IF(R48=1,S48*$U$53,0)+IF(R48=2,S48*$U$54,0)+IF(R48=3,S48*$U$55,0)+IF(R48=4,S48*$U$60,0)+IF(R48=5,S48*$U$61,0)+IF(R48=6,S48*$U$62,0)</f>
        <v>0</v>
      </c>
      <c r="BI48" s="506" t="n">
        <f aca="false">SUM(BJ48:CC49)</f>
        <v>0</v>
      </c>
      <c r="BJ48" s="2375" t="n">
        <f aca="false">(AT48*Pricing!F$3+AU48*Pricing!G$3+AV48*Pricing!H$3+AW48*Pricing!I$3+AX48*Pricing!J$3+AY48*Pricing!K$3+AZ48*Pricing!L$3+BA48*Pricing!M$3+BB48*Pricing!M$3+BC48*Pricing!O$3)*IF(T$64="N",(1+V$64),1)</f>
        <v>0</v>
      </c>
      <c r="BK48" s="2096" t="n">
        <f aca="false">T48*F$78*IF(T$64="n",1+V$64,1)</f>
        <v>0</v>
      </c>
      <c r="BL48" s="2096" t="n">
        <f aca="false">IF(BE$50=0,0,IF(F48="y",N$80/BE$50*BE48,0))</f>
        <v>0</v>
      </c>
      <c r="BM48" s="2096" t="n">
        <f aca="false">IF(N$79=0,0,N$79/H$87*C48)</f>
        <v>0</v>
      </c>
      <c r="BN48" s="2376" t="n">
        <f aca="false">(C48*G$87)</f>
        <v>0</v>
      </c>
      <c r="BO48" s="2096" t="n">
        <f aca="false">H48*D$91</f>
        <v>0</v>
      </c>
      <c r="BP48" s="2096" t="n">
        <f aca="false">SUM(BF48:BH48)*D$92</f>
        <v>0</v>
      </c>
      <c r="BQ48" s="2096" t="n">
        <f aca="false">D$93*C48</f>
        <v>0</v>
      </c>
      <c r="BR48" s="2096" t="str">
        <f aca="false">IF(C48="","",(N$95+N$94)/H$87*C48)</f>
        <v/>
      </c>
      <c r="BS48" s="2096" t="n">
        <f aca="false">IF(C48=0,0,(T48/2000*D$96))</f>
        <v>0</v>
      </c>
      <c r="BT48" s="2377" t="str">
        <f aca="false">IF(C48="","",N$97/H$87*C48)</f>
        <v/>
      </c>
      <c r="BU48" s="2096" t="n">
        <f aca="false">IF(C48=0,0,SUM(N$100:O$103)/C$50*C48)</f>
        <v>0</v>
      </c>
      <c r="BV48" s="2096" t="n">
        <f aca="false">IF(C48=0,0,SUM(W$73:W$106)/C$50*C48)+IF(H$87=0,0,(N$84+N$83+N$82)/H$87*C48)</f>
        <v>0</v>
      </c>
      <c r="BW48" s="2096" t="n">
        <f aca="false">IF(C48=0,0,SUM(N$105:O$110)/C$50*C48)</f>
        <v>0</v>
      </c>
      <c r="BX48" s="2096" t="n">
        <f aca="false">IF(C48=0,0,SUM(N$112:O$118)/C$50)*C48</f>
        <v>0</v>
      </c>
      <c r="BY48" s="2096" t="n">
        <f aca="false">IF(C$50=0,0,SUM(W$107:W$118)/C$50*C48)</f>
        <v>0</v>
      </c>
      <c r="BZ48" s="2096" t="n">
        <f aca="false">IF(N$119=0,0,N$119/H$87*C48)</f>
        <v>0</v>
      </c>
      <c r="CA48" s="2096"/>
      <c r="CB48" s="2096" t="n">
        <f aca="false">AG48*F$81*IF(T$64="n",(1+V$64),1)</f>
        <v>0</v>
      </c>
      <c r="CC48" s="2378" t="n">
        <f aca="false">AQ48*F$79*IF(T$64="Y",1,1+V$64)</f>
        <v>0</v>
      </c>
    </row>
    <row r="49" customFormat="false" ht="19.5" hidden="false" customHeight="true" outlineLevel="0" collapsed="false">
      <c r="A49" s="1798"/>
      <c r="B49" s="1805"/>
      <c r="C49" s="2411"/>
      <c r="D49" s="1587"/>
      <c r="E49" s="1603"/>
      <c r="F49" s="1605"/>
      <c r="G49" s="1606"/>
      <c r="H49" s="2412"/>
      <c r="I49" s="1605"/>
      <c r="J49" s="1609"/>
      <c r="K49" s="1605"/>
      <c r="L49" s="1609"/>
      <c r="M49" s="2413"/>
      <c r="N49" s="1605"/>
      <c r="O49" s="1609"/>
      <c r="P49" s="1605"/>
      <c r="Q49" s="2414"/>
      <c r="R49" s="2415"/>
      <c r="S49" s="2416"/>
      <c r="T49" s="1613"/>
      <c r="U49" s="1613"/>
      <c r="V49" s="2417"/>
      <c r="W49" s="2234"/>
      <c r="X49" s="2234"/>
      <c r="Y49" s="1414"/>
      <c r="AH49" s="1142" t="n">
        <f aca="false">IF(N49=1,O49*$Q$53,0)+IF(N49=2,O49*$Q$54,0)+IF(N49=3,O49*$Q$55,0)+IF(N49=4,O49*$Q$60,0)+IF(N49=5,O49*$Q$61,0)+IF(N49=6,O49*$Q$62+IF(N49=7,O49*$Q$54,0)+IF(N49=8,O49*$Q$55,0)+IF(N49=9,O49*$Q$60,0)+IF(N49=10,O49*$Q$61,0),0)</f>
        <v>0</v>
      </c>
      <c r="AI49" s="16" t="n">
        <f aca="false">IF(P49=1,Q49*$Q$53,0)+IF(P49=2,Q49*$Q$54,0)+IF(P49=3,Q49*$Q$55,0)+IF(P49=4,Q49*$Q$60,0)+IF(P49=5,Q49*$Q$61,0)+IF(P49=6,Q49*$Q$62+IF(P49=7,Q49*$Q$54,0)+IF(P49=8,Q49*$Q$55,0)+IF(P49=9,Q49*$Q$60,0)+IF(P49=10,Q49*$Q$61,0),0)</f>
        <v>0</v>
      </c>
      <c r="AJ49" s="16" t="n">
        <f aca="false">IF(R49=1,S49*$Q$53,0)+IF(R49=2,S49*$Q$54,0)+IF(R49=3,S49*$Q$55,0)+IF(R49=4,S49*$Q$60,0)+IF(R49=5,S49*$Q$61,0)+IF(R49=6,S49*$Q$62+IF(R49=7,S49*$Q$54,0)+IF(R49=8,S49*$Q$55,0)+IF(R49=9,S49*$Q$60,0)+IF(R49=10,S49*$Q$61,0),0)</f>
        <v>0</v>
      </c>
      <c r="AK49" s="2418" t="n">
        <f aca="false">SUM(AH49:AJ49)</f>
        <v>0</v>
      </c>
      <c r="AL49" s="16" t="n">
        <f aca="false">ROUNDUP(IF(N49=1,O49*$O$53,0)+IF(N49=2,O49*$O$54,0)+IF(N49=3,O49*$O$55,0)+IF(N49=4,O49*$O$56,0)+IF(N49=5,O49*$O$57,0)+IF(N49=6,O49*$O$58+IF(N49=7,O49*$O$59,0)+IF(N49=8,O49*$O$60,0)+IF(N49=9,O49*$O$61+IF(N49=10,O49*$O$62,0),0),0),0)</f>
        <v>0</v>
      </c>
      <c r="AM49" s="16" t="n">
        <f aca="false">ROUNDUP(IF(P49=1,Q49*$Q$53,0)+IF(P49=2,Q49*$Q$54,0)+IF(P49=3,Q49*$Q$55,0)+IF(P49=4,Q49*$Q$56,0)+IF(P49=5,Q49*$Q$57,0)+IF(P49=6,Q49*$Q$58+IF(P49=7,Q49*$Q$59,0)+IF(P49=8,Q49*$Q$60,0)+IF(P49=9,Q49*$Q$61+IF(P49=10,Q49*$Q$62,0),0),0),0)</f>
        <v>0</v>
      </c>
      <c r="AN49" s="16" t="n">
        <f aca="false">ROUNDUP(IF(R49=1,S49*$S$53,0)+IF(R49=2,S49*$S$54,0)+IF(R49=3,S49*$S$55,0)+IF(R49=4,S49*$S$56,0)+IF(R49=5,S49*$S$57,0)+IF(R49=6,S49*$S$58+IF(R49=7,S49*$S$59,0)+IF(R49=8,S49*$S$60,0)+IF(R49=9,S49*$S$61+IF(R49=10,S49*$S$62,0),0),0),0)</f>
        <v>0</v>
      </c>
      <c r="AO49" s="1142" t="n">
        <f aca="false">SUM(AL49:AN49)*1.12</f>
        <v>0</v>
      </c>
      <c r="AP49" s="2419" t="n">
        <f aca="false">IF(L49=0,0,(L49/12+L49/12)/(L49/12*L49/12)*C49*((K49/16*K49/16)*10.6870159))*(1+J$78)+IF(J49=0,0,(J49/12+J49/12)/(J49/12*J49/12)*C49*((I49/16*I49/16)*10.6870159))*(1+J$78)</f>
        <v>0</v>
      </c>
      <c r="AQ49" s="781" t="n">
        <f aca="false">M49*(1+J$79)</f>
        <v>0</v>
      </c>
      <c r="AR49" s="782"/>
      <c r="AS49" s="782" t="n">
        <f aca="false">IF(M49="y",C49,0)</f>
        <v>0</v>
      </c>
      <c r="AT49" s="781" t="n">
        <f aca="false">IF($G49=1,$U49,0)</f>
        <v>0</v>
      </c>
      <c r="AU49" s="782" t="n">
        <f aca="false">IF($G49=2,$U49,0)</f>
        <v>0</v>
      </c>
      <c r="AV49" s="782" t="n">
        <f aca="false">IF($G49=3,$U49,0)</f>
        <v>0</v>
      </c>
      <c r="AW49" s="782" t="n">
        <f aca="false">IF($G49=4,$U49,0)</f>
        <v>0</v>
      </c>
      <c r="AX49" s="782" t="n">
        <f aca="false">IF($G49=5,$U49,0)</f>
        <v>0</v>
      </c>
      <c r="AY49" s="782" t="n">
        <f aca="false">IF($G49=6,$U49,0)</f>
        <v>0</v>
      </c>
      <c r="AZ49" s="782" t="n">
        <f aca="false">IF($G49=7,$U49,0)</f>
        <v>0</v>
      </c>
      <c r="BA49" s="782" t="n">
        <f aca="false">IF($G49=8,$U49,0)</f>
        <v>0</v>
      </c>
      <c r="BB49" s="782" t="n">
        <f aca="false">IF($G49=9,$U49,0)</f>
        <v>0</v>
      </c>
      <c r="BC49" s="2418" t="n">
        <f aca="false">IF($G49=10,$U49,0)</f>
        <v>0</v>
      </c>
      <c r="BD49" s="782" t="n">
        <f aca="false">SUM(AT49:AY49)</f>
        <v>0</v>
      </c>
      <c r="BE49" s="2420" t="n">
        <f aca="false">IF(F49="N",0,C49)</f>
        <v>0</v>
      </c>
      <c r="BF49" s="782" t="n">
        <f aca="false">IF(N49=1,O49*$U$53,0)+IF(N49=2,O49*$U$54,0)+IF(N49=3,O49*$U$55,0)+IF(N49=4,O49*$U$60,0)+IF(N49=5,O49*$U$61,0)+IF(N49=6,O49*$U$62,0)</f>
        <v>0</v>
      </c>
      <c r="BG49" s="782" t="n">
        <f aca="false">IF(P49=1,Q49*$U$53,0)+IF(P49=2,Q49*$U$54,0)+IF(P49=3,Q49*$U$55,0)+IF(P49=4,Q49*$U$60,0)+IF(P49=5,Q49*$U$61,0)+IF(P49=6,Q49*$U$62,0)</f>
        <v>0</v>
      </c>
      <c r="BH49" s="782" t="n">
        <f aca="false">IF(R49=1,S49*$U$53,0)+IF(R49=2,S49*$U$54,0)+IF(R49=3,S49*$U$55,0)+IF(R49=4,S49*$U$60,0)+IF(R49=5,S49*$U$61,0)+IF(R49=6,S49*$U$62,0)</f>
        <v>0</v>
      </c>
      <c r="BI49" s="2421"/>
      <c r="BJ49" s="2375" t="n">
        <f aca="false">(AT49*Pricing!F$3+AU49*Pricing!G$3+AV49*Pricing!H$3+AW49*Pricing!I$3+AX49*Pricing!J$3+AY49*Pricing!K$3+AZ49*Pricing!L$3+BA49*Pricing!M$3+BB49*Pricing!M$3+BC49*Pricing!O$3)*IF(T$64="N",(1+V$64),1)</f>
        <v>0</v>
      </c>
      <c r="BK49" s="2422" t="n">
        <f aca="false">T49*F$78*IF(T$64="n",1+V$64,1)</f>
        <v>0</v>
      </c>
      <c r="BL49" s="2422" t="n">
        <f aca="false">IF(BE$50=0,0,IF(F49="y",N$80/BE$50*BE49,0))</f>
        <v>0</v>
      </c>
      <c r="BM49" s="2096" t="n">
        <f aca="false">IF(N$79=0,0,N$79/H$87*C49)</f>
        <v>0</v>
      </c>
      <c r="BN49" s="2423" t="n">
        <f aca="false">(C49*G$87)</f>
        <v>0</v>
      </c>
      <c r="BO49" s="2422" t="n">
        <f aca="false">H49*D$91</f>
        <v>0</v>
      </c>
      <c r="BP49" s="2422" t="n">
        <f aca="false">SUM(BF49:BH49)*D$92</f>
        <v>0</v>
      </c>
      <c r="BQ49" s="2422" t="n">
        <f aca="false">D$93*C49</f>
        <v>0</v>
      </c>
      <c r="BR49" s="2422" t="str">
        <f aca="false">IF(C49="","",(N$95+N$94)/H$87*C49)</f>
        <v/>
      </c>
      <c r="BS49" s="2096" t="n">
        <f aca="false">IF(C49=0,0,(T49/2000*D$96))</f>
        <v>0</v>
      </c>
      <c r="BT49" s="2424" t="str">
        <f aca="false">IF(C49="","",N$97/H$87*C49)</f>
        <v/>
      </c>
      <c r="BU49" s="2096" t="n">
        <f aca="false">IF(C49=0,0,SUM(N$100:O$103)/C$50*C49)</f>
        <v>0</v>
      </c>
      <c r="BV49" s="2422" t="n">
        <f aca="false">IF(C49=0,0,SUM(W$73:W$106)/C$50*C49)+IF(H$87=0,0,(N$84+N$83+N$82)/H$87*C49)</f>
        <v>0</v>
      </c>
      <c r="BW49" s="2422" t="n">
        <f aca="false">IF(C49=0,0,SUM(N$105:O$110)/C$50*C49)</f>
        <v>0</v>
      </c>
      <c r="BX49" s="2422" t="n">
        <f aca="false">IF(C49=0,0,SUM(N$112:O$118)/C$50)*C49</f>
        <v>0</v>
      </c>
      <c r="BY49" s="2422" t="n">
        <f aca="false">IF(C$50=0,0,SUM(W$107:W$118)/C$50*C49)</f>
        <v>0</v>
      </c>
      <c r="BZ49" s="2096" t="n">
        <f aca="false">IF(N$119=0,0,N$119/H$87*C49)</f>
        <v>0</v>
      </c>
      <c r="CA49" s="2422"/>
      <c r="CB49" s="2422" t="n">
        <f aca="false">AG49*F$81*IF(T$64="n",(1+V$64),1)</f>
        <v>0</v>
      </c>
      <c r="CC49" s="2425" t="n">
        <f aca="false">AQ49*F$79*IF(T$64="Y",1,1+V$64)</f>
        <v>0</v>
      </c>
    </row>
    <row r="50" customFormat="false" ht="25.5" hidden="false" customHeight="true" outlineLevel="0" collapsed="false">
      <c r="C50" s="2426" t="n">
        <f aca="false">SUM(C10:D49)</f>
        <v>0</v>
      </c>
      <c r="D50" s="2426"/>
      <c r="E50" s="16" t="s">
        <v>1533</v>
      </c>
      <c r="G50" s="654"/>
      <c r="H50" s="654"/>
      <c r="I50" s="654"/>
      <c r="J50" s="654"/>
      <c r="K50" s="654"/>
      <c r="L50" s="654"/>
      <c r="M50" s="654"/>
      <c r="N50" s="654"/>
      <c r="O50" s="654"/>
      <c r="P50" s="654"/>
      <c r="Q50" s="2427"/>
      <c r="R50" s="654"/>
      <c r="S50" s="1414"/>
      <c r="T50" s="600" t="n">
        <f aca="false">SUM(T10:T49)</f>
        <v>0</v>
      </c>
      <c r="U50" s="600" t="n">
        <f aca="false">SUM(U10:U49)</f>
        <v>0</v>
      </c>
      <c r="V50" s="600"/>
      <c r="W50" s="2253" t="n">
        <f aca="false">SUM(W10:X49)</f>
        <v>0</v>
      </c>
      <c r="X50" s="2253"/>
      <c r="Y50" s="1414"/>
      <c r="AK50" s="16" t="n">
        <f aca="false">SUM(AK10:AK49)</f>
        <v>0</v>
      </c>
      <c r="AL50" s="16" t="n">
        <f aca="false">SUM(AL10:AL49)</f>
        <v>0</v>
      </c>
      <c r="AM50" s="16" t="n">
        <f aca="false">SUM(AM10:AM49)</f>
        <v>0</v>
      </c>
      <c r="AN50" s="16" t="n">
        <f aca="false">SUM(AN10:AN49)</f>
        <v>0</v>
      </c>
      <c r="AO50" s="781" t="n">
        <f aca="false">SUM(AO10:AO49)</f>
        <v>0</v>
      </c>
      <c r="AP50" s="2418"/>
      <c r="AQ50" s="16" t="n">
        <f aca="false">SUM(AQ10:AQ49)</f>
        <v>0</v>
      </c>
      <c r="AT50" s="16" t="n">
        <f aca="false">SUM(AT10:AT49)</f>
        <v>0</v>
      </c>
      <c r="AU50" s="16" t="n">
        <f aca="false">SUM(AU10:AU49)</f>
        <v>0</v>
      </c>
      <c r="AV50" s="16" t="n">
        <f aca="false">SUM(AV10:AV49)</f>
        <v>0</v>
      </c>
      <c r="AW50" s="16" t="n">
        <f aca="false">SUM(AW10:AW49)</f>
        <v>0</v>
      </c>
      <c r="AX50" s="16" t="n">
        <f aca="false">SUM(AX10:AX49)</f>
        <v>0</v>
      </c>
      <c r="AY50" s="16" t="n">
        <f aca="false">SUM(AY10:AY49)</f>
        <v>0</v>
      </c>
      <c r="AZ50" s="16" t="n">
        <f aca="false">SUM(AZ10:AZ49)</f>
        <v>0</v>
      </c>
      <c r="BA50" s="16" t="n">
        <f aca="false">SUM(BA10:BA49)</f>
        <v>0</v>
      </c>
      <c r="BB50" s="16" t="n">
        <f aca="false">SUM(BB10:BB49)</f>
        <v>0</v>
      </c>
      <c r="BC50" s="16" t="n">
        <f aca="false">SUM(BC10:BC49)</f>
        <v>0</v>
      </c>
      <c r="BD50" s="16" t="n">
        <f aca="false">SUM(BD10:BD49)</f>
        <v>0</v>
      </c>
      <c r="BE50" s="16" t="n">
        <f aca="false">SUM(BE10:BE49)</f>
        <v>0</v>
      </c>
      <c r="BF50" s="16" t="n">
        <f aca="false">SUM(BF10:BF49)</f>
        <v>0</v>
      </c>
      <c r="BG50" s="16" t="n">
        <f aca="false">SUM(BG10:BG49)</f>
        <v>0</v>
      </c>
      <c r="BH50" s="16" t="n">
        <f aca="false">SUM(BH10:BH49)</f>
        <v>0</v>
      </c>
      <c r="BI50" s="2428" t="n">
        <f aca="false">SUM(BJ50:CC50)</f>
        <v>0</v>
      </c>
      <c r="BJ50" s="2429" t="n">
        <f aca="false">SUM(BJ10:BJ49)</f>
        <v>0</v>
      </c>
      <c r="BK50" s="2430" t="n">
        <f aca="false">SUM(BK10:BK49)</f>
        <v>0</v>
      </c>
      <c r="BL50" s="2430" t="n">
        <f aca="false">SUM(BL10:BL49)</f>
        <v>0</v>
      </c>
      <c r="BM50" s="2431" t="n">
        <f aca="false">SUM(BM10:BM49)</f>
        <v>0</v>
      </c>
      <c r="BN50" s="2432" t="n">
        <f aca="false">SUM(BN10:BN49)</f>
        <v>0</v>
      </c>
      <c r="BO50" s="506" t="n">
        <f aca="false">SUM(BO10:BO49)</f>
        <v>0</v>
      </c>
      <c r="BP50" s="506" t="n">
        <f aca="false">SUM(BP10:BP49)</f>
        <v>0</v>
      </c>
      <c r="BQ50" s="506" t="n">
        <f aca="false">SUM(BQ10:BQ49)</f>
        <v>0</v>
      </c>
      <c r="BR50" s="506" t="n">
        <f aca="false">SUM(BR10:BR49)</f>
        <v>0</v>
      </c>
      <c r="BS50" s="506" t="n">
        <f aca="false">SUM(BS10:BS49)</f>
        <v>0</v>
      </c>
      <c r="BT50" s="2433" t="n">
        <f aca="false">SUM(BT10:BT49)</f>
        <v>0</v>
      </c>
      <c r="BU50" s="506" t="n">
        <f aca="false">SUM(BU10:BU49)</f>
        <v>0</v>
      </c>
      <c r="BV50" s="506" t="n">
        <f aca="false">SUM(BV10:BV49)</f>
        <v>0</v>
      </c>
      <c r="BW50" s="506" t="n">
        <f aca="false">SUM(BW10:BW49)</f>
        <v>0</v>
      </c>
      <c r="BX50" s="506" t="n">
        <f aca="false">SUM(BX10:BX49)</f>
        <v>0</v>
      </c>
      <c r="BY50" s="506" t="n">
        <f aca="false">SUM(BY10:BY49)</f>
        <v>0</v>
      </c>
      <c r="BZ50" s="506" t="n">
        <f aca="false">SUM(BZ10:BZ49)</f>
        <v>0</v>
      </c>
      <c r="CA50" s="506" t="n">
        <f aca="false">SUM(CA10:CA49)</f>
        <v>0</v>
      </c>
      <c r="CB50" s="506" t="n">
        <f aca="false">SUM(CB10:CB49)</f>
        <v>0</v>
      </c>
      <c r="CC50" s="2434" t="n">
        <f aca="false">SUM(CC10:CC49)</f>
        <v>0</v>
      </c>
    </row>
    <row r="51" customFormat="false" ht="29.25" hidden="false" customHeight="true" outlineLevel="0" collapsed="false">
      <c r="A51" s="1669"/>
      <c r="B51" s="1068" t="s">
        <v>1356</v>
      </c>
      <c r="C51" s="1068"/>
      <c r="D51" s="2435" t="s">
        <v>1357</v>
      </c>
      <c r="E51" s="2435"/>
      <c r="F51" s="2435" t="s">
        <v>1590</v>
      </c>
      <c r="G51" s="2435"/>
      <c r="H51" s="2435" t="s">
        <v>1359</v>
      </c>
      <c r="I51" s="2435"/>
      <c r="J51" s="2435" t="s">
        <v>1360</v>
      </c>
      <c r="K51" s="2435"/>
      <c r="L51" s="2436" t="s">
        <v>1361</v>
      </c>
      <c r="M51" s="2436"/>
      <c r="N51" s="2436"/>
      <c r="O51" s="878" t="s">
        <v>1825</v>
      </c>
      <c r="P51" s="878"/>
      <c r="Q51" s="1223" t="s">
        <v>1826</v>
      </c>
      <c r="R51" s="1223"/>
      <c r="S51" s="150" t="s">
        <v>1827</v>
      </c>
      <c r="T51" s="2437" t="e">
        <f aca="false">H87/SUM(K73:L77)</f>
        <v>#DIV/0!</v>
      </c>
      <c r="U51" s="654"/>
      <c r="V51" s="654"/>
      <c r="W51" s="2438" t="n">
        <f aca="false">W50-D65</f>
        <v>0</v>
      </c>
      <c r="X51" s="2438"/>
      <c r="Y51" s="1414"/>
      <c r="BI51" s="2439" t="n">
        <f aca="false">T65</f>
        <v>0</v>
      </c>
      <c r="BJ51" s="2440" t="n">
        <f aca="false">SUM(N73:O77)</f>
        <v>0</v>
      </c>
      <c r="BK51" s="2441" t="n">
        <f aca="false">SUM(N78)</f>
        <v>0</v>
      </c>
      <c r="BL51" s="2441" t="n">
        <f aca="false">N80</f>
        <v>0</v>
      </c>
      <c r="BM51" s="2442" t="n">
        <f aca="false">N79</f>
        <v>0</v>
      </c>
      <c r="BN51" s="2440" t="n">
        <f aca="false">SUM(N87:O90)</f>
        <v>0</v>
      </c>
      <c r="BO51" s="2441" t="n">
        <f aca="false">N91</f>
        <v>0</v>
      </c>
      <c r="BP51" s="2441" t="n">
        <f aca="false">N92</f>
        <v>0</v>
      </c>
      <c r="BQ51" s="2441" t="n">
        <f aca="false">N93</f>
        <v>0</v>
      </c>
      <c r="BR51" s="2441" t="n">
        <f aca="false">N95+N94</f>
        <v>0</v>
      </c>
      <c r="BS51" s="2441" t="n">
        <f aca="false">N96</f>
        <v>0</v>
      </c>
      <c r="BT51" s="2442" t="n">
        <f aca="false">N97</f>
        <v>0</v>
      </c>
      <c r="BU51" s="1127" t="n">
        <f aca="false">SUM(L101)+N103</f>
        <v>0</v>
      </c>
      <c r="BV51" s="1127" t="n">
        <f aca="false">SUM(N82:O84)+SUM(W73:W106)</f>
        <v>0</v>
      </c>
      <c r="BW51" s="1127" t="n">
        <f aca="false">L107</f>
        <v>0</v>
      </c>
      <c r="BX51" s="1127" t="n">
        <f aca="false">SUM(N112:O118)</f>
        <v>0</v>
      </c>
      <c r="BY51" s="1127" t="n">
        <f aca="false">SUM(W107:W118)</f>
        <v>0</v>
      </c>
      <c r="BZ51" s="1127" t="n">
        <f aca="false">N119</f>
        <v>0</v>
      </c>
      <c r="CA51" s="1058"/>
      <c r="CB51" s="1058"/>
      <c r="CC51" s="1971"/>
    </row>
    <row r="52" s="654" customFormat="true" ht="36.75" hidden="false" customHeight="true" outlineLevel="0" collapsed="false">
      <c r="A52" s="1678" t="s">
        <v>1828</v>
      </c>
      <c r="B52" s="1226" t="s">
        <v>1367</v>
      </c>
      <c r="C52" s="1225" t="s">
        <v>1596</v>
      </c>
      <c r="D52" s="1226" t="s">
        <v>1369</v>
      </c>
      <c r="E52" s="1225" t="s">
        <v>1215</v>
      </c>
      <c r="F52" s="1226" t="s">
        <v>1369</v>
      </c>
      <c r="G52" s="1225" t="s">
        <v>1215</v>
      </c>
      <c r="H52" s="1226" t="s">
        <v>1369</v>
      </c>
      <c r="I52" s="1225" t="s">
        <v>1215</v>
      </c>
      <c r="J52" s="1226" t="s">
        <v>1215</v>
      </c>
      <c r="K52" s="1679" t="s">
        <v>1216</v>
      </c>
      <c r="L52" s="1226" t="s">
        <v>1215</v>
      </c>
      <c r="M52" s="1227" t="s">
        <v>1216</v>
      </c>
      <c r="N52" s="1680" t="s">
        <v>1598</v>
      </c>
      <c r="O52" s="878"/>
      <c r="P52" s="878"/>
      <c r="Q52" s="1223"/>
      <c r="R52" s="1223"/>
      <c r="S52" s="150" t="s">
        <v>1829</v>
      </c>
      <c r="T52" s="2443" t="e">
        <f aca="false">K78/H87</f>
        <v>#DIV/0!</v>
      </c>
      <c r="U52" s="1465" t="s">
        <v>1830</v>
      </c>
      <c r="W52" s="656"/>
      <c r="X52" s="1414"/>
      <c r="Y52" s="1414"/>
      <c r="BI52" s="656" t="n">
        <f aca="false">BI50-BI51</f>
        <v>0</v>
      </c>
      <c r="BJ52" s="656" t="n">
        <f aca="false">BJ50-BJ51</f>
        <v>0</v>
      </c>
      <c r="BK52" s="656" t="n">
        <f aca="false">BK50-BK51</f>
        <v>0</v>
      </c>
      <c r="BL52" s="656" t="n">
        <f aca="false">BL50-BL51</f>
        <v>0</v>
      </c>
      <c r="BM52" s="656" t="n">
        <f aca="false">BM50-BM51</f>
        <v>0</v>
      </c>
      <c r="BN52" s="656" t="n">
        <f aca="false">BN50-BN51</f>
        <v>0</v>
      </c>
      <c r="BO52" s="656" t="n">
        <f aca="false">BO50-BO51</f>
        <v>0</v>
      </c>
      <c r="BP52" s="656" t="n">
        <f aca="false">BP50-BP51</f>
        <v>0</v>
      </c>
      <c r="BQ52" s="656" t="n">
        <f aca="false">BQ50-BQ51</f>
        <v>0</v>
      </c>
      <c r="BR52" s="656" t="n">
        <f aca="false">BR50-BR51</f>
        <v>0</v>
      </c>
      <c r="BS52" s="656" t="n">
        <f aca="false">BS50-BS51</f>
        <v>0</v>
      </c>
      <c r="BT52" s="656"/>
      <c r="BU52" s="656" t="n">
        <f aca="false">BU50-BU51</f>
        <v>0</v>
      </c>
      <c r="BV52" s="656" t="n">
        <f aca="false">BV50-BV51</f>
        <v>0</v>
      </c>
      <c r="BW52" s="656" t="n">
        <f aca="false">BW50-BW51</f>
        <v>0</v>
      </c>
      <c r="BX52" s="656" t="n">
        <f aca="false">BX50-BX51</f>
        <v>0</v>
      </c>
      <c r="BY52" s="656" t="n">
        <f aca="false">BY50-BY51</f>
        <v>0</v>
      </c>
      <c r="BZ52" s="656" t="n">
        <f aca="false">BZ50-BZ51</f>
        <v>0</v>
      </c>
      <c r="CA52" s="656" t="n">
        <f aca="false">CA50-CA51</f>
        <v>0</v>
      </c>
      <c r="CB52" s="656" t="n">
        <f aca="false">CB50-CB51</f>
        <v>0</v>
      </c>
      <c r="CC52" s="656" t="n">
        <f aca="false">CC50-CC51</f>
        <v>0</v>
      </c>
    </row>
    <row r="53" s="654" customFormat="true" ht="19.5" hidden="false" customHeight="true" outlineLevel="0" collapsed="false">
      <c r="A53" s="1685" t="n">
        <v>1</v>
      </c>
      <c r="B53" s="2444"/>
      <c r="C53" s="2445"/>
      <c r="D53" s="1234"/>
      <c r="E53" s="1235"/>
      <c r="F53" s="1236"/>
      <c r="G53" s="2445"/>
      <c r="H53" s="1234"/>
      <c r="I53" s="2445"/>
      <c r="J53" s="1234"/>
      <c r="K53" s="2445"/>
      <c r="L53" s="1236"/>
      <c r="M53" s="1237"/>
      <c r="N53" s="1923"/>
      <c r="O53" s="1688" t="n">
        <f aca="false">IF(B53=0,0,(D53*E53/16*E53/16*10.680159)+((F53*G53/16*G53/16*10.680159)+(H53*2*I53/16*I53/16*10.680159)+IF(K53=0,0,((J53/16*J53/16)*3.145*0.2836*((((B53*2))+(C53*2))*12/K53))))+(L53/16*L53/16*10.680159*(12/IF(M53=0,1,M53))*N53))*(1+J$78)</f>
        <v>0</v>
      </c>
      <c r="P53" s="1688"/>
      <c r="Q53" s="1690" t="n">
        <f aca="false">(B53/12*C53/324)*(1+J$73)</f>
        <v>0</v>
      </c>
      <c r="R53" s="1690"/>
      <c r="T53" s="2237" t="n">
        <f aca="false">300*Q53</f>
        <v>0</v>
      </c>
      <c r="U53" s="1624" t="n">
        <f aca="false">C53/12</f>
        <v>0</v>
      </c>
      <c r="X53" s="1414"/>
      <c r="Y53" s="1414"/>
    </row>
    <row r="54" s="654" customFormat="true" ht="19.5" hidden="false" customHeight="true" outlineLevel="0" collapsed="false">
      <c r="A54" s="1685" t="n">
        <v>2</v>
      </c>
      <c r="B54" s="1236"/>
      <c r="C54" s="1235"/>
      <c r="D54" s="1234"/>
      <c r="E54" s="1235"/>
      <c r="F54" s="1236"/>
      <c r="G54" s="1235"/>
      <c r="H54" s="1234"/>
      <c r="I54" s="1235"/>
      <c r="J54" s="1234"/>
      <c r="K54" s="1235"/>
      <c r="L54" s="1236"/>
      <c r="M54" s="1237"/>
      <c r="N54" s="1923"/>
      <c r="O54" s="1688" t="n">
        <f aca="false">IF(B54=0,0,(D54*E54/16*E54/16*10.680159)+((F54*G54/16*G54/16*10.680159)+(H54*2*I54/16*I54/16*10.680159)+IF(K54=0,0,((J54/16*J54/16)*3.145*0.2836*((((B54*2))+(C54*2))*12/K54))))+(L54/16*L54/16*10.680159*(12/IF(M54=0,1,M54))*N54))*(1+J$78)</f>
        <v>0</v>
      </c>
      <c r="P54" s="1688"/>
      <c r="Q54" s="2446" t="n">
        <f aca="false">(B54/12*C54/324)*(1+J$73)</f>
        <v>0</v>
      </c>
      <c r="R54" s="2446"/>
      <c r="T54" s="2237" t="n">
        <f aca="false">300*Q54</f>
        <v>0</v>
      </c>
      <c r="U54" s="1624" t="n">
        <f aca="false">C54/12</f>
        <v>0</v>
      </c>
      <c r="X54" s="1414"/>
      <c r="Y54" s="1414"/>
    </row>
    <row r="55" s="654" customFormat="true" ht="19.5" hidden="false" customHeight="true" outlineLevel="0" collapsed="false">
      <c r="A55" s="1685" t="n">
        <v>3</v>
      </c>
      <c r="B55" s="901"/>
      <c r="C55" s="900"/>
      <c r="D55" s="1234"/>
      <c r="E55" s="1235"/>
      <c r="F55" s="78"/>
      <c r="G55" s="900"/>
      <c r="H55" s="78"/>
      <c r="I55" s="900"/>
      <c r="J55" s="78"/>
      <c r="K55" s="900"/>
      <c r="L55" s="901"/>
      <c r="M55" s="78"/>
      <c r="N55" s="898"/>
      <c r="O55" s="1688" t="n">
        <f aca="false">IF(B55=0,0,(D55*E55/16*E55/16*10.680159)+((F55*G55/16*G55/16*10.680159)+(H55*2*I55/16*I55/16*10.680159)+IF(K55=0,0,((J55/16*J55/16)*3.145*0.2836*((((B55*2))+(C55*2))*12/K55))))+(L55/16*L55/16*10.680159*(12/IF(M55=0,1,M55))*N55))*(1+J$78)</f>
        <v>0</v>
      </c>
      <c r="P55" s="1688"/>
      <c r="Q55" s="2446" t="n">
        <f aca="false">(B55/12*C55/324)*(1+J$73)</f>
        <v>0</v>
      </c>
      <c r="R55" s="2446"/>
      <c r="T55" s="2237" t="n">
        <f aca="false">300*Q55</f>
        <v>0</v>
      </c>
      <c r="U55" s="1624" t="n">
        <f aca="false">C55/12</f>
        <v>0</v>
      </c>
      <c r="X55" s="1414"/>
      <c r="Y55" s="1414"/>
      <c r="BI55" s="656" t="n">
        <f aca="false">BI51*(1+L65)</f>
        <v>0</v>
      </c>
    </row>
    <row r="56" s="654" customFormat="true" ht="19.5" hidden="false" customHeight="true" outlineLevel="0" collapsed="false">
      <c r="A56" s="1685" t="n">
        <v>4</v>
      </c>
      <c r="B56" s="901"/>
      <c r="C56" s="900"/>
      <c r="D56" s="1234"/>
      <c r="E56" s="1235"/>
      <c r="F56" s="78"/>
      <c r="G56" s="900"/>
      <c r="H56" s="78"/>
      <c r="I56" s="900"/>
      <c r="J56" s="78"/>
      <c r="K56" s="900"/>
      <c r="L56" s="901"/>
      <c r="M56" s="78"/>
      <c r="N56" s="898"/>
      <c r="O56" s="1688" t="n">
        <f aca="false">IF(B56=0,0,(D56*E56/16*E56/16*10.680159)+((F56*G56/16*G56/16*10.680159)+(H56*2*I56/16*I56/16*10.680159)+IF(K56=0,0,((J56/16*J56/16)*3.145*0.2836*((((B56*2))+(C56*2))*12/K56))))+(L56/16*L56/16*10.680159*(12/IF(M56=0,1,M56))*N56))*(1+J$78)</f>
        <v>0</v>
      </c>
      <c r="P56" s="1688"/>
      <c r="Q56" s="2446" t="n">
        <f aca="false">(B56/12*C56/324)*(1+J$73)</f>
        <v>0</v>
      </c>
      <c r="R56" s="2446"/>
      <c r="T56" s="2237"/>
      <c r="U56" s="1624"/>
      <c r="X56" s="1414"/>
      <c r="Y56" s="1414"/>
      <c r="BI56" s="656"/>
    </row>
    <row r="57" s="654" customFormat="true" ht="19.5" hidden="false" customHeight="true" outlineLevel="0" collapsed="false">
      <c r="A57" s="1685" t="n">
        <v>5</v>
      </c>
      <c r="B57" s="901"/>
      <c r="C57" s="900"/>
      <c r="D57" s="1234"/>
      <c r="E57" s="1235"/>
      <c r="F57" s="78"/>
      <c r="G57" s="900"/>
      <c r="H57" s="78"/>
      <c r="I57" s="900"/>
      <c r="J57" s="78"/>
      <c r="K57" s="900"/>
      <c r="L57" s="901"/>
      <c r="M57" s="78"/>
      <c r="N57" s="898"/>
      <c r="O57" s="1688" t="n">
        <f aca="false">IF(B57=0,0,(D57*E57/16*E57/16*10.680159)+((F57*G57/16*G57/16*10.680159)+(H57*2*I57/16*I57/16*10.680159)+IF(K57=0,0,((J57/16*J57/16)*3.145*0.2836*((((B57*2))+(C57*2))*12/K57))))+(L57/16*L57/16*10.680159*(12/IF(M57=0,1,M57))*N57))*(1+J$78)</f>
        <v>0</v>
      </c>
      <c r="P57" s="1688"/>
      <c r="Q57" s="2446" t="n">
        <f aca="false">(B57/12*C57/324)*(1+J$73)</f>
        <v>0</v>
      </c>
      <c r="R57" s="2446"/>
      <c r="T57" s="2237"/>
      <c r="U57" s="1624"/>
      <c r="X57" s="1414"/>
      <c r="Y57" s="1414"/>
      <c r="BI57" s="656"/>
    </row>
    <row r="58" s="654" customFormat="true" ht="19.5" hidden="false" customHeight="true" outlineLevel="0" collapsed="false">
      <c r="A58" s="1685" t="n">
        <v>6</v>
      </c>
      <c r="B58" s="901"/>
      <c r="C58" s="900"/>
      <c r="D58" s="1234"/>
      <c r="E58" s="1235"/>
      <c r="F58" s="78"/>
      <c r="G58" s="900"/>
      <c r="H58" s="78"/>
      <c r="I58" s="900"/>
      <c r="J58" s="78"/>
      <c r="K58" s="900"/>
      <c r="L58" s="901"/>
      <c r="M58" s="78"/>
      <c r="N58" s="898"/>
      <c r="O58" s="1688" t="n">
        <f aca="false">IF(B58=0,0,(D58*E58/16*E58/16*10.680159)+((F58*G58/16*G58/16*10.680159)+(H58*2*I58/16*I58/16*10.680159)+IF(K58=0,0,((J58/16*J58/16)*3.145*0.2836*((((B58*2))+(C58*2))*12/K58))))+(L58/16*L58/16*10.680159*(12/IF(M58=0,1,M58))*N58))*(1+J$78)</f>
        <v>0</v>
      </c>
      <c r="P58" s="1688"/>
      <c r="Q58" s="2446" t="n">
        <f aca="false">(B58/12*C58/324)*(1+J$73)</f>
        <v>0</v>
      </c>
      <c r="R58" s="2446"/>
      <c r="T58" s="2237"/>
      <c r="U58" s="1624"/>
      <c r="X58" s="1414"/>
      <c r="Y58" s="1414"/>
      <c r="BI58" s="656"/>
    </row>
    <row r="59" s="654" customFormat="true" ht="19.5" hidden="false" customHeight="true" outlineLevel="0" collapsed="false">
      <c r="A59" s="1685" t="n">
        <v>7</v>
      </c>
      <c r="B59" s="901"/>
      <c r="C59" s="900"/>
      <c r="D59" s="1234"/>
      <c r="E59" s="1235"/>
      <c r="F59" s="78"/>
      <c r="G59" s="900"/>
      <c r="H59" s="78"/>
      <c r="I59" s="900"/>
      <c r="J59" s="78"/>
      <c r="K59" s="900"/>
      <c r="L59" s="901"/>
      <c r="M59" s="78"/>
      <c r="N59" s="898"/>
      <c r="O59" s="1688" t="n">
        <f aca="false">IF(B59=0,0,(D59*E59/16*E59/16*10.680159)+((F59*G59/16*G59/16*10.680159)+(H59*2*I59/16*I59/16*10.680159)+IF(K59=0,0,((J59/16*J59/16)*3.145*0.2836*((((B59*2))+(C59*2))*12/K59))))+(L59/16*L59/16*10.680159*(12/IF(M59=0,1,M59))*N59))*(1+J$78)</f>
        <v>0</v>
      </c>
      <c r="P59" s="1688"/>
      <c r="Q59" s="2446" t="n">
        <f aca="false">(B59/12*C59/324)*(1+J$73)</f>
        <v>0</v>
      </c>
      <c r="R59" s="2446"/>
      <c r="T59" s="2237"/>
      <c r="U59" s="1624"/>
      <c r="X59" s="1414"/>
      <c r="Y59" s="1414"/>
      <c r="BI59" s="656"/>
    </row>
    <row r="60" s="654" customFormat="true" ht="19.5" hidden="false" customHeight="true" outlineLevel="0" collapsed="false">
      <c r="A60" s="1685" t="n">
        <v>8</v>
      </c>
      <c r="B60" s="901"/>
      <c r="C60" s="900"/>
      <c r="D60" s="1234"/>
      <c r="E60" s="1235"/>
      <c r="F60" s="78"/>
      <c r="G60" s="900"/>
      <c r="H60" s="78"/>
      <c r="I60" s="900"/>
      <c r="J60" s="78"/>
      <c r="K60" s="900"/>
      <c r="L60" s="901"/>
      <c r="M60" s="78"/>
      <c r="N60" s="898"/>
      <c r="O60" s="1688" t="n">
        <f aca="false">IF(B60=0,0,(D60*E60/16*E60/16*10.680159)+((F60*G60/16*G60/16*10.680159)+(H60*2*I60/16*I60/16*10.680159)+IF(K60=0,0,((J60/16*J60/16)*3.145*0.2836*((((B60*2))+(C60*2))*12/K60))))+(L60/16*L60/16*10.680159*(12/IF(M60=0,1,M60))*N60))*(1+J$78)</f>
        <v>0</v>
      </c>
      <c r="P60" s="1688"/>
      <c r="Q60" s="2446" t="n">
        <f aca="false">(B60/12*C60/324)*(1+J$73)</f>
        <v>0</v>
      </c>
      <c r="R60" s="2446"/>
      <c r="T60" s="2237" t="n">
        <f aca="false">300*Q60</f>
        <v>0</v>
      </c>
      <c r="U60" s="1624" t="n">
        <f aca="false">C60/12</f>
        <v>0</v>
      </c>
      <c r="V60" s="656"/>
      <c r="X60" s="1414"/>
      <c r="Y60" s="1414"/>
    </row>
    <row r="61" s="654" customFormat="true" ht="19.5" hidden="false" customHeight="true" outlineLevel="0" collapsed="false">
      <c r="A61" s="1685" t="n">
        <v>9</v>
      </c>
      <c r="B61" s="901"/>
      <c r="C61" s="900"/>
      <c r="D61" s="1234"/>
      <c r="E61" s="1235"/>
      <c r="F61" s="78"/>
      <c r="G61" s="900"/>
      <c r="H61" s="78"/>
      <c r="I61" s="900"/>
      <c r="J61" s="78"/>
      <c r="K61" s="900"/>
      <c r="L61" s="901"/>
      <c r="M61" s="78"/>
      <c r="N61" s="898"/>
      <c r="O61" s="1688" t="n">
        <f aca="false">IF(B61=0,0,(D61*E61/16*E61/16*10.680159)+((F61*G61/16*G61/16*10.680159)+(H61*2*I61/16*I61/16*10.680159)+IF(K61=0,0,((J61/16*J61/16)*3.145*0.2836*((((B61*2))+(C61*2))*12/K61))))+(L61/16*L61/16*10.680159*(12/IF(M61=0,1,M61))*N61))*(1+J$78)</f>
        <v>0</v>
      </c>
      <c r="P61" s="1688"/>
      <c r="Q61" s="2446" t="n">
        <f aca="false">(B61/12*C61/324)*(1+J$73)</f>
        <v>0</v>
      </c>
      <c r="R61" s="2446"/>
      <c r="T61" s="2237" t="n">
        <f aca="false">300*Q61</f>
        <v>0</v>
      </c>
      <c r="U61" s="1624" t="n">
        <f aca="false">C61/12</f>
        <v>0</v>
      </c>
      <c r="W61" s="1537"/>
      <c r="X61" s="1414"/>
      <c r="Y61" s="1414"/>
    </row>
    <row r="62" s="654" customFormat="true" ht="19.5" hidden="false" customHeight="true" outlineLevel="0" collapsed="false">
      <c r="A62" s="1685" t="n">
        <v>10</v>
      </c>
      <c r="B62" s="901"/>
      <c r="C62" s="900"/>
      <c r="D62" s="78"/>
      <c r="E62" s="900"/>
      <c r="F62" s="78"/>
      <c r="G62" s="900"/>
      <c r="H62" s="78"/>
      <c r="I62" s="900"/>
      <c r="J62" s="78"/>
      <c r="K62" s="900"/>
      <c r="L62" s="2447"/>
      <c r="M62" s="1826"/>
      <c r="N62" s="2448"/>
      <c r="O62" s="1688" t="n">
        <f aca="false">IF(B62=0,0,(D62*E62/16*E62/16*10.680159)+((F62*G62/16*G62/16*10.680159)+(H62*2*I62/16*I62/16*10.680159)+IF(K62=0,0,((J62/16*J62/16)*3.145*0.2836*((((B62*2))+(C62*2))*12/K62))))+(L62/16*L62/16*10.680159*(12/IF(M62=0,1,M62))*N62))*(1+J$78)</f>
        <v>0</v>
      </c>
      <c r="P62" s="1688"/>
      <c r="Q62" s="2449" t="n">
        <f aca="false">(B62/12*C62/324)*(1+J$73)</f>
        <v>0</v>
      </c>
      <c r="R62" s="2449"/>
      <c r="T62" s="2237" t="n">
        <f aca="false">300*Q62</f>
        <v>0</v>
      </c>
      <c r="U62" s="654" t="n">
        <f aca="false">C62/12</f>
        <v>0</v>
      </c>
      <c r="W62" s="373" t="n">
        <f aca="false">T65-U62</f>
        <v>0</v>
      </c>
      <c r="X62" s="1414"/>
      <c r="Y62" s="1414"/>
    </row>
    <row r="63" s="654" customFormat="true" ht="19.5" hidden="false" customHeight="true" outlineLevel="0" collapsed="false">
      <c r="A63" s="949"/>
      <c r="B63" s="950"/>
      <c r="C63" s="951" t="s">
        <v>1261</v>
      </c>
      <c r="D63" s="1639"/>
      <c r="E63" s="1639"/>
      <c r="F63" s="950"/>
      <c r="G63" s="950"/>
      <c r="H63" s="950"/>
      <c r="I63" s="950"/>
      <c r="J63" s="950"/>
      <c r="K63" s="954"/>
      <c r="L63" s="950"/>
      <c r="M63" s="950"/>
      <c r="N63" s="950"/>
      <c r="O63" s="950"/>
      <c r="P63" s="950"/>
      <c r="Q63" s="950"/>
      <c r="R63" s="950"/>
      <c r="S63" s="950"/>
      <c r="T63" s="950"/>
      <c r="U63" s="950"/>
      <c r="V63" s="950"/>
      <c r="W63" s="1641"/>
      <c r="X63" s="1414"/>
      <c r="Y63" s="1414"/>
    </row>
    <row r="64" s="654" customFormat="true" ht="18" hidden="false" customHeight="true" outlineLevel="0" collapsed="false">
      <c r="A64" s="958" t="s">
        <v>1262</v>
      </c>
      <c r="B64" s="958"/>
      <c r="C64" s="958"/>
      <c r="D64" s="958" t="s">
        <v>982</v>
      </c>
      <c r="E64" s="958"/>
      <c r="F64" s="958" t="s">
        <v>1263</v>
      </c>
      <c r="G64" s="958"/>
      <c r="H64" s="958"/>
      <c r="I64" s="959" t="s">
        <v>1264</v>
      </c>
      <c r="J64" s="959"/>
      <c r="K64" s="959"/>
      <c r="L64" s="1170" t="s">
        <v>1265</v>
      </c>
      <c r="M64" s="1170"/>
      <c r="N64" s="1171"/>
      <c r="O64" s="1172"/>
      <c r="P64" s="961"/>
      <c r="Q64" s="599" t="s">
        <v>1266</v>
      </c>
      <c r="R64" s="16"/>
      <c r="S64" s="16" t="s">
        <v>1267</v>
      </c>
      <c r="T64" s="962" t="str">
        <f aca="false">Summary!P62</f>
        <v>N</v>
      </c>
      <c r="U64" s="833" t="s">
        <v>1268</v>
      </c>
      <c r="V64" s="1262" t="n">
        <f aca="false">Summary!R62</f>
        <v>0.0825</v>
      </c>
      <c r="W64" s="964"/>
      <c r="X64" s="1414"/>
      <c r="Y64" s="1414"/>
    </row>
    <row r="65" s="654" customFormat="true" ht="18" hidden="false" customHeight="true" outlineLevel="0" collapsed="false">
      <c r="A65" s="965" t="s">
        <v>1269</v>
      </c>
      <c r="B65" s="966" t="n">
        <f aca="false">IF(C50=0,0,D65/C50)</f>
        <v>0</v>
      </c>
      <c r="C65" s="966"/>
      <c r="D65" s="967" t="n">
        <f aca="false">(T65-N119)*(1+L65)</f>
        <v>0</v>
      </c>
      <c r="E65" s="967"/>
      <c r="F65" s="968" t="n">
        <f aca="false">IF(G65=0,0,G65/D65)</f>
        <v>0</v>
      </c>
      <c r="G65" s="736" t="n">
        <f aca="false">(D65-T65)</f>
        <v>0</v>
      </c>
      <c r="H65" s="736"/>
      <c r="I65" s="1264" t="n">
        <f aca="false">IF(C50=0,0,T65/C50)</f>
        <v>0</v>
      </c>
      <c r="J65" s="1264"/>
      <c r="K65" s="1264"/>
      <c r="L65" s="1402" t="n">
        <f aca="false">Summary!P59</f>
        <v>0.18</v>
      </c>
      <c r="M65" s="1402"/>
      <c r="N65" s="1402"/>
      <c r="O65" s="1402"/>
      <c r="P65" s="961"/>
      <c r="Q65" s="970" t="s">
        <v>980</v>
      </c>
      <c r="R65" s="16"/>
      <c r="S65" s="16"/>
      <c r="T65" s="971" t="n">
        <f aca="false">SUM(N73:O84)+SUM(N87:O97)+SUM(N100:O102)+SUM(N105:O110)+SUM(N112:O118)+W119+SUM(K87:L97)+N119+N103</f>
        <v>0</v>
      </c>
      <c r="U65" s="971"/>
      <c r="V65" s="16"/>
      <c r="W65" s="964"/>
      <c r="Y65" s="1414"/>
    </row>
    <row r="66" s="654" customFormat="true" ht="18" hidden="false" customHeight="true" outlineLevel="0" collapsed="false">
      <c r="A66" s="979"/>
      <c r="B66" s="2450"/>
      <c r="C66" s="2451" t="str">
        <f aca="false">IF(ROUND(D66,0)=0,"BINGO!!",IF(ROUND(D66,0)&lt;0,"To Low","T0 High"))</f>
        <v>BINGO!!</v>
      </c>
      <c r="D66" s="2452" t="n">
        <f aca="false">D65-D63</f>
        <v>0</v>
      </c>
      <c r="E66" s="2452"/>
      <c r="F66" s="2450"/>
      <c r="G66" s="2450"/>
      <c r="H66" s="976" t="s">
        <v>1270</v>
      </c>
      <c r="I66" s="977"/>
      <c r="J66" s="978"/>
      <c r="K66" s="978"/>
      <c r="L66" s="979"/>
      <c r="M66" s="1665"/>
      <c r="N66" s="1665"/>
      <c r="O66" s="2450"/>
      <c r="P66" s="2453"/>
      <c r="Q66" s="2454"/>
      <c r="R66" s="955"/>
      <c r="S66" s="2450"/>
      <c r="T66" s="2455" t="n">
        <f aca="false">SUM(BJ50:CC50)</f>
        <v>0</v>
      </c>
      <c r="U66" s="2455"/>
      <c r="V66" s="2450"/>
      <c r="W66" s="2456"/>
      <c r="X66" s="1414"/>
      <c r="Y66" s="1414"/>
    </row>
    <row r="67" s="654" customFormat="true" ht="18.75" hidden="false" customHeight="true" outlineLevel="0" collapsed="false">
      <c r="B67" s="2457"/>
      <c r="G67" s="2457"/>
      <c r="H67" s="2457"/>
      <c r="I67" s="2458"/>
      <c r="J67" s="2457"/>
      <c r="K67" s="2457"/>
      <c r="L67" s="2457"/>
      <c r="M67" s="2092"/>
      <c r="N67" s="2457"/>
      <c r="O67" s="1004" t="s">
        <v>1831</v>
      </c>
      <c r="P67" s="1003" t="n">
        <f aca="false">J68+'07-COLUMNS'!J61+'03-Walls &amp; Footings'!J45</f>
        <v>0</v>
      </c>
      <c r="Q67" s="2459" t="s">
        <v>1832</v>
      </c>
      <c r="R67" s="2460"/>
      <c r="S67" s="2461"/>
      <c r="T67" s="2461"/>
      <c r="U67" s="656" t="n">
        <f aca="false">T65-T66</f>
        <v>0</v>
      </c>
      <c r="X67" s="1414"/>
      <c r="Y67" s="1414"/>
      <c r="BL67" s="1430"/>
      <c r="BM67" s="1536"/>
      <c r="BP67" s="654" t="s">
        <v>1833</v>
      </c>
      <c r="BQ67" s="1430" t="n">
        <f aca="false">SUM(BT73:BT87)</f>
        <v>0</v>
      </c>
      <c r="BR67" s="654" t="s">
        <v>878</v>
      </c>
    </row>
    <row r="68" s="654" customFormat="true" ht="21.75" hidden="false" customHeight="true" outlineLevel="0" collapsed="false">
      <c r="A68" s="654" t="s">
        <v>1697</v>
      </c>
      <c r="B68" s="2271" t="s">
        <v>1834</v>
      </c>
      <c r="C68" s="2097"/>
      <c r="D68" s="2097"/>
      <c r="E68" s="994"/>
      <c r="F68" s="994"/>
      <c r="G68" s="2271"/>
      <c r="H68" s="2271"/>
      <c r="I68" s="2462" t="s">
        <v>1835</v>
      </c>
      <c r="J68" s="2096" t="n">
        <f aca="false">N87+N89+N90+N91+N82+N83+N84</f>
        <v>0</v>
      </c>
      <c r="K68" s="2271"/>
      <c r="L68" s="2271"/>
      <c r="M68" s="2272"/>
      <c r="N68" s="990" t="s">
        <v>721</v>
      </c>
      <c r="O68" s="990"/>
      <c r="P68" s="2463" t="s">
        <v>1272</v>
      </c>
      <c r="Q68" s="2464" t="s">
        <v>1836</v>
      </c>
      <c r="R68" s="2465" t="n">
        <f aca="false">P67-R67</f>
        <v>0</v>
      </c>
      <c r="X68" s="1414"/>
      <c r="Y68" s="1414"/>
      <c r="BL68" s="1430"/>
      <c r="BM68" s="1536"/>
      <c r="BP68" s="2466" t="s">
        <v>1837</v>
      </c>
      <c r="BQ68" s="2467" t="n">
        <f aca="false">IF(BQ69=0,0,BQ70/BQ69)</f>
        <v>0</v>
      </c>
      <c r="BR68" s="2468" t="s">
        <v>612</v>
      </c>
    </row>
    <row r="69" s="654" customFormat="true" ht="18.75" hidden="false" customHeight="true" outlineLevel="0" collapsed="false">
      <c r="B69" s="2469" t="s">
        <v>1838</v>
      </c>
      <c r="C69" s="2097"/>
      <c r="D69" s="2470"/>
      <c r="E69" s="2470"/>
      <c r="F69" s="994"/>
      <c r="G69" s="2271"/>
      <c r="H69" s="2271"/>
      <c r="I69" s="2462"/>
      <c r="J69" s="2271"/>
      <c r="K69" s="2271"/>
      <c r="L69" s="2271"/>
      <c r="M69" s="2272"/>
      <c r="N69" s="1000" t="s">
        <v>1839</v>
      </c>
      <c r="O69" s="1001"/>
      <c r="P69" s="1002"/>
      <c r="Q69" s="654" t="s">
        <v>1840</v>
      </c>
      <c r="R69" s="1544" t="n">
        <f aca="false">N87+N90</f>
        <v>0</v>
      </c>
      <c r="S69" s="2471" t="n">
        <v>20.5</v>
      </c>
      <c r="T69" s="2472" t="n">
        <f aca="false">S69*1.3</f>
        <v>26.65</v>
      </c>
      <c r="U69" s="2473" t="n">
        <f aca="false">R69/T69</f>
        <v>0</v>
      </c>
      <c r="V69" s="2474" t="e">
        <f aca="false">H87/U69</f>
        <v>#DIV/0!</v>
      </c>
      <c r="X69" s="1414"/>
      <c r="Y69" s="1414"/>
      <c r="BP69" s="654" t="s">
        <v>1841</v>
      </c>
      <c r="BQ69" s="654" t="n">
        <f aca="false">SUM(BS73:BS87)</f>
        <v>0</v>
      </c>
      <c r="BR69" s="654" t="s">
        <v>878</v>
      </c>
    </row>
    <row r="70" s="654" customFormat="true" ht="21.75" hidden="false" customHeight="true" outlineLevel="0" collapsed="false">
      <c r="B70" s="2475"/>
      <c r="C70" s="2475"/>
      <c r="D70" s="2476"/>
      <c r="E70" s="2476"/>
      <c r="F70" s="994"/>
      <c r="G70" s="2271"/>
      <c r="H70" s="2271"/>
      <c r="I70" s="2477"/>
      <c r="J70" s="2271"/>
      <c r="K70" s="2271"/>
      <c r="L70" s="2271"/>
      <c r="M70" s="2272"/>
      <c r="N70" s="1008" t="s">
        <v>1276</v>
      </c>
      <c r="O70" s="1009" t="n">
        <f aca="false">K78</f>
        <v>0</v>
      </c>
      <c r="P70" s="1010" t="n">
        <f aca="false">N78</f>
        <v>0</v>
      </c>
      <c r="Q70" s="654" t="s">
        <v>1842</v>
      </c>
      <c r="R70" s="2478" t="n">
        <f aca="false">N92</f>
        <v>0</v>
      </c>
      <c r="S70" s="2479" t="n">
        <v>20.5</v>
      </c>
      <c r="T70" s="2480" t="n">
        <f aca="false">S70*1.3</f>
        <v>26.65</v>
      </c>
      <c r="U70" s="2481" t="n">
        <f aca="false">R70/T70</f>
        <v>0</v>
      </c>
      <c r="V70" s="2482" t="e">
        <f aca="false">H92*2/U70</f>
        <v>#DIV/0!</v>
      </c>
      <c r="X70" s="1414"/>
      <c r="Y70" s="1414"/>
      <c r="BP70" s="654" t="s">
        <v>1843</v>
      </c>
      <c r="BQ70" s="2483" t="n">
        <f aca="false">SUM(BU73:BU88)</f>
        <v>0</v>
      </c>
      <c r="BR70" s="654" t="s">
        <v>612</v>
      </c>
    </row>
    <row r="71" customFormat="false" ht="21.75" hidden="false" customHeight="true" outlineLevel="0" collapsed="false">
      <c r="A71" s="654"/>
      <c r="B71" s="994"/>
      <c r="C71" s="994"/>
      <c r="D71" s="2484"/>
      <c r="E71" s="2484"/>
      <c r="F71" s="994"/>
      <c r="G71" s="2271"/>
      <c r="H71" s="994"/>
      <c r="I71" s="2477"/>
      <c r="J71" s="2271"/>
      <c r="K71" s="2271"/>
      <c r="L71" s="2271"/>
      <c r="M71" s="2272"/>
      <c r="N71" s="2271"/>
      <c r="O71" s="994"/>
      <c r="P71" s="654"/>
      <c r="Q71" s="654"/>
      <c r="R71" s="654"/>
      <c r="S71" s="654"/>
      <c r="T71" s="654"/>
      <c r="U71" s="654"/>
      <c r="V71" s="654"/>
      <c r="W71" s="654"/>
      <c r="X71" s="1414"/>
      <c r="Y71" s="1414"/>
      <c r="Z71" s="654"/>
      <c r="AA71" s="654"/>
      <c r="AB71" s="654"/>
      <c r="AC71" s="654"/>
      <c r="AD71" s="654"/>
      <c r="AE71" s="654"/>
    </row>
    <row r="72" customFormat="false" ht="50.25" hidden="false" customHeight="true" outlineLevel="0" collapsed="false">
      <c r="A72" s="1017" t="s">
        <v>1280</v>
      </c>
      <c r="B72" s="1296" t="s">
        <v>1413</v>
      </c>
      <c r="C72" s="2485"/>
      <c r="D72" s="2485"/>
      <c r="E72" s="2485"/>
      <c r="F72" s="2486" t="n">
        <f aca="false">Summary!D55</f>
        <v>1388113.33810592</v>
      </c>
      <c r="G72" s="2485"/>
      <c r="H72" s="2485"/>
      <c r="I72" s="2485"/>
      <c r="J72" s="1019" t="s">
        <v>1282</v>
      </c>
      <c r="K72" s="1724" t="str">
        <f aca="false">IF(SUM(K73:L77)=U50,"Good","Missing Concrete!!!")</f>
        <v>Good</v>
      </c>
      <c r="L72" s="1724"/>
      <c r="M72" s="2485"/>
      <c r="N72" s="2485"/>
      <c r="O72" s="2487"/>
      <c r="P72" s="2488" t="s">
        <v>1284</v>
      </c>
      <c r="Q72" s="1022" t="s">
        <v>1283</v>
      </c>
      <c r="R72" s="1223"/>
      <c r="S72" s="879" t="s">
        <v>835</v>
      </c>
      <c r="T72" s="1023"/>
      <c r="U72" s="1024" t="s">
        <v>518</v>
      </c>
      <c r="V72" s="1023"/>
      <c r="W72" s="1025"/>
      <c r="X72" s="1414"/>
      <c r="Y72" s="1414"/>
      <c r="Z72" s="654"/>
      <c r="AA72" s="654"/>
      <c r="AB72" s="654"/>
      <c r="AC72" s="654"/>
      <c r="AD72" s="654"/>
      <c r="AE72" s="654"/>
      <c r="BJ72" s="2489" t="s">
        <v>1844</v>
      </c>
      <c r="BK72" s="2490" t="s">
        <v>1845</v>
      </c>
      <c r="BL72" s="2490" t="s">
        <v>1846</v>
      </c>
      <c r="BM72" s="2490" t="s">
        <v>1847</v>
      </c>
      <c r="BN72" s="2490" t="s">
        <v>1848</v>
      </c>
      <c r="BO72" s="2490" t="s">
        <v>1849</v>
      </c>
      <c r="BP72" s="2490" t="s">
        <v>1850</v>
      </c>
      <c r="BQ72" s="2491" t="s">
        <v>1851</v>
      </c>
      <c r="BR72" s="2492" t="s">
        <v>1852</v>
      </c>
      <c r="BS72" s="2493" t="s">
        <v>1853</v>
      </c>
      <c r="BT72" s="2494" t="s">
        <v>1854</v>
      </c>
      <c r="BU72" s="2495" t="s">
        <v>1855</v>
      </c>
    </row>
    <row r="73" customFormat="false" ht="21.75" hidden="false" customHeight="true" outlineLevel="0" collapsed="false">
      <c r="A73" s="2496" t="n">
        <v>1</v>
      </c>
      <c r="B73" s="2497" t="str">
        <f aca="false">IF(A73=1,Pricing!F$2,IF(A73=2,Pricing!G$2,IF(A73=3,Pricing!H$2,IF(A73=4,Pricing!I$2,IF(A73=5,Pricing!J$2,IF(A73=6,Pricing!K$2,IF(A73=7,Pricing!L$2,IF(A73=8,Pricing!M$2,IF(A73=9,Pricing!N$2,IF(A73=10,Pricing!O$2,0))))))))))</f>
        <v>3,000 PSI 5sk /Ash and Air</v>
      </c>
      <c r="C73" s="2498"/>
      <c r="D73" s="2498"/>
      <c r="E73" s="2498"/>
      <c r="F73" s="2499" t="n">
        <f aca="false">IF(A73=1,Pricing!F$3,IF(A73=2,Pricing!G$3,IF(A73=3,Pricing!H$3,IF(A73=4,Pricing!I$3,IF(A73=5,Pricing!J$3,IF(A73=6,Pricing!K$3,IF(A73=7,Pricing!L$3,IF(A73=8,Pricing!M$3,IF(A73=9,Pricing!N$3,IF(A73=10,Pricing!O$3,0))))))))))</f>
        <v>134</v>
      </c>
      <c r="G73" s="2498" t="s">
        <v>1285</v>
      </c>
      <c r="H73" s="2500"/>
      <c r="I73" s="2500"/>
      <c r="J73" s="2501" t="n">
        <v>0.04</v>
      </c>
      <c r="K73" s="2502" t="n">
        <f aca="false">IF(A73=1,AT$50,IF(A73=2,AU$50,IF(A73=3,AV$50,IF(A73=4,AW$50,IF(A73=5,AX$50,IF(A73=6,AY$50,IF(A73=7,AZ$50,IF(A73=8,BA$50,IF(A73=9,BC$50,IF(A73=10,BD$50))))))))))</f>
        <v>0</v>
      </c>
      <c r="L73" s="2502"/>
      <c r="M73" s="2503" t="s">
        <v>1286</v>
      </c>
      <c r="N73" s="2504" t="n">
        <f aca="false">K73*F73*(IF(T$64="N",1+V$64,1))</f>
        <v>0</v>
      </c>
      <c r="O73" s="2504"/>
      <c r="P73" s="1306" t="s">
        <v>1069</v>
      </c>
      <c r="Q73" s="920" t="s">
        <v>526</v>
      </c>
      <c r="R73" s="78"/>
      <c r="S73" s="1311" t="n">
        <f aca="false">(H92+H91)</f>
        <v>0</v>
      </c>
      <c r="T73" s="78" t="s">
        <v>1259</v>
      </c>
      <c r="U73" s="1308" t="n">
        <f aca="false">Pricing!Q4</f>
        <v>0.859375</v>
      </c>
      <c r="V73" s="78" t="s">
        <v>527</v>
      </c>
      <c r="W73" s="2505" t="n">
        <f aca="false">IF(T$64="Y",S73*U73,S73*U73*(1+V$64))</f>
        <v>0</v>
      </c>
      <c r="X73" s="1414"/>
      <c r="Y73" s="1414"/>
      <c r="Z73" s="654"/>
      <c r="AA73" s="654"/>
      <c r="AB73" s="654"/>
      <c r="AC73" s="654"/>
      <c r="AD73" s="654"/>
      <c r="AE73" s="654"/>
      <c r="AH73" s="16" t="n">
        <f aca="false">5151/136</f>
        <v>37.875</v>
      </c>
      <c r="BJ73" s="1104" t="s">
        <v>1856</v>
      </c>
      <c r="BK73" s="1104" t="n">
        <v>6</v>
      </c>
      <c r="BL73" s="1104" t="n">
        <v>23</v>
      </c>
      <c r="BM73" s="1104" t="n">
        <v>2.75</v>
      </c>
      <c r="BN73" s="1104" t="n">
        <v>3.375</v>
      </c>
      <c r="BO73" s="1104" t="n">
        <v>0.5</v>
      </c>
      <c r="BP73" s="1104" t="n">
        <v>0.5</v>
      </c>
      <c r="BQ73" s="781" t="n">
        <v>15</v>
      </c>
      <c r="BR73" s="2506" t="n">
        <f aca="false">(BK73*(BL73*BM73+BN73)*2*BO73*0.2836)+(BP73*0.5*BP73*0.5*3.145*BQ73*0.2836*BL73*BK73)</f>
        <v>228.76150875</v>
      </c>
      <c r="BT73" s="2507" t="n">
        <f aca="false">BS73*BK73</f>
        <v>0</v>
      </c>
      <c r="BU73" s="2507" t="n">
        <f aca="false">BR73*BS73</f>
        <v>0</v>
      </c>
    </row>
    <row r="74" customFormat="false" ht="21.75" hidden="false" customHeight="true" outlineLevel="0" collapsed="false">
      <c r="A74" s="2508" t="n">
        <v>2</v>
      </c>
      <c r="B74" s="2497" t="str">
        <f aca="false">IF(A74=1,Pricing!F$2,IF(A74=2,Pricing!G$2,IF(A74=3,Pricing!H$2,IF(A74=4,Pricing!I$2,IF(A74=5,Pricing!J$2,IF(A74=6,Pricing!K$2,IF(A74=7,Pricing!L$2,IF(A74=8,Pricing!M$2,IF(A74=9,Pricing!N$2,IF(A74=10,Pricing!O$2,0))))))))))</f>
        <v>3,000 PSI / Ash no Air</v>
      </c>
      <c r="C74" s="14"/>
      <c r="D74" s="14"/>
      <c r="E74" s="14"/>
      <c r="F74" s="2499" t="n">
        <f aca="false">IF(A74=1,Pricing!F$3,IF(A74=2,Pricing!G$3,IF(A74=3,Pricing!H$3,IF(A74=4,Pricing!I$3,IF(A74=5,Pricing!J$3,IF(A74=6,Pricing!K$3,IF(A74=7,Pricing!L$3,IF(A74=8,Pricing!M$3,IF(A74=9,Pricing!N$3,IF(A74=10,Pricing!O$3,0))))))))))</f>
        <v>145</v>
      </c>
      <c r="G74" s="14" t="s">
        <v>1285</v>
      </c>
      <c r="H74" s="2500"/>
      <c r="I74" s="2500"/>
      <c r="J74" s="2501"/>
      <c r="K74" s="2509" t="n">
        <f aca="false">IF(A74=1,AT$50,IF(A74=2,AU$50,IF(A74=3,AV$50,IF(A74=4,AW$50,IF(A74=5,AX$50,IF(A74=6,AY$50,IF(A74=7,AZ$50,IF(A74=8,BA$50,IF(A74=9,BC$50,IF(A74=10,BD$50))))))))))</f>
        <v>0</v>
      </c>
      <c r="L74" s="2509"/>
      <c r="M74" s="45" t="s">
        <v>1286</v>
      </c>
      <c r="N74" s="2510" t="n">
        <f aca="false">K74*F74*(IF(T$64="N",1+V$64,1))</f>
        <v>0</v>
      </c>
      <c r="O74" s="2510"/>
      <c r="P74" s="1306" t="s">
        <v>1069</v>
      </c>
      <c r="Q74" s="920" t="s">
        <v>534</v>
      </c>
      <c r="R74" s="78"/>
      <c r="S74" s="1311" t="n">
        <f aca="false">S73</f>
        <v>0</v>
      </c>
      <c r="T74" s="78" t="s">
        <v>1259</v>
      </c>
      <c r="U74" s="1308" t="n">
        <f aca="false">Pricing!Q5</f>
        <v>1.4453125</v>
      </c>
      <c r="V74" s="78" t="s">
        <v>527</v>
      </c>
      <c r="W74" s="2511" t="n">
        <f aca="false">IF(T$64="Y",S74*U74,S74*U74*(1+V$64))</f>
        <v>0</v>
      </c>
      <c r="X74" s="1414"/>
      <c r="Y74" s="1414"/>
      <c r="BJ74" s="2512" t="s">
        <v>1857</v>
      </c>
      <c r="BK74" s="2512" t="n">
        <v>7</v>
      </c>
      <c r="BL74" s="2512" t="n">
        <v>30</v>
      </c>
      <c r="BM74" s="2512" t="n">
        <v>2.375</v>
      </c>
      <c r="BN74" s="2512" t="n">
        <v>3.375</v>
      </c>
      <c r="BO74" s="2512" t="n">
        <v>0.5</v>
      </c>
      <c r="BP74" s="2512" t="n">
        <v>0.5</v>
      </c>
      <c r="BQ74" s="786" t="n">
        <v>15</v>
      </c>
      <c r="BR74" s="2513" t="n">
        <f aca="false">(BK74*(BL74*BM74+BN74)*2*BO74*0.2836)+(BP74*0.5*BP74*0.5*3.145*BQ74*0.2836*BL74*BK74)</f>
        <v>323.74269375</v>
      </c>
      <c r="BT74" s="2514" t="n">
        <f aca="false">BS74*BK74</f>
        <v>0</v>
      </c>
      <c r="BU74" s="2514" t="n">
        <f aca="false">BR74*BS74</f>
        <v>0</v>
      </c>
    </row>
    <row r="75" customFormat="false" ht="21.75" hidden="false" customHeight="true" outlineLevel="0" collapsed="false">
      <c r="A75" s="2515" t="n">
        <v>3</v>
      </c>
      <c r="B75" s="2497" t="str">
        <f aca="false">IF(A75=1,Pricing!F$2,IF(A75=2,Pricing!G$2,IF(A75=3,Pricing!H$2,IF(A75=4,Pricing!I$2,IF(A75=5,Pricing!J$2,IF(A75=6,Pricing!K$2,IF(A75=7,Pricing!L$2,IF(A75=8,Pricing!M$2,IF(A75=9,Pricing!N$2,IF(A75=10,Pricing!O$2,0))))))))))</f>
        <v>3,500 PSI 5.5sk /Ash and Air</v>
      </c>
      <c r="C75" s="14"/>
      <c r="D75" s="14"/>
      <c r="E75" s="14"/>
      <c r="F75" s="2499" t="n">
        <f aca="false">IF(A75=1,Pricing!F$3,IF(A75=2,Pricing!G$3,IF(A75=3,Pricing!H$3,IF(A75=4,Pricing!I$3,IF(A75=5,Pricing!J$3,IF(A75=6,Pricing!K$3,IF(A75=7,Pricing!L$3,IF(A75=8,Pricing!M$3,IF(A75=9,Pricing!N$3,IF(A75=10,Pricing!O$3,0))))))))))</f>
        <v>140</v>
      </c>
      <c r="G75" s="14" t="s">
        <v>1285</v>
      </c>
      <c r="H75" s="2500"/>
      <c r="I75" s="2500"/>
      <c r="J75" s="2501"/>
      <c r="K75" s="2509" t="n">
        <f aca="false">IF(A75=1,AT$50,IF(A75=2,AU$50,IF(A75=3,AV$50,IF(A75=4,AW$50,IF(A75=5,AX$50,IF(A75=6,AY$50,IF(A75=7,AZ$50,IF(A75=8,BA$50,IF(A75=9,BC$50,IF(A75=10,BD$50))))))))))</f>
        <v>0</v>
      </c>
      <c r="L75" s="2509"/>
      <c r="M75" s="45" t="s">
        <v>1286</v>
      </c>
      <c r="N75" s="2510" t="n">
        <f aca="false">K75*F75*(IF(T$64="N",1+V$64,1))</f>
        <v>0</v>
      </c>
      <c r="O75" s="2510"/>
      <c r="P75" s="1306"/>
      <c r="Q75" s="920"/>
      <c r="R75" s="78"/>
      <c r="S75" s="1311"/>
      <c r="T75" s="78"/>
      <c r="U75" s="1308"/>
      <c r="V75" s="78"/>
      <c r="W75" s="2511" t="n">
        <f aca="false">IF(T$64="Y",S75*U75,S75*U75*(1+V$64))</f>
        <v>0</v>
      </c>
      <c r="X75" s="1414"/>
      <c r="Y75" s="1414"/>
      <c r="BJ75" s="2512"/>
      <c r="BK75" s="2512"/>
      <c r="BL75" s="2512"/>
      <c r="BM75" s="2512"/>
      <c r="BN75" s="2512"/>
      <c r="BO75" s="2512"/>
      <c r="BP75" s="2512"/>
      <c r="BQ75" s="786"/>
      <c r="BR75" s="2513"/>
      <c r="BT75" s="2514"/>
      <c r="BU75" s="2514"/>
    </row>
    <row r="76" customFormat="false" ht="21.75" hidden="false" customHeight="true" outlineLevel="0" collapsed="false">
      <c r="A76" s="2515" t="n">
        <v>4</v>
      </c>
      <c r="B76" s="2497" t="str">
        <f aca="false">IF(A76=1,Pricing!F$2,IF(A76=2,Pricing!G$2,IF(A76=3,Pricing!H$2,IF(A76=4,Pricing!I$2,IF(A76=5,Pricing!J$2,IF(A76=6,Pricing!K$2,IF(A76=7,Pricing!L$2,IF(A76=8,Pricing!M$2,IF(A76=9,Pricing!N$2,IF(A76=10,Pricing!O$2,0))))))))))</f>
        <v>3,500 PSI /Ash No Air</v>
      </c>
      <c r="C76" s="14"/>
      <c r="D76" s="14"/>
      <c r="E76" s="14"/>
      <c r="F76" s="2499" t="n">
        <f aca="false">IF(A76=1,Pricing!F$3,IF(A76=2,Pricing!G$3,IF(A76=3,Pricing!H$3,IF(A76=4,Pricing!I$3,IF(A76=5,Pricing!J$3,IF(A76=6,Pricing!K$3,IF(A76=7,Pricing!L$3,IF(A76=8,Pricing!M$3,IF(A76=9,Pricing!N$3,IF(A76=10,Pricing!O$3,0))))))))))</f>
        <v>140</v>
      </c>
      <c r="G76" s="14" t="s">
        <v>1285</v>
      </c>
      <c r="H76" s="2500"/>
      <c r="I76" s="2500"/>
      <c r="J76" s="2501"/>
      <c r="K76" s="2509" t="n">
        <f aca="false">IF(A76=1,AT$50,IF(A76=2,AU$50,IF(A76=3,AV$50,IF(A76=4,AW$50,IF(A76=5,AX$50,IF(A76=6,AY$50,IF(A76=7,AZ$50,IF(A76=8,BA$50,IF(A76=9,BC$50,IF(A76=10,BD$50))))))))))</f>
        <v>0</v>
      </c>
      <c r="L76" s="2509"/>
      <c r="M76" s="45" t="s">
        <v>1286</v>
      </c>
      <c r="N76" s="2510" t="n">
        <f aca="false">K76*F76*(IF(T$64="N",1+V$64,1))</f>
        <v>0</v>
      </c>
      <c r="O76" s="2510"/>
      <c r="P76" s="1306"/>
      <c r="Q76" s="920"/>
      <c r="R76" s="78"/>
      <c r="S76" s="1311"/>
      <c r="T76" s="78"/>
      <c r="U76" s="1308"/>
      <c r="V76" s="78"/>
      <c r="W76" s="2511" t="n">
        <f aca="false">IF(T$64="Y",S76*U76,S76*U76*(1+V$64))</f>
        <v>0</v>
      </c>
      <c r="X76" s="1414"/>
      <c r="Y76" s="1414"/>
      <c r="BJ76" s="2512"/>
      <c r="BK76" s="2512"/>
      <c r="BL76" s="2512"/>
      <c r="BM76" s="2512"/>
      <c r="BN76" s="2512"/>
      <c r="BO76" s="2512"/>
      <c r="BP76" s="2512"/>
      <c r="BQ76" s="786"/>
      <c r="BR76" s="2513"/>
      <c r="BT76" s="2514"/>
      <c r="BU76" s="2514"/>
    </row>
    <row r="77" customFormat="false" ht="21.75" hidden="false" customHeight="true" outlineLevel="0" collapsed="false">
      <c r="A77" s="2516" t="n">
        <v>5</v>
      </c>
      <c r="B77" s="2517" t="str">
        <f aca="false">IF(A77=1,Pricing!F$2,IF(A77=2,Pricing!G$2,IF(A77=3,Pricing!H$2,IF(A77=4,Pricing!I$2,IF(A77=5,Pricing!J$2,IF(A77=6,Pricing!K$2,IF(A77=7,Pricing!L$2,IF(A77=8,Pricing!M$2,IF(A77=9,Pricing!N$2,IF(A77=10,Pricing!O$2,0))))))))))</f>
        <v>4,000 PSI /Ash and Air</v>
      </c>
      <c r="C77" s="2518"/>
      <c r="D77" s="2518"/>
      <c r="E77" s="2518"/>
      <c r="F77" s="2519" t="n">
        <f aca="false">IF(A77=1,Pricing!F$3,IF(A77=2,Pricing!G$3,IF(A77=3,Pricing!H$3,IF(A77=4,Pricing!I$3,IF(A77=5,Pricing!J$3,IF(A77=6,Pricing!K$3,IF(A77=7,Pricing!L$3,IF(A77=8,Pricing!M$3,IF(A77=9,Pricing!N$3,IF(A77=10,Pricing!O$3,0))))))))))</f>
        <v>145</v>
      </c>
      <c r="G77" s="2518" t="s">
        <v>1285</v>
      </c>
      <c r="H77" s="2500"/>
      <c r="I77" s="2500"/>
      <c r="J77" s="2501"/>
      <c r="K77" s="2520" t="n">
        <f aca="false">IF(A77=1,AT$50,IF(A77=2,AU$50,IF(A77=3,AV$50,IF(A77=4,AW$50,IF(A77=5,AX$50,IF(A77=6,AY$50,IF(A77=7,AZ$50,IF(A77=8,BA$50,IF(A77=9,BC$50,IF(A77=10,BD$50))))))))))</f>
        <v>0</v>
      </c>
      <c r="L77" s="2520"/>
      <c r="M77" s="2521" t="s">
        <v>1286</v>
      </c>
      <c r="N77" s="2522" t="n">
        <f aca="false">K77*F77*(IF(T$64="N",1+V$64,1))</f>
        <v>0</v>
      </c>
      <c r="O77" s="2522"/>
      <c r="P77" s="1306" t="s">
        <v>1069</v>
      </c>
      <c r="Q77" s="920" t="s">
        <v>536</v>
      </c>
      <c r="R77" s="78"/>
      <c r="S77" s="1311" t="n">
        <v>0</v>
      </c>
      <c r="T77" s="78" t="s">
        <v>1259</v>
      </c>
      <c r="U77" s="1308" t="n">
        <f aca="false">Pricing!Q6</f>
        <v>1.171875</v>
      </c>
      <c r="V77" s="78" t="s">
        <v>527</v>
      </c>
      <c r="W77" s="2511" t="n">
        <f aca="false">IF(T$64="Y",S77*U77,S77*U77*(1+V$64))</f>
        <v>0</v>
      </c>
      <c r="X77" s="1414"/>
      <c r="Y77" s="1414"/>
      <c r="Z77" s="654"/>
      <c r="AA77" s="654"/>
      <c r="AB77" s="654"/>
      <c r="AC77" s="654"/>
      <c r="AD77" s="654"/>
      <c r="AE77" s="654"/>
      <c r="BJ77" s="2512" t="s">
        <v>1858</v>
      </c>
      <c r="BK77" s="2512" t="n">
        <v>10</v>
      </c>
      <c r="BL77" s="2512" t="n">
        <v>18</v>
      </c>
      <c r="BM77" s="2512" t="n">
        <v>2.75</v>
      </c>
      <c r="BN77" s="2512" t="n">
        <v>3.375</v>
      </c>
      <c r="BO77" s="2512" t="n">
        <v>0.5</v>
      </c>
      <c r="BP77" s="2512" t="n">
        <v>0.5</v>
      </c>
      <c r="BQ77" s="786" t="n">
        <v>15</v>
      </c>
      <c r="BR77" s="2513" t="n">
        <f aca="false">(BK77*(BL77*BM77+BN77)*2*BO77*0.2836)+(BP77*0.5*BP77*0.5*3.145*BQ77*0.2836*BL77*BK77)</f>
        <v>300.4653375</v>
      </c>
      <c r="BT77" s="2514" t="n">
        <f aca="false">BS77*BK77</f>
        <v>0</v>
      </c>
      <c r="BU77" s="2514" t="n">
        <f aca="false">BR77*BS77</f>
        <v>0</v>
      </c>
    </row>
    <row r="78" customFormat="false" ht="21.75" hidden="false" customHeight="true" outlineLevel="0" collapsed="false">
      <c r="A78" s="2523" t="str">
        <f aca="false">Summary!V60</f>
        <v>Import</v>
      </c>
      <c r="B78" s="2524" t="s">
        <v>1287</v>
      </c>
      <c r="C78" s="2525"/>
      <c r="D78" s="2525"/>
      <c r="E78" s="2526"/>
      <c r="F78" s="2527" t="n">
        <f aca="false">Pricing!D23</f>
        <v>0.55</v>
      </c>
      <c r="G78" s="14" t="s">
        <v>555</v>
      </c>
      <c r="H78" s="2528"/>
      <c r="I78" s="2528"/>
      <c r="J78" s="2529" t="n">
        <v>0.1</v>
      </c>
      <c r="K78" s="2509" t="n">
        <f aca="false">SUM(T10:T49)</f>
        <v>0</v>
      </c>
      <c r="L78" s="2509"/>
      <c r="M78" s="14" t="s">
        <v>1288</v>
      </c>
      <c r="N78" s="2510" t="n">
        <f aca="false">F78*K78*(IF(T64="N",1+V64,1))</f>
        <v>0</v>
      </c>
      <c r="O78" s="2510"/>
      <c r="P78" s="1306" t="s">
        <v>1069</v>
      </c>
      <c r="Q78" s="920" t="s">
        <v>538</v>
      </c>
      <c r="R78" s="78"/>
      <c r="S78" s="1311" t="n">
        <f aca="false">(H91+H92)*0.2</f>
        <v>0</v>
      </c>
      <c r="T78" s="78" t="s">
        <v>1259</v>
      </c>
      <c r="U78" s="1308" t="n">
        <f aca="false">Pricing!Q7</f>
        <v>1.09375</v>
      </c>
      <c r="V78" s="78" t="s">
        <v>527</v>
      </c>
      <c r="W78" s="2511" t="n">
        <f aca="false">IF(T$64="Y",S78*U78,S78*U78*(1+V$64))</f>
        <v>0</v>
      </c>
      <c r="X78" s="1414"/>
      <c r="Y78" s="1414"/>
      <c r="Z78" s="654"/>
      <c r="AA78" s="654"/>
      <c r="AB78" s="654"/>
      <c r="AC78" s="654"/>
      <c r="AD78" s="654"/>
      <c r="AE78" s="654"/>
      <c r="BJ78" s="2512" t="s">
        <v>1859</v>
      </c>
      <c r="BK78" s="2512" t="n">
        <v>7</v>
      </c>
      <c r="BL78" s="2512" t="n">
        <v>23</v>
      </c>
      <c r="BM78" s="2512" t="n">
        <v>2.375</v>
      </c>
      <c r="BN78" s="2512" t="n">
        <v>3.375</v>
      </c>
      <c r="BO78" s="2512" t="n">
        <v>0.5</v>
      </c>
      <c r="BP78" s="2512" t="n">
        <v>0.5</v>
      </c>
      <c r="BQ78" s="786" t="n">
        <v>15</v>
      </c>
      <c r="BR78" s="2513" t="n">
        <f aca="false">(BK78*(BL78*BM78+BN78)*2*BO78*0.2836)+(BP78*0.5*BP78*0.5*3.145*BQ78*0.2836*BL78*BK78)</f>
        <v>249.766076875</v>
      </c>
      <c r="BT78" s="2514" t="n">
        <f aca="false">BS78*BK78</f>
        <v>0</v>
      </c>
      <c r="BU78" s="2514" t="n">
        <f aca="false">BR78*BS78</f>
        <v>0</v>
      </c>
    </row>
    <row r="79" customFormat="false" ht="21.75" hidden="false" customHeight="true" outlineLevel="0" collapsed="false">
      <c r="A79" s="2530" t="s">
        <v>1860</v>
      </c>
      <c r="B79" s="2531"/>
      <c r="C79" s="2532" t="n">
        <f aca="false">BQ69</f>
        <v>0</v>
      </c>
      <c r="D79" s="2531" t="s">
        <v>797</v>
      </c>
      <c r="E79" s="2533"/>
      <c r="F79" s="2534" t="n">
        <v>1.65</v>
      </c>
      <c r="G79" s="14" t="s">
        <v>555</v>
      </c>
      <c r="H79" s="2535" t="n">
        <f aca="false">BQ68</f>
        <v>0</v>
      </c>
      <c r="I79" s="2536" t="s">
        <v>612</v>
      </c>
      <c r="J79" s="2537" t="n">
        <v>0.1</v>
      </c>
      <c r="K79" s="2509" t="n">
        <f aca="false">H79*C79</f>
        <v>0</v>
      </c>
      <c r="L79" s="2509"/>
      <c r="M79" s="14" t="s">
        <v>1861</v>
      </c>
      <c r="N79" s="2510" t="n">
        <f aca="false">F79*K79*(IF(T64="N",1+V64,1))</f>
        <v>0</v>
      </c>
      <c r="O79" s="2510"/>
      <c r="P79" s="1306" t="s">
        <v>1069</v>
      </c>
      <c r="Q79" s="920" t="s">
        <v>1292</v>
      </c>
      <c r="R79" s="78"/>
      <c r="S79" s="1311" t="n">
        <f aca="false">ROUNDUP(SUM(H10:H49)*0.03/16,0)</f>
        <v>0</v>
      </c>
      <c r="T79" s="78" t="s">
        <v>1293</v>
      </c>
      <c r="U79" s="1308" t="n">
        <f aca="false">Pricing!Q9</f>
        <v>20</v>
      </c>
      <c r="V79" s="78" t="s">
        <v>541</v>
      </c>
      <c r="W79" s="2511" t="n">
        <f aca="false">U99*S99</f>
        <v>0</v>
      </c>
      <c r="X79" s="1414"/>
      <c r="Y79" s="1414"/>
      <c r="Z79" s="654"/>
      <c r="AA79" s="654"/>
      <c r="AB79" s="654"/>
      <c r="AC79" s="654"/>
      <c r="AD79" s="654"/>
      <c r="AE79" s="654"/>
      <c r="BJ79" s="2512" t="s">
        <v>1862</v>
      </c>
      <c r="BK79" s="2512" t="n">
        <v>8</v>
      </c>
      <c r="BL79" s="2512" t="n">
        <v>28</v>
      </c>
      <c r="BM79" s="2512" t="n">
        <v>2.5</v>
      </c>
      <c r="BN79" s="2512" t="n">
        <v>4.875</v>
      </c>
      <c r="BO79" s="2512" t="n">
        <v>0.5</v>
      </c>
      <c r="BP79" s="2512" t="n">
        <v>0.5</v>
      </c>
      <c r="BQ79" s="786" t="n">
        <v>15</v>
      </c>
      <c r="BR79" s="2513" t="n">
        <f aca="false">(BK79*(BL79*BM79+BN79)*2*BO79*0.2836)+(BP79*0.5*BP79*0.5*3.145*BQ79*0.2836*BL79*BK79)</f>
        <v>357.18002</v>
      </c>
      <c r="BT79" s="2514" t="n">
        <f aca="false">BS79*BK79</f>
        <v>0</v>
      </c>
      <c r="BU79" s="2514" t="n">
        <f aca="false">BR79*BS79</f>
        <v>0</v>
      </c>
    </row>
    <row r="80" customFormat="false" ht="21.75" hidden="false" customHeight="true" outlineLevel="0" collapsed="false">
      <c r="A80" s="2538" t="s">
        <v>1863</v>
      </c>
      <c r="B80" s="2539"/>
      <c r="C80" s="2540" t="s">
        <v>1607</v>
      </c>
      <c r="D80" s="2540"/>
      <c r="E80" s="2540" t="s">
        <v>1608</v>
      </c>
      <c r="F80" s="2534" t="n">
        <v>1.45</v>
      </c>
      <c r="G80" s="2541" t="s">
        <v>600</v>
      </c>
      <c r="H80" s="2541" t="s">
        <v>1291</v>
      </c>
      <c r="I80" s="2542"/>
      <c r="J80" s="2542"/>
      <c r="K80" s="2543" t="n">
        <f aca="false">BE50</f>
        <v>0</v>
      </c>
      <c r="L80" s="2543"/>
      <c r="M80" s="2541" t="s">
        <v>1418</v>
      </c>
      <c r="N80" s="2544" t="n">
        <f aca="false">IF(I80=0,K80*F80,I80)*(IF(T64="N",1+V64,1))</f>
        <v>0</v>
      </c>
      <c r="O80" s="2544"/>
      <c r="P80" s="1306" t="s">
        <v>1069</v>
      </c>
      <c r="Q80" s="920" t="s">
        <v>540</v>
      </c>
      <c r="R80" s="78"/>
      <c r="S80" s="1311" t="n">
        <f aca="false">(H92+H91)/64</f>
        <v>0</v>
      </c>
      <c r="T80" s="78" t="s">
        <v>1293</v>
      </c>
      <c r="U80" s="1308" t="n">
        <f aca="false">Pricing!Q8</f>
        <v>74.75</v>
      </c>
      <c r="V80" s="78" t="s">
        <v>541</v>
      </c>
      <c r="W80" s="2511" t="n">
        <f aca="false">IF(T$64="Y",S80*U80,S80*U80*(1+V$64))</f>
        <v>0</v>
      </c>
      <c r="X80" s="1414"/>
      <c r="Y80" s="1414"/>
      <c r="Z80" s="654"/>
      <c r="AA80" s="654"/>
      <c r="AB80" s="654"/>
      <c r="AC80" s="654"/>
      <c r="AD80" s="654"/>
      <c r="AE80" s="654"/>
      <c r="BJ80" s="2512" t="s">
        <v>1864</v>
      </c>
      <c r="BK80" s="2512" t="n">
        <v>8</v>
      </c>
      <c r="BL80" s="2512" t="n">
        <v>30</v>
      </c>
      <c r="BM80" s="2512" t="n">
        <v>2.75</v>
      </c>
      <c r="BN80" s="2512" t="n">
        <v>3.75</v>
      </c>
      <c r="BO80" s="2512" t="n">
        <v>0.5</v>
      </c>
      <c r="BP80" s="2512" t="n">
        <v>0.5</v>
      </c>
      <c r="BQ80" s="786" t="n">
        <v>15</v>
      </c>
      <c r="BR80" s="2513" t="n">
        <f aca="false">(BK80*(BL80*BM80+BN80)*2*BO80*0.2836)+(BP80*0.5*BP80*0.5*3.145*BQ80*0.2836*BL80*BK80)</f>
        <v>396.36645</v>
      </c>
      <c r="BT80" s="2514" t="n">
        <f aca="false">BS80*BK80</f>
        <v>0</v>
      </c>
      <c r="BU80" s="2514" t="n">
        <f aca="false">BR80*BS80</f>
        <v>0</v>
      </c>
    </row>
    <row r="81" customFormat="false" ht="21.75" hidden="false" customHeight="true" outlineLevel="0" collapsed="false">
      <c r="A81" s="2545" t="s">
        <v>1334</v>
      </c>
      <c r="B81" s="2545"/>
      <c r="C81" s="2545"/>
      <c r="D81" s="2545"/>
      <c r="E81" s="2545"/>
      <c r="F81" s="2546" t="n">
        <v>0.85</v>
      </c>
      <c r="G81" s="14" t="s">
        <v>600</v>
      </c>
      <c r="H81" s="2528"/>
      <c r="I81" s="2528"/>
      <c r="J81" s="2547" t="n">
        <v>0.1</v>
      </c>
      <c r="K81" s="2548"/>
      <c r="L81" s="2548"/>
      <c r="M81" s="14"/>
      <c r="N81" s="2510" t="n">
        <f aca="false">K81*F81*(IF(T64="N",1+V64,1))</f>
        <v>0</v>
      </c>
      <c r="O81" s="2510"/>
      <c r="P81" s="1306" t="s">
        <v>1069</v>
      </c>
      <c r="Q81" s="920" t="s">
        <v>1422</v>
      </c>
      <c r="R81" s="78"/>
      <c r="S81" s="1311" t="n">
        <f aca="false">ROUND(S78/25,0)*0.5</f>
        <v>0</v>
      </c>
      <c r="T81" s="78" t="s">
        <v>1705</v>
      </c>
      <c r="U81" s="1308" t="n">
        <f aca="false">Pricing!Q15</f>
        <v>24</v>
      </c>
      <c r="V81" s="78" t="s">
        <v>1300</v>
      </c>
      <c r="W81" s="2511" t="n">
        <f aca="false">IF(T$64="Y",S81*U81,S81*U81*(1+V$64))</f>
        <v>0</v>
      </c>
      <c r="X81" s="1414"/>
      <c r="Y81" s="1414"/>
      <c r="Z81" s="654"/>
      <c r="AA81" s="654"/>
      <c r="AB81" s="654"/>
      <c r="AC81" s="654"/>
      <c r="AD81" s="654"/>
      <c r="AE81" s="654"/>
      <c r="BJ81" s="2512" t="s">
        <v>1865</v>
      </c>
      <c r="BK81" s="2512" t="n">
        <v>7</v>
      </c>
      <c r="BL81" s="2512" t="n">
        <v>20</v>
      </c>
      <c r="BM81" s="2512" t="n">
        <v>2.75</v>
      </c>
      <c r="BN81" s="2512" t="n">
        <v>3.75</v>
      </c>
      <c r="BO81" s="2512" t="n">
        <v>0.5</v>
      </c>
      <c r="BP81" s="2512" t="n">
        <v>0.5</v>
      </c>
      <c r="BQ81" s="786" t="n">
        <v>15</v>
      </c>
      <c r="BR81" s="2513" t="n">
        <f aca="false">(BK81*(BL81*BM81+BN81)*2*BO81*0.2836)+(BP81*0.5*BP81*0.5*3.145*BQ81*0.2836*BL81*BK81)</f>
        <v>233.6952625</v>
      </c>
      <c r="BT81" s="2514" t="n">
        <f aca="false">BS81*BK81</f>
        <v>0</v>
      </c>
      <c r="BU81" s="2514" t="n">
        <f aca="false">BR81*BS81</f>
        <v>0</v>
      </c>
    </row>
    <row r="82" customFormat="false" ht="21.75" hidden="false" customHeight="true" outlineLevel="0" collapsed="false">
      <c r="A82" s="2549" t="s">
        <v>1866</v>
      </c>
      <c r="B82" s="2549"/>
      <c r="C82" s="2549"/>
      <c r="D82" s="2549"/>
      <c r="E82" s="2549"/>
      <c r="F82" s="2529" t="n">
        <v>0.5</v>
      </c>
      <c r="G82" s="14" t="s">
        <v>1867</v>
      </c>
      <c r="H82" s="14"/>
      <c r="I82" s="14"/>
      <c r="J82" s="2550" t="n">
        <v>1.5</v>
      </c>
      <c r="K82" s="2551" t="n">
        <f aca="false">C50*F82</f>
        <v>0</v>
      </c>
      <c r="L82" s="2551"/>
      <c r="M82" s="14" t="s">
        <v>1418</v>
      </c>
      <c r="N82" s="2510" t="n">
        <f aca="false">K82*J82*(IF(T$64="N",(1+V$64),1))</f>
        <v>0</v>
      </c>
      <c r="O82" s="2510"/>
      <c r="P82" s="1306" t="s">
        <v>1069</v>
      </c>
      <c r="Q82" s="920" t="s">
        <v>561</v>
      </c>
      <c r="R82" s="78"/>
      <c r="S82" s="1311" t="n">
        <f aca="false">ROUNDUP(SUM(H10:H49)*1.25/1500,0)</f>
        <v>0</v>
      </c>
      <c r="T82" s="78" t="s">
        <v>1303</v>
      </c>
      <c r="U82" s="1308" t="n">
        <f aca="false">Pricing!Q16</f>
        <v>68.2</v>
      </c>
      <c r="V82" s="78" t="s">
        <v>562</v>
      </c>
      <c r="W82" s="2511" t="n">
        <f aca="false">IF(T$64="Y",S82*U82,S82*U82*(1+V$64))</f>
        <v>0</v>
      </c>
      <c r="X82" s="1414"/>
      <c r="Y82" s="1414"/>
      <c r="Z82" s="654"/>
      <c r="AA82" s="654"/>
      <c r="AB82" s="654"/>
      <c r="AC82" s="654"/>
      <c r="AD82" s="654"/>
      <c r="AE82" s="654"/>
      <c r="BJ82" s="2512" t="s">
        <v>1868</v>
      </c>
      <c r="BK82" s="2512" t="n">
        <v>10</v>
      </c>
      <c r="BL82" s="2512" t="n">
        <v>23</v>
      </c>
      <c r="BM82" s="2512" t="n">
        <v>2.25</v>
      </c>
      <c r="BN82" s="2512" t="n">
        <v>3.75</v>
      </c>
      <c r="BO82" s="2512" t="n">
        <v>0.5</v>
      </c>
      <c r="BP82" s="2512" t="n">
        <v>0.5</v>
      </c>
      <c r="BQ82" s="786" t="n">
        <v>15</v>
      </c>
      <c r="BR82" s="2513" t="n">
        <f aca="false">(BK82*(BL82*BM82+BN82)*2*BO82*0.2836)+(BP82*0.5*BP82*0.5*3.145*BQ82*0.2836*BL82*BK82)</f>
        <v>349.71868125</v>
      </c>
      <c r="BT82" s="2514" t="n">
        <f aca="false">BS82*BK82</f>
        <v>0</v>
      </c>
      <c r="BU82" s="2514" t="n">
        <f aca="false">BR82*BS82</f>
        <v>0</v>
      </c>
    </row>
    <row r="83" customFormat="false" ht="21.75" hidden="false" customHeight="true" outlineLevel="0" collapsed="false">
      <c r="A83" s="2549" t="s">
        <v>1869</v>
      </c>
      <c r="B83" s="2549"/>
      <c r="C83" s="2549"/>
      <c r="D83" s="2549"/>
      <c r="E83" s="2549"/>
      <c r="F83" s="2552"/>
      <c r="G83" s="14" t="s">
        <v>600</v>
      </c>
      <c r="H83" s="14"/>
      <c r="I83" s="14"/>
      <c r="J83" s="2553" t="n">
        <v>1.1</v>
      </c>
      <c r="K83" s="2551" t="n">
        <f aca="false">C10+C12+C14+C16+C22+C24+C28</f>
        <v>0</v>
      </c>
      <c r="L83" s="2551"/>
      <c r="M83" s="14" t="s">
        <v>1418</v>
      </c>
      <c r="N83" s="2510" t="n">
        <f aca="false">K83*F83*J$83*(IF(T$64="N",(1+V$64),1))</f>
        <v>0</v>
      </c>
      <c r="O83" s="2510"/>
      <c r="P83" s="1306" t="s">
        <v>1069</v>
      </c>
      <c r="Q83" s="920" t="s">
        <v>563</v>
      </c>
      <c r="R83" s="78"/>
      <c r="S83" s="1311" t="n">
        <f aca="false">ROUNDUP(SUM(H10:H49)*1.25/3000,0)</f>
        <v>0</v>
      </c>
      <c r="T83" s="78" t="s">
        <v>1303</v>
      </c>
      <c r="U83" s="1308" t="n">
        <f aca="false">Pricing!Q17</f>
        <v>68.2</v>
      </c>
      <c r="V83" s="78" t="s">
        <v>562</v>
      </c>
      <c r="W83" s="2511" t="n">
        <f aca="false">IF(T$64="Y",S83*U83,S83*U83*(1+V$64))</f>
        <v>0</v>
      </c>
      <c r="X83" s="1414"/>
      <c r="Y83" s="1414"/>
      <c r="BJ83" s="2512" t="s">
        <v>1870</v>
      </c>
      <c r="BK83" s="2512" t="n">
        <v>8</v>
      </c>
      <c r="BL83" s="2512" t="n">
        <v>27</v>
      </c>
      <c r="BM83" s="2512" t="n">
        <v>2.25</v>
      </c>
      <c r="BN83" s="2512" t="n">
        <v>3.75</v>
      </c>
      <c r="BO83" s="2512" t="n">
        <v>0.5</v>
      </c>
      <c r="BP83" s="2512" t="n">
        <v>0.5</v>
      </c>
      <c r="BQ83" s="786" t="n">
        <v>15</v>
      </c>
      <c r="BR83" s="2513" t="n">
        <f aca="false">(BK83*(BL83*BM83+BN83)*2*BO83*0.2836)+(BP83*0.5*BP83*0.5*3.145*BQ83*0.2836*BL83*BK83)</f>
        <v>326.951805</v>
      </c>
      <c r="BT83" s="2514" t="n">
        <f aca="false">BS83*BK83</f>
        <v>0</v>
      </c>
      <c r="BU83" s="2514" t="n">
        <f aca="false">BR83*BS83</f>
        <v>0</v>
      </c>
    </row>
    <row r="84" customFormat="false" ht="21.75" hidden="false" customHeight="true" outlineLevel="0" collapsed="false">
      <c r="A84" s="2554" t="s">
        <v>1871</v>
      </c>
      <c r="B84" s="2554"/>
      <c r="C84" s="2554"/>
      <c r="D84" s="2554"/>
      <c r="E84" s="2554"/>
      <c r="F84" s="2555" t="n">
        <v>1.25</v>
      </c>
      <c r="G84" s="2556" t="s">
        <v>1418</v>
      </c>
      <c r="H84" s="2228" t="s">
        <v>1708</v>
      </c>
      <c r="I84" s="2228"/>
      <c r="J84" s="2553"/>
      <c r="K84" s="2557" t="n">
        <f aca="false">H87</f>
        <v>0</v>
      </c>
      <c r="L84" s="2557"/>
      <c r="M84" s="2556" t="s">
        <v>1418</v>
      </c>
      <c r="N84" s="2558" t="n">
        <f aca="false">K84*F84*J$83*(IF(T$64="N",(1+V$64),1))</f>
        <v>0</v>
      </c>
      <c r="O84" s="2558"/>
      <c r="P84" s="1306" t="s">
        <v>1069</v>
      </c>
      <c r="Q84" s="920" t="s">
        <v>564</v>
      </c>
      <c r="R84" s="78"/>
      <c r="S84" s="1311" t="n">
        <f aca="false">S83</f>
        <v>0</v>
      </c>
      <c r="T84" s="78" t="s">
        <v>1303</v>
      </c>
      <c r="U84" s="1308" t="n">
        <f aca="false">Pricing!Q16</f>
        <v>68.2</v>
      </c>
      <c r="V84" s="78" t="s">
        <v>562</v>
      </c>
      <c r="W84" s="2511" t="n">
        <f aca="false">IF(T$64="Y",S84*U84,S84*U84*(1+V$64))</f>
        <v>0</v>
      </c>
      <c r="X84" s="1414"/>
      <c r="Y84" s="1414"/>
      <c r="AK84" s="16" t="n">
        <f aca="false">SUM(AK85:AK104)</f>
        <v>717.88</v>
      </c>
      <c r="AL84" s="16" t="s">
        <v>998</v>
      </c>
      <c r="AQ84" s="16" t="n">
        <f aca="false">SUM(AQ85:AQ104)</f>
        <v>5151</v>
      </c>
      <c r="BJ84" s="2512" t="s">
        <v>1872</v>
      </c>
      <c r="BK84" s="2512" t="n">
        <v>7</v>
      </c>
      <c r="BL84" s="2512" t="n">
        <v>26</v>
      </c>
      <c r="BM84" s="2512" t="n">
        <v>2.375</v>
      </c>
      <c r="BN84" s="2512" t="n">
        <v>3.375</v>
      </c>
      <c r="BO84" s="2512" t="n">
        <v>0.5</v>
      </c>
      <c r="BP84" s="2512" t="n">
        <v>0.5</v>
      </c>
      <c r="BQ84" s="786" t="n">
        <v>15</v>
      </c>
      <c r="BR84" s="2513" t="n">
        <f aca="false">(BK84*(BL84*BM84+BN84)*2*BO84*0.2836)+(BP84*0.5*BP84*0.5*3.145*BQ84*0.2836*BL84*BK84)</f>
        <v>281.47034125</v>
      </c>
      <c r="BT84" s="2514" t="n">
        <f aca="false">BS84*BK84</f>
        <v>0</v>
      </c>
      <c r="BU84" s="2514" t="n">
        <f aca="false">BR84*BS84</f>
        <v>0</v>
      </c>
    </row>
    <row r="85" customFormat="false" ht="21.75" hidden="false" customHeight="true" outlineLevel="0" collapsed="false">
      <c r="A85" s="2559"/>
      <c r="B85" s="2560"/>
      <c r="C85" s="2560"/>
      <c r="D85" s="2560"/>
      <c r="E85" s="2560"/>
      <c r="F85" s="2560"/>
      <c r="G85" s="2560"/>
      <c r="H85" s="2561"/>
      <c r="I85" s="2561"/>
      <c r="J85" s="2562"/>
      <c r="K85" s="2563"/>
      <c r="L85" s="2563"/>
      <c r="M85" s="2560"/>
      <c r="N85" s="2564"/>
      <c r="O85" s="2565"/>
      <c r="P85" s="1306" t="s">
        <v>1069</v>
      </c>
      <c r="Q85" s="920" t="s">
        <v>1310</v>
      </c>
      <c r="R85" s="78"/>
      <c r="S85" s="1311" t="n">
        <v>0</v>
      </c>
      <c r="T85" s="78" t="s">
        <v>1303</v>
      </c>
      <c r="U85" s="1308" t="n">
        <f aca="false">Pricing!Q34</f>
        <v>45.24</v>
      </c>
      <c r="V85" s="78" t="s">
        <v>562</v>
      </c>
      <c r="W85" s="2511" t="n">
        <f aca="false">IF(T$64="Y",S85*U85,S85*U85*(1+V$64))</f>
        <v>0</v>
      </c>
      <c r="X85" s="1414"/>
      <c r="Y85" s="1414"/>
      <c r="AE85" s="525"/>
      <c r="AK85" s="16" t="n">
        <v>16.83</v>
      </c>
      <c r="AL85" s="16" t="s">
        <v>1873</v>
      </c>
      <c r="AM85" s="16" t="n">
        <v>36</v>
      </c>
      <c r="AN85" s="16" t="s">
        <v>1874</v>
      </c>
      <c r="AO85" s="16" t="n">
        <v>28</v>
      </c>
      <c r="AP85" s="16" t="s">
        <v>1875</v>
      </c>
      <c r="AQ85" s="16" t="n">
        <v>152</v>
      </c>
      <c r="AR85" s="16" t="s">
        <v>849</v>
      </c>
      <c r="BJ85" s="2512" t="s">
        <v>1876</v>
      </c>
      <c r="BK85" s="2512" t="n">
        <v>8</v>
      </c>
      <c r="BL85" s="2512" t="n">
        <v>23</v>
      </c>
      <c r="BM85" s="2512" t="n">
        <v>2.375</v>
      </c>
      <c r="BN85" s="2512" t="n">
        <v>3.375</v>
      </c>
      <c r="BO85" s="2512" t="n">
        <v>0.5</v>
      </c>
      <c r="BP85" s="2512" t="n">
        <v>0.5</v>
      </c>
      <c r="BQ85" s="786" t="n">
        <v>15</v>
      </c>
      <c r="BR85" s="2513" t="n">
        <f aca="false">(BK85*(BL85*BM85+BN85)*2*BO85*0.2836)+(BP85*0.5*BP85*0.5*3.145*BQ85*0.2836*BL85*BK85)</f>
        <v>285.446945</v>
      </c>
      <c r="BT85" s="2514" t="n">
        <f aca="false">BS85*BK85</f>
        <v>0</v>
      </c>
      <c r="BU85" s="2514" t="n">
        <f aca="false">BR85*BS85</f>
        <v>0</v>
      </c>
    </row>
    <row r="86" customFormat="false" ht="21.75" hidden="false" customHeight="true" outlineLevel="0" collapsed="false">
      <c r="A86" s="2566" t="s">
        <v>1434</v>
      </c>
      <c r="B86" s="2567"/>
      <c r="C86" s="2567" t="s">
        <v>1296</v>
      </c>
      <c r="D86" s="2567"/>
      <c r="E86" s="2567"/>
      <c r="F86" s="2567"/>
      <c r="G86" s="2568"/>
      <c r="H86" s="2567"/>
      <c r="I86" s="2567"/>
      <c r="J86" s="2567"/>
      <c r="K86" s="2567" t="s">
        <v>973</v>
      </c>
      <c r="L86" s="2567"/>
      <c r="M86" s="2569" t="s">
        <v>1297</v>
      </c>
      <c r="N86" s="2569"/>
      <c r="O86" s="2569"/>
      <c r="P86" s="1306" t="s">
        <v>1069</v>
      </c>
      <c r="Q86" s="920" t="s">
        <v>571</v>
      </c>
      <c r="R86" s="78"/>
      <c r="S86" s="1311" t="n">
        <f aca="false">CF68+AL68</f>
        <v>0</v>
      </c>
      <c r="T86" s="78" t="s">
        <v>1259</v>
      </c>
      <c r="U86" s="1308" t="n">
        <v>3.25</v>
      </c>
      <c r="V86" s="78" t="s">
        <v>527</v>
      </c>
      <c r="W86" s="2511" t="n">
        <f aca="false">IF(T$64="Y",S86*U86,S86*U86*(1+V$64))</f>
        <v>0</v>
      </c>
      <c r="X86" s="1414"/>
      <c r="Y86" s="1414"/>
      <c r="AK86" s="16" t="n">
        <v>16.74</v>
      </c>
      <c r="AL86" s="16" t="s">
        <v>1873</v>
      </c>
      <c r="AM86" s="16" t="n">
        <v>36</v>
      </c>
      <c r="AN86" s="16" t="s">
        <v>1874</v>
      </c>
      <c r="AO86" s="16" t="n">
        <v>52</v>
      </c>
      <c r="AP86" s="16" t="s">
        <v>1875</v>
      </c>
      <c r="AQ86" s="16" t="n">
        <v>151</v>
      </c>
      <c r="AR86" s="16" t="s">
        <v>849</v>
      </c>
      <c r="BJ86" s="2512" t="s">
        <v>1877</v>
      </c>
      <c r="BK86" s="2512" t="n">
        <v>5</v>
      </c>
      <c r="BL86" s="2512" t="n">
        <v>18</v>
      </c>
      <c r="BM86" s="2512" t="n">
        <v>3</v>
      </c>
      <c r="BN86" s="2512" t="n">
        <v>4.75</v>
      </c>
      <c r="BO86" s="2512" t="n">
        <v>0.5</v>
      </c>
      <c r="BP86" s="2512" t="n">
        <v>0.5</v>
      </c>
      <c r="BQ86" s="786" t="n">
        <v>15</v>
      </c>
      <c r="BR86" s="2513" t="n">
        <f aca="false">(BK86*(BL86*BM86+BN86)*2*BO86*0.2836)+(BP86*0.5*BP86*0.5*3.145*BQ86*0.2836*BL86*BK86)</f>
        <v>158.56341875</v>
      </c>
      <c r="BT86" s="2514" t="n">
        <f aca="false">BS86*BK86</f>
        <v>0</v>
      </c>
      <c r="BU86" s="2514" t="n">
        <f aca="false">BR86*BS86</f>
        <v>0</v>
      </c>
    </row>
    <row r="87" customFormat="false" ht="22.5" hidden="false" customHeight="true" outlineLevel="0" collapsed="false">
      <c r="A87" s="2570" t="s">
        <v>1437</v>
      </c>
      <c r="B87" s="41"/>
      <c r="C87" s="2571" t="s">
        <v>1306</v>
      </c>
      <c r="D87" s="2572" t="n">
        <v>4.75</v>
      </c>
      <c r="E87" s="2572"/>
      <c r="F87" s="2524" t="s">
        <v>1618</v>
      </c>
      <c r="G87" s="2573" t="n">
        <f aca="false">IF(SUM(N87:O90)=0,0,SUM(N87:O90)/H87)</f>
        <v>0</v>
      </c>
      <c r="H87" s="2574" t="n">
        <f aca="false">C50</f>
        <v>0</v>
      </c>
      <c r="I87" s="2574"/>
      <c r="J87" s="14" t="s">
        <v>1418</v>
      </c>
      <c r="K87" s="2575" t="n">
        <f aca="false">IF(C87="N",D87*H$87,0)</f>
        <v>0</v>
      </c>
      <c r="L87" s="2575"/>
      <c r="M87" s="2576"/>
      <c r="N87" s="2511" t="n">
        <f aca="false">IF(C87="y",H$87*D87,0)</f>
        <v>0</v>
      </c>
      <c r="O87" s="2511"/>
      <c r="P87" s="1306" t="s">
        <v>1069</v>
      </c>
      <c r="Q87" s="920" t="s">
        <v>576</v>
      </c>
      <c r="R87" s="78"/>
      <c r="S87" s="1311" t="n">
        <v>0</v>
      </c>
      <c r="T87" s="78" t="s">
        <v>1259</v>
      </c>
      <c r="U87" s="1308" t="n">
        <f aca="false">Pricing!Q20</f>
        <v>0.25</v>
      </c>
      <c r="V87" s="78" t="s">
        <v>527</v>
      </c>
      <c r="W87" s="2511" t="n">
        <f aca="false">IF(T$64="Y",S87*U87,S87*U87*(1+V$64))</f>
        <v>0</v>
      </c>
      <c r="X87" s="1414"/>
      <c r="Y87" s="1414"/>
      <c r="AK87" s="16" t="n">
        <v>16.82</v>
      </c>
      <c r="AL87" s="16" t="s">
        <v>1873</v>
      </c>
      <c r="AM87" s="16" t="n">
        <v>36</v>
      </c>
      <c r="AN87" s="16" t="s">
        <v>1874</v>
      </c>
      <c r="AO87" s="16" t="n">
        <v>52</v>
      </c>
      <c r="AP87" s="16" t="s">
        <v>1875</v>
      </c>
      <c r="AQ87" s="16" t="n">
        <v>151</v>
      </c>
      <c r="AR87" s="16" t="s">
        <v>849</v>
      </c>
      <c r="BJ87" s="2512" t="s">
        <v>1878</v>
      </c>
      <c r="BK87" s="2512" t="n">
        <v>5</v>
      </c>
      <c r="BL87" s="2512" t="n">
        <v>16</v>
      </c>
      <c r="BM87" s="2512" t="n">
        <v>3</v>
      </c>
      <c r="BN87" s="2512" t="n">
        <v>4</v>
      </c>
      <c r="BO87" s="2512" t="n">
        <v>0.5</v>
      </c>
      <c r="BP87" s="2512" t="n">
        <v>0.5</v>
      </c>
      <c r="BQ87" s="786" t="n">
        <v>15</v>
      </c>
      <c r="BR87" s="2577" t="n">
        <f aca="false">(BK87*(BL87*BM87+BN87)*2*BO87*0.2836)+(BP87*0.5*BP87*0.5*3.145*BQ87*0.2836*BL87*BK87)</f>
        <v>140.63015</v>
      </c>
      <c r="BT87" s="2578" t="n">
        <f aca="false">BS87*BK87</f>
        <v>0</v>
      </c>
      <c r="BU87" s="2578" t="n">
        <f aca="false">BR87*BS87</f>
        <v>0</v>
      </c>
    </row>
    <row r="88" customFormat="false" ht="22.5" hidden="false" customHeight="true" outlineLevel="0" collapsed="false">
      <c r="A88" s="2530" t="s">
        <v>1442</v>
      </c>
      <c r="B88" s="41"/>
      <c r="C88" s="2540" t="s">
        <v>1306</v>
      </c>
      <c r="D88" s="2572" t="n">
        <v>0.5</v>
      </c>
      <c r="E88" s="2572"/>
      <c r="F88" s="2524" t="s">
        <v>1618</v>
      </c>
      <c r="G88" s="2573"/>
      <c r="H88" s="2574"/>
      <c r="I88" s="2574"/>
      <c r="J88" s="14" t="s">
        <v>1418</v>
      </c>
      <c r="K88" s="2575" t="n">
        <f aca="false">IF(C88="N",D88*H$87,0)</f>
        <v>0</v>
      </c>
      <c r="L88" s="2575"/>
      <c r="M88" s="2576"/>
      <c r="N88" s="2511" t="n">
        <f aca="false">IF(C88="y",H$87*D88,0)</f>
        <v>0</v>
      </c>
      <c r="O88" s="2511"/>
      <c r="P88" s="1306" t="s">
        <v>1069</v>
      </c>
      <c r="Q88" s="920" t="s">
        <v>551</v>
      </c>
      <c r="R88" s="78"/>
      <c r="S88" s="1311" t="n">
        <v>0</v>
      </c>
      <c r="T88" s="78" t="s">
        <v>1259</v>
      </c>
      <c r="U88" s="1308" t="n">
        <f aca="false">Pricing!Q12</f>
        <v>1.063125</v>
      </c>
      <c r="V88" s="78" t="s">
        <v>527</v>
      </c>
      <c r="W88" s="2511" t="n">
        <f aca="false">IF(T$64="Y",S88*U88,S88*U88*(1+V$64))</f>
        <v>0</v>
      </c>
      <c r="X88" s="1414"/>
      <c r="Y88" s="1414"/>
      <c r="AK88" s="16" t="n">
        <v>325.63</v>
      </c>
      <c r="AL88" s="16" t="s">
        <v>1873</v>
      </c>
      <c r="AM88" s="16" t="n">
        <v>48</v>
      </c>
      <c r="AN88" s="16" t="s">
        <v>1874</v>
      </c>
      <c r="AO88" s="16" t="n">
        <v>46</v>
      </c>
      <c r="AP88" s="16" t="s">
        <v>1875</v>
      </c>
      <c r="AQ88" s="16" t="n">
        <v>2198</v>
      </c>
      <c r="AR88" s="16" t="s">
        <v>849</v>
      </c>
    </row>
    <row r="89" customFormat="false" ht="22.5" hidden="false" customHeight="true" outlineLevel="0" collapsed="false">
      <c r="A89" s="2530" t="s">
        <v>1879</v>
      </c>
      <c r="B89" s="2209"/>
      <c r="C89" s="2579" t="s">
        <v>1306</v>
      </c>
      <c r="D89" s="2572" t="n">
        <v>0.45</v>
      </c>
      <c r="E89" s="2572"/>
      <c r="F89" s="2524" t="s">
        <v>1618</v>
      </c>
      <c r="G89" s="2573"/>
      <c r="H89" s="2574"/>
      <c r="I89" s="2574"/>
      <c r="J89" s="14" t="s">
        <v>1418</v>
      </c>
      <c r="K89" s="2575" t="n">
        <f aca="false">IF(C89="N",D89*H$87,0)</f>
        <v>0</v>
      </c>
      <c r="L89" s="2575"/>
      <c r="M89" s="2576"/>
      <c r="N89" s="2511" t="n">
        <f aca="false">IF(C89="y",H$87*D89,0)</f>
        <v>0</v>
      </c>
      <c r="O89" s="2511"/>
      <c r="P89" s="1306" t="s">
        <v>1069</v>
      </c>
      <c r="Q89" s="920" t="s">
        <v>552</v>
      </c>
      <c r="R89" s="78"/>
      <c r="S89" s="1311" t="n">
        <v>0</v>
      </c>
      <c r="T89" s="78" t="s">
        <v>1259</v>
      </c>
      <c r="U89" s="1308" t="n">
        <f aca="false">Pricing!Q13</f>
        <v>1.494375</v>
      </c>
      <c r="V89" s="78" t="s">
        <v>527</v>
      </c>
      <c r="W89" s="2511" t="n">
        <f aca="false">U89*S89</f>
        <v>0</v>
      </c>
      <c r="X89" s="1414"/>
      <c r="Y89" s="1414"/>
      <c r="AK89" s="16" t="n">
        <v>3.31</v>
      </c>
      <c r="AL89" s="16" t="s">
        <v>1873</v>
      </c>
      <c r="AM89" s="16" t="n">
        <v>45</v>
      </c>
      <c r="AN89" s="16" t="s">
        <v>1874</v>
      </c>
      <c r="AO89" s="16" t="n">
        <v>16</v>
      </c>
      <c r="AP89" s="16" t="s">
        <v>1875</v>
      </c>
      <c r="AQ89" s="16" t="n">
        <v>24</v>
      </c>
      <c r="AR89" s="16" t="s">
        <v>849</v>
      </c>
    </row>
    <row r="90" customFormat="false" ht="22.5" hidden="false" customHeight="true" outlineLevel="0" collapsed="false">
      <c r="A90" s="2531" t="s">
        <v>1869</v>
      </c>
      <c r="B90" s="41"/>
      <c r="C90" s="2579" t="s">
        <v>1306</v>
      </c>
      <c r="D90" s="2572" t="n">
        <v>0.35</v>
      </c>
      <c r="E90" s="2572"/>
      <c r="F90" s="2524" t="s">
        <v>600</v>
      </c>
      <c r="G90" s="2573"/>
      <c r="H90" s="2574"/>
      <c r="I90" s="2574"/>
      <c r="J90" s="14"/>
      <c r="K90" s="2575" t="n">
        <f aca="false">IF(C90="N",D90*H$87,0)</f>
        <v>0</v>
      </c>
      <c r="L90" s="2575"/>
      <c r="M90" s="2576"/>
      <c r="N90" s="2511" t="n">
        <f aca="false">IF(C90="y",H$87*D90,0)</f>
        <v>0</v>
      </c>
      <c r="O90" s="2511"/>
      <c r="P90" s="1306" t="s">
        <v>1069</v>
      </c>
      <c r="Q90" s="1357" t="s">
        <v>1319</v>
      </c>
      <c r="R90" s="1358"/>
      <c r="S90" s="1359" t="n">
        <v>0</v>
      </c>
      <c r="T90" s="1358" t="s">
        <v>1259</v>
      </c>
      <c r="U90" s="1360" t="n">
        <f aca="false">Pricing!Q10</f>
        <v>0.70875</v>
      </c>
      <c r="V90" s="1358" t="s">
        <v>527</v>
      </c>
      <c r="W90" s="2580" t="n">
        <f aca="false">U90*S90</f>
        <v>0</v>
      </c>
      <c r="X90" s="1414"/>
      <c r="Y90" s="1414"/>
      <c r="AK90" s="16" t="n">
        <v>6.34</v>
      </c>
      <c r="AL90" s="16" t="s">
        <v>1873</v>
      </c>
      <c r="AM90" s="16" t="n">
        <v>36</v>
      </c>
      <c r="AN90" s="16" t="s">
        <v>1874</v>
      </c>
      <c r="AO90" s="16" t="n">
        <v>16</v>
      </c>
      <c r="AP90" s="16" t="s">
        <v>1875</v>
      </c>
      <c r="AQ90" s="16" t="n">
        <v>57</v>
      </c>
      <c r="AR90" s="16" t="s">
        <v>849</v>
      </c>
      <c r="BI90" s="2107" t="n">
        <f aca="false">SUM(BL92:BL101)*(1+J78)</f>
        <v>0</v>
      </c>
      <c r="BJ90" s="427" t="s">
        <v>612</v>
      </c>
      <c r="BK90" s="1414"/>
      <c r="BL90" s="1414"/>
    </row>
    <row r="91" customFormat="false" ht="22.5" hidden="false" customHeight="true" outlineLevel="0" collapsed="false">
      <c r="A91" s="2581" t="s">
        <v>1880</v>
      </c>
      <c r="B91" s="2582"/>
      <c r="C91" s="2540" t="s">
        <v>1306</v>
      </c>
      <c r="D91" s="2583" t="n">
        <v>6</v>
      </c>
      <c r="E91" s="2583"/>
      <c r="F91" s="2539" t="s">
        <v>1259</v>
      </c>
      <c r="G91" s="2584"/>
      <c r="H91" s="2585" t="n">
        <f aca="false">SUM(H10:H49)</f>
        <v>0</v>
      </c>
      <c r="I91" s="2585"/>
      <c r="J91" s="2586" t="s">
        <v>1259</v>
      </c>
      <c r="K91" s="2587" t="n">
        <f aca="false">IF(C91="N",D91*H91,0)</f>
        <v>0</v>
      </c>
      <c r="L91" s="2587"/>
      <c r="M91" s="2588"/>
      <c r="N91" s="2544" t="n">
        <f aca="false">IF(C91="y",H91*D91,0)</f>
        <v>0</v>
      </c>
      <c r="O91" s="2544"/>
      <c r="P91" s="1306" t="s">
        <v>1077</v>
      </c>
      <c r="Q91" s="1357" t="s">
        <v>1881</v>
      </c>
      <c r="R91" s="1358"/>
      <c r="S91" s="1359" t="n">
        <v>0</v>
      </c>
      <c r="T91" s="1358" t="s">
        <v>1711</v>
      </c>
      <c r="U91" s="1360" t="n">
        <f aca="false">Pricing!Q43</f>
        <v>105</v>
      </c>
      <c r="V91" s="1358" t="s">
        <v>1882</v>
      </c>
      <c r="W91" s="2580" t="n">
        <f aca="false">S91*U91</f>
        <v>0</v>
      </c>
      <c r="X91" s="1414"/>
      <c r="Y91" s="1414"/>
      <c r="AK91" s="16" t="n">
        <v>11.4</v>
      </c>
      <c r="AL91" s="16" t="s">
        <v>1873</v>
      </c>
      <c r="AM91" s="16" t="n">
        <v>36</v>
      </c>
      <c r="AN91" s="16" t="s">
        <v>1874</v>
      </c>
      <c r="AO91" s="16" t="n">
        <v>46</v>
      </c>
      <c r="AP91" s="16" t="s">
        <v>1875</v>
      </c>
      <c r="AQ91" s="16" t="n">
        <v>103</v>
      </c>
      <c r="AR91" s="16" t="s">
        <v>849</v>
      </c>
      <c r="BI91" s="1301" t="s">
        <v>1259</v>
      </c>
      <c r="BJ91" s="1302" t="s">
        <v>1215</v>
      </c>
      <c r="BK91" s="1303" t="s">
        <v>1369</v>
      </c>
      <c r="BL91" s="1304" t="s">
        <v>1414</v>
      </c>
    </row>
    <row r="92" customFormat="false" ht="22.5" hidden="false" customHeight="true" outlineLevel="0" collapsed="false">
      <c r="A92" s="2589" t="s">
        <v>1883</v>
      </c>
      <c r="B92" s="2590"/>
      <c r="C92" s="2540" t="s">
        <v>1306</v>
      </c>
      <c r="D92" s="2591" t="n">
        <v>6</v>
      </c>
      <c r="E92" s="2591"/>
      <c r="F92" s="2592" t="s">
        <v>1884</v>
      </c>
      <c r="G92" s="2593"/>
      <c r="H92" s="2594" t="n">
        <f aca="false">SUM(BF50:BH50)</f>
        <v>0</v>
      </c>
      <c r="I92" s="2594"/>
      <c r="J92" s="14" t="s">
        <v>849</v>
      </c>
      <c r="K92" s="2575" t="n">
        <f aca="false">IF(C92="N",D92*H92,0)</f>
        <v>0</v>
      </c>
      <c r="L92" s="2575"/>
      <c r="M92" s="2576"/>
      <c r="N92" s="2511" t="n">
        <f aca="false">IF(C92="y",H$92*D92,0)</f>
        <v>0</v>
      </c>
      <c r="O92" s="2511"/>
      <c r="P92" s="1306" t="s">
        <v>1069</v>
      </c>
      <c r="Q92" s="920" t="s">
        <v>1885</v>
      </c>
      <c r="R92" s="78"/>
      <c r="S92" s="1311"/>
      <c r="T92" s="78" t="s">
        <v>1259</v>
      </c>
      <c r="U92" s="1308" t="n">
        <v>0.35</v>
      </c>
      <c r="V92" s="78" t="s">
        <v>1341</v>
      </c>
      <c r="W92" s="2511" t="n">
        <f aca="false">S92*U92</f>
        <v>0</v>
      </c>
      <c r="X92" s="1414"/>
      <c r="Y92" s="1414"/>
      <c r="AK92" s="16" t="n">
        <v>14.93</v>
      </c>
      <c r="AL92" s="16" t="s">
        <v>1873</v>
      </c>
      <c r="AM92" s="16" t="n">
        <v>42</v>
      </c>
      <c r="AN92" s="16" t="s">
        <v>1874</v>
      </c>
      <c r="AO92" s="16" t="n">
        <v>52</v>
      </c>
      <c r="AP92" s="16" t="s">
        <v>1875</v>
      </c>
      <c r="AQ92" s="16" t="n">
        <v>115</v>
      </c>
      <c r="AR92" s="16" t="s">
        <v>849</v>
      </c>
      <c r="BI92" s="149"/>
      <c r="BJ92" s="150"/>
      <c r="BK92" s="151"/>
      <c r="BL92" s="152" t="n">
        <f aca="false">BI92*(BJ92*BJ92*0.04180884375)*BK92</f>
        <v>0</v>
      </c>
    </row>
    <row r="93" customFormat="false" ht="22.5" hidden="false" customHeight="true" outlineLevel="0" collapsed="false">
      <c r="A93" s="2530" t="s">
        <v>1886</v>
      </c>
      <c r="B93" s="41"/>
      <c r="C93" s="2571" t="s">
        <v>1306</v>
      </c>
      <c r="D93" s="2572" t="n">
        <v>0.25</v>
      </c>
      <c r="E93" s="2572"/>
      <c r="F93" s="2524" t="s">
        <v>600</v>
      </c>
      <c r="G93" s="2595"/>
      <c r="H93" s="2596" t="n">
        <f aca="false">H87</f>
        <v>0</v>
      </c>
      <c r="I93" s="2596"/>
      <c r="J93" s="2597" t="s">
        <v>1418</v>
      </c>
      <c r="K93" s="2598" t="n">
        <f aca="false">IF(C93="N",D93*H93,0)</f>
        <v>0</v>
      </c>
      <c r="L93" s="2598"/>
      <c r="M93" s="2599"/>
      <c r="N93" s="2600" t="n">
        <f aca="false">IF(C93="y",H93*D93,0)</f>
        <v>0</v>
      </c>
      <c r="O93" s="2600"/>
      <c r="P93" s="1306" t="s">
        <v>1069</v>
      </c>
      <c r="Q93" s="920" t="s">
        <v>1887</v>
      </c>
      <c r="R93" s="78"/>
      <c r="S93" s="1311"/>
      <c r="T93" s="78" t="s">
        <v>1000</v>
      </c>
      <c r="U93" s="1308" t="n">
        <v>2</v>
      </c>
      <c r="V93" s="78" t="s">
        <v>1624</v>
      </c>
      <c r="W93" s="2511" t="n">
        <f aca="false">S93*U93</f>
        <v>0</v>
      </c>
      <c r="X93" s="1414"/>
      <c r="Y93" s="1414"/>
      <c r="AK93" s="16" t="n">
        <v>5.23</v>
      </c>
      <c r="AL93" s="16" t="s">
        <v>1873</v>
      </c>
      <c r="AM93" s="16" t="n">
        <v>36</v>
      </c>
      <c r="AN93" s="16" t="s">
        <v>1874</v>
      </c>
      <c r="AO93" s="16" t="n">
        <v>28</v>
      </c>
      <c r="AP93" s="16" t="s">
        <v>1875</v>
      </c>
      <c r="AQ93" s="16" t="n">
        <v>47</v>
      </c>
      <c r="AR93" s="16" t="s">
        <v>849</v>
      </c>
      <c r="BI93" s="149"/>
      <c r="BJ93" s="150"/>
      <c r="BK93" s="151"/>
      <c r="BL93" s="152" t="n">
        <f aca="false">BI93*(BJ93*BJ93*0.04180884375)*BK93</f>
        <v>0</v>
      </c>
    </row>
    <row r="94" customFormat="false" ht="22.5" hidden="false" customHeight="true" outlineLevel="0" collapsed="false">
      <c r="A94" s="2530" t="s">
        <v>1860</v>
      </c>
      <c r="B94" s="41"/>
      <c r="C94" s="2571" t="s">
        <v>1306</v>
      </c>
      <c r="D94" s="2572" t="n">
        <v>500</v>
      </c>
      <c r="E94" s="2572"/>
      <c r="F94" s="2524" t="s">
        <v>1888</v>
      </c>
      <c r="G94" s="2595"/>
      <c r="H94" s="2601" t="n">
        <f aca="false">K79/2000</f>
        <v>0</v>
      </c>
      <c r="I94" s="2601"/>
      <c r="J94" s="14" t="s">
        <v>1888</v>
      </c>
      <c r="K94" s="2575" t="n">
        <f aca="false">IF(C94="N",D94*H94,0)</f>
        <v>0</v>
      </c>
      <c r="L94" s="2575"/>
      <c r="M94" s="2576"/>
      <c r="N94" s="2511" t="n">
        <f aca="false">IF(C94="y",H94*D94,0)</f>
        <v>0</v>
      </c>
      <c r="O94" s="2511"/>
      <c r="P94" s="1306" t="s">
        <v>1069</v>
      </c>
      <c r="Q94" s="920" t="s">
        <v>1889</v>
      </c>
      <c r="R94" s="78"/>
      <c r="S94" s="1311"/>
      <c r="T94" s="78" t="s">
        <v>1890</v>
      </c>
      <c r="U94" s="1308" t="n">
        <v>36</v>
      </c>
      <c r="V94" s="78" t="s">
        <v>541</v>
      </c>
      <c r="W94" s="2511" t="n">
        <f aca="false">S94*U94</f>
        <v>0</v>
      </c>
      <c r="X94" s="1414"/>
      <c r="Y94" s="1414"/>
      <c r="AK94" s="16" t="n">
        <v>36.85</v>
      </c>
      <c r="AL94" s="16" t="s">
        <v>1873</v>
      </c>
      <c r="AM94" s="16" t="n">
        <v>42</v>
      </c>
      <c r="AN94" s="16" t="s">
        <v>1874</v>
      </c>
      <c r="AO94" s="16" t="n">
        <v>52</v>
      </c>
      <c r="AP94" s="16" t="s">
        <v>1875</v>
      </c>
      <c r="AQ94" s="16" t="n">
        <v>284</v>
      </c>
      <c r="AR94" s="16" t="s">
        <v>849</v>
      </c>
      <c r="BI94" s="149"/>
      <c r="BJ94" s="150"/>
      <c r="BK94" s="151"/>
      <c r="BL94" s="152" t="n">
        <f aca="false">BI94*(BJ94*BJ94*0.04180884375)*BK94</f>
        <v>0</v>
      </c>
    </row>
    <row r="95" customFormat="false" ht="22.5" hidden="false" customHeight="true" outlineLevel="0" collapsed="false">
      <c r="A95" s="2530" t="s">
        <v>1891</v>
      </c>
      <c r="B95" s="2602"/>
      <c r="C95" s="2540" t="s">
        <v>1306</v>
      </c>
      <c r="D95" s="2572" t="n">
        <v>0.65</v>
      </c>
      <c r="E95" s="2572"/>
      <c r="F95" s="2524" t="s">
        <v>1892</v>
      </c>
      <c r="G95" s="2576"/>
      <c r="H95" s="2214" t="n">
        <f aca="false">H87*1.15</f>
        <v>0</v>
      </c>
      <c r="I95" s="2214"/>
      <c r="J95" s="2602" t="s">
        <v>1861</v>
      </c>
      <c r="K95" s="2575" t="n">
        <f aca="false">IF(C100="N",D100*H$87,0)</f>
        <v>0</v>
      </c>
      <c r="L95" s="2575"/>
      <c r="M95" s="2576"/>
      <c r="N95" s="2511" t="n">
        <f aca="false">IF(C95="y",H$95*D95,0)</f>
        <v>0</v>
      </c>
      <c r="O95" s="2511"/>
      <c r="P95" s="1306" t="s">
        <v>1069</v>
      </c>
      <c r="Q95" s="920" t="s">
        <v>1893</v>
      </c>
      <c r="R95" s="78"/>
      <c r="S95" s="1311"/>
      <c r="T95" s="78"/>
      <c r="U95" s="1308" t="n">
        <v>650</v>
      </c>
      <c r="V95" s="78"/>
      <c r="W95" s="2511" t="n">
        <f aca="false">S100*U100</f>
        <v>0</v>
      </c>
      <c r="X95" s="1414"/>
      <c r="Y95" s="1414"/>
      <c r="AK95" s="16" t="n">
        <v>20.74</v>
      </c>
      <c r="AL95" s="16" t="s">
        <v>1873</v>
      </c>
      <c r="AM95" s="16" t="n">
        <v>45</v>
      </c>
      <c r="AN95" s="16" t="s">
        <v>1874</v>
      </c>
      <c r="AO95" s="16" t="n">
        <v>52</v>
      </c>
      <c r="AP95" s="16" t="s">
        <v>1875</v>
      </c>
      <c r="AQ95" s="16" t="n">
        <v>149</v>
      </c>
      <c r="AR95" s="16" t="s">
        <v>849</v>
      </c>
      <c r="BI95" s="149"/>
      <c r="BJ95" s="150"/>
      <c r="BK95" s="151"/>
      <c r="BL95" s="152" t="n">
        <f aca="false">BI95*(BJ95*BJ95*0.04180884375)*BK95</f>
        <v>0</v>
      </c>
    </row>
    <row r="96" customFormat="false" ht="21.75" hidden="false" customHeight="true" outlineLevel="0" collapsed="false">
      <c r="A96" s="2530" t="s">
        <v>1307</v>
      </c>
      <c r="B96" s="41"/>
      <c r="C96" s="2540" t="s">
        <v>1306</v>
      </c>
      <c r="D96" s="2572" t="n">
        <v>450</v>
      </c>
      <c r="E96" s="2572"/>
      <c r="F96" s="2524" t="s">
        <v>1308</v>
      </c>
      <c r="G96" s="14"/>
      <c r="H96" s="2603" t="n">
        <f aca="false">SUM(T10:T49)/2000</f>
        <v>0</v>
      </c>
      <c r="I96" s="2603"/>
      <c r="J96" s="14" t="s">
        <v>1309</v>
      </c>
      <c r="K96" s="2575" t="n">
        <f aca="false">IF(C96="N",D96*H96,0)</f>
        <v>0</v>
      </c>
      <c r="L96" s="2575"/>
      <c r="M96" s="2576"/>
      <c r="N96" s="2511" t="n">
        <f aca="false">IF(C96="y",H96*D96,0)</f>
        <v>0</v>
      </c>
      <c r="O96" s="2511"/>
      <c r="P96" s="1306" t="s">
        <v>1069</v>
      </c>
      <c r="Q96" s="1357"/>
      <c r="R96" s="1358"/>
      <c r="S96" s="1359"/>
      <c r="T96" s="1358"/>
      <c r="U96" s="1360"/>
      <c r="V96" s="1358"/>
      <c r="W96" s="2580" t="n">
        <f aca="false">S101*U101</f>
        <v>0</v>
      </c>
      <c r="X96" s="1414"/>
      <c r="Y96" s="1414"/>
      <c r="AK96" s="16" t="n">
        <v>8.04</v>
      </c>
      <c r="AL96" s="16" t="s">
        <v>1873</v>
      </c>
      <c r="AM96" s="16" t="n">
        <v>36</v>
      </c>
      <c r="AN96" s="16" t="s">
        <v>1874</v>
      </c>
      <c r="AO96" s="16" t="n">
        <v>52</v>
      </c>
      <c r="AP96" s="16" t="s">
        <v>1875</v>
      </c>
      <c r="AQ96" s="16" t="n">
        <v>72</v>
      </c>
      <c r="AR96" s="16" t="s">
        <v>849</v>
      </c>
      <c r="BI96" s="1322"/>
      <c r="BJ96" s="1323"/>
      <c r="BK96" s="1324"/>
      <c r="BL96" s="1325" t="n">
        <f aca="false">BI96*(BJ96*BJ96*0.04180884375)*BK96</f>
        <v>0</v>
      </c>
    </row>
    <row r="97" customFormat="false" ht="21.75" hidden="false" customHeight="true" outlineLevel="0" collapsed="false">
      <c r="A97" s="2604" t="s">
        <v>1313</v>
      </c>
      <c r="B97" s="2605"/>
      <c r="C97" s="2606" t="s">
        <v>1306</v>
      </c>
      <c r="D97" s="2607"/>
      <c r="E97" s="2607"/>
      <c r="F97" s="2608"/>
      <c r="G97" s="2518"/>
      <c r="H97" s="2609"/>
      <c r="I97" s="2609"/>
      <c r="J97" s="2518"/>
      <c r="K97" s="2610" t="n">
        <f aca="false">IF(C97="N",D97,0)</f>
        <v>0</v>
      </c>
      <c r="L97" s="2610"/>
      <c r="M97" s="2611"/>
      <c r="N97" s="2580" t="n">
        <f aca="false">IF(C97="y",D97,0)</f>
        <v>0</v>
      </c>
      <c r="O97" s="2580"/>
      <c r="P97" s="1306"/>
      <c r="Q97" s="920"/>
      <c r="R97" s="78"/>
      <c r="S97" s="1311"/>
      <c r="T97" s="78"/>
      <c r="U97" s="1308"/>
      <c r="V97" s="78"/>
      <c r="W97" s="2511" t="n">
        <f aca="false">S97*U97</f>
        <v>0</v>
      </c>
      <c r="X97" s="1414"/>
      <c r="Y97" s="1414"/>
      <c r="BI97" s="149"/>
      <c r="BJ97" s="150"/>
      <c r="BK97" s="151"/>
      <c r="BL97" s="152" t="n">
        <f aca="false">BI97*(BJ97*BJ97*0.04180884375)*BK97</f>
        <v>0</v>
      </c>
    </row>
    <row r="98" customFormat="false" ht="22.5" hidden="false" customHeight="true" outlineLevel="0" collapsed="false">
      <c r="A98" s="2612" t="s">
        <v>1447</v>
      </c>
      <c r="B98" s="2613"/>
      <c r="C98" s="2614"/>
      <c r="D98" s="2615" t="n">
        <f aca="false">IF(H87=0,0,(N98-N97+K98)/H87)</f>
        <v>0</v>
      </c>
      <c r="E98" s="2615"/>
      <c r="F98" s="2228"/>
      <c r="G98" s="2556"/>
      <c r="H98" s="2613" t="s">
        <v>980</v>
      </c>
      <c r="I98" s="2613"/>
      <c r="J98" s="2613"/>
      <c r="K98" s="2616" t="n">
        <f aca="false">SUM(K87:L97)</f>
        <v>0</v>
      </c>
      <c r="L98" s="2616"/>
      <c r="M98" s="2617"/>
      <c r="N98" s="2565" t="n">
        <f aca="false">SUM(N87:O97)</f>
        <v>0</v>
      </c>
      <c r="O98" s="2565"/>
      <c r="P98" s="1306"/>
      <c r="Q98" s="920"/>
      <c r="R98" s="78"/>
      <c r="S98" s="1311"/>
      <c r="T98" s="78" t="s">
        <v>1452</v>
      </c>
      <c r="U98" s="1308" t="n">
        <v>7</v>
      </c>
      <c r="V98" s="78"/>
      <c r="W98" s="2511" t="n">
        <f aca="false">S98*U98</f>
        <v>0</v>
      </c>
      <c r="X98" s="1414"/>
      <c r="Y98" s="1414"/>
      <c r="AK98" s="16" t="n">
        <v>74.48</v>
      </c>
      <c r="AL98" s="16" t="s">
        <v>1873</v>
      </c>
      <c r="AM98" s="16" t="n">
        <v>48</v>
      </c>
      <c r="AN98" s="16" t="s">
        <v>1874</v>
      </c>
      <c r="AO98" s="16" t="n">
        <v>52</v>
      </c>
      <c r="AP98" s="16" t="s">
        <v>1875</v>
      </c>
      <c r="AQ98" s="16" t="n">
        <v>503</v>
      </c>
      <c r="AR98" s="16" t="s">
        <v>849</v>
      </c>
      <c r="BI98" s="149"/>
      <c r="BJ98" s="150"/>
      <c r="BK98" s="151"/>
      <c r="BL98" s="152" t="n">
        <f aca="false">BI98*(BJ98*BJ98*0.04180884375)*BK98</f>
        <v>0</v>
      </c>
    </row>
    <row r="99" customFormat="false" ht="22.5" hidden="false" customHeight="true" outlineLevel="0" collapsed="false">
      <c r="A99" s="2618" t="s">
        <v>1315</v>
      </c>
      <c r="B99" s="2618"/>
      <c r="C99" s="2618"/>
      <c r="D99" s="2618"/>
      <c r="E99" s="2618"/>
      <c r="F99" s="2618"/>
      <c r="G99" s="2618"/>
      <c r="H99" s="2618"/>
      <c r="I99" s="2618"/>
      <c r="J99" s="2618"/>
      <c r="K99" s="2618"/>
      <c r="L99" s="2618"/>
      <c r="M99" s="2618"/>
      <c r="N99" s="2618"/>
      <c r="O99" s="2618"/>
      <c r="P99" s="1306"/>
      <c r="Q99" s="920"/>
      <c r="R99" s="78"/>
      <c r="S99" s="1311"/>
      <c r="T99" s="78" t="s">
        <v>1452</v>
      </c>
      <c r="U99" s="1308" t="n">
        <v>8</v>
      </c>
      <c r="V99" s="78"/>
      <c r="W99" s="2511" t="n">
        <f aca="false">S99*U99</f>
        <v>0</v>
      </c>
      <c r="X99" s="1414"/>
      <c r="Y99" s="1414"/>
      <c r="AK99" s="16" t="n">
        <v>25.54</v>
      </c>
      <c r="AL99" s="16" t="s">
        <v>1873</v>
      </c>
      <c r="AM99" s="16" t="n">
        <v>48</v>
      </c>
      <c r="AN99" s="16" t="s">
        <v>1874</v>
      </c>
      <c r="AO99" s="16" t="n">
        <v>52</v>
      </c>
      <c r="AP99" s="16" t="s">
        <v>1875</v>
      </c>
      <c r="AQ99" s="16" t="n">
        <v>172</v>
      </c>
      <c r="AR99" s="16" t="s">
        <v>849</v>
      </c>
      <c r="BI99" s="149"/>
      <c r="BJ99" s="150"/>
      <c r="BK99" s="151"/>
      <c r="BL99" s="152" t="n">
        <f aca="false">BI99*(BJ99*BJ99*0.04180884375)*BK99</f>
        <v>0</v>
      </c>
    </row>
    <row r="100" customFormat="false" ht="22.5" hidden="false" customHeight="true" outlineLevel="0" collapsed="false">
      <c r="A100" s="2619" t="s">
        <v>1316</v>
      </c>
      <c r="B100" s="2620"/>
      <c r="C100" s="2621"/>
      <c r="D100" s="2622"/>
      <c r="E100" s="2620" t="s">
        <v>1317</v>
      </c>
      <c r="F100" s="2623" t="n">
        <v>425</v>
      </c>
      <c r="G100" s="2624" t="s">
        <v>620</v>
      </c>
      <c r="H100" s="2620"/>
      <c r="I100" s="2620"/>
      <c r="J100" s="2620"/>
      <c r="K100" s="2620"/>
      <c r="L100" s="2625" t="n">
        <f aca="false">IF(D65=0,0,(SUM(N100:O102))/D65)</f>
        <v>0</v>
      </c>
      <c r="M100" s="2625"/>
      <c r="N100" s="2626" t="n">
        <f aca="false">D100*F100</f>
        <v>0</v>
      </c>
      <c r="O100" s="2626"/>
      <c r="P100" s="1306"/>
      <c r="Q100" s="920"/>
      <c r="R100" s="78"/>
      <c r="S100" s="1311"/>
      <c r="T100" s="78" t="s">
        <v>1452</v>
      </c>
      <c r="U100" s="1308" t="n">
        <v>9</v>
      </c>
      <c r="V100" s="78"/>
      <c r="W100" s="2511" t="n">
        <f aca="false">S100*U100</f>
        <v>0</v>
      </c>
      <c r="X100" s="1414"/>
      <c r="Y100" s="1414"/>
      <c r="AE100" s="525"/>
      <c r="AK100" s="16" t="n">
        <v>21.17</v>
      </c>
      <c r="AL100" s="16" t="s">
        <v>1873</v>
      </c>
      <c r="AM100" s="16" t="n">
        <v>48</v>
      </c>
      <c r="AN100" s="16" t="s">
        <v>1874</v>
      </c>
      <c r="AO100" s="16" t="n">
        <v>49</v>
      </c>
      <c r="AP100" s="16" t="s">
        <v>1875</v>
      </c>
      <c r="AQ100" s="16" t="n">
        <v>143</v>
      </c>
      <c r="AR100" s="16" t="s">
        <v>849</v>
      </c>
      <c r="BI100" s="1335"/>
      <c r="BJ100" s="150"/>
      <c r="BK100" s="151"/>
      <c r="BL100" s="152" t="n">
        <f aca="false">BI100*(BJ100*BJ100*0.04180884375)*BK100</f>
        <v>0</v>
      </c>
    </row>
    <row r="101" customFormat="false" ht="22.5" hidden="false" customHeight="true" outlineLevel="0" collapsed="false">
      <c r="A101" s="2627" t="s">
        <v>1318</v>
      </c>
      <c r="B101" s="14"/>
      <c r="C101" s="14"/>
      <c r="D101" s="2628" t="n">
        <f aca="false">D100</f>
        <v>0</v>
      </c>
      <c r="E101" s="14" t="s">
        <v>1317</v>
      </c>
      <c r="F101" s="2629" t="n">
        <v>250</v>
      </c>
      <c r="G101" s="14" t="s">
        <v>620</v>
      </c>
      <c r="H101" s="14"/>
      <c r="I101" s="14"/>
      <c r="J101" s="14"/>
      <c r="K101" s="14"/>
      <c r="L101" s="2630" t="n">
        <f aca="false">SUM(N100:O102)</f>
        <v>0</v>
      </c>
      <c r="M101" s="2630"/>
      <c r="N101" s="2511" t="n">
        <f aca="false">D101*F101</f>
        <v>0</v>
      </c>
      <c r="O101" s="2511"/>
      <c r="P101" s="1306"/>
      <c r="Q101" s="920"/>
      <c r="R101" s="78"/>
      <c r="S101" s="1311"/>
      <c r="T101" s="78" t="s">
        <v>1452</v>
      </c>
      <c r="U101" s="1308" t="n">
        <v>10</v>
      </c>
      <c r="V101" s="78"/>
      <c r="W101" s="2511" t="n">
        <f aca="false">S101*U101</f>
        <v>0</v>
      </c>
      <c r="X101" s="1414"/>
      <c r="Y101" s="1414"/>
      <c r="AK101" s="16" t="n">
        <v>19.56</v>
      </c>
      <c r="AL101" s="16" t="s">
        <v>1873</v>
      </c>
      <c r="AM101" s="16" t="n">
        <v>48</v>
      </c>
      <c r="AN101" s="16" t="s">
        <v>1874</v>
      </c>
      <c r="AO101" s="16" t="n">
        <v>32</v>
      </c>
      <c r="AP101" s="16" t="s">
        <v>1875</v>
      </c>
      <c r="AQ101" s="16" t="n">
        <v>132</v>
      </c>
      <c r="AR101" s="16" t="s">
        <v>849</v>
      </c>
      <c r="BI101" s="1322"/>
      <c r="BJ101" s="1323"/>
      <c r="BK101" s="1324"/>
      <c r="BL101" s="1325" t="n">
        <f aca="false">BI101*(BJ101*BJ101*0.04180884375)*BK101</f>
        <v>0</v>
      </c>
    </row>
    <row r="102" customFormat="false" ht="22.5" hidden="false" customHeight="true" outlineLevel="0" collapsed="false">
      <c r="A102" s="45" t="s">
        <v>1320</v>
      </c>
      <c r="B102" s="14"/>
      <c r="C102" s="14"/>
      <c r="D102" s="2628" t="n">
        <f aca="false">D101</f>
        <v>0</v>
      </c>
      <c r="E102" s="14" t="s">
        <v>1317</v>
      </c>
      <c r="F102" s="2629" t="n">
        <v>100</v>
      </c>
      <c r="G102" s="14" t="s">
        <v>620</v>
      </c>
      <c r="H102" s="14"/>
      <c r="I102" s="14"/>
      <c r="J102" s="14"/>
      <c r="K102" s="14"/>
      <c r="L102" s="14"/>
      <c r="M102" s="14"/>
      <c r="N102" s="2511" t="n">
        <f aca="false">D102*F102</f>
        <v>0</v>
      </c>
      <c r="O102" s="2511"/>
      <c r="P102" s="1306"/>
      <c r="Q102" s="920"/>
      <c r="R102" s="78"/>
      <c r="S102" s="1311"/>
      <c r="T102" s="78" t="s">
        <v>1452</v>
      </c>
      <c r="U102" s="1308"/>
      <c r="V102" s="78"/>
      <c r="W102" s="2511" t="n">
        <f aca="false">S102*U102</f>
        <v>0</v>
      </c>
      <c r="X102" s="1414"/>
      <c r="Y102" s="1414"/>
      <c r="AK102" s="16" t="n">
        <v>66.85</v>
      </c>
      <c r="AL102" s="16" t="s">
        <v>1873</v>
      </c>
      <c r="AM102" s="16" t="n">
        <v>48</v>
      </c>
      <c r="AN102" s="16" t="s">
        <v>1874</v>
      </c>
      <c r="AO102" s="16" t="n">
        <v>56</v>
      </c>
      <c r="AP102" s="16" t="s">
        <v>1875</v>
      </c>
      <c r="AQ102" s="16" t="n">
        <v>451</v>
      </c>
      <c r="AR102" s="16" t="s">
        <v>849</v>
      </c>
      <c r="BJ102" s="1414"/>
    </row>
    <row r="103" customFormat="false" ht="22.5" hidden="false" customHeight="true" outlineLevel="0" collapsed="false">
      <c r="A103" s="2631"/>
      <c r="B103" s="2556"/>
      <c r="C103" s="2556"/>
      <c r="D103" s="2632" t="n">
        <f aca="false">D100</f>
        <v>0</v>
      </c>
      <c r="E103" s="2556"/>
      <c r="F103" s="2633" t="n">
        <v>200</v>
      </c>
      <c r="G103" s="2556"/>
      <c r="H103" s="2556"/>
      <c r="I103" s="2556"/>
      <c r="J103" s="2556"/>
      <c r="K103" s="2556"/>
      <c r="L103" s="1372" t="n">
        <f aca="false">IF(D65=0,0,N103/D65)</f>
        <v>0</v>
      </c>
      <c r="M103" s="1372"/>
      <c r="N103" s="2511" t="n">
        <f aca="false">D103*F103</f>
        <v>0</v>
      </c>
      <c r="O103" s="2511"/>
      <c r="P103" s="1306"/>
      <c r="Q103" s="920"/>
      <c r="R103" s="78"/>
      <c r="S103" s="1311"/>
      <c r="T103" s="78" t="s">
        <v>1452</v>
      </c>
      <c r="U103" s="1308"/>
      <c r="V103" s="78"/>
      <c r="W103" s="2511" t="n">
        <f aca="false">S103*U103</f>
        <v>0</v>
      </c>
      <c r="X103" s="1414"/>
      <c r="Y103" s="1414"/>
      <c r="BJ103" s="1414"/>
    </row>
    <row r="104" customFormat="false" ht="22.5" hidden="false" customHeight="true" outlineLevel="0" collapsed="false">
      <c r="A104" s="2618" t="s">
        <v>1325</v>
      </c>
      <c r="B104" s="2618"/>
      <c r="C104" s="2618"/>
      <c r="D104" s="2634"/>
      <c r="E104" s="2634"/>
      <c r="F104" s="2634"/>
      <c r="G104" s="2618"/>
      <c r="H104" s="2618"/>
      <c r="I104" s="2618"/>
      <c r="J104" s="2618"/>
      <c r="K104" s="2618"/>
      <c r="L104" s="2618"/>
      <c r="M104" s="2618"/>
      <c r="N104" s="2618"/>
      <c r="O104" s="2618"/>
      <c r="P104" s="1306" t="s">
        <v>1077</v>
      </c>
      <c r="Q104" s="920" t="s">
        <v>1894</v>
      </c>
      <c r="R104" s="78"/>
      <c r="S104" s="1311" t="n">
        <f aca="false">C50/1200</f>
        <v>0</v>
      </c>
      <c r="T104" s="78" t="s">
        <v>1452</v>
      </c>
      <c r="U104" s="1308" t="n">
        <v>15</v>
      </c>
      <c r="V104" s="78" t="s">
        <v>607</v>
      </c>
      <c r="W104" s="2511" t="n">
        <f aca="false">S104*U104</f>
        <v>0</v>
      </c>
      <c r="X104" s="1414"/>
      <c r="Y104" s="1414"/>
      <c r="AK104" s="16" t="n">
        <v>27.42</v>
      </c>
      <c r="AL104" s="16" t="s">
        <v>1873</v>
      </c>
      <c r="AM104" s="16" t="n">
        <v>36</v>
      </c>
      <c r="AN104" s="16" t="s">
        <v>1874</v>
      </c>
      <c r="AO104" s="16" t="n">
        <v>46</v>
      </c>
      <c r="AP104" s="16" t="s">
        <v>1875</v>
      </c>
      <c r="AQ104" s="16" t="n">
        <v>247</v>
      </c>
      <c r="AR104" s="16" t="s">
        <v>849</v>
      </c>
    </row>
    <row r="105" customFormat="false" ht="22.5" hidden="false" customHeight="true" outlineLevel="0" collapsed="false">
      <c r="A105" s="2635" t="s">
        <v>1895</v>
      </c>
      <c r="B105" s="2635"/>
      <c r="C105" s="2635"/>
      <c r="D105" s="2622"/>
      <c r="E105" s="2636" t="s">
        <v>1327</v>
      </c>
      <c r="F105" s="2623" t="n">
        <v>850</v>
      </c>
      <c r="G105" s="2636" t="s">
        <v>620</v>
      </c>
      <c r="H105" s="2620"/>
      <c r="I105" s="2620"/>
      <c r="J105" s="2620"/>
      <c r="K105" s="2620"/>
      <c r="L105" s="2620"/>
      <c r="M105" s="2620"/>
      <c r="N105" s="2626" t="n">
        <f aca="false">((IF(AND(D105&gt;0,D105&lt;4),D105*F105,0)+IF(AND(D105&gt;3,D105&lt;8),F105*3,0)+IF(AND(D105&gt;7,D105&lt;21),D105/7*F105*3,0)+IF(AND(D105&gt;20,D105&lt;30),F105*9,0)+IF(D105&gt;29,D105/30*F105*9,0)))*(1+$V$64+I$107)</f>
        <v>0</v>
      </c>
      <c r="O105" s="2626"/>
      <c r="P105" s="1306"/>
      <c r="Q105" s="920"/>
      <c r="R105" s="78"/>
      <c r="S105" s="1311"/>
      <c r="T105" s="78"/>
      <c r="U105" s="1308"/>
      <c r="V105" s="78"/>
      <c r="W105" s="2511" t="n">
        <f aca="false">S105*U105</f>
        <v>0</v>
      </c>
      <c r="X105" s="1414"/>
      <c r="Y105" s="1414"/>
    </row>
    <row r="106" customFormat="false" ht="22.5" hidden="false" customHeight="true" outlineLevel="0" collapsed="false">
      <c r="A106" s="2549" t="s">
        <v>1896</v>
      </c>
      <c r="B106" s="2549"/>
      <c r="C106" s="2549"/>
      <c r="D106" s="26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2524" t="s">
        <v>1327</v>
      </c>
      <c r="F106" s="2629" t="n">
        <v>3200</v>
      </c>
      <c r="G106" s="2524" t="s">
        <v>620</v>
      </c>
      <c r="H106" s="14"/>
      <c r="I106" s="2637" t="s">
        <v>1329</v>
      </c>
      <c r="J106" s="2637"/>
      <c r="K106" s="14"/>
      <c r="L106" s="2625" t="n">
        <f aca="false">IF(D65=0,0,(SUM(N105:O110))/D65)</f>
        <v>0</v>
      </c>
      <c r="M106" s="2625"/>
      <c r="N106" s="2511" t="n">
        <f aca="false">((IF(AND(D106&gt;0,D106&lt;4),D106*F106,0)+IF(AND(D106&gt;3,D106&lt;8),F106*3,0)+IF(AND(D106&gt;7,D106&lt;21),D106/7*F106*3,0)+IF(AND(D106&gt;20,D106&lt;30),F106*9,0)+IF(D106&gt;29,D106/30*F106*9,0)))*(1+$V$64+I$107)</f>
        <v>0</v>
      </c>
      <c r="O106" s="2511"/>
      <c r="P106" s="1306"/>
      <c r="Q106" s="1357" t="s">
        <v>1643</v>
      </c>
      <c r="R106" s="1358"/>
      <c r="S106" s="1359"/>
      <c r="T106" s="1358" t="s">
        <v>1323</v>
      </c>
      <c r="U106" s="1360" t="n">
        <v>500</v>
      </c>
      <c r="V106" s="1358" t="s">
        <v>1324</v>
      </c>
      <c r="W106" s="2638" t="n">
        <f aca="false">S106*U106</f>
        <v>0</v>
      </c>
      <c r="X106" s="1414"/>
      <c r="Y106" s="1414"/>
    </row>
    <row r="107" customFormat="false" ht="22.5" hidden="false" customHeight="true" outlineLevel="0" collapsed="false">
      <c r="A107" s="2549" t="s">
        <v>626</v>
      </c>
      <c r="B107" s="2549"/>
      <c r="C107" s="2549"/>
      <c r="D107" s="26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7" s="2524" t="s">
        <v>1327</v>
      </c>
      <c r="F107" s="2629" t="n">
        <f aca="false">Pricing!D35</f>
        <v>325</v>
      </c>
      <c r="G107" s="2524" t="s">
        <v>620</v>
      </c>
      <c r="H107" s="14"/>
      <c r="I107" s="2639" t="n">
        <v>0.5</v>
      </c>
      <c r="J107" s="2639"/>
      <c r="K107" s="14"/>
      <c r="L107" s="2630" t="n">
        <f aca="false">SUM(N105:O110)</f>
        <v>0</v>
      </c>
      <c r="M107" s="2630"/>
      <c r="N107" s="2640" t="n">
        <f aca="false">((IF(AND(D107&gt;0,D107&lt;4),D107*F107,0)+IF(AND(D107&gt;3,D107&lt;8),F107*3,0)+IF(AND(D107&gt;7,D107&lt;21),D107/7*F107*3,0)+IF(AND(D107&gt;20,D107&lt;30),F107*9,0)+IF(D107&gt;29,D107/30*F107*9,0)))*(1+$V$64+I$107)</f>
        <v>0</v>
      </c>
      <c r="O107" s="2640"/>
      <c r="P107" s="1306" t="s">
        <v>1073</v>
      </c>
      <c r="Q107" s="920" t="s">
        <v>618</v>
      </c>
      <c r="R107" s="78"/>
      <c r="S107" s="1311" t="n">
        <f aca="false">ROUNDUP(C50/15000,0)</f>
        <v>0</v>
      </c>
      <c r="T107" s="78" t="s">
        <v>1452</v>
      </c>
      <c r="U107" s="1308" t="n">
        <f aca="false">Pricing!Q31</f>
        <v>27</v>
      </c>
      <c r="V107" s="78" t="s">
        <v>607</v>
      </c>
      <c r="W107" s="2511" t="n">
        <f aca="false">S107*U107</f>
        <v>0</v>
      </c>
      <c r="X107" s="1414"/>
      <c r="Y107" s="1414"/>
    </row>
    <row r="108" customFormat="false" ht="22.5" hidden="false" customHeight="true" outlineLevel="0" collapsed="false">
      <c r="A108" s="2549" t="s">
        <v>1332</v>
      </c>
      <c r="B108" s="2549"/>
      <c r="C108" s="2549"/>
      <c r="D108" s="26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8" s="2524" t="s">
        <v>1327</v>
      </c>
      <c r="F108" s="2629" t="n">
        <f aca="false">Pricing!D39</f>
        <v>100</v>
      </c>
      <c r="G108" s="2524" t="s">
        <v>620</v>
      </c>
      <c r="H108" s="14"/>
      <c r="I108" s="2639"/>
      <c r="J108" s="2639"/>
      <c r="K108" s="14"/>
      <c r="L108" s="14"/>
      <c r="M108" s="14"/>
      <c r="N108" s="2511" t="n">
        <f aca="false">((IF(AND(D108&gt;0,D108&lt;4),D108*F108,0)+IF(AND(D108&gt;3,D108&lt;8),F108*3,0)+IF(AND(D108&gt;7,D108&lt;21),D108/7*F108*3,0)+IF(AND(D108&gt;20,D108&lt;30),F108*9,0)+IF(D108&gt;29,D108/30*F108*9,0)))*(1+$V$64+I$107)</f>
        <v>0</v>
      </c>
      <c r="O108" s="2511"/>
      <c r="P108" s="1306" t="s">
        <v>1073</v>
      </c>
      <c r="Q108" s="920" t="s">
        <v>629</v>
      </c>
      <c r="R108" s="78"/>
      <c r="S108" s="1311" t="n">
        <v>0</v>
      </c>
      <c r="T108" s="78" t="s">
        <v>1644</v>
      </c>
      <c r="U108" s="1308" t="n">
        <f aca="false">0+Pricing!Q36</f>
        <v>37.8</v>
      </c>
      <c r="V108" s="78" t="s">
        <v>630</v>
      </c>
      <c r="W108" s="2511" t="n">
        <f aca="false">U108*S108</f>
        <v>0</v>
      </c>
      <c r="X108" s="1414"/>
      <c r="Y108" s="1414"/>
    </row>
    <row r="109" customFormat="false" ht="22.5" hidden="false" customHeight="true" outlineLevel="0" collapsed="false">
      <c r="A109" s="2549" t="s">
        <v>639</v>
      </c>
      <c r="B109" s="2549"/>
      <c r="C109" s="2549"/>
      <c r="D109" s="2628"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9" s="2524" t="s">
        <v>1327</v>
      </c>
      <c r="F109" s="2629" t="n">
        <f aca="false">Pricing!D41</f>
        <v>380</v>
      </c>
      <c r="G109" s="2524" t="s">
        <v>620</v>
      </c>
      <c r="H109" s="14"/>
      <c r="I109" s="14"/>
      <c r="J109" s="14"/>
      <c r="K109" s="14"/>
      <c r="L109" s="14"/>
      <c r="M109" s="14"/>
      <c r="N109" s="2511" t="n">
        <f aca="false">((IF(AND(D109&gt;0,D109&lt;4),D109*F109,0)+IF(AND(D109&gt;3,D109&lt;8),F109*3,0)+IF(AND(D109&gt;7,D109&lt;21),D109/7*F109*3,0)+IF(AND(D109&gt;20,D109&lt;30),F109*9,0)+IF(D109&gt;29,D109/30*F109*9,0)))*(1+$V$64+I$107)</f>
        <v>0</v>
      </c>
      <c r="O109" s="2511"/>
      <c r="P109" s="1306" t="s">
        <v>1073</v>
      </c>
      <c r="Q109" s="920" t="s">
        <v>554</v>
      </c>
      <c r="R109" s="78"/>
      <c r="S109" s="1311" t="n">
        <f aca="false">K78+(K79*0.75)</f>
        <v>0</v>
      </c>
      <c r="T109" s="78" t="s">
        <v>1288</v>
      </c>
      <c r="U109" s="1308" t="n">
        <v>0.02</v>
      </c>
      <c r="V109" s="78" t="s">
        <v>555</v>
      </c>
      <c r="W109" s="2511" t="n">
        <f aca="false">U109*S109</f>
        <v>0</v>
      </c>
      <c r="X109" s="1414"/>
      <c r="Y109" s="1414"/>
    </row>
    <row r="110" customFormat="false" ht="22.5" hidden="false" customHeight="true" outlineLevel="0" collapsed="false">
      <c r="A110" s="2554" t="s">
        <v>1067</v>
      </c>
      <c r="B110" s="2554"/>
      <c r="C110" s="2554"/>
      <c r="D110" s="2641" t="n">
        <f aca="false">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10" s="2642" t="s">
        <v>1645</v>
      </c>
      <c r="F110" s="2633" t="n">
        <v>35</v>
      </c>
      <c r="G110" s="2642" t="s">
        <v>620</v>
      </c>
      <c r="H110" s="2556"/>
      <c r="I110" s="2556"/>
      <c r="J110" s="2556"/>
      <c r="K110" s="2556"/>
      <c r="L110" s="2643"/>
      <c r="M110" s="2556"/>
      <c r="N110" s="2565" t="n">
        <f aca="false">((IF(AND(D110&gt;0,D110&lt;4),D110*F110,0)+IF(AND(D110&gt;3,D110&lt;8),F110*3,0)+IF(AND(D110&gt;7,D110&lt;21),D110/7*F110*3,0)+IF(AND(D110&gt;20,D110&lt;30),F110*9,0)+IF(D110&gt;29,D110/30*F110*9,0)))</f>
        <v>0</v>
      </c>
      <c r="O110" s="2565"/>
      <c r="P110" s="1306" t="s">
        <v>1073</v>
      </c>
      <c r="Q110" s="1357" t="s">
        <v>1897</v>
      </c>
      <c r="R110" s="1358"/>
      <c r="S110" s="1359" t="n">
        <v>0</v>
      </c>
      <c r="T110" s="1358" t="s">
        <v>1354</v>
      </c>
      <c r="U110" s="1360" t="n">
        <v>0.21</v>
      </c>
      <c r="V110" s="1358" t="s">
        <v>1898</v>
      </c>
      <c r="W110" s="2580" t="n">
        <f aca="false">U110*S110</f>
        <v>0</v>
      </c>
      <c r="X110" s="1414"/>
      <c r="Y110" s="1414"/>
    </row>
    <row r="111" customFormat="false" ht="22.5" hidden="false" customHeight="true" outlineLevel="0" collapsed="false">
      <c r="A111" s="2618" t="s">
        <v>1336</v>
      </c>
      <c r="B111" s="2618"/>
      <c r="C111" s="2618"/>
      <c r="D111" s="2618"/>
      <c r="E111" s="2618"/>
      <c r="F111" s="2618"/>
      <c r="G111" s="2618"/>
      <c r="H111" s="2618"/>
      <c r="I111" s="2618"/>
      <c r="J111" s="2618"/>
      <c r="K111" s="2618"/>
      <c r="L111" s="2618"/>
      <c r="M111" s="2618"/>
      <c r="N111" s="2618"/>
      <c r="O111" s="2618"/>
      <c r="P111" s="1306" t="s">
        <v>1078</v>
      </c>
      <c r="Q111" s="920" t="s">
        <v>1105</v>
      </c>
      <c r="R111" s="78"/>
      <c r="S111" s="1311"/>
      <c r="T111" s="78"/>
      <c r="U111" s="1308"/>
      <c r="V111" s="78"/>
      <c r="W111" s="2511" t="n">
        <v>0</v>
      </c>
      <c r="X111" s="1414"/>
      <c r="Y111" s="1414"/>
    </row>
    <row r="112" customFormat="false" ht="22.5" hidden="false" customHeight="true" outlineLevel="0" collapsed="false">
      <c r="A112" s="2635" t="s">
        <v>1646</v>
      </c>
      <c r="B112" s="2635"/>
      <c r="C112" s="2635"/>
      <c r="D112" s="2644"/>
      <c r="E112" s="2645" t="s">
        <v>1418</v>
      </c>
      <c r="F112" s="2646" t="n">
        <v>1.05</v>
      </c>
      <c r="G112" s="2646"/>
      <c r="H112" s="2620" t="s">
        <v>600</v>
      </c>
      <c r="I112" s="2620"/>
      <c r="J112" s="2620"/>
      <c r="K112" s="2620"/>
      <c r="L112" s="2620"/>
      <c r="M112" s="2647"/>
      <c r="N112" s="2626" t="n">
        <f aca="false">D112*F112</f>
        <v>0</v>
      </c>
      <c r="O112" s="2626"/>
      <c r="P112" s="1306" t="s">
        <v>1328</v>
      </c>
      <c r="Q112" s="920" t="s">
        <v>1105</v>
      </c>
      <c r="R112" s="78"/>
      <c r="S112" s="1311"/>
      <c r="T112" s="78"/>
      <c r="U112" s="1308"/>
      <c r="V112" s="78"/>
      <c r="W112" s="2511" t="n">
        <v>0</v>
      </c>
      <c r="X112" s="1414"/>
      <c r="Y112" s="1414"/>
    </row>
    <row r="113" customFormat="false" ht="22.5" hidden="false" customHeight="true" outlineLevel="0" collapsed="false">
      <c r="A113" s="2549" t="s">
        <v>1462</v>
      </c>
      <c r="B113" s="2549"/>
      <c r="C113" s="2549"/>
      <c r="D113" s="2648"/>
      <c r="E113" s="2524" t="s">
        <v>1341</v>
      </c>
      <c r="F113" s="2499" t="n">
        <v>2.5</v>
      </c>
      <c r="G113" s="2499"/>
      <c r="H113" s="14" t="s">
        <v>1341</v>
      </c>
      <c r="I113" s="2649" t="s">
        <v>1648</v>
      </c>
      <c r="J113" s="2649"/>
      <c r="K113" s="2650" t="n">
        <v>25</v>
      </c>
      <c r="L113" s="14"/>
      <c r="M113" s="2576"/>
      <c r="N113" s="2511" t="n">
        <f aca="false">D113*F113</f>
        <v>0</v>
      </c>
      <c r="O113" s="2511"/>
      <c r="P113" s="1306" t="s">
        <v>1330</v>
      </c>
      <c r="Q113" s="1357" t="s">
        <v>1108</v>
      </c>
      <c r="R113" s="1358"/>
      <c r="S113" s="1359"/>
      <c r="T113" s="1358"/>
      <c r="U113" s="1360"/>
      <c r="V113" s="1358"/>
      <c r="W113" s="2580" t="n">
        <v>0</v>
      </c>
      <c r="X113" s="1414"/>
    </row>
    <row r="114" customFormat="false" ht="22.5" hidden="false" customHeight="true" outlineLevel="0" collapsed="false">
      <c r="A114" s="2549" t="s">
        <v>1343</v>
      </c>
      <c r="B114" s="2549"/>
      <c r="C114" s="2549"/>
      <c r="D114" s="2651" t="n">
        <f aca="false">SUM(K73:L77)</f>
        <v>0</v>
      </c>
      <c r="E114" s="2652" t="s">
        <v>998</v>
      </c>
      <c r="F114" s="2499" t="n">
        <v>10</v>
      </c>
      <c r="G114" s="2499"/>
      <c r="H114" s="14" t="s">
        <v>1285</v>
      </c>
      <c r="I114" s="2649"/>
      <c r="J114" s="2649"/>
      <c r="K114" s="2650"/>
      <c r="L114" s="14"/>
      <c r="M114" s="2576"/>
      <c r="N114" s="2511" t="n">
        <f aca="false">D114*F114</f>
        <v>0</v>
      </c>
      <c r="O114" s="2511"/>
      <c r="P114" s="1306" t="s">
        <v>1342</v>
      </c>
      <c r="Q114" s="920" t="s">
        <v>646</v>
      </c>
      <c r="R114" s="78"/>
      <c r="S114" s="1311" t="n">
        <f aca="false">ROUNDUP(H87/300/55,0)</f>
        <v>0</v>
      </c>
      <c r="T114" s="78" t="s">
        <v>1344</v>
      </c>
      <c r="U114" s="1308" t="n">
        <f aca="false">Pricing!Q44</f>
        <v>567.5</v>
      </c>
      <c r="V114" s="78" t="s">
        <v>647</v>
      </c>
      <c r="W114" s="2511" t="n">
        <f aca="false">U114*S114</f>
        <v>0</v>
      </c>
      <c r="X114" s="1414"/>
    </row>
    <row r="115" customFormat="false" ht="22.5" hidden="false" customHeight="true" outlineLevel="0" collapsed="false">
      <c r="A115" s="2549" t="s">
        <v>1899</v>
      </c>
      <c r="B115" s="2549"/>
      <c r="C115" s="2549"/>
      <c r="D115" s="2648"/>
      <c r="E115" s="2653" t="s">
        <v>1718</v>
      </c>
      <c r="F115" s="2654" t="n">
        <v>1100</v>
      </c>
      <c r="G115" s="2654"/>
      <c r="H115" s="14" t="s">
        <v>1719</v>
      </c>
      <c r="I115" s="14"/>
      <c r="J115" s="14"/>
      <c r="K115" s="14"/>
      <c r="L115" s="14"/>
      <c r="M115" s="2576"/>
      <c r="N115" s="2511" t="n">
        <f aca="false">D115*F115</f>
        <v>0</v>
      </c>
      <c r="O115" s="2511"/>
      <c r="P115" s="1306" t="s">
        <v>1342</v>
      </c>
      <c r="Q115" s="1357" t="s">
        <v>649</v>
      </c>
      <c r="R115" s="1358"/>
      <c r="S115" s="1359" t="n">
        <v>0</v>
      </c>
      <c r="T115" s="1358" t="s">
        <v>1344</v>
      </c>
      <c r="U115" s="1360" t="n">
        <f aca="false">Pricing!Q45</f>
        <v>542</v>
      </c>
      <c r="V115" s="1358" t="s">
        <v>647</v>
      </c>
      <c r="W115" s="2580" t="n">
        <f aca="false">U115*S115</f>
        <v>0</v>
      </c>
      <c r="X115" s="1414"/>
    </row>
    <row r="116" customFormat="false" ht="22.5" hidden="false" customHeight="true" outlineLevel="0" collapsed="false">
      <c r="A116" s="2549" t="s">
        <v>1900</v>
      </c>
      <c r="B116" s="2549"/>
      <c r="C116" s="2549"/>
      <c r="D116" s="2655"/>
      <c r="E116" s="2524" t="s">
        <v>1418</v>
      </c>
      <c r="F116" s="2499" t="n">
        <v>2.25</v>
      </c>
      <c r="G116" s="2499"/>
      <c r="H116" s="14" t="s">
        <v>600</v>
      </c>
      <c r="I116" s="14"/>
      <c r="J116" s="14"/>
      <c r="K116" s="14"/>
      <c r="L116" s="14"/>
      <c r="M116" s="2576"/>
      <c r="N116" s="2511" t="n">
        <f aca="false">IF(D116=0,0,D116*F116)</f>
        <v>0</v>
      </c>
      <c r="O116" s="2511"/>
      <c r="P116" s="1306"/>
      <c r="Q116" s="920"/>
      <c r="R116" s="78"/>
      <c r="S116" s="78"/>
      <c r="U116" s="78"/>
      <c r="W116" s="2656"/>
      <c r="X116" s="1414"/>
    </row>
    <row r="117" customFormat="false" ht="22.5" hidden="false" customHeight="true" outlineLevel="0" collapsed="false">
      <c r="A117" s="2530" t="s">
        <v>1346</v>
      </c>
      <c r="B117" s="2531"/>
      <c r="C117" s="2533"/>
      <c r="D117" s="2657"/>
      <c r="E117" s="2653" t="s">
        <v>1347</v>
      </c>
      <c r="F117" s="2654" t="n">
        <v>225</v>
      </c>
      <c r="G117" s="2654"/>
      <c r="H117" s="14" t="s">
        <v>620</v>
      </c>
      <c r="I117" s="14"/>
      <c r="J117" s="14"/>
      <c r="K117" s="14"/>
      <c r="L117" s="14"/>
      <c r="M117" s="14"/>
      <c r="N117" s="2511" t="n">
        <f aca="false">D117*F117</f>
        <v>0</v>
      </c>
      <c r="O117" s="2511"/>
      <c r="P117" s="1306"/>
      <c r="Q117" s="1822" t="s">
        <v>1349</v>
      </c>
      <c r="R117" s="1823"/>
      <c r="S117" s="1271" t="n">
        <v>18</v>
      </c>
      <c r="T117" s="16" t="s">
        <v>1350</v>
      </c>
      <c r="U117" s="78"/>
      <c r="W117" s="2658"/>
      <c r="X117" s="1414"/>
    </row>
    <row r="118" customFormat="false" ht="22.5" hidden="false" customHeight="true" outlineLevel="0" collapsed="false">
      <c r="A118" s="2659" t="s">
        <v>1901</v>
      </c>
      <c r="B118" s="2581"/>
      <c r="C118" s="2660"/>
      <c r="D118" s="2657"/>
      <c r="E118" s="2661" t="s">
        <v>836</v>
      </c>
      <c r="F118" s="2527" t="n">
        <v>1.45</v>
      </c>
      <c r="G118" s="2527"/>
      <c r="H118" s="2541" t="s">
        <v>1902</v>
      </c>
      <c r="I118" s="2541"/>
      <c r="J118" s="2541"/>
      <c r="K118" s="2541"/>
      <c r="L118" s="2541"/>
      <c r="M118" s="2541"/>
      <c r="N118" s="2544" t="n">
        <f aca="false">D118*F118</f>
        <v>0</v>
      </c>
      <c r="O118" s="2544"/>
      <c r="P118" s="2662" t="s">
        <v>1072</v>
      </c>
      <c r="Q118" s="1599" t="s">
        <v>1353</v>
      </c>
      <c r="R118" s="1826"/>
      <c r="S118" s="1826" t="n">
        <f aca="false">ROUNDUP((S86+S88+S89)*12/S117,0)</f>
        <v>0</v>
      </c>
      <c r="T118" s="1058" t="s">
        <v>1354</v>
      </c>
      <c r="U118" s="1827" t="n">
        <f aca="false">Pricing!D30</f>
        <v>1</v>
      </c>
      <c r="V118" s="1827"/>
      <c r="W118" s="2565" t="n">
        <f aca="false">U118*S118</f>
        <v>0</v>
      </c>
      <c r="X118" s="1414"/>
    </row>
    <row r="119" customFormat="false" ht="22.5" hidden="false" customHeight="true" outlineLevel="0" collapsed="false">
      <c r="A119" s="2663" t="s">
        <v>1903</v>
      </c>
      <c r="B119" s="2663"/>
      <c r="C119" s="2663"/>
      <c r="D119" s="2664" t="n">
        <f aca="false">Summary!P60</f>
        <v>0</v>
      </c>
      <c r="E119" s="2665" t="s">
        <v>1352</v>
      </c>
      <c r="F119" s="2666" t="n">
        <f aca="false">(SUM(N73:O84)+SUM(N87:O97)+SUM(K87:L97)+SUM(N100:O102)+SUM(N105:O110)+SUM(N112:O118)+W119)*D119</f>
        <v>0</v>
      </c>
      <c r="G119" s="2666"/>
      <c r="H119" s="2667" t="s">
        <v>1039</v>
      </c>
      <c r="I119" s="2667"/>
      <c r="J119" s="2667"/>
      <c r="K119" s="2667"/>
      <c r="L119" s="2667"/>
      <c r="M119" s="2668"/>
      <c r="N119" s="2669" t="n">
        <f aca="false">F119</f>
        <v>0</v>
      </c>
      <c r="O119" s="2669"/>
      <c r="P119" s="1058"/>
      <c r="Q119" s="1599"/>
      <c r="R119" s="1826"/>
      <c r="S119" s="1826"/>
      <c r="T119" s="1058"/>
      <c r="U119" s="1827"/>
      <c r="V119" s="1827"/>
      <c r="W119" s="2670" t="n">
        <f aca="false">SUM(W73:W118)</f>
        <v>0</v>
      </c>
      <c r="X119" s="1414"/>
    </row>
    <row r="120" customFormat="false" ht="22.5" hidden="false" customHeight="true" outlineLevel="0" collapsed="false">
      <c r="A120" s="654"/>
      <c r="B120" s="654"/>
      <c r="C120" s="654"/>
      <c r="D120" s="654"/>
      <c r="E120" s="654"/>
      <c r="F120" s="654"/>
      <c r="G120" s="654"/>
      <c r="H120" s="654"/>
      <c r="I120" s="654"/>
      <c r="J120" s="654"/>
      <c r="K120" s="654"/>
      <c r="L120" s="654"/>
      <c r="M120" s="654"/>
      <c r="N120" s="654"/>
      <c r="O120" s="654"/>
      <c r="Q120" s="78"/>
      <c r="R120" s="78"/>
      <c r="S120" s="78"/>
      <c r="U120" s="2671"/>
      <c r="V120" s="2671"/>
      <c r="W120" s="506"/>
      <c r="X120" s="1414"/>
    </row>
    <row r="121" customFormat="false" ht="15" hidden="false" customHeight="false" outlineLevel="0" collapsed="false">
      <c r="A121" s="949"/>
      <c r="B121" s="950"/>
      <c r="C121" s="950"/>
      <c r="D121" s="950"/>
      <c r="E121" s="950"/>
      <c r="F121" s="950"/>
      <c r="G121" s="950"/>
      <c r="H121" s="950"/>
      <c r="I121" s="950"/>
      <c r="J121" s="950"/>
      <c r="K121" s="954"/>
      <c r="L121" s="950"/>
      <c r="M121" s="950"/>
      <c r="N121" s="950"/>
      <c r="O121" s="950"/>
      <c r="P121" s="950"/>
      <c r="Q121" s="950"/>
      <c r="R121" s="950"/>
      <c r="S121" s="950"/>
      <c r="T121" s="950"/>
      <c r="U121" s="950"/>
      <c r="V121" s="950"/>
      <c r="W121" s="957"/>
      <c r="X121" s="1414"/>
    </row>
    <row r="122" customFormat="false" ht="28.5" hidden="false" customHeight="true" outlineLevel="0" collapsed="false">
      <c r="A122" s="958" t="s">
        <v>1262</v>
      </c>
      <c r="B122" s="958"/>
      <c r="C122" s="958"/>
      <c r="D122" s="958" t="s">
        <v>982</v>
      </c>
      <c r="E122" s="958"/>
      <c r="F122" s="958" t="s">
        <v>1263</v>
      </c>
      <c r="G122" s="958"/>
      <c r="H122" s="958"/>
      <c r="I122" s="1167" t="s">
        <v>1264</v>
      </c>
      <c r="J122" s="1168"/>
      <c r="K122" s="1169"/>
      <c r="L122" s="1170" t="s">
        <v>1265</v>
      </c>
      <c r="M122" s="1170"/>
      <c r="N122" s="1171"/>
      <c r="O122" s="1172"/>
      <c r="P122" s="961"/>
      <c r="Q122" s="599" t="s">
        <v>1266</v>
      </c>
      <c r="S122" s="16" t="s">
        <v>1267</v>
      </c>
      <c r="T122" s="1173" t="str">
        <f aca="false">T64</f>
        <v>N</v>
      </c>
      <c r="U122" s="833" t="s">
        <v>1268</v>
      </c>
      <c r="V122" s="1401" t="n">
        <f aca="false">V64</f>
        <v>0.0825</v>
      </c>
      <c r="W122" s="964"/>
      <c r="X122" s="1414"/>
    </row>
    <row r="123" customFormat="false" ht="19.5" hidden="false" customHeight="true" outlineLevel="0" collapsed="false">
      <c r="A123" s="965" t="s">
        <v>1269</v>
      </c>
      <c r="B123" s="966" t="n">
        <f aca="false">B65</f>
        <v>0</v>
      </c>
      <c r="C123" s="966"/>
      <c r="D123" s="967" t="n">
        <f aca="false">D65</f>
        <v>0</v>
      </c>
      <c r="E123" s="967"/>
      <c r="F123" s="968" t="n">
        <f aca="false">F65</f>
        <v>0</v>
      </c>
      <c r="G123" s="736" t="n">
        <f aca="false">G65</f>
        <v>0</v>
      </c>
      <c r="H123" s="736"/>
      <c r="I123" s="1264" t="n">
        <f aca="false">I65</f>
        <v>0</v>
      </c>
      <c r="J123" s="1264"/>
      <c r="K123" s="1264"/>
      <c r="L123" s="1829" t="n">
        <f aca="false">L65</f>
        <v>0.18</v>
      </c>
      <c r="M123" s="1655"/>
      <c r="N123" s="1655"/>
      <c r="O123" s="1656"/>
      <c r="P123" s="1265"/>
      <c r="Q123" s="970" t="s">
        <v>980</v>
      </c>
      <c r="T123" s="971" t="n">
        <f aca="false">T65</f>
        <v>0</v>
      </c>
      <c r="U123" s="971"/>
      <c r="W123" s="964"/>
      <c r="Z123" s="0"/>
      <c r="AA123" s="0"/>
      <c r="AB123" s="0"/>
      <c r="AC123" s="0"/>
      <c r="AD123" s="0"/>
      <c r="AE123" s="0"/>
      <c r="AF123" s="0"/>
      <c r="AG123" s="0"/>
      <c r="AH123" s="0"/>
      <c r="AI123" s="0"/>
      <c r="AJ123" s="0"/>
      <c r="AK123" s="0"/>
      <c r="AL123" s="0"/>
      <c r="AM123" s="0"/>
      <c r="AN123" s="0"/>
      <c r="AO123" s="0"/>
      <c r="AP123" s="0"/>
      <c r="AQ123" s="0"/>
      <c r="AR123" s="0"/>
      <c r="AS123" s="0"/>
      <c r="AT123" s="0"/>
      <c r="AU123" s="0"/>
      <c r="AV123" s="0"/>
      <c r="AW123" s="0"/>
      <c r="AX123" s="0"/>
      <c r="AY123" s="0"/>
      <c r="AZ123" s="0"/>
      <c r="BA123" s="0"/>
      <c r="BB123" s="0"/>
      <c r="BC123" s="0"/>
      <c r="BD123" s="0"/>
      <c r="BE123" s="0"/>
      <c r="BF123" s="0"/>
      <c r="BG123" s="0"/>
      <c r="BH123" s="0"/>
      <c r="BI123" s="0"/>
      <c r="BJ123" s="0"/>
      <c r="BK123" s="0"/>
      <c r="BL123" s="0"/>
      <c r="BM123" s="0"/>
      <c r="BN123" s="0"/>
      <c r="BO123" s="0"/>
      <c r="BP123" s="0"/>
      <c r="BQ123" s="0"/>
      <c r="BR123" s="0"/>
      <c r="BS123" s="0"/>
      <c r="BT123" s="0"/>
      <c r="BU123" s="0"/>
      <c r="BV123" s="0"/>
      <c r="BW123" s="0"/>
      <c r="BX123" s="0"/>
      <c r="BY123" s="0"/>
      <c r="BZ123" s="0"/>
      <c r="CA123" s="0"/>
      <c r="CB123" s="0"/>
      <c r="CC123" s="0"/>
      <c r="CD123" s="0"/>
      <c r="CE123" s="0"/>
      <c r="CF123" s="0"/>
      <c r="CG123" s="0"/>
      <c r="CH123" s="0"/>
      <c r="CI123" s="0"/>
      <c r="CJ123" s="0"/>
      <c r="CK123" s="0"/>
      <c r="CL123" s="0"/>
      <c r="CM123" s="0"/>
      <c r="CN123" s="0"/>
      <c r="CO123" s="0"/>
      <c r="CP123" s="0"/>
      <c r="CQ123" s="0"/>
      <c r="CR123" s="0"/>
      <c r="CS123" s="0"/>
      <c r="CT123" s="0"/>
      <c r="CU123" s="0"/>
      <c r="CV123" s="0"/>
      <c r="CW123" s="0"/>
      <c r="CX123" s="0"/>
      <c r="CY123" s="0"/>
      <c r="CZ123" s="0"/>
      <c r="DA123" s="0"/>
      <c r="DB123" s="0"/>
      <c r="DC123" s="0"/>
      <c r="DD123" s="0"/>
      <c r="DE123" s="0"/>
      <c r="DF123" s="0"/>
      <c r="DG123" s="0"/>
      <c r="DH123" s="0"/>
      <c r="DI123" s="0"/>
      <c r="DJ123" s="0"/>
      <c r="DK123" s="0"/>
      <c r="DL123" s="0"/>
      <c r="DM123" s="0"/>
      <c r="DN123" s="0"/>
      <c r="DO123" s="0"/>
      <c r="DP123" s="0"/>
      <c r="DQ123" s="0"/>
      <c r="DR123" s="0"/>
      <c r="DS123" s="0"/>
      <c r="DT123" s="0"/>
      <c r="DU123" s="0"/>
      <c r="DV123" s="0"/>
      <c r="DW123" s="0"/>
      <c r="DX123" s="0"/>
      <c r="DY123" s="0"/>
      <c r="DZ123" s="0"/>
      <c r="EA123" s="0"/>
      <c r="EB123" s="0"/>
      <c r="EC123" s="0"/>
      <c r="ED123" s="0"/>
      <c r="EE123" s="0"/>
      <c r="EF123" s="0"/>
      <c r="EG123" s="0"/>
      <c r="EH123" s="0"/>
      <c r="EI123" s="0"/>
      <c r="EJ123" s="0"/>
      <c r="EK123" s="0"/>
      <c r="EL123" s="0"/>
      <c r="EM123" s="0"/>
      <c r="EN123" s="0"/>
      <c r="EO123" s="0"/>
      <c r="EP123" s="0"/>
      <c r="EQ123" s="0"/>
      <c r="ER123" s="0"/>
      <c r="ES123" s="0"/>
      <c r="ET123" s="0"/>
      <c r="EU123" s="0"/>
      <c r="EV123" s="0"/>
      <c r="EW123" s="0"/>
      <c r="EX123" s="0"/>
      <c r="EY123" s="0"/>
      <c r="EZ123" s="0"/>
      <c r="FA123" s="0"/>
      <c r="FB123" s="0"/>
      <c r="FC123" s="0"/>
      <c r="FD123" s="0"/>
      <c r="FE123" s="0"/>
      <c r="FF123" s="0"/>
      <c r="FG123" s="0"/>
      <c r="FH123" s="0"/>
      <c r="FI123" s="0"/>
      <c r="FJ123" s="0"/>
      <c r="FK123" s="0"/>
      <c r="FL123" s="0"/>
      <c r="FM123" s="0"/>
      <c r="FN123" s="0"/>
      <c r="FO123" s="0"/>
      <c r="FP123" s="0"/>
      <c r="FQ123" s="0"/>
      <c r="FR123" s="0"/>
      <c r="FS123" s="0"/>
      <c r="HX123" s="0"/>
      <c r="HY123" s="0"/>
      <c r="HZ123" s="0"/>
      <c r="IA123" s="0"/>
      <c r="IB123" s="0"/>
      <c r="IC123" s="0"/>
      <c r="ID123" s="0"/>
      <c r="IE123" s="0"/>
      <c r="IF123" s="0"/>
      <c r="IG123" s="0"/>
      <c r="IH123" s="0"/>
      <c r="II123" s="0"/>
      <c r="IJ123" s="0"/>
      <c r="IK123" s="0"/>
      <c r="IL123" s="0"/>
      <c r="IM123" s="0"/>
      <c r="IN123" s="0"/>
      <c r="IO123" s="0"/>
      <c r="IP123" s="0"/>
      <c r="IQ123" s="0"/>
      <c r="IR123" s="0"/>
      <c r="IS123" s="0"/>
      <c r="IT123" s="0"/>
      <c r="IU123" s="0"/>
      <c r="IV123" s="0"/>
      <c r="IW123" s="0"/>
      <c r="IX123" s="0"/>
      <c r="IY123" s="0"/>
      <c r="IZ123" s="0"/>
      <c r="JA123" s="0"/>
      <c r="JB123" s="0"/>
      <c r="JC123" s="0"/>
      <c r="JD123" s="0"/>
      <c r="JE123" s="0"/>
      <c r="JF123" s="0"/>
      <c r="JG123" s="0"/>
      <c r="JH123" s="0"/>
      <c r="JI123" s="0"/>
      <c r="JJ123" s="0"/>
      <c r="JK123" s="0"/>
      <c r="JL123" s="0"/>
      <c r="JM123" s="0"/>
      <c r="JN123" s="0"/>
      <c r="JO123" s="0"/>
      <c r="JP123" s="0"/>
      <c r="JQ123" s="0"/>
      <c r="JR123" s="0"/>
      <c r="JS123" s="0"/>
      <c r="JT123" s="0"/>
      <c r="JU123" s="0"/>
      <c r="JV123" s="0"/>
      <c r="JW123" s="0"/>
      <c r="JX123" s="0"/>
      <c r="JY123" s="0"/>
      <c r="JZ123" s="0"/>
      <c r="KA123" s="0"/>
      <c r="KB123" s="0"/>
      <c r="KC123" s="0"/>
      <c r="KD123" s="0"/>
      <c r="KE123" s="0"/>
      <c r="KF123" s="0"/>
      <c r="KG123" s="0"/>
      <c r="KH123" s="0"/>
      <c r="KI123" s="0"/>
      <c r="KJ123" s="0"/>
      <c r="KK123" s="0"/>
      <c r="KL123" s="0"/>
      <c r="KM123" s="0"/>
      <c r="KN123" s="0"/>
      <c r="KO123" s="0"/>
      <c r="KP123" s="0"/>
      <c r="KQ123" s="0"/>
      <c r="KR123" s="0"/>
      <c r="KS123" s="0"/>
      <c r="KT123" s="0"/>
      <c r="KU123" s="0"/>
      <c r="KV123" s="0"/>
      <c r="KW123" s="0"/>
      <c r="KX123" s="0"/>
      <c r="KY123" s="0"/>
      <c r="KZ123" s="0"/>
      <c r="LA123" s="0"/>
      <c r="LB123" s="0"/>
      <c r="LC123" s="0"/>
      <c r="LD123" s="0"/>
      <c r="LE123" s="0"/>
      <c r="LF123" s="0"/>
      <c r="LG123" s="0"/>
      <c r="LH123" s="0"/>
      <c r="LI123" s="0"/>
      <c r="LJ123" s="0"/>
      <c r="LK123" s="0"/>
      <c r="LL123" s="0"/>
      <c r="LM123" s="0"/>
      <c r="LN123" s="0"/>
      <c r="LO123" s="0"/>
      <c r="LP123" s="0"/>
      <c r="LQ123" s="0"/>
      <c r="LR123" s="0"/>
      <c r="LS123" s="0"/>
      <c r="LT123" s="0"/>
      <c r="LU123" s="0"/>
      <c r="LV123" s="0"/>
      <c r="LW123" s="0"/>
      <c r="LX123" s="0"/>
      <c r="LY123" s="0"/>
      <c r="LZ123" s="0"/>
      <c r="MA123" s="0"/>
      <c r="MB123" s="0"/>
      <c r="MC123" s="0"/>
      <c r="MD123" s="0"/>
      <c r="ME123" s="0"/>
      <c r="MF123" s="0"/>
      <c r="MG123" s="0"/>
      <c r="MH123" s="0"/>
      <c r="MI123" s="0"/>
      <c r="MJ123" s="0"/>
      <c r="MK123" s="0"/>
      <c r="ML123" s="0"/>
      <c r="MM123" s="0"/>
      <c r="MN123" s="0"/>
      <c r="MO123" s="0"/>
      <c r="MP123" s="0"/>
      <c r="MQ123" s="0"/>
      <c r="MR123" s="0"/>
      <c r="MS123" s="0"/>
      <c r="MT123" s="0"/>
      <c r="MU123" s="0"/>
      <c r="MV123" s="0"/>
      <c r="MW123" s="0"/>
      <c r="MX123" s="0"/>
      <c r="MY123" s="0"/>
      <c r="MZ123" s="0"/>
      <c r="NA123" s="0"/>
      <c r="NB123" s="0"/>
      <c r="NC123" s="0"/>
      <c r="ND123" s="0"/>
      <c r="NE123" s="0"/>
      <c r="NF123" s="0"/>
      <c r="NG123" s="0"/>
      <c r="NH123" s="0"/>
      <c r="NI123" s="0"/>
      <c r="NJ123" s="0"/>
      <c r="NK123" s="0"/>
      <c r="NL123" s="0"/>
      <c r="NM123" s="0"/>
      <c r="NN123" s="0"/>
      <c r="NO123" s="0"/>
      <c r="NP123" s="0"/>
      <c r="NQ123" s="0"/>
      <c r="NR123" s="0"/>
      <c r="NS123" s="0"/>
      <c r="NT123" s="0"/>
      <c r="NU123" s="0"/>
      <c r="NV123" s="0"/>
      <c r="NW123" s="0"/>
      <c r="NX123" s="0"/>
      <c r="NY123" s="0"/>
      <c r="NZ123" s="0"/>
      <c r="OA123" s="0"/>
      <c r="OB123" s="0"/>
      <c r="OC123" s="0"/>
      <c r="OD123" s="0"/>
      <c r="OE123" s="0"/>
      <c r="OF123" s="0"/>
      <c r="OG123" s="0"/>
      <c r="OH123" s="0"/>
      <c r="OI123" s="0"/>
      <c r="OJ123" s="0"/>
      <c r="OK123" s="0"/>
      <c r="OL123" s="0"/>
      <c r="OM123" s="0"/>
      <c r="ON123" s="0"/>
      <c r="OO123" s="0"/>
      <c r="OP123" s="0"/>
      <c r="OQ123" s="0"/>
      <c r="OR123" s="0"/>
      <c r="OS123" s="0"/>
      <c r="OT123" s="0"/>
      <c r="OU123" s="0"/>
      <c r="OV123" s="0"/>
      <c r="OW123" s="0"/>
      <c r="OX123" s="0"/>
      <c r="OY123" s="0"/>
      <c r="OZ123" s="0"/>
      <c r="PA123" s="0"/>
      <c r="PB123" s="0"/>
      <c r="PC123" s="0"/>
      <c r="PD123" s="0"/>
      <c r="PE123" s="0"/>
      <c r="PF123" s="0"/>
      <c r="PG123" s="0"/>
      <c r="PH123" s="0"/>
      <c r="PI123" s="0"/>
      <c r="PJ123" s="0"/>
      <c r="PK123" s="0"/>
      <c r="PL123" s="0"/>
      <c r="PM123" s="0"/>
      <c r="PN123" s="0"/>
      <c r="PO123" s="0"/>
      <c r="PP123" s="0"/>
      <c r="PQ123" s="0"/>
      <c r="PR123" s="0"/>
      <c r="PS123" s="0"/>
      <c r="PT123" s="0"/>
      <c r="PU123" s="0"/>
      <c r="PV123" s="0"/>
      <c r="PW123" s="0"/>
      <c r="PX123" s="0"/>
      <c r="PY123" s="0"/>
      <c r="PZ123" s="0"/>
      <c r="QA123" s="0"/>
      <c r="QB123" s="0"/>
      <c r="QC123" s="0"/>
      <c r="QD123" s="0"/>
      <c r="QE123" s="0"/>
      <c r="QF123" s="0"/>
      <c r="QG123" s="0"/>
      <c r="QH123" s="0"/>
      <c r="QI123" s="0"/>
      <c r="QJ123" s="0"/>
      <c r="QK123" s="0"/>
      <c r="QL123" s="0"/>
      <c r="QM123" s="0"/>
      <c r="QN123" s="0"/>
      <c r="QO123" s="0"/>
      <c r="QP123" s="0"/>
      <c r="QQ123" s="0"/>
      <c r="QR123" s="0"/>
      <c r="QS123" s="0"/>
      <c r="QT123" s="0"/>
      <c r="QU123" s="0"/>
      <c r="QV123" s="0"/>
      <c r="QW123" s="0"/>
      <c r="QX123" s="0"/>
      <c r="QY123" s="0"/>
      <c r="QZ123" s="0"/>
      <c r="RA123" s="0"/>
      <c r="RB123" s="0"/>
      <c r="RC123" s="0"/>
      <c r="RD123" s="0"/>
      <c r="RE123" s="0"/>
      <c r="RF123" s="0"/>
      <c r="RG123" s="0"/>
      <c r="RH123" s="0"/>
      <c r="RI123" s="0"/>
      <c r="RJ123" s="0"/>
      <c r="RK123" s="0"/>
      <c r="RL123" s="0"/>
      <c r="RM123" s="0"/>
      <c r="RN123" s="0"/>
      <c r="RO123" s="0"/>
      <c r="RP123" s="0"/>
      <c r="RQ123" s="0"/>
      <c r="RR123" s="0"/>
      <c r="RS123" s="0"/>
      <c r="RT123" s="0"/>
      <c r="RU123" s="0"/>
      <c r="RV123" s="0"/>
      <c r="RW123" s="0"/>
      <c r="RX123" s="0"/>
      <c r="RY123" s="0"/>
      <c r="RZ123" s="0"/>
      <c r="SA123" s="0"/>
      <c r="SB123" s="0"/>
      <c r="SC123" s="0"/>
      <c r="SD123" s="0"/>
      <c r="SE123" s="0"/>
      <c r="SF123" s="0"/>
      <c r="SG123" s="0"/>
      <c r="SH123" s="0"/>
      <c r="SI123" s="0"/>
      <c r="SJ123" s="0"/>
      <c r="SK123" s="0"/>
      <c r="SL123" s="0"/>
      <c r="SM123" s="0"/>
      <c r="SN123" s="0"/>
      <c r="SO123" s="0"/>
      <c r="SP123" s="0"/>
      <c r="SQ123" s="0"/>
      <c r="SR123" s="0"/>
      <c r="SS123" s="0"/>
      <c r="ST123" s="0"/>
      <c r="SU123" s="0"/>
      <c r="SV123" s="0"/>
      <c r="SW123" s="0"/>
      <c r="SX123" s="0"/>
      <c r="SY123" s="0"/>
      <c r="SZ123" s="0"/>
      <c r="TA123" s="0"/>
      <c r="TB123" s="0"/>
      <c r="TC123" s="0"/>
      <c r="TD123" s="0"/>
      <c r="TE123" s="0"/>
      <c r="TF123" s="0"/>
      <c r="TG123" s="0"/>
      <c r="TH123" s="0"/>
      <c r="TI123" s="0"/>
      <c r="TJ123" s="0"/>
      <c r="TK123" s="0"/>
      <c r="TL123" s="0"/>
      <c r="TM123" s="0"/>
      <c r="TN123" s="0"/>
      <c r="TO123" s="0"/>
      <c r="TP123" s="0"/>
      <c r="TQ123" s="0"/>
      <c r="TR123" s="0"/>
      <c r="TS123" s="0"/>
      <c r="TT123" s="0"/>
      <c r="TU123" s="0"/>
      <c r="TV123" s="0"/>
      <c r="TW123" s="0"/>
      <c r="TX123" s="0"/>
      <c r="TY123" s="0"/>
      <c r="TZ123" s="0"/>
      <c r="UA123" s="0"/>
      <c r="UB123" s="0"/>
      <c r="UC123" s="0"/>
      <c r="UD123" s="0"/>
      <c r="UE123" s="0"/>
      <c r="UF123" s="0"/>
      <c r="UG123" s="0"/>
      <c r="UH123" s="0"/>
      <c r="UI123" s="0"/>
      <c r="UJ123" s="0"/>
      <c r="UK123" s="0"/>
      <c r="UL123" s="0"/>
      <c r="UM123" s="0"/>
      <c r="UN123" s="0"/>
      <c r="UO123" s="0"/>
      <c r="UP123" s="0"/>
      <c r="UQ123" s="0"/>
      <c r="UR123" s="0"/>
      <c r="US123" s="0"/>
      <c r="UT123" s="0"/>
      <c r="UU123" s="0"/>
      <c r="UV123" s="0"/>
      <c r="UW123" s="0"/>
      <c r="UX123" s="0"/>
      <c r="UY123" s="0"/>
      <c r="UZ123" s="0"/>
      <c r="VA123" s="0"/>
      <c r="VB123" s="0"/>
      <c r="VC123" s="0"/>
      <c r="VD123" s="0"/>
      <c r="VE123" s="0"/>
      <c r="VF123" s="0"/>
      <c r="VG123" s="0"/>
      <c r="VH123" s="0"/>
      <c r="VI123" s="0"/>
      <c r="VJ123" s="0"/>
      <c r="VK123" s="0"/>
      <c r="VL123" s="0"/>
      <c r="VM123" s="0"/>
      <c r="VN123" s="0"/>
      <c r="VO123" s="0"/>
      <c r="VP123" s="0"/>
      <c r="VQ123" s="0"/>
      <c r="VR123" s="0"/>
      <c r="VS123" s="0"/>
      <c r="VT123" s="0"/>
      <c r="VU123" s="0"/>
      <c r="VV123" s="0"/>
      <c r="VW123" s="0"/>
      <c r="VX123" s="0"/>
      <c r="VY123" s="0"/>
      <c r="VZ123" s="0"/>
      <c r="WA123" s="0"/>
      <c r="WB123" s="0"/>
      <c r="WC123" s="0"/>
      <c r="WD123" s="0"/>
      <c r="WE123" s="0"/>
      <c r="WF123" s="0"/>
      <c r="WG123" s="0"/>
      <c r="WH123" s="0"/>
      <c r="WI123" s="0"/>
      <c r="WJ123" s="0"/>
      <c r="WK123" s="0"/>
      <c r="WL123" s="0"/>
      <c r="WM123" s="0"/>
      <c r="WN123" s="0"/>
      <c r="WO123" s="0"/>
      <c r="WP123" s="0"/>
      <c r="WQ123" s="0"/>
      <c r="WR123" s="0"/>
      <c r="WS123" s="0"/>
      <c r="WT123" s="0"/>
      <c r="WU123" s="0"/>
      <c r="WV123" s="0"/>
      <c r="WW123" s="0"/>
      <c r="WX123" s="0"/>
      <c r="WY123" s="0"/>
      <c r="WZ123" s="0"/>
      <c r="XA123" s="0"/>
      <c r="XB123" s="0"/>
      <c r="XC123" s="0"/>
      <c r="XD123" s="0"/>
      <c r="XE123" s="0"/>
      <c r="XF123" s="0"/>
      <c r="XG123" s="0"/>
      <c r="XH123" s="0"/>
      <c r="XI123" s="0"/>
      <c r="XJ123" s="0"/>
      <c r="XK123" s="0"/>
      <c r="XL123" s="0"/>
      <c r="XM123" s="0"/>
      <c r="XN123" s="0"/>
      <c r="XO123" s="0"/>
      <c r="XP123" s="0"/>
      <c r="XQ123" s="0"/>
      <c r="XR123" s="0"/>
      <c r="XS123" s="0"/>
      <c r="XT123" s="0"/>
      <c r="XU123" s="0"/>
      <c r="XV123" s="0"/>
      <c r="XW123" s="0"/>
      <c r="XX123" s="0"/>
      <c r="XY123" s="0"/>
      <c r="XZ123" s="0"/>
      <c r="YA123" s="0"/>
      <c r="YB123" s="0"/>
      <c r="YC123" s="0"/>
      <c r="YD123" s="0"/>
      <c r="YE123" s="0"/>
      <c r="YF123" s="0"/>
      <c r="YG123" s="0"/>
      <c r="YH123" s="0"/>
      <c r="YI123" s="0"/>
      <c r="YJ123" s="0"/>
      <c r="YK123" s="0"/>
      <c r="YL123" s="0"/>
      <c r="YM123" s="0"/>
      <c r="YN123" s="0"/>
      <c r="YO123" s="0"/>
      <c r="YP123" s="0"/>
      <c r="YQ123" s="0"/>
      <c r="YR123" s="0"/>
      <c r="YS123" s="0"/>
      <c r="YT123" s="0"/>
      <c r="YU123" s="0"/>
      <c r="YV123" s="0"/>
      <c r="YW123" s="0"/>
      <c r="YX123" s="0"/>
      <c r="YY123" s="0"/>
      <c r="YZ123" s="0"/>
      <c r="ZA123" s="0"/>
      <c r="ZB123" s="0"/>
      <c r="ZC123" s="0"/>
      <c r="ZD123" s="0"/>
      <c r="ZE123" s="0"/>
      <c r="ZF123" s="0"/>
      <c r="ZG123" s="0"/>
      <c r="ZH123" s="0"/>
      <c r="ZI123" s="0"/>
      <c r="ZJ123" s="0"/>
      <c r="ZK123" s="0"/>
      <c r="ZL123" s="0"/>
      <c r="ZM123" s="0"/>
      <c r="ZN123" s="0"/>
      <c r="ZO123" s="0"/>
      <c r="ZP123" s="0"/>
      <c r="ZQ123" s="0"/>
      <c r="ZR123" s="0"/>
      <c r="ZS123" s="0"/>
      <c r="ZT123" s="0"/>
      <c r="ZU123" s="0"/>
      <c r="ZV123" s="0"/>
      <c r="ZW123" s="0"/>
      <c r="ZX123" s="0"/>
      <c r="ZY123" s="0"/>
      <c r="ZZ123" s="0"/>
      <c r="AAA123" s="0"/>
      <c r="AAB123" s="0"/>
      <c r="AAC123" s="0"/>
      <c r="AAD123" s="0"/>
      <c r="AAE123" s="0"/>
      <c r="AAF123" s="0"/>
      <c r="AAG123" s="0"/>
      <c r="AAH123" s="0"/>
      <c r="AAI123" s="0"/>
      <c r="AAJ123" s="0"/>
      <c r="AAK123" s="0"/>
      <c r="AAL123" s="0"/>
      <c r="AAM123" s="0"/>
      <c r="AAN123" s="0"/>
      <c r="AAO123" s="0"/>
      <c r="AAP123" s="0"/>
      <c r="AAQ123" s="0"/>
      <c r="AAR123" s="0"/>
      <c r="AAS123" s="0"/>
      <c r="AAT123" s="0"/>
      <c r="AAU123" s="0"/>
      <c r="AAV123" s="0"/>
      <c r="AAW123" s="0"/>
      <c r="AAX123" s="0"/>
      <c r="AAY123" s="0"/>
      <c r="AAZ123" s="0"/>
      <c r="ABA123" s="0"/>
      <c r="ABB123" s="0"/>
      <c r="ABC123" s="0"/>
      <c r="ABD123" s="0"/>
      <c r="ABE123" s="0"/>
      <c r="ABF123" s="0"/>
      <c r="ABG123" s="0"/>
      <c r="ABH123" s="0"/>
      <c r="ABI123" s="0"/>
      <c r="ABJ123" s="0"/>
      <c r="ABK123" s="0"/>
      <c r="ABL123" s="0"/>
      <c r="ABM123" s="0"/>
      <c r="ABN123" s="0"/>
      <c r="ABO123" s="0"/>
      <c r="ABP123" s="0"/>
      <c r="ABQ123" s="0"/>
      <c r="ABR123" s="0"/>
      <c r="ABS123" s="0"/>
      <c r="ABT123" s="0"/>
      <c r="ABU123" s="0"/>
      <c r="ABV123" s="0"/>
      <c r="ABW123" s="0"/>
      <c r="ABX123" s="0"/>
      <c r="ABY123" s="0"/>
      <c r="ABZ123" s="0"/>
      <c r="ACA123" s="0"/>
      <c r="ACB123" s="0"/>
      <c r="ACC123" s="0"/>
      <c r="ACD123" s="0"/>
      <c r="ACE123" s="0"/>
      <c r="ACF123" s="0"/>
      <c r="ACG123" s="0"/>
      <c r="ACH123" s="0"/>
      <c r="ACI123" s="0"/>
      <c r="ACJ123" s="0"/>
      <c r="ACK123" s="0"/>
      <c r="ACL123" s="0"/>
      <c r="ACM123" s="0"/>
      <c r="ACN123" s="0"/>
      <c r="ACO123" s="0"/>
      <c r="ACP123" s="0"/>
      <c r="ACQ123" s="0"/>
      <c r="ACR123" s="0"/>
      <c r="ACS123" s="0"/>
      <c r="ACT123" s="0"/>
      <c r="ACU123" s="0"/>
      <c r="ACV123" s="0"/>
      <c r="ACW123" s="0"/>
      <c r="ACX123" s="0"/>
      <c r="ACY123" s="0"/>
      <c r="ACZ123" s="0"/>
      <c r="ADA123" s="0"/>
      <c r="ADB123" s="0"/>
      <c r="ADC123" s="0"/>
      <c r="ADD123" s="0"/>
      <c r="ADE123" s="0"/>
      <c r="ADF123" s="0"/>
      <c r="ADG123" s="0"/>
      <c r="ADH123" s="0"/>
      <c r="ADI123" s="0"/>
      <c r="ADJ123" s="0"/>
      <c r="ADK123" s="0"/>
      <c r="ADL123" s="0"/>
      <c r="ADM123" s="0"/>
      <c r="ADN123" s="0"/>
      <c r="ADO123" s="0"/>
      <c r="ADP123" s="0"/>
      <c r="ADQ123" s="0"/>
      <c r="ADR123" s="0"/>
      <c r="ADS123" s="0"/>
      <c r="ADT123" s="0"/>
      <c r="ADU123" s="0"/>
      <c r="ADV123" s="0"/>
      <c r="ADW123" s="0"/>
      <c r="ADX123" s="0"/>
      <c r="ADY123" s="0"/>
      <c r="ADZ123" s="0"/>
      <c r="AEA123" s="0"/>
      <c r="AEB123" s="0"/>
      <c r="AEC123" s="0"/>
      <c r="AED123" s="0"/>
      <c r="AEE123" s="0"/>
      <c r="AEF123" s="0"/>
      <c r="AEG123" s="0"/>
      <c r="AEH123" s="0"/>
      <c r="AEI123" s="0"/>
      <c r="AEJ123" s="0"/>
      <c r="AEK123" s="0"/>
      <c r="AEL123" s="0"/>
      <c r="AEM123" s="0"/>
      <c r="AEN123" s="0"/>
      <c r="AEO123" s="0"/>
      <c r="AEP123" s="0"/>
      <c r="AEQ123" s="0"/>
      <c r="AER123" s="0"/>
      <c r="AES123" s="0"/>
      <c r="AET123" s="0"/>
      <c r="AEU123" s="0"/>
      <c r="AEV123" s="0"/>
      <c r="AEW123" s="0"/>
      <c r="AEX123" s="0"/>
      <c r="AEY123" s="0"/>
      <c r="AEZ123" s="0"/>
      <c r="AFA123" s="0"/>
      <c r="AFB123" s="0"/>
      <c r="AFC123" s="0"/>
      <c r="AFD123" s="0"/>
      <c r="AFE123" s="0"/>
      <c r="AFF123" s="0"/>
      <c r="AFG123" s="0"/>
      <c r="AFH123" s="0"/>
      <c r="AFI123" s="0"/>
      <c r="AFJ123" s="0"/>
      <c r="AFK123" s="0"/>
      <c r="AFL123" s="0"/>
      <c r="AFM123" s="0"/>
      <c r="AFN123" s="0"/>
      <c r="AFO123" s="0"/>
      <c r="AFP123" s="0"/>
      <c r="AFQ123" s="0"/>
      <c r="AFR123" s="0"/>
      <c r="AFS123" s="0"/>
      <c r="AFT123" s="0"/>
      <c r="AFU123" s="0"/>
      <c r="AFV123" s="0"/>
      <c r="AFW123" s="0"/>
      <c r="AFX123" s="0"/>
      <c r="AFY123" s="0"/>
      <c r="AFZ123" s="0"/>
      <c r="AGA123" s="0"/>
      <c r="AGB123" s="0"/>
      <c r="AGC123" s="0"/>
      <c r="AGD123" s="0"/>
      <c r="AGE123" s="0"/>
      <c r="AGF123" s="0"/>
      <c r="AGG123" s="0"/>
      <c r="AGH123" s="0"/>
      <c r="AGI123" s="0"/>
      <c r="AGJ123" s="0"/>
      <c r="AGK123" s="0"/>
      <c r="AGL123" s="0"/>
      <c r="AGM123" s="0"/>
      <c r="AGN123" s="0"/>
      <c r="AGO123" s="0"/>
      <c r="AGP123" s="0"/>
      <c r="AGQ123" s="0"/>
      <c r="AGR123" s="0"/>
      <c r="AGS123" s="0"/>
      <c r="AGT123" s="0"/>
      <c r="AGU123" s="0"/>
      <c r="AGV123" s="0"/>
      <c r="AGW123" s="0"/>
      <c r="AGX123" s="0"/>
      <c r="AGY123" s="0"/>
      <c r="AGZ123" s="0"/>
      <c r="AHA123" s="0"/>
      <c r="AHB123" s="0"/>
      <c r="AHC123" s="0"/>
      <c r="AHD123" s="0"/>
      <c r="AHE123" s="0"/>
      <c r="AHF123" s="0"/>
      <c r="AHG123" s="0"/>
      <c r="AHH123" s="0"/>
      <c r="AHI123" s="0"/>
      <c r="AHJ123" s="0"/>
      <c r="AHK123" s="0"/>
      <c r="AHL123" s="0"/>
      <c r="AHM123" s="0"/>
      <c r="AHN123" s="0"/>
      <c r="AHO123" s="0"/>
      <c r="AHP123" s="0"/>
      <c r="AHQ123" s="0"/>
      <c r="AHR123" s="0"/>
      <c r="AHS123" s="0"/>
      <c r="AHT123" s="0"/>
      <c r="AHU123" s="0"/>
      <c r="AHV123" s="0"/>
      <c r="AHW123" s="0"/>
      <c r="AHX123" s="0"/>
      <c r="AHY123" s="0"/>
      <c r="AHZ123" s="0"/>
      <c r="AIA123" s="0"/>
      <c r="AIB123" s="0"/>
      <c r="AIC123" s="0"/>
      <c r="AID123" s="0"/>
      <c r="AIE123" s="0"/>
      <c r="AIF123" s="0"/>
      <c r="AIG123" s="0"/>
      <c r="AIH123" s="0"/>
      <c r="AII123" s="0"/>
      <c r="AIJ123" s="0"/>
      <c r="AIK123" s="0"/>
      <c r="AIL123" s="0"/>
      <c r="AIM123" s="0"/>
      <c r="AIN123" s="0"/>
      <c r="AIO123" s="0"/>
      <c r="AIP123" s="0"/>
      <c r="AIQ123" s="0"/>
      <c r="AIR123" s="0"/>
      <c r="AIS123" s="0"/>
      <c r="AIT123" s="0"/>
      <c r="AIU123" s="0"/>
      <c r="AIV123" s="0"/>
      <c r="AIW123" s="0"/>
      <c r="AIX123" s="0"/>
      <c r="AIY123" s="0"/>
      <c r="AIZ123" s="0"/>
      <c r="AJA123" s="0"/>
      <c r="AJB123" s="0"/>
      <c r="AJC123" s="0"/>
      <c r="AJD123" s="0"/>
      <c r="AJE123" s="0"/>
      <c r="AJF123" s="0"/>
      <c r="AJG123" s="0"/>
      <c r="AJH123" s="0"/>
      <c r="AJI123" s="0"/>
      <c r="AJJ123" s="0"/>
      <c r="AJK123" s="0"/>
      <c r="AJL123" s="0"/>
      <c r="AJM123" s="0"/>
      <c r="AJN123" s="0"/>
      <c r="AJO123" s="0"/>
      <c r="AJP123" s="0"/>
      <c r="AJQ123" s="0"/>
      <c r="AJR123" s="0"/>
      <c r="AJS123" s="0"/>
      <c r="AJT123" s="0"/>
      <c r="AJU123" s="0"/>
      <c r="AJV123" s="0"/>
      <c r="AJW123" s="0"/>
      <c r="AJX123" s="0"/>
      <c r="AJY123" s="0"/>
      <c r="AJZ123" s="0"/>
      <c r="AKA123" s="0"/>
      <c r="AKB123" s="0"/>
      <c r="AKC123" s="0"/>
      <c r="AKD123" s="0"/>
      <c r="AKE123" s="0"/>
      <c r="AKF123" s="0"/>
      <c r="AKG123" s="0"/>
      <c r="AKH123" s="0"/>
      <c r="AKI123" s="0"/>
      <c r="AKJ123" s="0"/>
      <c r="AKK123" s="0"/>
      <c r="AKL123" s="0"/>
      <c r="AKM123" s="0"/>
      <c r="AKN123" s="0"/>
      <c r="AKO123" s="0"/>
      <c r="AKP123" s="0"/>
      <c r="AKQ123" s="0"/>
      <c r="AKR123" s="0"/>
      <c r="AKS123" s="0"/>
      <c r="AKT123" s="0"/>
      <c r="AKU123" s="0"/>
      <c r="AKV123" s="0"/>
      <c r="AKW123" s="0"/>
      <c r="AKX123" s="0"/>
      <c r="AKY123" s="0"/>
      <c r="AKZ123" s="0"/>
      <c r="ALA123" s="0"/>
      <c r="ALB123" s="0"/>
      <c r="ALC123" s="0"/>
      <c r="ALD123" s="0"/>
      <c r="ALE123" s="0"/>
      <c r="ALF123" s="0"/>
      <c r="ALG123" s="0"/>
      <c r="ALH123" s="0"/>
      <c r="ALI123" s="0"/>
      <c r="ALJ123" s="0"/>
      <c r="ALK123" s="0"/>
      <c r="ALL123" s="0"/>
      <c r="ALM123" s="0"/>
      <c r="ALN123" s="0"/>
      <c r="ALO123" s="0"/>
      <c r="ALP123" s="0"/>
      <c r="ALQ123" s="0"/>
      <c r="ALR123" s="0"/>
      <c r="ALS123" s="0"/>
      <c r="ALT123" s="0"/>
      <c r="ALU123" s="0"/>
      <c r="ALV123" s="0"/>
      <c r="ALW123" s="0"/>
      <c r="ALX123" s="0"/>
      <c r="ALY123" s="0"/>
      <c r="ALZ123" s="0"/>
      <c r="AMA123" s="0"/>
      <c r="AMB123" s="0"/>
      <c r="AMC123" s="0"/>
      <c r="AMD123" s="0"/>
      <c r="AME123" s="0"/>
      <c r="AMF123" s="0"/>
      <c r="AMG123" s="0"/>
      <c r="AMH123" s="0"/>
      <c r="AMI123" s="0"/>
      <c r="AMJ123" s="0"/>
      <c r="AMK123" s="0"/>
      <c r="AML123" s="0"/>
      <c r="AMM123" s="0"/>
      <c r="AMN123" s="0"/>
      <c r="AMO123" s="0"/>
      <c r="AMP123" s="0"/>
      <c r="AMQ123" s="0"/>
      <c r="AMR123" s="0"/>
      <c r="AMS123" s="0"/>
      <c r="AMT123" s="0"/>
      <c r="AMU123" s="0"/>
      <c r="AMV123" s="0"/>
      <c r="AMW123" s="0"/>
      <c r="AMX123" s="0"/>
      <c r="AMY123" s="0"/>
      <c r="AMZ123" s="0"/>
      <c r="ANA123" s="0"/>
      <c r="ANB123" s="0"/>
      <c r="ANC123" s="0"/>
      <c r="AND123" s="0"/>
      <c r="ANE123" s="0"/>
      <c r="ANF123" s="0"/>
      <c r="ANG123" s="0"/>
      <c r="ANH123" s="0"/>
      <c r="ANI123" s="0"/>
      <c r="ANJ123" s="0"/>
      <c r="ANK123" s="0"/>
      <c r="ANL123" s="0"/>
      <c r="ANM123" s="0"/>
      <c r="ANN123" s="0"/>
      <c r="ANO123" s="0"/>
      <c r="ANP123" s="0"/>
      <c r="ANQ123" s="0"/>
      <c r="ANR123" s="0"/>
      <c r="ANS123" s="0"/>
      <c r="ANT123" s="0"/>
      <c r="ANU123" s="0"/>
      <c r="ANV123" s="0"/>
      <c r="ANW123" s="0"/>
      <c r="ANX123" s="0"/>
      <c r="ANY123" s="0"/>
      <c r="ANZ123" s="0"/>
      <c r="AOA123" s="0"/>
      <c r="AOB123" s="0"/>
      <c r="AOC123" s="0"/>
      <c r="AOD123" s="0"/>
      <c r="AOE123" s="0"/>
      <c r="AOF123" s="0"/>
      <c r="AOG123" s="0"/>
      <c r="AOH123" s="0"/>
      <c r="AOI123" s="0"/>
      <c r="AOJ123" s="0"/>
      <c r="AOK123" s="0"/>
      <c r="AOL123" s="0"/>
      <c r="AOM123" s="0"/>
      <c r="AON123" s="0"/>
      <c r="AOO123" s="0"/>
      <c r="AOP123" s="0"/>
      <c r="AOQ123" s="0"/>
      <c r="AOR123" s="0"/>
      <c r="AOS123" s="0"/>
      <c r="AOT123" s="0"/>
      <c r="AOU123" s="0"/>
      <c r="AOV123" s="0"/>
      <c r="AOW123" s="0"/>
      <c r="AOX123" s="0"/>
      <c r="AOY123" s="0"/>
      <c r="AOZ123" s="0"/>
      <c r="APA123" s="0"/>
      <c r="APB123" s="0"/>
      <c r="APC123" s="0"/>
      <c r="APD123" s="0"/>
      <c r="APE123" s="0"/>
      <c r="APF123" s="0"/>
      <c r="APG123" s="0"/>
      <c r="APH123" s="0"/>
      <c r="API123" s="0"/>
      <c r="APJ123" s="0"/>
      <c r="APK123" s="0"/>
      <c r="APL123" s="0"/>
      <c r="APM123" s="0"/>
      <c r="APN123" s="0"/>
      <c r="APO123" s="0"/>
      <c r="APP123" s="0"/>
      <c r="APQ123" s="0"/>
      <c r="APR123" s="0"/>
      <c r="APS123" s="0"/>
      <c r="APT123" s="0"/>
      <c r="APU123" s="0"/>
      <c r="APV123" s="0"/>
      <c r="APW123" s="0"/>
      <c r="APX123" s="0"/>
      <c r="APY123" s="0"/>
      <c r="APZ123" s="0"/>
      <c r="AQA123" s="0"/>
      <c r="AQB123" s="0"/>
      <c r="AQC123" s="0"/>
      <c r="AQD123" s="0"/>
      <c r="AQE123" s="0"/>
      <c r="AQF123" s="0"/>
      <c r="AQG123" s="0"/>
      <c r="AQH123" s="0"/>
      <c r="AQI123" s="0"/>
      <c r="AQJ123" s="0"/>
      <c r="AQK123" s="0"/>
      <c r="AQL123" s="0"/>
      <c r="AQM123" s="0"/>
      <c r="AQN123" s="0"/>
      <c r="AQO123" s="0"/>
      <c r="AQP123" s="0"/>
      <c r="AQQ123" s="0"/>
      <c r="AQR123" s="0"/>
      <c r="AQS123" s="0"/>
      <c r="AQT123" s="0"/>
      <c r="AQU123" s="0"/>
      <c r="AQV123" s="0"/>
      <c r="AQW123" s="0"/>
      <c r="AQX123" s="0"/>
      <c r="AQY123" s="0"/>
      <c r="AQZ123" s="0"/>
      <c r="ARA123" s="0"/>
      <c r="ARB123" s="0"/>
      <c r="ARC123" s="0"/>
      <c r="ARD123" s="0"/>
      <c r="ARE123" s="0"/>
      <c r="ARF123" s="0"/>
      <c r="ARG123" s="0"/>
      <c r="ARH123" s="0"/>
      <c r="ARI123" s="0"/>
      <c r="ARJ123" s="0"/>
      <c r="ARK123" s="0"/>
      <c r="ARL123" s="0"/>
      <c r="ARM123" s="0"/>
      <c r="ARN123" s="0"/>
      <c r="ARO123" s="0"/>
      <c r="ARP123" s="0"/>
      <c r="ARQ123" s="0"/>
      <c r="ARR123" s="0"/>
      <c r="ARS123" s="0"/>
      <c r="ART123" s="0"/>
      <c r="ARU123" s="0"/>
      <c r="ARV123" s="0"/>
      <c r="ARW123" s="0"/>
      <c r="ARX123" s="0"/>
      <c r="ARY123" s="0"/>
      <c r="ARZ123" s="0"/>
      <c r="ASA123" s="0"/>
      <c r="ASB123" s="0"/>
      <c r="ASC123" s="0"/>
      <c r="ASD123" s="0"/>
      <c r="ASE123" s="0"/>
      <c r="ASF123" s="0"/>
      <c r="ASG123" s="0"/>
      <c r="ASH123" s="0"/>
      <c r="ASI123" s="0"/>
      <c r="ASJ123" s="0"/>
      <c r="ASK123" s="0"/>
      <c r="ASL123" s="0"/>
      <c r="ASM123" s="0"/>
      <c r="ASN123" s="0"/>
      <c r="ASO123" s="0"/>
      <c r="ASP123" s="0"/>
      <c r="ASQ123" s="0"/>
      <c r="ASR123" s="0"/>
      <c r="ASS123" s="0"/>
      <c r="AST123" s="0"/>
      <c r="ASU123" s="0"/>
      <c r="ASV123" s="0"/>
      <c r="ASW123" s="0"/>
      <c r="ASX123" s="0"/>
      <c r="ASY123" s="0"/>
      <c r="ASZ123" s="0"/>
      <c r="ATA123" s="0"/>
      <c r="ATB123" s="0"/>
      <c r="ATC123" s="0"/>
      <c r="ATD123" s="0"/>
      <c r="ATE123" s="0"/>
      <c r="ATF123" s="0"/>
      <c r="ATG123" s="0"/>
      <c r="ATH123" s="0"/>
      <c r="ATI123" s="0"/>
      <c r="ATJ123" s="0"/>
      <c r="ATK123" s="0"/>
      <c r="ATL123" s="0"/>
      <c r="ATM123" s="0"/>
      <c r="ATN123" s="0"/>
      <c r="ATO123" s="0"/>
      <c r="ATP123" s="0"/>
      <c r="ATQ123" s="0"/>
      <c r="ATR123" s="0"/>
      <c r="ATS123" s="0"/>
      <c r="ATT123" s="0"/>
      <c r="ATU123" s="0"/>
      <c r="ATV123" s="0"/>
      <c r="ATW123" s="0"/>
      <c r="ATX123" s="0"/>
      <c r="ATY123" s="0"/>
      <c r="ATZ123" s="0"/>
      <c r="AUA123" s="0"/>
      <c r="AUB123" s="0"/>
      <c r="AUC123" s="0"/>
      <c r="AUD123" s="0"/>
      <c r="AUE123" s="0"/>
      <c r="AUF123" s="0"/>
      <c r="AUG123" s="0"/>
      <c r="AUH123" s="0"/>
      <c r="AUI123" s="0"/>
      <c r="AUJ123" s="0"/>
      <c r="AUK123" s="0"/>
      <c r="AUL123" s="0"/>
      <c r="AUM123" s="0"/>
      <c r="AUN123" s="0"/>
      <c r="AUO123" s="0"/>
      <c r="AUP123" s="0"/>
      <c r="AUQ123" s="0"/>
      <c r="AUR123" s="0"/>
      <c r="AUS123" s="0"/>
      <c r="AUT123" s="0"/>
      <c r="AUU123" s="0"/>
      <c r="AUV123" s="0"/>
      <c r="AUW123" s="0"/>
      <c r="AUX123" s="0"/>
      <c r="AUY123" s="0"/>
      <c r="AUZ123" s="0"/>
      <c r="AVA123" s="0"/>
      <c r="AVB123" s="0"/>
      <c r="AVC123" s="0"/>
      <c r="AVD123" s="0"/>
      <c r="AVE123" s="0"/>
      <c r="AVF123" s="0"/>
      <c r="AVG123" s="0"/>
      <c r="AVH123" s="0"/>
      <c r="AVI123" s="0"/>
      <c r="AVJ123" s="0"/>
      <c r="AVK123" s="0"/>
      <c r="AVL123" s="0"/>
      <c r="AVM123" s="0"/>
      <c r="AVN123" s="0"/>
      <c r="AVO123" s="0"/>
      <c r="AVP123" s="0"/>
      <c r="AVQ123" s="0"/>
      <c r="AVR123" s="0"/>
      <c r="AVS123" s="0"/>
      <c r="AVT123" s="0"/>
      <c r="AVU123" s="0"/>
      <c r="AVV123" s="0"/>
      <c r="AVW123" s="0"/>
      <c r="AVX123" s="0"/>
      <c r="AVY123" s="0"/>
      <c r="AVZ123" s="0"/>
      <c r="AWA123" s="0"/>
      <c r="AWB123" s="0"/>
      <c r="AWC123" s="0"/>
      <c r="AWD123" s="0"/>
      <c r="AWE123" s="0"/>
      <c r="AWF123" s="0"/>
      <c r="AWG123" s="0"/>
      <c r="AWH123" s="0"/>
      <c r="AWI123" s="0"/>
      <c r="AWJ123" s="0"/>
      <c r="AWK123" s="0"/>
      <c r="AWL123" s="0"/>
      <c r="AWM123" s="0"/>
      <c r="AWN123" s="0"/>
      <c r="AWO123" s="0"/>
      <c r="AWP123" s="0"/>
      <c r="AWQ123" s="0"/>
      <c r="AWR123" s="0"/>
      <c r="AWS123" s="0"/>
      <c r="AWT123" s="0"/>
      <c r="AWU123" s="0"/>
      <c r="AWV123" s="0"/>
      <c r="AWW123" s="0"/>
      <c r="AWX123" s="0"/>
      <c r="AWY123" s="0"/>
      <c r="AWZ123" s="0"/>
      <c r="AXA123" s="0"/>
      <c r="AXB123" s="0"/>
      <c r="AXC123" s="0"/>
      <c r="AXD123" s="0"/>
      <c r="AXE123" s="0"/>
      <c r="AXF123" s="0"/>
      <c r="AXG123" s="0"/>
      <c r="AXH123" s="0"/>
      <c r="AXI123" s="0"/>
      <c r="AXJ123" s="0"/>
      <c r="AXK123" s="0"/>
      <c r="AXL123" s="0"/>
      <c r="AXM123" s="0"/>
      <c r="AXN123" s="0"/>
      <c r="AXO123" s="0"/>
      <c r="AXP123" s="0"/>
      <c r="AXQ123" s="0"/>
      <c r="AXR123" s="0"/>
      <c r="AXS123" s="0"/>
      <c r="AXT123" s="0"/>
      <c r="AXU123" s="0"/>
      <c r="AXV123" s="0"/>
      <c r="AXW123" s="0"/>
      <c r="AXX123" s="0"/>
      <c r="AXY123" s="0"/>
      <c r="AXZ123" s="0"/>
      <c r="AYA123" s="0"/>
      <c r="AYB123" s="0"/>
      <c r="AYC123" s="0"/>
      <c r="AYD123" s="0"/>
      <c r="AYE123" s="0"/>
      <c r="AYF123" s="0"/>
      <c r="AYG123" s="0"/>
      <c r="AYH123" s="0"/>
      <c r="AYI123" s="0"/>
      <c r="AYJ123" s="0"/>
      <c r="AYK123" s="0"/>
      <c r="AYL123" s="0"/>
      <c r="AYM123" s="0"/>
      <c r="AYN123" s="0"/>
      <c r="AYO123" s="0"/>
      <c r="AYP123" s="0"/>
      <c r="AYQ123" s="0"/>
      <c r="AYR123" s="0"/>
      <c r="AYS123" s="0"/>
      <c r="AYT123" s="0"/>
      <c r="AYU123" s="0"/>
      <c r="AYV123" s="0"/>
      <c r="AYW123" s="0"/>
      <c r="AYX123" s="0"/>
      <c r="AYY123" s="0"/>
      <c r="AYZ123" s="0"/>
      <c r="AZA123" s="0"/>
      <c r="AZB123" s="0"/>
      <c r="AZC123" s="0"/>
      <c r="AZD123" s="0"/>
      <c r="AZE123" s="0"/>
      <c r="AZF123" s="0"/>
      <c r="AZG123" s="0"/>
      <c r="AZH123" s="0"/>
      <c r="AZI123" s="0"/>
      <c r="AZJ123" s="0"/>
      <c r="AZK123" s="0"/>
      <c r="AZL123" s="0"/>
      <c r="AZM123" s="0"/>
      <c r="AZN123" s="0"/>
      <c r="AZO123" s="0"/>
      <c r="AZP123" s="0"/>
      <c r="AZQ123" s="0"/>
      <c r="AZR123" s="0"/>
      <c r="AZS123" s="0"/>
      <c r="AZT123" s="0"/>
      <c r="AZU123" s="0"/>
      <c r="AZV123" s="0"/>
      <c r="AZW123" s="0"/>
      <c r="AZX123" s="0"/>
      <c r="AZY123" s="0"/>
      <c r="AZZ123" s="0"/>
      <c r="BAA123" s="0"/>
      <c r="BAB123" s="0"/>
      <c r="BAC123" s="0"/>
      <c r="BAD123" s="0"/>
      <c r="BAE123" s="0"/>
      <c r="BAF123" s="0"/>
      <c r="BAG123" s="0"/>
      <c r="BAH123" s="0"/>
      <c r="BAI123" s="0"/>
      <c r="BAJ123" s="0"/>
      <c r="BAK123" s="0"/>
      <c r="BAL123" s="0"/>
      <c r="BAM123" s="0"/>
      <c r="BAN123" s="0"/>
      <c r="BAO123" s="0"/>
      <c r="BAP123" s="0"/>
      <c r="BAQ123" s="0"/>
      <c r="BAR123" s="0"/>
      <c r="BAS123" s="0"/>
      <c r="BAT123" s="0"/>
      <c r="BAU123" s="0"/>
      <c r="BAV123" s="0"/>
      <c r="BAW123" s="0"/>
      <c r="BAX123" s="0"/>
      <c r="BAY123" s="0"/>
      <c r="BAZ123" s="0"/>
      <c r="BBA123" s="0"/>
      <c r="BBB123" s="0"/>
      <c r="BBC123" s="0"/>
      <c r="BBD123" s="0"/>
      <c r="BBE123" s="0"/>
      <c r="BBF123" s="0"/>
      <c r="BBG123" s="0"/>
      <c r="BBH123" s="0"/>
      <c r="BBI123" s="0"/>
      <c r="BBJ123" s="0"/>
      <c r="BBK123" s="0"/>
      <c r="BBL123" s="0"/>
      <c r="BBM123" s="0"/>
      <c r="BBN123" s="0"/>
      <c r="BBO123" s="0"/>
      <c r="BBP123" s="0"/>
      <c r="BBQ123" s="0"/>
      <c r="BBR123" s="0"/>
      <c r="BBS123" s="0"/>
      <c r="BBT123" s="0"/>
      <c r="BBU123" s="0"/>
      <c r="BBV123" s="0"/>
      <c r="BBW123" s="0"/>
      <c r="BBX123" s="0"/>
      <c r="BBY123" s="0"/>
      <c r="BBZ123" s="0"/>
      <c r="BCA123" s="0"/>
      <c r="BCB123" s="0"/>
      <c r="BCC123" s="0"/>
      <c r="BCD123" s="0"/>
      <c r="BCE123" s="0"/>
      <c r="BCF123" s="0"/>
      <c r="BCG123" s="0"/>
      <c r="BCH123" s="0"/>
      <c r="BCI123" s="0"/>
      <c r="BCJ123" s="0"/>
      <c r="BCK123" s="0"/>
      <c r="BCL123" s="0"/>
      <c r="BCM123" s="0"/>
      <c r="BCN123" s="0"/>
      <c r="BCO123" s="0"/>
      <c r="BCP123" s="0"/>
      <c r="BCQ123" s="0"/>
      <c r="BCR123" s="0"/>
      <c r="BCS123" s="0"/>
      <c r="BCT123" s="0"/>
      <c r="BCU123" s="0"/>
      <c r="BCV123" s="0"/>
      <c r="BCW123" s="0"/>
      <c r="BCX123" s="0"/>
      <c r="BCY123" s="0"/>
      <c r="BCZ123" s="0"/>
      <c r="BDA123" s="0"/>
      <c r="BDB123" s="0"/>
      <c r="BDC123" s="0"/>
      <c r="BDD123" s="0"/>
      <c r="BDE123" s="0"/>
      <c r="BDF123" s="0"/>
      <c r="BDG123" s="0"/>
      <c r="BDH123" s="0"/>
      <c r="BDI123" s="0"/>
      <c r="BDJ123" s="0"/>
      <c r="BDK123" s="0"/>
      <c r="BDL123" s="0"/>
      <c r="BDM123" s="0"/>
      <c r="BDN123" s="0"/>
      <c r="BDO123" s="0"/>
      <c r="BDP123" s="0"/>
      <c r="BDQ123" s="0"/>
      <c r="BDR123" s="0"/>
      <c r="BDS123" s="0"/>
      <c r="BDT123" s="0"/>
      <c r="BDU123" s="0"/>
      <c r="BDV123" s="0"/>
      <c r="BDW123" s="0"/>
      <c r="BDX123" s="0"/>
      <c r="BDY123" s="0"/>
      <c r="BDZ123" s="0"/>
      <c r="BEA123" s="0"/>
      <c r="BEB123" s="0"/>
      <c r="BEC123" s="0"/>
      <c r="BED123" s="0"/>
      <c r="BEE123" s="0"/>
      <c r="BEF123" s="0"/>
      <c r="BEG123" s="0"/>
      <c r="BEH123" s="0"/>
      <c r="BEI123" s="0"/>
      <c r="BEJ123" s="0"/>
      <c r="BEK123" s="0"/>
      <c r="BEL123" s="0"/>
      <c r="BEM123" s="0"/>
      <c r="BEN123" s="0"/>
      <c r="BEO123" s="0"/>
      <c r="BEP123" s="0"/>
      <c r="BEQ123" s="0"/>
      <c r="BER123" s="0"/>
      <c r="BES123" s="0"/>
      <c r="BET123" s="0"/>
      <c r="BEU123" s="0"/>
      <c r="BEV123" s="0"/>
      <c r="BEW123" s="0"/>
      <c r="BEX123" s="0"/>
      <c r="BEY123" s="0"/>
      <c r="BEZ123" s="0"/>
      <c r="BFA123" s="0"/>
      <c r="BFB123" s="0"/>
      <c r="BFC123" s="0"/>
      <c r="BFD123" s="0"/>
      <c r="BFE123" s="0"/>
      <c r="BFF123" s="0"/>
      <c r="BFG123" s="0"/>
      <c r="BFH123" s="0"/>
      <c r="BFI123" s="0"/>
      <c r="BFJ123" s="0"/>
      <c r="BFK123" s="0"/>
      <c r="BFL123" s="0"/>
      <c r="BFM123" s="0"/>
      <c r="BFN123" s="0"/>
      <c r="BFO123" s="0"/>
      <c r="BFP123" s="0"/>
      <c r="BFQ123" s="0"/>
      <c r="BFR123" s="0"/>
      <c r="BFS123" s="0"/>
      <c r="BFT123" s="0"/>
      <c r="BFU123" s="0"/>
      <c r="BFV123" s="0"/>
      <c r="BFW123" s="0"/>
      <c r="BFX123" s="0"/>
      <c r="BFY123" s="0"/>
      <c r="BFZ123" s="0"/>
      <c r="BGA123" s="0"/>
      <c r="BGB123" s="0"/>
      <c r="BGC123" s="0"/>
      <c r="BGD123" s="0"/>
      <c r="BGE123" s="0"/>
      <c r="BGF123" s="0"/>
      <c r="BGG123" s="0"/>
      <c r="BGH123" s="0"/>
      <c r="BGI123" s="0"/>
      <c r="BGJ123" s="0"/>
      <c r="BGK123" s="0"/>
      <c r="BGL123" s="0"/>
      <c r="BGM123" s="0"/>
      <c r="BGN123" s="0"/>
      <c r="BGO123" s="0"/>
      <c r="BGP123" s="0"/>
      <c r="BGQ123" s="0"/>
      <c r="BGR123" s="0"/>
      <c r="BGS123" s="0"/>
      <c r="BGT123" s="0"/>
      <c r="BGU123" s="0"/>
      <c r="BGV123" s="0"/>
      <c r="BGW123" s="0"/>
      <c r="BGX123" s="0"/>
      <c r="BGY123" s="0"/>
      <c r="BGZ123" s="0"/>
      <c r="BHA123" s="0"/>
      <c r="BHB123" s="0"/>
      <c r="BHC123" s="0"/>
      <c r="BHD123" s="0"/>
      <c r="BHE123" s="0"/>
      <c r="BHF123" s="0"/>
      <c r="BHG123" s="0"/>
      <c r="BHH123" s="0"/>
      <c r="BHI123" s="0"/>
      <c r="BHJ123" s="0"/>
      <c r="BHK123" s="0"/>
      <c r="BHL123" s="0"/>
      <c r="BHM123" s="0"/>
      <c r="BHN123" s="0"/>
      <c r="BHO123" s="0"/>
      <c r="BHP123" s="0"/>
      <c r="BHQ123" s="0"/>
      <c r="BHR123" s="0"/>
      <c r="BHS123" s="0"/>
      <c r="BHT123" s="0"/>
      <c r="BHU123" s="0"/>
      <c r="BHV123" s="0"/>
      <c r="BHW123" s="0"/>
      <c r="BHX123" s="0"/>
      <c r="BHY123" s="0"/>
      <c r="BHZ123" s="0"/>
      <c r="BIA123" s="0"/>
      <c r="BIB123" s="0"/>
      <c r="BIC123" s="0"/>
      <c r="BID123" s="0"/>
      <c r="BIE123" s="0"/>
      <c r="BIF123" s="0"/>
      <c r="BIG123" s="0"/>
      <c r="BIH123" s="0"/>
      <c r="BII123" s="0"/>
      <c r="BIJ123" s="0"/>
      <c r="BIK123" s="0"/>
      <c r="BIL123" s="0"/>
      <c r="BIM123" s="0"/>
      <c r="BIN123" s="0"/>
      <c r="BIO123" s="0"/>
      <c r="BIP123" s="0"/>
      <c r="BIQ123" s="0"/>
      <c r="BIR123" s="0"/>
      <c r="BIS123" s="0"/>
      <c r="BIT123" s="0"/>
      <c r="BIU123" s="0"/>
      <c r="BIV123" s="0"/>
      <c r="BIW123" s="0"/>
      <c r="BIX123" s="0"/>
      <c r="BIY123" s="0"/>
      <c r="BIZ123" s="0"/>
      <c r="BJA123" s="0"/>
      <c r="BJB123" s="0"/>
      <c r="BJC123" s="0"/>
      <c r="BJD123" s="0"/>
      <c r="BJE123" s="0"/>
      <c r="BJF123" s="0"/>
      <c r="BJG123" s="0"/>
      <c r="BJH123" s="0"/>
      <c r="BJI123" s="0"/>
      <c r="BJJ123" s="0"/>
      <c r="BJK123" s="0"/>
      <c r="BJL123" s="0"/>
      <c r="BJM123" s="0"/>
      <c r="BJN123" s="0"/>
      <c r="BJO123" s="0"/>
      <c r="BJP123" s="0"/>
      <c r="BJQ123" s="0"/>
      <c r="BJR123" s="0"/>
      <c r="BJS123" s="0"/>
      <c r="BJT123" s="0"/>
      <c r="BJU123" s="0"/>
      <c r="BJV123" s="0"/>
      <c r="BJW123" s="0"/>
      <c r="BJX123" s="0"/>
      <c r="BJY123" s="0"/>
      <c r="BJZ123" s="0"/>
      <c r="BKA123" s="0"/>
      <c r="BKB123" s="0"/>
      <c r="BKC123" s="0"/>
      <c r="BKD123" s="0"/>
      <c r="BKE123" s="0"/>
      <c r="BKF123" s="0"/>
      <c r="BKG123" s="0"/>
      <c r="BKH123" s="0"/>
      <c r="BKI123" s="0"/>
      <c r="BKJ123" s="0"/>
      <c r="BKK123" s="0"/>
      <c r="BKL123" s="0"/>
      <c r="BKM123" s="0"/>
      <c r="BKN123" s="0"/>
      <c r="BKO123" s="0"/>
      <c r="BKP123" s="0"/>
      <c r="BKQ123" s="0"/>
      <c r="BKR123" s="0"/>
      <c r="BKS123" s="0"/>
      <c r="BKT123" s="0"/>
      <c r="BKU123" s="0"/>
      <c r="BKV123" s="0"/>
      <c r="BKW123" s="0"/>
      <c r="BKX123" s="0"/>
      <c r="BKY123" s="0"/>
      <c r="BKZ123" s="0"/>
      <c r="BLA123" s="0"/>
      <c r="BLB123" s="0"/>
      <c r="BLC123" s="0"/>
      <c r="BLD123" s="0"/>
      <c r="BLE123" s="0"/>
      <c r="BLF123" s="0"/>
      <c r="BLG123" s="0"/>
      <c r="BLH123" s="0"/>
      <c r="BLI123" s="0"/>
      <c r="BLJ123" s="0"/>
      <c r="BLK123" s="0"/>
      <c r="BLL123" s="0"/>
      <c r="BLM123" s="0"/>
      <c r="BLN123" s="0"/>
      <c r="BLO123" s="0"/>
      <c r="BLP123" s="0"/>
      <c r="BLQ123" s="0"/>
      <c r="BLR123" s="0"/>
      <c r="BLS123" s="0"/>
      <c r="BLT123" s="0"/>
      <c r="BLU123" s="0"/>
      <c r="BLV123" s="0"/>
      <c r="BLW123" s="0"/>
      <c r="BLX123" s="0"/>
      <c r="BLY123" s="0"/>
      <c r="BLZ123" s="0"/>
      <c r="BMA123" s="0"/>
      <c r="BMB123" s="0"/>
      <c r="BMC123" s="0"/>
      <c r="BMD123" s="0"/>
      <c r="BME123" s="0"/>
      <c r="BMF123" s="0"/>
      <c r="BMG123" s="0"/>
      <c r="BMH123" s="0"/>
      <c r="BMI123" s="0"/>
      <c r="BMJ123" s="0"/>
      <c r="BMK123" s="0"/>
      <c r="BML123" s="0"/>
      <c r="BMM123" s="0"/>
      <c r="BMN123" s="0"/>
      <c r="BMO123" s="0"/>
      <c r="BMP123" s="0"/>
      <c r="BMQ123" s="0"/>
      <c r="BMR123" s="0"/>
      <c r="BMS123" s="0"/>
      <c r="BMT123" s="0"/>
      <c r="BMU123" s="0"/>
      <c r="BMV123" s="0"/>
      <c r="BMW123" s="0"/>
      <c r="BMX123" s="0"/>
      <c r="BMY123" s="0"/>
      <c r="BMZ123" s="0"/>
      <c r="BNA123" s="0"/>
      <c r="BNB123" s="0"/>
      <c r="BNC123" s="0"/>
      <c r="BND123" s="0"/>
      <c r="BNE123" s="0"/>
      <c r="BNF123" s="0"/>
      <c r="BNG123" s="0"/>
      <c r="BNH123" s="0"/>
      <c r="BNI123" s="0"/>
      <c r="BNJ123" s="0"/>
      <c r="BNK123" s="0"/>
      <c r="BNL123" s="0"/>
      <c r="BNM123" s="0"/>
      <c r="BNN123" s="0"/>
      <c r="BNO123" s="0"/>
      <c r="BNP123" s="0"/>
      <c r="BNQ123" s="0"/>
      <c r="BNR123" s="0"/>
      <c r="BNS123" s="0"/>
      <c r="BNT123" s="0"/>
      <c r="BNU123" s="0"/>
      <c r="BNV123" s="0"/>
      <c r="BNW123" s="0"/>
      <c r="BNX123" s="0"/>
      <c r="BNY123" s="0"/>
      <c r="BNZ123" s="0"/>
      <c r="BOA123" s="0"/>
      <c r="BOB123" s="0"/>
      <c r="BOC123" s="0"/>
      <c r="BOD123" s="0"/>
      <c r="BOE123" s="0"/>
      <c r="BOF123" s="0"/>
      <c r="BOG123" s="0"/>
      <c r="BOH123" s="0"/>
      <c r="BOI123" s="0"/>
      <c r="BOJ123" s="0"/>
      <c r="BOK123" s="0"/>
      <c r="BOL123" s="0"/>
      <c r="BOM123" s="0"/>
      <c r="BON123" s="0"/>
      <c r="BOO123" s="0"/>
      <c r="BOP123" s="0"/>
      <c r="BOQ123" s="0"/>
      <c r="BOR123" s="0"/>
      <c r="BOS123" s="0"/>
      <c r="BOT123" s="0"/>
      <c r="BOU123" s="0"/>
      <c r="BOV123" s="0"/>
      <c r="BOW123" s="0"/>
      <c r="BOX123" s="0"/>
      <c r="BOY123" s="0"/>
      <c r="BOZ123" s="0"/>
      <c r="BPA123" s="0"/>
      <c r="BPB123" s="0"/>
      <c r="BPC123" s="0"/>
      <c r="BPD123" s="0"/>
      <c r="BPE123" s="0"/>
      <c r="BPF123" s="0"/>
      <c r="BPG123" s="0"/>
      <c r="BPH123" s="0"/>
      <c r="BPI123" s="0"/>
      <c r="BPJ123" s="0"/>
      <c r="BPK123" s="0"/>
      <c r="BPL123" s="0"/>
      <c r="BPM123" s="0"/>
      <c r="BPN123" s="0"/>
      <c r="BPO123" s="0"/>
      <c r="BPP123" s="0"/>
      <c r="BPQ123" s="0"/>
      <c r="BPR123" s="0"/>
      <c r="BPS123" s="0"/>
      <c r="BPT123" s="0"/>
      <c r="BPU123" s="0"/>
      <c r="BPV123" s="0"/>
      <c r="BPW123" s="0"/>
      <c r="BPX123" s="0"/>
      <c r="BPY123" s="0"/>
      <c r="BPZ123" s="0"/>
      <c r="BQA123" s="0"/>
      <c r="BQB123" s="0"/>
      <c r="BQC123" s="0"/>
      <c r="BQD123" s="0"/>
      <c r="BQE123" s="0"/>
      <c r="BQF123" s="0"/>
      <c r="BQG123" s="0"/>
      <c r="BQH123" s="0"/>
      <c r="BQI123" s="0"/>
      <c r="BQJ123" s="0"/>
      <c r="BQK123" s="0"/>
      <c r="BQL123" s="0"/>
      <c r="BQM123" s="0"/>
      <c r="BQN123" s="0"/>
      <c r="BQO123" s="0"/>
      <c r="BQP123" s="0"/>
      <c r="BQQ123" s="0"/>
      <c r="BQR123" s="0"/>
      <c r="BQS123" s="0"/>
      <c r="BQT123" s="0"/>
      <c r="BQU123" s="0"/>
      <c r="BQV123" s="0"/>
      <c r="BQW123" s="0"/>
      <c r="BQX123" s="0"/>
      <c r="BQY123" s="0"/>
      <c r="BQZ123" s="0"/>
      <c r="BRA123" s="0"/>
      <c r="BRB123" s="0"/>
      <c r="BRC123" s="0"/>
      <c r="BRD123" s="0"/>
      <c r="BRE123" s="0"/>
      <c r="BRF123" s="0"/>
      <c r="BRG123" s="0"/>
      <c r="BRH123" s="0"/>
      <c r="BRI123" s="0"/>
      <c r="BRJ123" s="0"/>
      <c r="BRK123" s="0"/>
      <c r="BRL123" s="0"/>
      <c r="BRM123" s="0"/>
      <c r="BRN123" s="0"/>
      <c r="BRO123" s="0"/>
      <c r="BRP123" s="0"/>
      <c r="BRQ123" s="0"/>
      <c r="BRR123" s="0"/>
      <c r="BRS123" s="0"/>
      <c r="BRT123" s="0"/>
      <c r="BRU123" s="0"/>
      <c r="BRV123" s="0"/>
      <c r="BRW123" s="0"/>
      <c r="BRX123" s="0"/>
      <c r="BRY123" s="0"/>
      <c r="BRZ123" s="0"/>
      <c r="BSA123" s="0"/>
      <c r="BSB123" s="0"/>
      <c r="BSC123" s="0"/>
      <c r="BSD123" s="0"/>
      <c r="BSE123" s="0"/>
      <c r="BSF123" s="0"/>
      <c r="BSG123" s="0"/>
      <c r="BSH123" s="0"/>
      <c r="BSI123" s="0"/>
      <c r="BSJ123" s="0"/>
      <c r="BSK123" s="0"/>
      <c r="BSL123" s="0"/>
      <c r="BSM123" s="0"/>
      <c r="BSN123" s="0"/>
      <c r="BSO123" s="0"/>
      <c r="BSP123" s="0"/>
      <c r="BSQ123" s="0"/>
      <c r="BSR123" s="0"/>
      <c r="BSS123" s="0"/>
      <c r="BST123" s="0"/>
      <c r="BSU123" s="0"/>
      <c r="BSV123" s="0"/>
      <c r="BSW123" s="0"/>
      <c r="BSX123" s="0"/>
      <c r="BSY123" s="0"/>
      <c r="BSZ123" s="0"/>
      <c r="BTA123" s="0"/>
      <c r="BTB123" s="0"/>
      <c r="BTC123" s="0"/>
      <c r="BTD123" s="0"/>
      <c r="BTE123" s="0"/>
      <c r="BTF123" s="0"/>
      <c r="BTG123" s="0"/>
      <c r="BTH123" s="0"/>
      <c r="BTI123" s="0"/>
      <c r="BTJ123" s="0"/>
      <c r="BTK123" s="0"/>
      <c r="BTL123" s="0"/>
      <c r="BTM123" s="0"/>
      <c r="BTN123" s="0"/>
      <c r="BTO123" s="0"/>
      <c r="BTP123" s="0"/>
      <c r="BTQ123" s="0"/>
      <c r="BTR123" s="0"/>
      <c r="BTS123" s="0"/>
      <c r="BTT123" s="0"/>
      <c r="BTU123" s="0"/>
      <c r="BTV123" s="0"/>
      <c r="BTW123" s="0"/>
      <c r="BTX123" s="0"/>
      <c r="BTY123" s="0"/>
      <c r="BTZ123" s="0"/>
      <c r="BUA123" s="0"/>
      <c r="BUB123" s="0"/>
      <c r="BUC123" s="0"/>
      <c r="BUD123" s="0"/>
      <c r="BUE123" s="0"/>
      <c r="BUF123" s="0"/>
      <c r="BUG123" s="0"/>
      <c r="BUH123" s="0"/>
      <c r="BUI123" s="0"/>
      <c r="BUJ123" s="0"/>
      <c r="BUK123" s="0"/>
      <c r="BUL123" s="0"/>
      <c r="BUM123" s="0"/>
      <c r="BUN123" s="0"/>
      <c r="BUO123" s="0"/>
      <c r="BUP123" s="0"/>
      <c r="BUQ123" s="0"/>
      <c r="BUR123" s="0"/>
      <c r="BUS123" s="0"/>
      <c r="BUT123" s="0"/>
      <c r="BUU123" s="0"/>
      <c r="BUV123" s="0"/>
      <c r="BUW123" s="0"/>
      <c r="BUX123" s="0"/>
      <c r="BUY123" s="0"/>
      <c r="BUZ123" s="0"/>
      <c r="BVA123" s="0"/>
      <c r="BVB123" s="0"/>
      <c r="BVC123" s="0"/>
      <c r="BVD123" s="0"/>
      <c r="BVE123" s="0"/>
      <c r="BVF123" s="0"/>
      <c r="BVG123" s="0"/>
      <c r="BVH123" s="0"/>
      <c r="BVI123" s="0"/>
      <c r="BVJ123" s="0"/>
      <c r="BVK123" s="0"/>
      <c r="BVL123" s="0"/>
      <c r="BVM123" s="0"/>
      <c r="BVN123" s="0"/>
      <c r="BVO123" s="0"/>
      <c r="BVP123" s="0"/>
      <c r="BVQ123" s="0"/>
      <c r="BVR123" s="0"/>
      <c r="BVS123" s="0"/>
      <c r="BVT123" s="0"/>
      <c r="BVU123" s="0"/>
      <c r="BVV123" s="0"/>
      <c r="BVW123" s="0"/>
      <c r="BVX123" s="0"/>
      <c r="BVY123" s="0"/>
      <c r="BVZ123" s="0"/>
      <c r="BWA123" s="0"/>
      <c r="BWB123" s="0"/>
      <c r="BWC123" s="0"/>
      <c r="BWD123" s="0"/>
      <c r="BWE123" s="0"/>
      <c r="BWF123" s="0"/>
      <c r="BWG123" s="0"/>
      <c r="BWH123" s="0"/>
      <c r="BWI123" s="0"/>
      <c r="BWJ123" s="0"/>
      <c r="BWK123" s="0"/>
      <c r="BWL123" s="0"/>
      <c r="BWM123" s="0"/>
      <c r="BWN123" s="0"/>
      <c r="BWO123" s="0"/>
      <c r="BWP123" s="0"/>
      <c r="BWQ123" s="0"/>
      <c r="BWR123" s="0"/>
      <c r="BWS123" s="0"/>
      <c r="BWT123" s="0"/>
      <c r="BWU123" s="0"/>
      <c r="BWV123" s="0"/>
      <c r="BWW123" s="0"/>
      <c r="BWX123" s="0"/>
      <c r="BWY123" s="0"/>
      <c r="BWZ123" s="0"/>
      <c r="BXA123" s="0"/>
      <c r="BXB123" s="0"/>
      <c r="BXC123" s="0"/>
      <c r="BXD123" s="0"/>
      <c r="BXE123" s="0"/>
      <c r="BXF123" s="0"/>
      <c r="BXG123" s="0"/>
      <c r="BXH123" s="0"/>
      <c r="BXI123" s="0"/>
      <c r="BXJ123" s="0"/>
      <c r="BXK123" s="0"/>
      <c r="BXL123" s="0"/>
      <c r="BXM123" s="0"/>
      <c r="BXN123" s="0"/>
      <c r="BXO123" s="0"/>
      <c r="BXP123" s="0"/>
      <c r="BXQ123" s="0"/>
      <c r="BXR123" s="0"/>
      <c r="BXS123" s="0"/>
      <c r="BXT123" s="0"/>
      <c r="BXU123" s="0"/>
      <c r="BXV123" s="0"/>
      <c r="BXW123" s="0"/>
      <c r="BXX123" s="0"/>
      <c r="BXY123" s="0"/>
      <c r="BXZ123" s="0"/>
      <c r="BYA123" s="0"/>
      <c r="BYB123" s="0"/>
      <c r="BYC123" s="0"/>
      <c r="BYD123" s="0"/>
      <c r="BYE123" s="0"/>
      <c r="BYF123" s="0"/>
      <c r="BYG123" s="0"/>
      <c r="BYH123" s="0"/>
      <c r="BYI123" s="0"/>
      <c r="BYJ123" s="0"/>
      <c r="BYK123" s="0"/>
      <c r="BYL123" s="0"/>
      <c r="BYM123" s="0"/>
      <c r="BYN123" s="0"/>
      <c r="BYO123" s="0"/>
      <c r="BYP123" s="0"/>
      <c r="BYQ123" s="0"/>
      <c r="BYR123" s="0"/>
      <c r="BYS123" s="0"/>
      <c r="BYT123" s="0"/>
      <c r="BYU123" s="0"/>
      <c r="BYV123" s="0"/>
      <c r="BYW123" s="0"/>
      <c r="BYX123" s="0"/>
      <c r="BYY123" s="0"/>
      <c r="BYZ123" s="0"/>
      <c r="BZA123" s="0"/>
      <c r="BZB123" s="0"/>
      <c r="BZC123" s="0"/>
      <c r="BZD123" s="0"/>
      <c r="BZE123" s="0"/>
      <c r="BZF123" s="0"/>
      <c r="BZG123" s="0"/>
      <c r="BZH123" s="0"/>
      <c r="BZI123" s="0"/>
      <c r="BZJ123" s="0"/>
      <c r="BZK123" s="0"/>
      <c r="BZL123" s="0"/>
      <c r="BZM123" s="0"/>
      <c r="BZN123" s="0"/>
      <c r="BZO123" s="0"/>
      <c r="BZP123" s="0"/>
      <c r="BZQ123" s="0"/>
      <c r="BZR123" s="0"/>
      <c r="BZS123" s="0"/>
      <c r="BZT123" s="0"/>
      <c r="BZU123" s="0"/>
      <c r="BZV123" s="0"/>
      <c r="BZW123" s="0"/>
      <c r="BZX123" s="0"/>
      <c r="BZY123" s="0"/>
      <c r="BZZ123" s="0"/>
      <c r="CAA123" s="0"/>
      <c r="CAB123" s="0"/>
      <c r="CAC123" s="0"/>
      <c r="CAD123" s="0"/>
      <c r="CAE123" s="0"/>
      <c r="CAF123" s="0"/>
      <c r="CAG123" s="0"/>
      <c r="CAH123" s="0"/>
      <c r="CAI123" s="0"/>
      <c r="CAJ123" s="0"/>
      <c r="CAK123" s="0"/>
      <c r="CAL123" s="0"/>
      <c r="CAM123" s="0"/>
      <c r="CAN123" s="0"/>
      <c r="CAO123" s="0"/>
      <c r="CAP123" s="0"/>
      <c r="CAQ123" s="0"/>
      <c r="CAR123" s="0"/>
      <c r="CAS123" s="0"/>
      <c r="CAT123" s="0"/>
      <c r="CAU123" s="0"/>
      <c r="CAV123" s="0"/>
      <c r="CAW123" s="0"/>
      <c r="CAX123" s="0"/>
      <c r="CAY123" s="0"/>
      <c r="CAZ123" s="0"/>
      <c r="CBA123" s="0"/>
      <c r="CBB123" s="0"/>
      <c r="CBC123" s="0"/>
      <c r="CBD123" s="0"/>
      <c r="CBE123" s="0"/>
      <c r="CBF123" s="0"/>
      <c r="CBG123" s="0"/>
      <c r="CBH123" s="0"/>
      <c r="CBI123" s="0"/>
      <c r="CBJ123" s="0"/>
      <c r="CBK123" s="0"/>
      <c r="CBL123" s="0"/>
      <c r="CBM123" s="0"/>
      <c r="CBN123" s="0"/>
      <c r="CBO123" s="0"/>
      <c r="CBP123" s="0"/>
      <c r="CBQ123" s="0"/>
      <c r="CBR123" s="0"/>
      <c r="CBS123" s="0"/>
      <c r="CBT123" s="0"/>
      <c r="CBU123" s="0"/>
      <c r="CBV123" s="0"/>
      <c r="CBW123" s="0"/>
      <c r="CBX123" s="0"/>
      <c r="CBY123" s="0"/>
      <c r="CBZ123" s="0"/>
      <c r="CCA123" s="0"/>
      <c r="CCB123" s="0"/>
      <c r="CCC123" s="0"/>
      <c r="CCD123" s="0"/>
      <c r="CCE123" s="0"/>
      <c r="CCF123" s="0"/>
      <c r="CCG123" s="0"/>
      <c r="CCH123" s="0"/>
      <c r="CCI123" s="0"/>
      <c r="CCJ123" s="0"/>
      <c r="CCK123" s="0"/>
      <c r="CCL123" s="0"/>
      <c r="CCM123" s="0"/>
      <c r="CCN123" s="0"/>
      <c r="CCO123" s="0"/>
      <c r="CCP123" s="0"/>
      <c r="CCQ123" s="0"/>
      <c r="CCR123" s="0"/>
      <c r="CCS123" s="0"/>
      <c r="CCT123" s="0"/>
      <c r="CCU123" s="0"/>
      <c r="CCV123" s="0"/>
      <c r="CCW123" s="0"/>
      <c r="CCX123" s="0"/>
      <c r="CCY123" s="0"/>
      <c r="CCZ123" s="0"/>
      <c r="CDA123" s="0"/>
      <c r="CDB123" s="0"/>
      <c r="CDC123" s="0"/>
      <c r="CDD123" s="0"/>
      <c r="CDE123" s="0"/>
      <c r="CDF123" s="0"/>
      <c r="CDG123" s="0"/>
      <c r="CDH123" s="0"/>
      <c r="CDI123" s="0"/>
      <c r="CDJ123" s="0"/>
      <c r="CDK123" s="0"/>
      <c r="CDL123" s="0"/>
      <c r="CDM123" s="0"/>
      <c r="CDN123" s="0"/>
      <c r="CDO123" s="0"/>
      <c r="CDP123" s="0"/>
      <c r="CDQ123" s="0"/>
      <c r="CDR123" s="0"/>
      <c r="CDS123" s="0"/>
      <c r="CDT123" s="0"/>
      <c r="CDU123" s="0"/>
      <c r="CDV123" s="0"/>
      <c r="CDW123" s="0"/>
      <c r="CDX123" s="0"/>
      <c r="CDY123" s="0"/>
      <c r="CDZ123" s="0"/>
      <c r="CEA123" s="0"/>
      <c r="CEB123" s="0"/>
      <c r="CEC123" s="0"/>
      <c r="CED123" s="0"/>
      <c r="CEE123" s="0"/>
      <c r="CEF123" s="0"/>
      <c r="CEG123" s="0"/>
      <c r="CEH123" s="0"/>
      <c r="CEI123" s="0"/>
      <c r="CEJ123" s="0"/>
      <c r="CEK123" s="0"/>
      <c r="CEL123" s="0"/>
      <c r="CEM123" s="0"/>
      <c r="CEN123" s="0"/>
      <c r="CEO123" s="0"/>
      <c r="CEP123" s="0"/>
      <c r="CEQ123" s="0"/>
      <c r="CER123" s="0"/>
      <c r="CES123" s="0"/>
      <c r="CET123" s="0"/>
      <c r="CEU123" s="0"/>
      <c r="CEV123" s="0"/>
      <c r="CEW123" s="0"/>
      <c r="CEX123" s="0"/>
      <c r="CEY123" s="0"/>
      <c r="CEZ123" s="0"/>
      <c r="CFA123" s="0"/>
      <c r="CFB123" s="0"/>
      <c r="CFC123" s="0"/>
      <c r="CFD123" s="0"/>
      <c r="CFE123" s="0"/>
      <c r="CFF123" s="0"/>
      <c r="CFG123" s="0"/>
      <c r="CFH123" s="0"/>
      <c r="CFI123" s="0"/>
      <c r="CFJ123" s="0"/>
      <c r="CFK123" s="0"/>
      <c r="CFL123" s="0"/>
      <c r="CFM123" s="0"/>
      <c r="CFN123" s="0"/>
      <c r="CFO123" s="0"/>
      <c r="CFP123" s="0"/>
      <c r="CFQ123" s="0"/>
      <c r="CFR123" s="0"/>
      <c r="CFS123" s="0"/>
      <c r="CFT123" s="0"/>
      <c r="CFU123" s="0"/>
      <c r="CFV123" s="0"/>
      <c r="CFW123" s="0"/>
      <c r="CFX123" s="0"/>
      <c r="CFY123" s="0"/>
      <c r="CFZ123" s="0"/>
      <c r="CGA123" s="0"/>
      <c r="CGB123" s="0"/>
      <c r="CGC123" s="0"/>
      <c r="CGD123" s="0"/>
      <c r="CGE123" s="0"/>
      <c r="CGF123" s="0"/>
      <c r="CGG123" s="0"/>
      <c r="CGH123" s="0"/>
      <c r="CGI123" s="0"/>
      <c r="CGJ123" s="0"/>
      <c r="CGK123" s="0"/>
      <c r="CGL123" s="0"/>
      <c r="CGM123" s="0"/>
      <c r="CGN123" s="0"/>
      <c r="CGO123" s="0"/>
      <c r="CGP123" s="0"/>
      <c r="CGQ123" s="0"/>
      <c r="CGR123" s="0"/>
      <c r="CGS123" s="0"/>
      <c r="CGT123" s="0"/>
      <c r="CGU123" s="0"/>
      <c r="CGV123" s="0"/>
      <c r="CGW123" s="0"/>
      <c r="CGX123" s="0"/>
      <c r="CGY123" s="0"/>
      <c r="CGZ123" s="0"/>
      <c r="CHA123" s="0"/>
      <c r="CHB123" s="0"/>
      <c r="CHC123" s="0"/>
      <c r="CHD123" s="0"/>
      <c r="CHE123" s="0"/>
      <c r="CHF123" s="0"/>
      <c r="CHG123" s="0"/>
      <c r="CHH123" s="0"/>
      <c r="CHI123" s="0"/>
      <c r="CHJ123" s="0"/>
      <c r="CHK123" s="0"/>
      <c r="CHL123" s="0"/>
      <c r="CHM123" s="0"/>
      <c r="CHN123" s="0"/>
      <c r="CHO123" s="0"/>
      <c r="CHP123" s="0"/>
      <c r="CHQ123" s="0"/>
      <c r="CHR123" s="0"/>
      <c r="CHS123" s="0"/>
      <c r="CHT123" s="0"/>
      <c r="CHU123" s="0"/>
      <c r="CHV123" s="0"/>
      <c r="CHW123" s="0"/>
      <c r="CHX123" s="0"/>
      <c r="CHY123" s="0"/>
      <c r="CHZ123" s="0"/>
      <c r="CIA123" s="0"/>
      <c r="CIB123" s="0"/>
      <c r="CIC123" s="0"/>
      <c r="CID123" s="0"/>
      <c r="CIE123" s="0"/>
      <c r="CIF123" s="0"/>
      <c r="CIG123" s="0"/>
      <c r="CIH123" s="0"/>
      <c r="CII123" s="0"/>
      <c r="CIJ123" s="0"/>
      <c r="CIK123" s="0"/>
      <c r="CIL123" s="0"/>
      <c r="CIM123" s="0"/>
      <c r="CIN123" s="0"/>
      <c r="CIO123" s="0"/>
      <c r="CIP123" s="0"/>
      <c r="CIQ123" s="0"/>
      <c r="CIR123" s="0"/>
      <c r="CIS123" s="0"/>
      <c r="CIT123" s="0"/>
      <c r="CIU123" s="0"/>
      <c r="CIV123" s="0"/>
      <c r="CIW123" s="0"/>
      <c r="CIX123" s="0"/>
      <c r="CIY123" s="0"/>
      <c r="CIZ123" s="0"/>
      <c r="CJA123" s="0"/>
      <c r="CJB123" s="0"/>
      <c r="CJC123" s="0"/>
      <c r="CJD123" s="0"/>
      <c r="CJE123" s="0"/>
      <c r="CJF123" s="0"/>
      <c r="CJG123" s="0"/>
      <c r="CJH123" s="0"/>
      <c r="CJI123" s="0"/>
      <c r="CJJ123" s="0"/>
      <c r="CJK123" s="0"/>
      <c r="CJL123" s="0"/>
      <c r="CJM123" s="0"/>
      <c r="CJN123" s="0"/>
      <c r="CJO123" s="0"/>
      <c r="CJP123" s="0"/>
      <c r="CJQ123" s="0"/>
      <c r="CJR123" s="0"/>
      <c r="CJS123" s="0"/>
      <c r="CJT123" s="0"/>
      <c r="CJU123" s="0"/>
      <c r="CJV123" s="0"/>
      <c r="CJW123" s="0"/>
      <c r="CJX123" s="0"/>
      <c r="CJY123" s="0"/>
      <c r="CJZ123" s="0"/>
      <c r="CKA123" s="0"/>
      <c r="CKB123" s="0"/>
      <c r="CKC123" s="0"/>
      <c r="CKD123" s="0"/>
      <c r="CKE123" s="0"/>
      <c r="CKF123" s="0"/>
      <c r="CKG123" s="0"/>
      <c r="CKH123" s="0"/>
      <c r="CKI123" s="0"/>
      <c r="CKJ123" s="0"/>
      <c r="CKK123" s="0"/>
      <c r="CKL123" s="0"/>
      <c r="CKM123" s="0"/>
      <c r="CKN123" s="0"/>
      <c r="CKO123" s="0"/>
      <c r="CKP123" s="0"/>
      <c r="CKQ123" s="0"/>
      <c r="CKR123" s="0"/>
      <c r="CKS123" s="0"/>
      <c r="CKT123" s="0"/>
      <c r="CKU123" s="0"/>
      <c r="CKV123" s="0"/>
      <c r="CKW123" s="0"/>
      <c r="CKX123" s="0"/>
      <c r="CKY123" s="0"/>
      <c r="CKZ123" s="0"/>
      <c r="CLA123" s="0"/>
      <c r="CLB123" s="0"/>
      <c r="CLC123" s="0"/>
      <c r="CLD123" s="0"/>
      <c r="CLE123" s="0"/>
      <c r="CLF123" s="0"/>
      <c r="CLG123" s="0"/>
      <c r="CLH123" s="0"/>
      <c r="CLI123" s="0"/>
      <c r="CLJ123" s="0"/>
      <c r="CLK123" s="0"/>
      <c r="CLL123" s="0"/>
      <c r="CLM123" s="0"/>
      <c r="CLN123" s="0"/>
      <c r="CLO123" s="0"/>
      <c r="CLP123" s="0"/>
      <c r="CLQ123" s="0"/>
      <c r="CLR123" s="0"/>
      <c r="CLS123" s="0"/>
      <c r="CLT123" s="0"/>
      <c r="CLU123" s="0"/>
      <c r="CLV123" s="0"/>
      <c r="CLW123" s="0"/>
      <c r="CLX123" s="0"/>
      <c r="CLY123" s="0"/>
      <c r="CLZ123" s="0"/>
      <c r="CMA123" s="0"/>
      <c r="CMB123" s="0"/>
      <c r="CMC123" s="0"/>
      <c r="CMD123" s="0"/>
      <c r="CME123" s="0"/>
      <c r="CMF123" s="0"/>
      <c r="CMG123" s="0"/>
      <c r="CMH123" s="0"/>
      <c r="CMI123" s="0"/>
      <c r="CMJ123" s="0"/>
      <c r="CMK123" s="0"/>
      <c r="CML123" s="0"/>
      <c r="CMM123" s="0"/>
      <c r="CMN123" s="0"/>
      <c r="CMO123" s="0"/>
      <c r="CMP123" s="0"/>
      <c r="CMQ123" s="0"/>
      <c r="CMR123" s="0"/>
      <c r="CMS123" s="0"/>
      <c r="CMT123" s="0"/>
      <c r="CMU123" s="0"/>
      <c r="CMV123" s="0"/>
      <c r="CMW123" s="0"/>
      <c r="CMX123" s="0"/>
      <c r="CMY123" s="0"/>
      <c r="CMZ123" s="0"/>
      <c r="CNA123" s="0"/>
      <c r="CNB123" s="0"/>
      <c r="CNC123" s="0"/>
      <c r="CND123" s="0"/>
      <c r="CNE123" s="0"/>
      <c r="CNF123" s="0"/>
      <c r="CNG123" s="0"/>
      <c r="CNH123" s="0"/>
      <c r="CNI123" s="0"/>
      <c r="CNJ123" s="0"/>
      <c r="CNK123" s="0"/>
      <c r="CNL123" s="0"/>
      <c r="CNM123" s="0"/>
      <c r="CNN123" s="0"/>
      <c r="CNO123" s="0"/>
      <c r="CNP123" s="0"/>
      <c r="CNQ123" s="0"/>
      <c r="CNR123" s="0"/>
      <c r="CNS123" s="0"/>
      <c r="CNT123" s="0"/>
      <c r="CNU123" s="0"/>
      <c r="CNV123" s="0"/>
      <c r="CNW123" s="0"/>
      <c r="CNX123" s="0"/>
      <c r="CNY123" s="0"/>
      <c r="CNZ123" s="0"/>
      <c r="COA123" s="0"/>
      <c r="COB123" s="0"/>
      <c r="COC123" s="0"/>
      <c r="COD123" s="0"/>
      <c r="COE123" s="0"/>
      <c r="COF123" s="0"/>
      <c r="COG123" s="0"/>
      <c r="COH123" s="0"/>
      <c r="COI123" s="0"/>
      <c r="COJ123" s="0"/>
      <c r="COK123" s="0"/>
      <c r="COL123" s="0"/>
      <c r="COM123" s="0"/>
      <c r="CON123" s="0"/>
      <c r="COO123" s="0"/>
      <c r="COP123" s="0"/>
      <c r="COQ123" s="0"/>
      <c r="COR123" s="0"/>
      <c r="COS123" s="0"/>
      <c r="COT123" s="0"/>
      <c r="COU123" s="0"/>
      <c r="COV123" s="0"/>
      <c r="COW123" s="0"/>
      <c r="COX123" s="0"/>
      <c r="COY123" s="0"/>
      <c r="COZ123" s="0"/>
      <c r="CPA123" s="0"/>
      <c r="CPB123" s="0"/>
      <c r="CPC123" s="0"/>
      <c r="CPD123" s="0"/>
      <c r="CPE123" s="0"/>
      <c r="CPF123" s="0"/>
      <c r="CPG123" s="0"/>
      <c r="CPH123" s="0"/>
      <c r="CPI123" s="0"/>
      <c r="CPJ123" s="0"/>
      <c r="CPK123" s="0"/>
      <c r="CPL123" s="0"/>
      <c r="CPM123" s="0"/>
      <c r="CPN123" s="0"/>
      <c r="CPO123" s="0"/>
      <c r="CPP123" s="0"/>
      <c r="CPQ123" s="0"/>
      <c r="CPR123" s="0"/>
      <c r="CPS123" s="0"/>
      <c r="CPT123" s="0"/>
      <c r="CPU123" s="0"/>
      <c r="CPV123" s="0"/>
      <c r="CPW123" s="0"/>
      <c r="CPX123" s="0"/>
      <c r="CPY123" s="0"/>
      <c r="CPZ123" s="0"/>
      <c r="CQA123" s="0"/>
      <c r="CQB123" s="0"/>
      <c r="CQC123" s="0"/>
      <c r="CQD123" s="0"/>
      <c r="CQE123" s="0"/>
      <c r="CQF123" s="0"/>
      <c r="CQG123" s="0"/>
      <c r="CQH123" s="0"/>
      <c r="CQI123" s="0"/>
      <c r="CQJ123" s="0"/>
      <c r="CQK123" s="0"/>
      <c r="CQL123" s="0"/>
      <c r="CQM123" s="0"/>
      <c r="CQN123" s="0"/>
      <c r="CQO123" s="0"/>
      <c r="CQP123" s="0"/>
      <c r="CQQ123" s="0"/>
      <c r="CQR123" s="0"/>
      <c r="CQS123" s="0"/>
      <c r="CQT123" s="0"/>
      <c r="CQU123" s="0"/>
      <c r="CQV123" s="0"/>
      <c r="CQW123" s="0"/>
      <c r="CQX123" s="0"/>
      <c r="CQY123" s="0"/>
      <c r="CQZ123" s="0"/>
      <c r="CRA123" s="0"/>
      <c r="CRB123" s="0"/>
      <c r="CRC123" s="0"/>
      <c r="CRD123" s="0"/>
      <c r="CRE123" s="0"/>
      <c r="CRF123" s="0"/>
      <c r="CRG123" s="0"/>
      <c r="CRH123" s="0"/>
      <c r="CRI123" s="0"/>
      <c r="CRJ123" s="0"/>
      <c r="CRK123" s="0"/>
      <c r="CRL123" s="0"/>
      <c r="CRM123" s="0"/>
      <c r="CRN123" s="0"/>
      <c r="CRO123" s="0"/>
      <c r="CRP123" s="0"/>
      <c r="CRQ123" s="0"/>
      <c r="CRR123" s="0"/>
      <c r="CRS123" s="0"/>
      <c r="CRT123" s="0"/>
      <c r="CRU123" s="0"/>
      <c r="CRV123" s="0"/>
      <c r="CRW123" s="0"/>
      <c r="CRX123" s="0"/>
      <c r="CRY123" s="0"/>
      <c r="CRZ123" s="0"/>
      <c r="CSA123" s="0"/>
      <c r="CSB123" s="0"/>
      <c r="CSC123" s="0"/>
      <c r="CSD123" s="0"/>
      <c r="CSE123" s="0"/>
      <c r="CSF123" s="0"/>
      <c r="CSG123" s="0"/>
      <c r="CSH123" s="0"/>
      <c r="CSI123" s="0"/>
      <c r="CSJ123" s="0"/>
      <c r="CSK123" s="0"/>
      <c r="CSL123" s="0"/>
      <c r="CSM123" s="0"/>
      <c r="CSN123" s="0"/>
      <c r="CSO123" s="0"/>
      <c r="CSP123" s="0"/>
      <c r="CSQ123" s="0"/>
      <c r="CSR123" s="0"/>
      <c r="CSS123" s="0"/>
      <c r="CST123" s="0"/>
      <c r="CSU123" s="0"/>
      <c r="CSV123" s="0"/>
      <c r="CSW123" s="0"/>
      <c r="CSX123" s="0"/>
      <c r="CSY123" s="0"/>
      <c r="CSZ123" s="0"/>
      <c r="CTA123" s="0"/>
      <c r="CTB123" s="0"/>
      <c r="CTC123" s="0"/>
      <c r="CTD123" s="0"/>
      <c r="CTE123" s="0"/>
      <c r="CTF123" s="0"/>
      <c r="CTG123" s="0"/>
      <c r="CTH123" s="0"/>
      <c r="CTI123" s="0"/>
      <c r="CTJ123" s="0"/>
      <c r="CTK123" s="0"/>
      <c r="CTL123" s="0"/>
      <c r="CTM123" s="0"/>
      <c r="CTN123" s="0"/>
      <c r="CTO123" s="0"/>
      <c r="CTP123" s="0"/>
      <c r="CTQ123" s="0"/>
      <c r="CTR123" s="0"/>
      <c r="CTS123" s="0"/>
      <c r="CTT123" s="0"/>
      <c r="CTU123" s="0"/>
      <c r="CTV123" s="0"/>
      <c r="CTW123" s="0"/>
      <c r="CTX123" s="0"/>
      <c r="CTY123" s="0"/>
      <c r="CTZ123" s="0"/>
      <c r="CUA123" s="0"/>
      <c r="CUB123" s="0"/>
      <c r="CUC123" s="0"/>
      <c r="CUD123" s="0"/>
      <c r="CUE123" s="0"/>
      <c r="CUF123" s="0"/>
      <c r="CUG123" s="0"/>
      <c r="CUH123" s="0"/>
      <c r="CUI123" s="0"/>
      <c r="CUJ123" s="0"/>
      <c r="CUK123" s="0"/>
      <c r="CUL123" s="0"/>
      <c r="CUM123" s="0"/>
      <c r="CUN123" s="0"/>
      <c r="CUO123" s="0"/>
      <c r="CUP123" s="0"/>
      <c r="CUQ123" s="0"/>
      <c r="CUR123" s="0"/>
      <c r="CUS123" s="0"/>
      <c r="CUT123" s="0"/>
      <c r="CUU123" s="0"/>
      <c r="CUV123" s="0"/>
      <c r="CUW123" s="0"/>
      <c r="CUX123" s="0"/>
      <c r="CUY123" s="0"/>
      <c r="CUZ123" s="0"/>
      <c r="CVA123" s="0"/>
      <c r="CVB123" s="0"/>
      <c r="CVC123" s="0"/>
      <c r="CVD123" s="0"/>
      <c r="CVE123" s="0"/>
      <c r="CVF123" s="0"/>
      <c r="CVG123" s="0"/>
      <c r="CVH123" s="0"/>
      <c r="CVI123" s="0"/>
      <c r="CVJ123" s="0"/>
      <c r="CVK123" s="0"/>
      <c r="CVL123" s="0"/>
      <c r="CVM123" s="0"/>
      <c r="CVN123" s="0"/>
      <c r="CVO123" s="0"/>
      <c r="CVP123" s="0"/>
      <c r="CVQ123" s="0"/>
      <c r="CVR123" s="0"/>
      <c r="CVS123" s="0"/>
      <c r="CVT123" s="0"/>
      <c r="CVU123" s="0"/>
      <c r="CVV123" s="0"/>
      <c r="CVW123" s="0"/>
      <c r="CVX123" s="0"/>
      <c r="CVY123" s="0"/>
      <c r="CVZ123" s="0"/>
      <c r="CWA123" s="0"/>
      <c r="CWB123" s="0"/>
      <c r="CWC123" s="0"/>
      <c r="CWD123" s="0"/>
      <c r="CWE123" s="0"/>
      <c r="CWF123" s="0"/>
      <c r="CWG123" s="0"/>
      <c r="CWH123" s="0"/>
      <c r="CWI123" s="0"/>
      <c r="CWJ123" s="0"/>
      <c r="CWK123" s="0"/>
      <c r="CWL123" s="0"/>
      <c r="CWM123" s="0"/>
      <c r="CWN123" s="0"/>
      <c r="CWO123" s="0"/>
      <c r="CWP123" s="0"/>
      <c r="CWQ123" s="0"/>
      <c r="CWR123" s="0"/>
      <c r="CWS123" s="0"/>
      <c r="CWT123" s="0"/>
      <c r="CWU123" s="0"/>
      <c r="CWV123" s="0"/>
      <c r="CWW123" s="0"/>
      <c r="CWX123" s="0"/>
      <c r="CWY123" s="0"/>
      <c r="CWZ123" s="0"/>
      <c r="CXA123" s="0"/>
      <c r="CXB123" s="0"/>
      <c r="CXC123" s="0"/>
      <c r="CXD123" s="0"/>
      <c r="CXE123" s="0"/>
      <c r="CXF123" s="0"/>
      <c r="CXG123" s="0"/>
      <c r="CXH123" s="0"/>
      <c r="CXI123" s="0"/>
      <c r="CXJ123" s="0"/>
      <c r="CXK123" s="0"/>
      <c r="CXL123" s="0"/>
      <c r="CXM123" s="0"/>
      <c r="CXN123" s="0"/>
      <c r="CXO123" s="0"/>
      <c r="CXP123" s="0"/>
      <c r="CXQ123" s="0"/>
      <c r="CXR123" s="0"/>
      <c r="CXS123" s="0"/>
      <c r="CXT123" s="0"/>
      <c r="CXU123" s="0"/>
      <c r="CXV123" s="0"/>
      <c r="CXW123" s="0"/>
      <c r="CXX123" s="0"/>
      <c r="CXY123" s="0"/>
      <c r="CXZ123" s="0"/>
      <c r="CYA123" s="0"/>
      <c r="CYB123" s="0"/>
      <c r="CYC123" s="0"/>
      <c r="CYD123" s="0"/>
      <c r="CYE123" s="0"/>
      <c r="CYF123" s="0"/>
      <c r="CYG123" s="0"/>
      <c r="CYH123" s="0"/>
      <c r="CYI123" s="0"/>
      <c r="CYJ123" s="0"/>
      <c r="CYK123" s="0"/>
      <c r="CYL123" s="0"/>
      <c r="CYM123" s="0"/>
      <c r="CYN123" s="0"/>
      <c r="CYO123" s="0"/>
      <c r="CYP123" s="0"/>
      <c r="CYQ123" s="0"/>
      <c r="CYR123" s="0"/>
      <c r="CYS123" s="0"/>
      <c r="CYT123" s="0"/>
      <c r="CYU123" s="0"/>
      <c r="CYV123" s="0"/>
      <c r="CYW123" s="0"/>
      <c r="CYX123" s="0"/>
      <c r="CYY123" s="0"/>
      <c r="CYZ123" s="0"/>
      <c r="CZA123" s="0"/>
      <c r="CZB123" s="0"/>
      <c r="CZC123" s="0"/>
      <c r="CZD123" s="0"/>
      <c r="CZE123" s="0"/>
      <c r="CZF123" s="0"/>
      <c r="CZG123" s="0"/>
      <c r="CZH123" s="0"/>
      <c r="CZI123" s="0"/>
      <c r="CZJ123" s="0"/>
      <c r="CZK123" s="0"/>
      <c r="CZL123" s="0"/>
      <c r="CZM123" s="0"/>
      <c r="CZN123" s="0"/>
      <c r="CZO123" s="0"/>
      <c r="CZP123" s="0"/>
      <c r="CZQ123" s="0"/>
      <c r="CZR123" s="0"/>
      <c r="CZS123" s="0"/>
      <c r="CZT123" s="0"/>
      <c r="CZU123" s="0"/>
      <c r="CZV123" s="0"/>
      <c r="CZW123" s="0"/>
      <c r="CZX123" s="0"/>
      <c r="CZY123" s="0"/>
      <c r="CZZ123" s="0"/>
      <c r="DAA123" s="0"/>
      <c r="DAB123" s="0"/>
      <c r="DAC123" s="0"/>
      <c r="DAD123" s="0"/>
      <c r="DAE123" s="0"/>
      <c r="DAF123" s="0"/>
      <c r="DAG123" s="0"/>
      <c r="DAH123" s="0"/>
      <c r="DAI123" s="0"/>
      <c r="DAJ123" s="0"/>
      <c r="DAK123" s="0"/>
      <c r="DAL123" s="0"/>
      <c r="DAM123" s="0"/>
      <c r="DAN123" s="0"/>
      <c r="DAO123" s="0"/>
      <c r="DAP123" s="0"/>
      <c r="DAQ123" s="0"/>
      <c r="DAR123" s="0"/>
      <c r="DAS123" s="0"/>
      <c r="DAT123" s="0"/>
      <c r="DAU123" s="0"/>
      <c r="DAV123" s="0"/>
      <c r="DAW123" s="0"/>
      <c r="DAX123" s="0"/>
      <c r="DAY123" s="0"/>
      <c r="DAZ123" s="0"/>
      <c r="DBA123" s="0"/>
      <c r="DBB123" s="0"/>
      <c r="DBC123" s="0"/>
      <c r="DBD123" s="0"/>
      <c r="DBE123" s="0"/>
      <c r="DBF123" s="0"/>
      <c r="DBG123" s="0"/>
      <c r="DBH123" s="0"/>
      <c r="DBI123" s="0"/>
      <c r="DBJ123" s="0"/>
      <c r="DBK123" s="0"/>
      <c r="DBL123" s="0"/>
      <c r="DBM123" s="0"/>
      <c r="DBN123" s="0"/>
      <c r="DBO123" s="0"/>
      <c r="DBP123" s="0"/>
      <c r="DBQ123" s="0"/>
      <c r="DBR123" s="0"/>
      <c r="DBS123" s="0"/>
      <c r="DBT123" s="0"/>
      <c r="DBU123" s="0"/>
      <c r="DBV123" s="0"/>
      <c r="DBW123" s="0"/>
      <c r="DBX123" s="0"/>
      <c r="DBY123" s="0"/>
      <c r="DBZ123" s="0"/>
      <c r="DCA123" s="0"/>
      <c r="DCB123" s="0"/>
      <c r="DCC123" s="0"/>
      <c r="DCD123" s="0"/>
      <c r="DCE123" s="0"/>
      <c r="DCF123" s="0"/>
      <c r="DCG123" s="0"/>
      <c r="DCH123" s="0"/>
      <c r="DCI123" s="0"/>
      <c r="DCJ123" s="0"/>
      <c r="DCK123" s="0"/>
      <c r="DCL123" s="0"/>
      <c r="DCM123" s="0"/>
      <c r="DCN123" s="0"/>
      <c r="DCO123" s="0"/>
      <c r="DCP123" s="0"/>
      <c r="DCQ123" s="0"/>
      <c r="DCR123" s="0"/>
      <c r="DCS123" s="0"/>
      <c r="DCT123" s="0"/>
      <c r="DCU123" s="0"/>
      <c r="DCV123" s="0"/>
      <c r="DCW123" s="0"/>
      <c r="DCX123" s="0"/>
      <c r="DCY123" s="0"/>
      <c r="DCZ123" s="0"/>
      <c r="DDA123" s="0"/>
      <c r="DDB123" s="0"/>
      <c r="DDC123" s="0"/>
      <c r="DDD123" s="0"/>
      <c r="DDE123" s="0"/>
      <c r="DDF123" s="0"/>
      <c r="DDG123" s="0"/>
      <c r="DDH123" s="0"/>
      <c r="DDI123" s="0"/>
      <c r="DDJ123" s="0"/>
      <c r="DDK123" s="0"/>
      <c r="DDL123" s="0"/>
      <c r="DDM123" s="0"/>
      <c r="DDN123" s="0"/>
      <c r="DDO123" s="0"/>
      <c r="DDP123" s="0"/>
      <c r="DDQ123" s="0"/>
      <c r="DDR123" s="0"/>
      <c r="DDS123" s="0"/>
      <c r="DDT123" s="0"/>
      <c r="DDU123" s="0"/>
      <c r="DDV123" s="0"/>
      <c r="DDW123" s="0"/>
      <c r="DDX123" s="0"/>
      <c r="DDY123" s="0"/>
      <c r="DDZ123" s="0"/>
      <c r="DEA123" s="0"/>
      <c r="DEB123" s="0"/>
      <c r="DEC123" s="0"/>
      <c r="DED123" s="0"/>
      <c r="DEE123" s="0"/>
      <c r="DEF123" s="0"/>
      <c r="DEG123" s="0"/>
      <c r="DEH123" s="0"/>
      <c r="DEI123" s="0"/>
      <c r="DEJ123" s="0"/>
      <c r="DEK123" s="0"/>
      <c r="DEL123" s="0"/>
      <c r="DEM123" s="0"/>
      <c r="DEN123" s="0"/>
      <c r="DEO123" s="0"/>
      <c r="DEP123" s="0"/>
      <c r="DEQ123" s="0"/>
      <c r="DER123" s="0"/>
      <c r="DES123" s="0"/>
      <c r="DET123" s="0"/>
      <c r="DEU123" s="0"/>
      <c r="DEV123" s="0"/>
      <c r="DEW123" s="0"/>
      <c r="DEX123" s="0"/>
      <c r="DEY123" s="0"/>
      <c r="DEZ123" s="0"/>
      <c r="DFA123" s="0"/>
      <c r="DFB123" s="0"/>
      <c r="DFC123" s="0"/>
      <c r="DFD123" s="0"/>
      <c r="DFE123" s="0"/>
      <c r="DFF123" s="0"/>
      <c r="DFG123" s="0"/>
      <c r="DFH123" s="0"/>
      <c r="DFI123" s="0"/>
      <c r="DFJ123" s="0"/>
      <c r="DFK123" s="0"/>
      <c r="DFL123" s="0"/>
      <c r="DFM123" s="0"/>
      <c r="DFN123" s="0"/>
      <c r="DFO123" s="0"/>
      <c r="DFP123" s="0"/>
      <c r="DFQ123" s="0"/>
      <c r="DFR123" s="0"/>
      <c r="DFS123" s="0"/>
      <c r="DFT123" s="0"/>
      <c r="DFU123" s="0"/>
      <c r="DFV123" s="0"/>
      <c r="DFW123" s="0"/>
      <c r="DFX123" s="0"/>
      <c r="DFY123" s="0"/>
      <c r="DFZ123" s="0"/>
      <c r="DGA123" s="0"/>
      <c r="DGB123" s="0"/>
      <c r="DGC123" s="0"/>
      <c r="DGD123" s="0"/>
      <c r="DGE123" s="0"/>
      <c r="DGF123" s="0"/>
      <c r="DGG123" s="0"/>
      <c r="DGH123" s="0"/>
      <c r="DGI123" s="0"/>
      <c r="DGJ123" s="0"/>
      <c r="DGK123" s="0"/>
      <c r="DGL123" s="0"/>
      <c r="DGM123" s="0"/>
      <c r="DGN123" s="0"/>
      <c r="DGO123" s="0"/>
      <c r="DGP123" s="0"/>
      <c r="DGQ123" s="0"/>
      <c r="DGR123" s="0"/>
      <c r="DGS123" s="0"/>
      <c r="DGT123" s="0"/>
      <c r="DGU123" s="0"/>
      <c r="DGV123" s="0"/>
      <c r="DGW123" s="0"/>
      <c r="DGX123" s="0"/>
      <c r="DGY123" s="0"/>
      <c r="DGZ123" s="0"/>
      <c r="DHA123" s="0"/>
      <c r="DHB123" s="0"/>
      <c r="DHC123" s="0"/>
      <c r="DHD123" s="0"/>
      <c r="DHE123" s="0"/>
      <c r="DHF123" s="0"/>
      <c r="DHG123" s="0"/>
      <c r="DHH123" s="0"/>
      <c r="DHI123" s="0"/>
      <c r="DHJ123" s="0"/>
      <c r="DHK123" s="0"/>
      <c r="DHL123" s="0"/>
      <c r="DHM123" s="0"/>
      <c r="DHN123" s="0"/>
      <c r="DHO123" s="0"/>
      <c r="DHP123" s="0"/>
      <c r="DHQ123" s="0"/>
      <c r="DHR123" s="0"/>
      <c r="DHS123" s="0"/>
      <c r="DHT123" s="0"/>
      <c r="DHU123" s="0"/>
      <c r="DHV123" s="0"/>
      <c r="DHW123" s="0"/>
      <c r="DHX123" s="0"/>
      <c r="DHY123" s="0"/>
      <c r="DHZ123" s="0"/>
      <c r="DIA123" s="0"/>
      <c r="DIB123" s="0"/>
      <c r="DIC123" s="0"/>
      <c r="DID123" s="0"/>
      <c r="DIE123" s="0"/>
      <c r="DIF123" s="0"/>
      <c r="DIG123" s="0"/>
      <c r="DIH123" s="0"/>
      <c r="DII123" s="0"/>
      <c r="DIJ123" s="0"/>
      <c r="DIK123" s="0"/>
      <c r="DIL123" s="0"/>
      <c r="DIM123" s="0"/>
      <c r="DIN123" s="0"/>
      <c r="DIO123" s="0"/>
      <c r="DIP123" s="0"/>
      <c r="DIQ123" s="0"/>
      <c r="DIR123" s="0"/>
      <c r="DIS123" s="0"/>
      <c r="DIT123" s="0"/>
      <c r="DIU123" s="0"/>
      <c r="DIV123" s="0"/>
      <c r="DIW123" s="0"/>
      <c r="DIX123" s="0"/>
      <c r="DIY123" s="0"/>
      <c r="DIZ123" s="0"/>
      <c r="DJA123" s="0"/>
      <c r="DJB123" s="0"/>
      <c r="DJC123" s="0"/>
      <c r="DJD123" s="0"/>
      <c r="DJE123" s="0"/>
      <c r="DJF123" s="0"/>
      <c r="DJG123" s="0"/>
      <c r="DJH123" s="0"/>
      <c r="DJI123" s="0"/>
      <c r="DJJ123" s="0"/>
      <c r="DJK123" s="0"/>
      <c r="DJL123" s="0"/>
      <c r="DJM123" s="0"/>
      <c r="DJN123" s="0"/>
      <c r="DJO123" s="0"/>
      <c r="DJP123" s="0"/>
      <c r="DJQ123" s="0"/>
      <c r="DJR123" s="0"/>
      <c r="DJS123" s="0"/>
      <c r="DJT123" s="0"/>
      <c r="DJU123" s="0"/>
      <c r="DJV123" s="0"/>
      <c r="DJW123" s="0"/>
      <c r="DJX123" s="0"/>
      <c r="DJY123" s="0"/>
      <c r="DJZ123" s="0"/>
      <c r="DKA123" s="0"/>
      <c r="DKB123" s="0"/>
      <c r="DKC123" s="0"/>
      <c r="DKD123" s="0"/>
      <c r="DKE123" s="0"/>
      <c r="DKF123" s="0"/>
      <c r="DKG123" s="0"/>
      <c r="DKH123" s="0"/>
      <c r="DKI123" s="0"/>
      <c r="DKJ123" s="0"/>
      <c r="DKK123" s="0"/>
      <c r="DKL123" s="0"/>
      <c r="DKM123" s="0"/>
      <c r="DKN123" s="0"/>
      <c r="DKO123" s="0"/>
      <c r="DKP123" s="0"/>
      <c r="DKQ123" s="0"/>
      <c r="DKR123" s="0"/>
      <c r="DKS123" s="0"/>
      <c r="DKT123" s="0"/>
      <c r="DKU123" s="0"/>
      <c r="DKV123" s="0"/>
      <c r="DKW123" s="0"/>
      <c r="DKX123" s="0"/>
      <c r="DKY123" s="0"/>
      <c r="DKZ123" s="0"/>
      <c r="DLA123" s="0"/>
      <c r="DLB123" s="0"/>
      <c r="DLC123" s="0"/>
      <c r="DLD123" s="0"/>
      <c r="DLE123" s="0"/>
      <c r="DLF123" s="0"/>
      <c r="DLG123" s="0"/>
      <c r="DLH123" s="0"/>
      <c r="DLI123" s="0"/>
      <c r="DLJ123" s="0"/>
      <c r="DLK123" s="0"/>
      <c r="DLL123" s="0"/>
      <c r="DLM123" s="0"/>
      <c r="DLN123" s="0"/>
      <c r="DLO123" s="0"/>
      <c r="DLP123" s="0"/>
      <c r="DLQ123" s="0"/>
      <c r="DLR123" s="0"/>
      <c r="DLS123" s="0"/>
      <c r="DLT123" s="0"/>
      <c r="DLU123" s="0"/>
      <c r="DLV123" s="0"/>
      <c r="DLW123" s="0"/>
      <c r="DLX123" s="0"/>
      <c r="DLY123" s="0"/>
      <c r="DLZ123" s="0"/>
      <c r="DMA123" s="0"/>
      <c r="DMB123" s="0"/>
      <c r="DMC123" s="0"/>
      <c r="DMD123" s="0"/>
      <c r="DME123" s="0"/>
      <c r="DMF123" s="0"/>
      <c r="DMG123" s="0"/>
      <c r="DMH123" s="0"/>
      <c r="DMI123" s="0"/>
      <c r="DMJ123" s="0"/>
      <c r="DMK123" s="0"/>
      <c r="DML123" s="0"/>
      <c r="DMM123" s="0"/>
      <c r="DMN123" s="0"/>
      <c r="DMO123" s="0"/>
      <c r="DMP123" s="0"/>
      <c r="DMQ123" s="0"/>
      <c r="DMR123" s="0"/>
      <c r="DMS123" s="0"/>
      <c r="DMT123" s="0"/>
      <c r="DMU123" s="0"/>
      <c r="DMV123" s="0"/>
      <c r="DMW123" s="0"/>
      <c r="DMX123" s="0"/>
      <c r="DMY123" s="0"/>
      <c r="DMZ123" s="0"/>
      <c r="DNA123" s="0"/>
      <c r="DNB123" s="0"/>
      <c r="DNC123" s="0"/>
      <c r="DND123" s="0"/>
      <c r="DNE123" s="0"/>
      <c r="DNF123" s="0"/>
      <c r="DNG123" s="0"/>
      <c r="DNH123" s="0"/>
      <c r="DNI123" s="0"/>
      <c r="DNJ123" s="0"/>
      <c r="DNK123" s="0"/>
      <c r="DNL123" s="0"/>
      <c r="DNM123" s="0"/>
      <c r="DNN123" s="0"/>
      <c r="DNO123" s="0"/>
      <c r="DNP123" s="0"/>
      <c r="DNQ123" s="0"/>
      <c r="DNR123" s="0"/>
      <c r="DNS123" s="0"/>
      <c r="DNT123" s="0"/>
      <c r="DNU123" s="0"/>
      <c r="DNV123" s="0"/>
      <c r="DNW123" s="0"/>
      <c r="DNX123" s="0"/>
      <c r="DNY123" s="0"/>
      <c r="DNZ123" s="0"/>
      <c r="DOA123" s="0"/>
      <c r="DOB123" s="0"/>
      <c r="DOC123" s="0"/>
      <c r="DOD123" s="0"/>
      <c r="DOE123" s="0"/>
      <c r="DOF123" s="0"/>
      <c r="DOG123" s="0"/>
      <c r="DOH123" s="0"/>
      <c r="DOI123" s="0"/>
      <c r="DOJ123" s="0"/>
      <c r="DOK123" s="0"/>
      <c r="DOL123" s="0"/>
      <c r="DOM123" s="0"/>
      <c r="DON123" s="0"/>
      <c r="DOO123" s="0"/>
      <c r="DOP123" s="0"/>
      <c r="DOQ123" s="0"/>
      <c r="DOR123" s="0"/>
      <c r="DOS123" s="0"/>
      <c r="DOT123" s="0"/>
      <c r="DOU123" s="0"/>
      <c r="DOV123" s="0"/>
      <c r="DOW123" s="0"/>
      <c r="DOX123" s="0"/>
      <c r="DOY123" s="0"/>
      <c r="DOZ123" s="0"/>
      <c r="DPA123" s="0"/>
      <c r="DPB123" s="0"/>
      <c r="DPC123" s="0"/>
      <c r="DPD123" s="0"/>
      <c r="DPE123" s="0"/>
      <c r="DPF123" s="0"/>
      <c r="DPG123" s="0"/>
      <c r="DPH123" s="0"/>
      <c r="DPI123" s="0"/>
      <c r="DPJ123" s="0"/>
      <c r="DPK123" s="0"/>
      <c r="DPL123" s="0"/>
      <c r="DPM123" s="0"/>
      <c r="DPN123" s="0"/>
      <c r="DPO123" s="0"/>
      <c r="DPP123" s="0"/>
      <c r="DPQ123" s="0"/>
      <c r="DPR123" s="0"/>
      <c r="DPS123" s="0"/>
      <c r="DPT123" s="0"/>
      <c r="DPU123" s="0"/>
      <c r="DPV123" s="0"/>
      <c r="DPW123" s="0"/>
      <c r="DPX123" s="0"/>
      <c r="DPY123" s="0"/>
      <c r="DPZ123" s="0"/>
      <c r="DQA123" s="0"/>
      <c r="DQB123" s="0"/>
      <c r="DQC123" s="0"/>
      <c r="DQD123" s="0"/>
      <c r="DQE123" s="0"/>
      <c r="DQF123" s="0"/>
      <c r="DQG123" s="0"/>
      <c r="DQH123" s="0"/>
      <c r="DQI123" s="0"/>
      <c r="DQJ123" s="0"/>
      <c r="DQK123" s="0"/>
      <c r="DQL123" s="0"/>
      <c r="DQM123" s="0"/>
      <c r="DQN123" s="0"/>
      <c r="DQO123" s="0"/>
      <c r="DQP123" s="0"/>
      <c r="DQQ123" s="0"/>
      <c r="DQR123" s="0"/>
      <c r="DQS123" s="0"/>
      <c r="DQT123" s="0"/>
      <c r="DQU123" s="0"/>
      <c r="DQV123" s="0"/>
      <c r="DQW123" s="0"/>
      <c r="DQX123" s="0"/>
      <c r="DQY123" s="0"/>
      <c r="DQZ123" s="0"/>
      <c r="DRA123" s="0"/>
      <c r="DRB123" s="0"/>
      <c r="DRC123" s="0"/>
      <c r="DRD123" s="0"/>
      <c r="DRE123" s="0"/>
      <c r="DRF123" s="0"/>
      <c r="DRG123" s="0"/>
      <c r="DRH123" s="0"/>
      <c r="DRI123" s="0"/>
      <c r="DRJ123" s="0"/>
      <c r="DRK123" s="0"/>
      <c r="DRL123" s="0"/>
      <c r="DRM123" s="0"/>
      <c r="DRN123" s="0"/>
      <c r="DRO123" s="0"/>
      <c r="DRP123" s="0"/>
      <c r="DRQ123" s="0"/>
      <c r="DRR123" s="0"/>
      <c r="DRS123" s="0"/>
      <c r="DRT123" s="0"/>
      <c r="DRU123" s="0"/>
      <c r="DRV123" s="0"/>
      <c r="DRW123" s="0"/>
      <c r="DRX123" s="0"/>
      <c r="DRY123" s="0"/>
      <c r="DRZ123" s="0"/>
      <c r="DSA123" s="0"/>
      <c r="DSB123" s="0"/>
      <c r="DSC123" s="0"/>
      <c r="DSD123" s="0"/>
      <c r="DSE123" s="0"/>
      <c r="DSF123" s="0"/>
      <c r="DSG123" s="0"/>
      <c r="DSH123" s="0"/>
      <c r="DSI123" s="0"/>
      <c r="DSJ123" s="0"/>
      <c r="DSK123" s="0"/>
      <c r="DSL123" s="0"/>
      <c r="DSM123" s="0"/>
      <c r="DSN123" s="0"/>
      <c r="DSO123" s="0"/>
      <c r="DSP123" s="0"/>
      <c r="DSQ123" s="0"/>
      <c r="DSR123" s="0"/>
      <c r="DSS123" s="0"/>
      <c r="DST123" s="0"/>
      <c r="DSU123" s="0"/>
      <c r="DSV123" s="0"/>
      <c r="DSW123" s="0"/>
      <c r="DSX123" s="0"/>
      <c r="DSY123" s="0"/>
      <c r="DSZ123" s="0"/>
      <c r="DTA123" s="0"/>
      <c r="DTB123" s="0"/>
      <c r="DTC123" s="0"/>
      <c r="DTD123" s="0"/>
      <c r="DTE123" s="0"/>
      <c r="DTF123" s="0"/>
      <c r="DTG123" s="0"/>
      <c r="DTH123" s="0"/>
      <c r="DTI123" s="0"/>
      <c r="DTJ123" s="0"/>
      <c r="DTK123" s="0"/>
      <c r="DTL123" s="0"/>
      <c r="DTM123" s="0"/>
      <c r="DTN123" s="0"/>
      <c r="DTO123" s="0"/>
      <c r="DTP123" s="0"/>
      <c r="DTQ123" s="0"/>
      <c r="DTR123" s="0"/>
      <c r="DTS123" s="0"/>
      <c r="DTT123" s="0"/>
      <c r="DTU123" s="0"/>
      <c r="DTV123" s="0"/>
      <c r="DTW123" s="0"/>
      <c r="DTX123" s="0"/>
      <c r="DTY123" s="0"/>
      <c r="DTZ123" s="0"/>
      <c r="DUA123" s="0"/>
      <c r="DUB123" s="0"/>
      <c r="DUC123" s="0"/>
      <c r="DUD123" s="0"/>
      <c r="DUE123" s="0"/>
      <c r="DUF123" s="0"/>
      <c r="DUG123" s="0"/>
      <c r="DUH123" s="0"/>
      <c r="DUI123" s="0"/>
      <c r="DUJ123" s="0"/>
      <c r="DUK123" s="0"/>
      <c r="DUL123" s="0"/>
      <c r="DUM123" s="0"/>
      <c r="DUN123" s="0"/>
      <c r="DUO123" s="0"/>
      <c r="DUP123" s="0"/>
      <c r="DUQ123" s="0"/>
      <c r="DUR123" s="0"/>
      <c r="DUS123" s="0"/>
      <c r="DUT123" s="0"/>
      <c r="DUU123" s="0"/>
      <c r="DUV123" s="0"/>
      <c r="DUW123" s="0"/>
      <c r="DUX123" s="0"/>
      <c r="DUY123" s="0"/>
      <c r="DUZ123" s="0"/>
      <c r="DVA123" s="0"/>
      <c r="DVB123" s="0"/>
      <c r="DVC123" s="0"/>
      <c r="DVD123" s="0"/>
      <c r="DVE123" s="0"/>
      <c r="DVF123" s="0"/>
      <c r="DVG123" s="0"/>
      <c r="DVH123" s="0"/>
      <c r="DVI123" s="0"/>
      <c r="DVJ123" s="0"/>
      <c r="DVK123" s="0"/>
      <c r="DVL123" s="0"/>
      <c r="DVM123" s="0"/>
      <c r="DVN123" s="0"/>
      <c r="DVO123" s="0"/>
      <c r="DVP123" s="0"/>
      <c r="DVQ123" s="0"/>
      <c r="DVR123" s="0"/>
      <c r="DVS123" s="0"/>
      <c r="DVT123" s="0"/>
      <c r="DVU123" s="0"/>
      <c r="DVV123" s="0"/>
      <c r="DVW123" s="0"/>
      <c r="DVX123" s="0"/>
      <c r="DVY123" s="0"/>
      <c r="DVZ123" s="0"/>
      <c r="DWA123" s="0"/>
      <c r="DWB123" s="0"/>
      <c r="DWC123" s="0"/>
      <c r="DWD123" s="0"/>
      <c r="DWE123" s="0"/>
      <c r="DWF123" s="0"/>
      <c r="DWG123" s="0"/>
      <c r="DWH123" s="0"/>
      <c r="DWI123" s="0"/>
      <c r="DWJ123" s="0"/>
      <c r="DWK123" s="0"/>
      <c r="DWL123" s="0"/>
      <c r="DWM123" s="0"/>
      <c r="DWN123" s="0"/>
      <c r="DWO123" s="0"/>
      <c r="DWP123" s="0"/>
      <c r="DWQ123" s="0"/>
      <c r="DWR123" s="0"/>
      <c r="DWS123" s="0"/>
      <c r="DWT123" s="0"/>
      <c r="DWU123" s="0"/>
      <c r="DWV123" s="0"/>
      <c r="DWW123" s="0"/>
      <c r="DWX123" s="0"/>
      <c r="DWY123" s="0"/>
      <c r="DWZ123" s="0"/>
      <c r="DXA123" s="0"/>
      <c r="DXB123" s="0"/>
      <c r="DXC123" s="0"/>
      <c r="DXD123" s="0"/>
      <c r="DXE123" s="0"/>
      <c r="DXF123" s="0"/>
      <c r="DXG123" s="0"/>
      <c r="DXH123" s="0"/>
      <c r="DXI123" s="0"/>
      <c r="DXJ123" s="0"/>
      <c r="DXK123" s="0"/>
      <c r="DXL123" s="0"/>
      <c r="DXM123" s="0"/>
      <c r="DXN123" s="0"/>
      <c r="DXO123" s="0"/>
      <c r="DXP123" s="0"/>
      <c r="DXQ123" s="0"/>
      <c r="DXR123" s="0"/>
      <c r="DXS123" s="0"/>
      <c r="DXT123" s="0"/>
      <c r="DXU123" s="0"/>
      <c r="DXV123" s="0"/>
      <c r="DXW123" s="0"/>
      <c r="DXX123" s="0"/>
      <c r="DXY123" s="0"/>
      <c r="DXZ123" s="0"/>
      <c r="DYA123" s="0"/>
      <c r="DYB123" s="0"/>
      <c r="DYC123" s="0"/>
      <c r="DYD123" s="0"/>
      <c r="DYE123" s="0"/>
      <c r="DYF123" s="0"/>
      <c r="DYG123" s="0"/>
      <c r="DYH123" s="0"/>
      <c r="DYI123" s="0"/>
      <c r="DYJ123" s="0"/>
      <c r="DYK123" s="0"/>
      <c r="DYL123" s="0"/>
      <c r="DYM123" s="0"/>
      <c r="DYN123" s="0"/>
      <c r="DYO123" s="0"/>
      <c r="DYP123" s="0"/>
      <c r="DYQ123" s="0"/>
      <c r="DYR123" s="0"/>
      <c r="DYS123" s="0"/>
      <c r="DYT123" s="0"/>
      <c r="DYU123" s="0"/>
      <c r="DYV123" s="0"/>
      <c r="DYW123" s="0"/>
      <c r="DYX123" s="0"/>
      <c r="DYY123" s="0"/>
      <c r="DYZ123" s="0"/>
      <c r="DZA123" s="0"/>
      <c r="DZB123" s="0"/>
      <c r="DZC123" s="0"/>
      <c r="DZD123" s="0"/>
      <c r="DZE123" s="0"/>
      <c r="DZF123" s="0"/>
      <c r="DZG123" s="0"/>
      <c r="DZH123" s="0"/>
      <c r="DZI123" s="0"/>
      <c r="DZJ123" s="0"/>
      <c r="DZK123" s="0"/>
      <c r="DZL123" s="0"/>
      <c r="DZM123" s="0"/>
      <c r="DZN123" s="0"/>
      <c r="DZO123" s="0"/>
      <c r="DZP123" s="0"/>
      <c r="DZQ123" s="0"/>
      <c r="DZR123" s="0"/>
      <c r="DZS123" s="0"/>
      <c r="DZT123" s="0"/>
      <c r="DZU123" s="0"/>
      <c r="DZV123" s="0"/>
      <c r="DZW123" s="0"/>
      <c r="DZX123" s="0"/>
      <c r="DZY123" s="0"/>
      <c r="DZZ123" s="0"/>
      <c r="EAA123" s="0"/>
      <c r="EAB123" s="0"/>
      <c r="EAC123" s="0"/>
      <c r="EAD123" s="0"/>
      <c r="EAE123" s="0"/>
      <c r="EAF123" s="0"/>
      <c r="EAG123" s="0"/>
      <c r="EAH123" s="0"/>
      <c r="EAI123" s="0"/>
      <c r="EAJ123" s="0"/>
      <c r="EAK123" s="0"/>
      <c r="EAL123" s="0"/>
      <c r="EAM123" s="0"/>
      <c r="EAN123" s="0"/>
      <c r="EAO123" s="0"/>
      <c r="EAP123" s="0"/>
      <c r="EAQ123" s="0"/>
      <c r="EAR123" s="0"/>
      <c r="EAS123" s="0"/>
      <c r="EAT123" s="0"/>
      <c r="EAU123" s="0"/>
      <c r="EAV123" s="0"/>
      <c r="EAW123" s="0"/>
      <c r="EAX123" s="0"/>
      <c r="EAY123" s="0"/>
      <c r="EAZ123" s="0"/>
      <c r="EBA123" s="0"/>
      <c r="EBB123" s="0"/>
      <c r="EBC123" s="0"/>
      <c r="EBD123" s="0"/>
      <c r="EBE123" s="0"/>
      <c r="EBF123" s="0"/>
      <c r="EBG123" s="0"/>
      <c r="EBH123" s="0"/>
      <c r="EBI123" s="0"/>
      <c r="EBJ123" s="0"/>
      <c r="EBK123" s="0"/>
      <c r="EBL123" s="0"/>
      <c r="EBM123" s="0"/>
      <c r="EBN123" s="0"/>
      <c r="EBO123" s="0"/>
      <c r="EBP123" s="0"/>
      <c r="EBQ123" s="0"/>
      <c r="EBR123" s="0"/>
      <c r="EBS123" s="0"/>
      <c r="EBT123" s="0"/>
      <c r="EBU123" s="0"/>
      <c r="EBV123" s="0"/>
      <c r="EBW123" s="0"/>
      <c r="EBX123" s="0"/>
      <c r="EBY123" s="0"/>
      <c r="EBZ123" s="0"/>
      <c r="ECA123" s="0"/>
      <c r="ECB123" s="0"/>
      <c r="ECC123" s="0"/>
      <c r="ECD123" s="0"/>
      <c r="ECE123" s="0"/>
      <c r="ECF123" s="0"/>
      <c r="ECG123" s="0"/>
      <c r="ECH123" s="0"/>
      <c r="ECI123" s="0"/>
      <c r="ECJ123" s="0"/>
      <c r="ECK123" s="0"/>
      <c r="ECL123" s="0"/>
      <c r="ECM123" s="0"/>
      <c r="ECN123" s="0"/>
      <c r="ECO123" s="0"/>
      <c r="ECP123" s="0"/>
      <c r="ECQ123" s="0"/>
      <c r="ECR123" s="0"/>
      <c r="ECS123" s="0"/>
      <c r="ECT123" s="0"/>
      <c r="ECU123" s="0"/>
      <c r="ECV123" s="0"/>
      <c r="ECW123" s="0"/>
      <c r="ECX123" s="0"/>
      <c r="ECY123" s="0"/>
      <c r="ECZ123" s="0"/>
      <c r="EDA123" s="0"/>
      <c r="EDB123" s="0"/>
      <c r="EDC123" s="0"/>
      <c r="EDD123" s="0"/>
      <c r="EDE123" s="0"/>
      <c r="EDF123" s="0"/>
      <c r="EDG123" s="0"/>
      <c r="EDH123" s="0"/>
      <c r="EDI123" s="0"/>
      <c r="EDJ123" s="0"/>
      <c r="EDK123" s="0"/>
      <c r="EDL123" s="0"/>
      <c r="EDM123" s="0"/>
      <c r="EDN123" s="0"/>
      <c r="EDO123" s="0"/>
      <c r="EDP123" s="0"/>
      <c r="EDQ123" s="0"/>
      <c r="EDR123" s="0"/>
      <c r="EDS123" s="0"/>
      <c r="EDT123" s="0"/>
      <c r="EDU123" s="0"/>
      <c r="EDV123" s="0"/>
      <c r="EDW123" s="0"/>
      <c r="EDX123" s="0"/>
      <c r="EDY123" s="0"/>
      <c r="EDZ123" s="0"/>
      <c r="EEA123" s="0"/>
      <c r="EEB123" s="0"/>
      <c r="EEC123" s="0"/>
      <c r="EED123" s="0"/>
      <c r="EEE123" s="0"/>
      <c r="EEF123" s="0"/>
      <c r="EEG123" s="0"/>
      <c r="EEH123" s="0"/>
      <c r="EEI123" s="0"/>
      <c r="EEJ123" s="0"/>
      <c r="EEK123" s="0"/>
      <c r="EEL123" s="0"/>
      <c r="EEM123" s="0"/>
      <c r="EEN123" s="0"/>
      <c r="EEO123" s="0"/>
      <c r="EEP123" s="0"/>
      <c r="EEQ123" s="0"/>
      <c r="EER123" s="0"/>
      <c r="EES123" s="0"/>
      <c r="EET123" s="0"/>
      <c r="EEU123" s="0"/>
      <c r="EEV123" s="0"/>
      <c r="EEW123" s="0"/>
      <c r="EEX123" s="0"/>
      <c r="EEY123" s="0"/>
      <c r="EEZ123" s="0"/>
      <c r="EFA123" s="0"/>
      <c r="EFB123" s="0"/>
      <c r="EFC123" s="0"/>
      <c r="EFD123" s="0"/>
      <c r="EFE123" s="0"/>
      <c r="EFF123" s="0"/>
      <c r="EFG123" s="0"/>
      <c r="EFH123" s="0"/>
      <c r="EFI123" s="0"/>
      <c r="EFJ123" s="0"/>
      <c r="EFK123" s="0"/>
      <c r="EFL123" s="0"/>
      <c r="EFM123" s="0"/>
      <c r="EFN123" s="0"/>
      <c r="EFO123" s="0"/>
      <c r="EFP123" s="0"/>
      <c r="EFQ123" s="0"/>
      <c r="EFR123" s="0"/>
      <c r="EFS123" s="0"/>
      <c r="EFT123" s="0"/>
      <c r="EFU123" s="0"/>
      <c r="EFV123" s="0"/>
      <c r="EFW123" s="0"/>
      <c r="EFX123" s="0"/>
      <c r="EFY123" s="0"/>
      <c r="EFZ123" s="0"/>
      <c r="EGA123" s="0"/>
      <c r="EGB123" s="0"/>
      <c r="EGC123" s="0"/>
      <c r="EGD123" s="0"/>
      <c r="EGE123" s="0"/>
      <c r="EGF123" s="0"/>
      <c r="EGG123" s="0"/>
      <c r="EGH123" s="0"/>
      <c r="EGI123" s="0"/>
      <c r="EGJ123" s="0"/>
      <c r="EGK123" s="0"/>
      <c r="EGL123" s="0"/>
      <c r="EGM123" s="0"/>
      <c r="EGN123" s="0"/>
      <c r="EGO123" s="0"/>
      <c r="EGP123" s="0"/>
      <c r="EGQ123" s="0"/>
      <c r="EGR123" s="0"/>
      <c r="EGS123" s="0"/>
      <c r="EGT123" s="0"/>
      <c r="EGU123" s="0"/>
      <c r="EGV123" s="0"/>
      <c r="EGW123" s="0"/>
      <c r="EGX123" s="0"/>
      <c r="EGY123" s="0"/>
      <c r="EGZ123" s="0"/>
      <c r="EHA123" s="0"/>
      <c r="EHB123" s="0"/>
      <c r="EHC123" s="0"/>
      <c r="EHD123" s="0"/>
      <c r="EHE123" s="0"/>
      <c r="EHF123" s="0"/>
      <c r="EHG123" s="0"/>
      <c r="EHH123" s="0"/>
      <c r="EHI123" s="0"/>
      <c r="EHJ123" s="0"/>
      <c r="EHK123" s="0"/>
      <c r="EHL123" s="0"/>
      <c r="EHM123" s="0"/>
      <c r="EHN123" s="0"/>
      <c r="EHO123" s="0"/>
      <c r="EHP123" s="0"/>
      <c r="EHQ123" s="0"/>
      <c r="EHR123" s="0"/>
      <c r="EHS123" s="0"/>
      <c r="EHT123" s="0"/>
      <c r="EHU123" s="0"/>
      <c r="EHV123" s="0"/>
      <c r="EHW123" s="0"/>
      <c r="EHX123" s="0"/>
      <c r="EHY123" s="0"/>
      <c r="EHZ123" s="0"/>
      <c r="EIA123" s="0"/>
      <c r="EIB123" s="0"/>
      <c r="EIC123" s="0"/>
      <c r="EID123" s="0"/>
      <c r="EIE123" s="0"/>
      <c r="EIF123" s="0"/>
      <c r="EIG123" s="0"/>
      <c r="EIH123" s="0"/>
      <c r="EII123" s="0"/>
      <c r="EIJ123" s="0"/>
      <c r="EIK123" s="0"/>
      <c r="EIL123" s="0"/>
      <c r="EIM123" s="0"/>
      <c r="EIN123" s="0"/>
      <c r="EIO123" s="0"/>
      <c r="EIP123" s="0"/>
      <c r="EIQ123" s="0"/>
      <c r="EIR123" s="0"/>
      <c r="EIS123" s="0"/>
      <c r="EIT123" s="0"/>
      <c r="EIU123" s="0"/>
      <c r="EIV123" s="0"/>
      <c r="EIW123" s="0"/>
      <c r="EIX123" s="0"/>
      <c r="EIY123" s="0"/>
      <c r="EIZ123" s="0"/>
      <c r="EJA123" s="0"/>
      <c r="EJB123" s="0"/>
      <c r="EJC123" s="0"/>
      <c r="EJD123" s="0"/>
      <c r="EJE123" s="0"/>
      <c r="EJF123" s="0"/>
      <c r="EJG123" s="0"/>
      <c r="EJH123" s="0"/>
      <c r="EJI123" s="0"/>
      <c r="EJJ123" s="0"/>
      <c r="EJK123" s="0"/>
      <c r="EJL123" s="0"/>
      <c r="EJM123" s="0"/>
      <c r="EJN123" s="0"/>
      <c r="EJO123" s="0"/>
      <c r="EJP123" s="0"/>
      <c r="EJQ123" s="0"/>
      <c r="EJR123" s="0"/>
      <c r="EJS123" s="0"/>
      <c r="EJT123" s="0"/>
      <c r="EJU123" s="0"/>
      <c r="EJV123" s="0"/>
      <c r="EJW123" s="0"/>
      <c r="EJX123" s="0"/>
      <c r="EJY123" s="0"/>
      <c r="EJZ123" s="0"/>
      <c r="EKA123" s="0"/>
      <c r="EKB123" s="0"/>
      <c r="EKC123" s="0"/>
      <c r="EKD123" s="0"/>
      <c r="EKE123" s="0"/>
      <c r="EKF123" s="0"/>
      <c r="EKG123" s="0"/>
      <c r="EKH123" s="0"/>
      <c r="EKI123" s="0"/>
      <c r="EKJ123" s="0"/>
      <c r="EKK123" s="0"/>
      <c r="EKL123" s="0"/>
      <c r="EKM123" s="0"/>
      <c r="EKN123" s="0"/>
      <c r="EKO123" s="0"/>
      <c r="EKP123" s="0"/>
      <c r="EKQ123" s="0"/>
      <c r="EKR123" s="0"/>
      <c r="EKS123" s="0"/>
      <c r="EKT123" s="0"/>
      <c r="EKU123" s="0"/>
      <c r="EKV123" s="0"/>
      <c r="EKW123" s="0"/>
      <c r="EKX123" s="0"/>
      <c r="EKY123" s="0"/>
      <c r="EKZ123" s="0"/>
      <c r="ELA123" s="0"/>
      <c r="ELB123" s="0"/>
      <c r="ELC123" s="0"/>
      <c r="ELD123" s="0"/>
      <c r="ELE123" s="0"/>
      <c r="ELF123" s="0"/>
      <c r="ELG123" s="0"/>
      <c r="ELH123" s="0"/>
      <c r="ELI123" s="0"/>
      <c r="ELJ123" s="0"/>
      <c r="ELK123" s="0"/>
      <c r="ELL123" s="0"/>
      <c r="ELM123" s="0"/>
      <c r="ELN123" s="0"/>
      <c r="ELO123" s="0"/>
      <c r="ELP123" s="0"/>
      <c r="ELQ123" s="0"/>
      <c r="ELR123" s="0"/>
      <c r="ELS123" s="0"/>
      <c r="ELT123" s="0"/>
      <c r="ELU123" s="0"/>
      <c r="ELV123" s="0"/>
      <c r="ELW123" s="0"/>
      <c r="ELX123" s="0"/>
      <c r="ELY123" s="0"/>
      <c r="ELZ123" s="0"/>
      <c r="EMA123" s="0"/>
      <c r="EMB123" s="0"/>
      <c r="EMC123" s="0"/>
      <c r="EMD123" s="0"/>
      <c r="EME123" s="0"/>
      <c r="EMF123" s="0"/>
      <c r="EMG123" s="0"/>
      <c r="EMH123" s="0"/>
      <c r="EMI123" s="0"/>
      <c r="EMJ123" s="0"/>
      <c r="EMK123" s="0"/>
      <c r="EML123" s="0"/>
      <c r="EMM123" s="0"/>
      <c r="EMN123" s="0"/>
      <c r="EMO123" s="0"/>
      <c r="EMP123" s="0"/>
      <c r="EMQ123" s="0"/>
      <c r="EMR123" s="0"/>
      <c r="EMS123" s="0"/>
      <c r="EMT123" s="0"/>
      <c r="EMU123" s="0"/>
      <c r="EMV123" s="0"/>
      <c r="EMW123" s="0"/>
      <c r="EMX123" s="0"/>
      <c r="EMY123" s="0"/>
      <c r="EMZ123" s="0"/>
      <c r="ENA123" s="0"/>
      <c r="ENB123" s="0"/>
      <c r="ENC123" s="0"/>
      <c r="END123" s="0"/>
      <c r="ENE123" s="0"/>
      <c r="ENF123" s="0"/>
      <c r="ENG123" s="0"/>
      <c r="ENH123" s="0"/>
      <c r="ENI123" s="0"/>
      <c r="ENJ123" s="0"/>
      <c r="ENK123" s="0"/>
      <c r="ENL123" s="0"/>
      <c r="ENM123" s="0"/>
      <c r="ENN123" s="0"/>
      <c r="ENO123" s="0"/>
      <c r="ENP123" s="0"/>
      <c r="ENQ123" s="0"/>
      <c r="ENR123" s="0"/>
      <c r="ENS123" s="0"/>
      <c r="ENT123" s="0"/>
      <c r="ENU123" s="0"/>
      <c r="ENV123" s="0"/>
      <c r="ENW123" s="0"/>
      <c r="ENX123" s="0"/>
      <c r="ENY123" s="0"/>
      <c r="ENZ123" s="0"/>
      <c r="EOA123" s="0"/>
      <c r="EOB123" s="0"/>
      <c r="EOC123" s="0"/>
      <c r="EOD123" s="0"/>
      <c r="EOE123" s="0"/>
      <c r="EOF123" s="0"/>
      <c r="EOG123" s="0"/>
      <c r="EOH123" s="0"/>
      <c r="EOI123" s="0"/>
      <c r="EOJ123" s="0"/>
      <c r="EOK123" s="0"/>
      <c r="EOL123" s="0"/>
      <c r="EOM123" s="0"/>
      <c r="EON123" s="0"/>
      <c r="EOO123" s="0"/>
      <c r="EOP123" s="0"/>
      <c r="EOQ123" s="0"/>
      <c r="EOR123" s="0"/>
      <c r="EOS123" s="0"/>
      <c r="EOT123" s="0"/>
      <c r="EOU123" s="0"/>
      <c r="EOV123" s="0"/>
      <c r="EOW123" s="0"/>
      <c r="EOX123" s="0"/>
      <c r="EOY123" s="0"/>
      <c r="EOZ123" s="0"/>
      <c r="EPA123" s="0"/>
      <c r="EPB123" s="0"/>
      <c r="EPC123" s="0"/>
      <c r="EPD123" s="0"/>
      <c r="EPE123" s="0"/>
      <c r="EPF123" s="0"/>
      <c r="EPG123" s="0"/>
      <c r="EPH123" s="0"/>
      <c r="EPI123" s="0"/>
      <c r="EPJ123" s="0"/>
      <c r="EPK123" s="0"/>
      <c r="EPL123" s="0"/>
      <c r="EPM123" s="0"/>
      <c r="EPN123" s="0"/>
      <c r="EPO123" s="0"/>
      <c r="EPP123" s="0"/>
      <c r="EPQ123" s="0"/>
      <c r="EPR123" s="0"/>
      <c r="EPS123" s="0"/>
      <c r="EPT123" s="0"/>
      <c r="EPU123" s="0"/>
      <c r="EPV123" s="0"/>
      <c r="EPW123" s="0"/>
      <c r="EPX123" s="0"/>
      <c r="EPY123" s="0"/>
      <c r="EPZ123" s="0"/>
      <c r="EQA123" s="0"/>
      <c r="EQB123" s="0"/>
      <c r="EQC123" s="0"/>
      <c r="EQD123" s="0"/>
      <c r="EQE123" s="0"/>
      <c r="EQF123" s="0"/>
      <c r="EQG123" s="0"/>
      <c r="EQH123" s="0"/>
      <c r="EQI123" s="0"/>
      <c r="EQJ123" s="0"/>
      <c r="EQK123" s="0"/>
      <c r="EQL123" s="0"/>
      <c r="EQM123" s="0"/>
      <c r="EQN123" s="0"/>
      <c r="EQO123" s="0"/>
      <c r="EQP123" s="0"/>
      <c r="EQQ123" s="0"/>
      <c r="EQR123" s="0"/>
      <c r="EQS123" s="0"/>
      <c r="EQT123" s="0"/>
      <c r="EQU123" s="0"/>
      <c r="EQV123" s="0"/>
      <c r="EQW123" s="0"/>
      <c r="EQX123" s="0"/>
      <c r="EQY123" s="0"/>
      <c r="EQZ123" s="0"/>
      <c r="ERA123" s="0"/>
      <c r="ERB123" s="0"/>
      <c r="ERC123" s="0"/>
      <c r="ERD123" s="0"/>
      <c r="ERE123" s="0"/>
      <c r="ERF123" s="0"/>
      <c r="ERG123" s="0"/>
      <c r="ERH123" s="0"/>
      <c r="ERI123" s="0"/>
      <c r="ERJ123" s="0"/>
      <c r="ERK123" s="0"/>
      <c r="ERL123" s="0"/>
      <c r="ERM123" s="0"/>
      <c r="ERN123" s="0"/>
      <c r="ERO123" s="0"/>
      <c r="ERP123" s="0"/>
      <c r="ERQ123" s="0"/>
      <c r="ERR123" s="0"/>
      <c r="ERS123" s="0"/>
      <c r="ERT123" s="0"/>
      <c r="ERU123" s="0"/>
      <c r="ERV123" s="0"/>
      <c r="ERW123" s="0"/>
      <c r="ERX123" s="0"/>
      <c r="ERY123" s="0"/>
      <c r="ERZ123" s="0"/>
      <c r="ESA123" s="0"/>
      <c r="ESB123" s="0"/>
      <c r="ESC123" s="0"/>
      <c r="ESD123" s="0"/>
      <c r="ESE123" s="0"/>
      <c r="ESF123" s="0"/>
      <c r="ESG123" s="0"/>
      <c r="ESH123" s="0"/>
      <c r="ESI123" s="0"/>
      <c r="ESJ123" s="0"/>
      <c r="ESK123" s="0"/>
      <c r="ESL123" s="0"/>
      <c r="ESM123" s="0"/>
      <c r="ESN123" s="0"/>
      <c r="ESO123" s="0"/>
      <c r="ESP123" s="0"/>
      <c r="ESQ123" s="0"/>
      <c r="ESR123" s="0"/>
      <c r="ESS123" s="0"/>
      <c r="EST123" s="0"/>
      <c r="ESU123" s="0"/>
      <c r="ESV123" s="0"/>
      <c r="ESW123" s="0"/>
      <c r="ESX123" s="0"/>
      <c r="ESY123" s="0"/>
      <c r="ESZ123" s="0"/>
      <c r="ETA123" s="0"/>
      <c r="ETB123" s="0"/>
      <c r="ETC123" s="0"/>
      <c r="ETD123" s="0"/>
      <c r="ETE123" s="0"/>
      <c r="ETF123" s="0"/>
      <c r="ETG123" s="0"/>
      <c r="ETH123" s="0"/>
      <c r="ETI123" s="0"/>
      <c r="ETJ123" s="0"/>
      <c r="ETK123" s="0"/>
      <c r="ETL123" s="0"/>
      <c r="ETM123" s="0"/>
      <c r="ETN123" s="0"/>
      <c r="ETO123" s="0"/>
      <c r="ETP123" s="0"/>
      <c r="ETQ123" s="0"/>
      <c r="ETR123" s="0"/>
      <c r="ETS123" s="0"/>
      <c r="ETT123" s="0"/>
      <c r="ETU123" s="0"/>
      <c r="ETV123" s="0"/>
      <c r="ETW123" s="0"/>
      <c r="ETX123" s="0"/>
      <c r="ETY123" s="0"/>
      <c r="ETZ123" s="0"/>
      <c r="EUA123" s="0"/>
      <c r="EUB123" s="0"/>
      <c r="EUC123" s="0"/>
      <c r="EUD123" s="0"/>
      <c r="EUE123" s="0"/>
      <c r="EUF123" s="0"/>
      <c r="EUG123" s="0"/>
      <c r="EUH123" s="0"/>
      <c r="EUI123" s="0"/>
      <c r="EUJ123" s="0"/>
      <c r="EUK123" s="0"/>
      <c r="EUL123" s="0"/>
      <c r="EUM123" s="0"/>
      <c r="EUN123" s="0"/>
      <c r="EUO123" s="0"/>
      <c r="EUP123" s="0"/>
      <c r="EUQ123" s="0"/>
      <c r="EUR123" s="0"/>
      <c r="EUS123" s="0"/>
      <c r="EUT123" s="0"/>
      <c r="EUU123" s="0"/>
      <c r="EUV123" s="0"/>
      <c r="EUW123" s="0"/>
      <c r="EUX123" s="0"/>
      <c r="EUY123" s="0"/>
      <c r="EUZ123" s="0"/>
      <c r="EVA123" s="0"/>
      <c r="EVB123" s="0"/>
      <c r="EVC123" s="0"/>
      <c r="EVD123" s="0"/>
      <c r="EVE123" s="0"/>
      <c r="EVF123" s="0"/>
      <c r="EVG123" s="0"/>
      <c r="EVH123" s="0"/>
      <c r="EVI123" s="0"/>
      <c r="EVJ123" s="0"/>
      <c r="EVK123" s="0"/>
      <c r="EVL123" s="0"/>
      <c r="EVM123" s="0"/>
      <c r="EVN123" s="0"/>
      <c r="EVO123" s="0"/>
      <c r="EVP123" s="0"/>
      <c r="EVQ123" s="0"/>
      <c r="EVR123" s="0"/>
      <c r="EVS123" s="0"/>
      <c r="EVT123" s="0"/>
      <c r="EVU123" s="0"/>
      <c r="EVV123" s="0"/>
      <c r="EVW123" s="0"/>
      <c r="EVX123" s="0"/>
      <c r="EVY123" s="0"/>
      <c r="EVZ123" s="0"/>
      <c r="EWA123" s="0"/>
      <c r="EWB123" s="0"/>
      <c r="EWC123" s="0"/>
      <c r="EWD123" s="0"/>
      <c r="EWE123" s="0"/>
      <c r="EWF123" s="0"/>
      <c r="EWG123" s="0"/>
      <c r="EWH123" s="0"/>
      <c r="EWI123" s="0"/>
      <c r="EWJ123" s="0"/>
      <c r="EWK123" s="0"/>
      <c r="EWL123" s="0"/>
      <c r="EWM123" s="0"/>
      <c r="EWN123" s="0"/>
      <c r="EWO123" s="0"/>
      <c r="EWP123" s="0"/>
      <c r="EWQ123" s="0"/>
      <c r="EWR123" s="0"/>
      <c r="EWS123" s="0"/>
      <c r="EWT123" s="0"/>
      <c r="EWU123" s="0"/>
      <c r="EWV123" s="0"/>
      <c r="EWW123" s="0"/>
      <c r="EWX123" s="0"/>
      <c r="EWY123" s="0"/>
      <c r="EWZ123" s="0"/>
      <c r="EXA123" s="0"/>
      <c r="EXB123" s="0"/>
      <c r="EXC123" s="0"/>
      <c r="EXD123" s="0"/>
      <c r="EXE123" s="0"/>
      <c r="EXF123" s="0"/>
      <c r="EXG123" s="0"/>
      <c r="EXH123" s="0"/>
      <c r="EXI123" s="0"/>
      <c r="EXJ123" s="0"/>
      <c r="EXK123" s="0"/>
      <c r="EXL123" s="0"/>
      <c r="EXM123" s="0"/>
      <c r="EXN123" s="0"/>
      <c r="EXO123" s="0"/>
      <c r="EXP123" s="0"/>
      <c r="EXQ123" s="0"/>
      <c r="EXR123" s="0"/>
      <c r="EXS123" s="0"/>
      <c r="EXT123" s="0"/>
      <c r="EXU123" s="0"/>
      <c r="EXV123" s="0"/>
      <c r="EXW123" s="0"/>
      <c r="EXX123" s="0"/>
      <c r="EXY123" s="0"/>
      <c r="EXZ123" s="0"/>
      <c r="EYA123" s="0"/>
      <c r="EYB123" s="0"/>
      <c r="EYC123" s="0"/>
      <c r="EYD123" s="0"/>
      <c r="EYE123" s="0"/>
      <c r="EYF123" s="0"/>
      <c r="EYG123" s="0"/>
      <c r="EYH123" s="0"/>
      <c r="EYI123" s="0"/>
      <c r="EYJ123" s="0"/>
      <c r="EYK123" s="0"/>
      <c r="EYL123" s="0"/>
      <c r="EYM123" s="0"/>
      <c r="EYN123" s="0"/>
      <c r="EYO123" s="0"/>
      <c r="EYP123" s="0"/>
      <c r="EYQ123" s="0"/>
      <c r="EYR123" s="0"/>
      <c r="EYS123" s="0"/>
      <c r="EYT123" s="0"/>
      <c r="EYU123" s="0"/>
      <c r="EYV123" s="0"/>
      <c r="EYW123" s="0"/>
      <c r="EYX123" s="0"/>
      <c r="EYY123" s="0"/>
      <c r="EYZ123" s="0"/>
      <c r="EZA123" s="0"/>
      <c r="EZB123" s="0"/>
      <c r="EZC123" s="0"/>
      <c r="EZD123" s="0"/>
      <c r="EZE123" s="0"/>
      <c r="EZF123" s="0"/>
      <c r="EZG123" s="0"/>
      <c r="EZH123" s="0"/>
      <c r="EZI123" s="0"/>
      <c r="EZJ123" s="0"/>
      <c r="EZK123" s="0"/>
      <c r="EZL123" s="0"/>
      <c r="EZM123" s="0"/>
      <c r="EZN123" s="0"/>
      <c r="EZO123" s="0"/>
      <c r="EZP123" s="0"/>
      <c r="EZQ123" s="0"/>
      <c r="EZR123" s="0"/>
      <c r="EZS123" s="0"/>
      <c r="EZT123" s="0"/>
      <c r="EZU123" s="0"/>
      <c r="EZV123" s="0"/>
      <c r="EZW123" s="0"/>
      <c r="EZX123" s="0"/>
      <c r="EZY123" s="0"/>
      <c r="EZZ123" s="0"/>
      <c r="FAA123" s="0"/>
      <c r="FAB123" s="0"/>
      <c r="FAC123" s="0"/>
      <c r="FAD123" s="0"/>
      <c r="FAE123" s="0"/>
      <c r="FAF123" s="0"/>
      <c r="FAG123" s="0"/>
      <c r="FAH123" s="0"/>
      <c r="FAI123" s="0"/>
      <c r="FAJ123" s="0"/>
      <c r="FAK123" s="0"/>
      <c r="FAL123" s="0"/>
      <c r="FAM123" s="0"/>
      <c r="FAN123" s="0"/>
      <c r="FAO123" s="0"/>
      <c r="FAP123" s="0"/>
      <c r="FAQ123" s="0"/>
      <c r="FAR123" s="0"/>
      <c r="FAS123" s="0"/>
      <c r="FAT123" s="0"/>
      <c r="FAU123" s="0"/>
      <c r="FAV123" s="0"/>
      <c r="FAW123" s="0"/>
      <c r="FAX123" s="0"/>
      <c r="FAY123" s="0"/>
      <c r="FAZ123" s="0"/>
      <c r="FBA123" s="0"/>
      <c r="FBB123" s="0"/>
      <c r="FBC123" s="0"/>
      <c r="FBD123" s="0"/>
      <c r="FBE123" s="0"/>
      <c r="FBF123" s="0"/>
      <c r="FBG123" s="0"/>
      <c r="FBH123" s="0"/>
      <c r="FBI123" s="0"/>
      <c r="FBJ123" s="0"/>
      <c r="FBK123" s="0"/>
      <c r="FBL123" s="0"/>
      <c r="FBM123" s="0"/>
      <c r="FBN123" s="0"/>
      <c r="FBO123" s="0"/>
      <c r="FBP123" s="0"/>
      <c r="FBQ123" s="0"/>
      <c r="FBR123" s="0"/>
      <c r="FBS123" s="0"/>
      <c r="FBT123" s="0"/>
      <c r="FBU123" s="0"/>
      <c r="FBV123" s="0"/>
      <c r="FBW123" s="0"/>
      <c r="FBX123" s="0"/>
      <c r="FBY123" s="0"/>
      <c r="FBZ123" s="0"/>
      <c r="FCA123" s="0"/>
      <c r="FCB123" s="0"/>
      <c r="FCC123" s="0"/>
      <c r="FCD123" s="0"/>
      <c r="FCE123" s="0"/>
      <c r="FCF123" s="0"/>
      <c r="FCG123" s="0"/>
      <c r="FCH123" s="0"/>
      <c r="FCI123" s="0"/>
      <c r="FCJ123" s="0"/>
      <c r="FCK123" s="0"/>
      <c r="FCL123" s="0"/>
      <c r="FCM123" s="0"/>
      <c r="FCN123" s="0"/>
      <c r="FCO123" s="0"/>
      <c r="FCP123" s="0"/>
      <c r="FCQ123" s="0"/>
      <c r="FCR123" s="0"/>
      <c r="FCS123" s="0"/>
      <c r="FCT123" s="0"/>
      <c r="FCU123" s="0"/>
      <c r="FCV123" s="0"/>
      <c r="FCW123" s="0"/>
      <c r="FCX123" s="0"/>
      <c r="FCY123" s="0"/>
      <c r="FCZ123" s="0"/>
      <c r="FDA123" s="0"/>
      <c r="FDB123" s="0"/>
      <c r="FDC123" s="0"/>
      <c r="FDD123" s="0"/>
      <c r="FDE123" s="0"/>
      <c r="FDF123" s="0"/>
      <c r="FDG123" s="0"/>
      <c r="FDH123" s="0"/>
      <c r="FDI123" s="0"/>
      <c r="FDJ123" s="0"/>
      <c r="FDK123" s="0"/>
      <c r="FDL123" s="0"/>
      <c r="FDM123" s="0"/>
      <c r="FDN123" s="0"/>
      <c r="FDO123" s="0"/>
      <c r="FDP123" s="0"/>
      <c r="FDQ123" s="0"/>
      <c r="FDR123" s="0"/>
      <c r="FDS123" s="0"/>
      <c r="FDT123" s="0"/>
      <c r="FDU123" s="0"/>
      <c r="FDV123" s="0"/>
      <c r="FDW123" s="0"/>
      <c r="FDX123" s="0"/>
      <c r="FDY123" s="0"/>
      <c r="FDZ123" s="0"/>
      <c r="FEA123" s="0"/>
      <c r="FEB123" s="0"/>
      <c r="FEC123" s="0"/>
      <c r="FED123" s="0"/>
      <c r="FEE123" s="0"/>
      <c r="FEF123" s="0"/>
      <c r="FEG123" s="0"/>
      <c r="FEH123" s="0"/>
      <c r="FEI123" s="0"/>
      <c r="FEJ123" s="0"/>
      <c r="FEK123" s="0"/>
      <c r="FEL123" s="0"/>
      <c r="FEM123" s="0"/>
      <c r="FEN123" s="0"/>
      <c r="FEO123" s="0"/>
      <c r="FEP123" s="0"/>
      <c r="FEQ123" s="0"/>
      <c r="FER123" s="0"/>
      <c r="FES123" s="0"/>
      <c r="FET123" s="0"/>
      <c r="FEU123" s="0"/>
      <c r="FEV123" s="0"/>
      <c r="FEW123" s="0"/>
      <c r="FEX123" s="0"/>
      <c r="FEY123" s="0"/>
      <c r="FEZ123" s="0"/>
      <c r="FFA123" s="0"/>
      <c r="FFB123" s="0"/>
      <c r="FFC123" s="0"/>
      <c r="FFD123" s="0"/>
      <c r="FFE123" s="0"/>
      <c r="FFF123" s="0"/>
      <c r="FFG123" s="0"/>
      <c r="FFH123" s="0"/>
      <c r="FFI123" s="0"/>
      <c r="FFJ123" s="0"/>
      <c r="FFK123" s="0"/>
      <c r="FFL123" s="0"/>
      <c r="FFM123" s="0"/>
      <c r="FFN123" s="0"/>
      <c r="FFO123" s="0"/>
      <c r="FFP123" s="0"/>
      <c r="FFQ123" s="0"/>
      <c r="FFR123" s="0"/>
      <c r="FFS123" s="0"/>
      <c r="FFT123" s="0"/>
      <c r="FFU123" s="0"/>
      <c r="FFV123" s="0"/>
      <c r="FFW123" s="0"/>
      <c r="FFX123" s="0"/>
      <c r="FFY123" s="0"/>
      <c r="FFZ123" s="0"/>
      <c r="FGA123" s="0"/>
      <c r="FGB123" s="0"/>
      <c r="FGC123" s="0"/>
      <c r="FGD123" s="0"/>
      <c r="FGE123" s="0"/>
      <c r="FGF123" s="0"/>
      <c r="FGG123" s="0"/>
      <c r="FGH123" s="0"/>
      <c r="FGI123" s="0"/>
      <c r="FGJ123" s="0"/>
      <c r="FGK123" s="0"/>
      <c r="FGL123" s="0"/>
      <c r="FGM123" s="0"/>
      <c r="FGN123" s="0"/>
      <c r="FGO123" s="0"/>
      <c r="FGP123" s="0"/>
      <c r="FGQ123" s="0"/>
      <c r="FGR123" s="0"/>
      <c r="FGS123" s="0"/>
      <c r="FGT123" s="0"/>
      <c r="FGU123" s="0"/>
      <c r="FGV123" s="0"/>
      <c r="FGW123" s="0"/>
      <c r="FGX123" s="0"/>
      <c r="FGY123" s="0"/>
      <c r="FGZ123" s="0"/>
      <c r="FHA123" s="0"/>
      <c r="FHB123" s="0"/>
      <c r="FHC123" s="0"/>
      <c r="FHD123" s="0"/>
      <c r="FHE123" s="0"/>
      <c r="FHF123" s="0"/>
      <c r="FHG123" s="0"/>
      <c r="FHH123" s="0"/>
      <c r="FHI123" s="0"/>
      <c r="FHJ123" s="0"/>
      <c r="FHK123" s="0"/>
      <c r="FHL123" s="0"/>
      <c r="FHM123" s="0"/>
      <c r="FHN123" s="0"/>
      <c r="FHO123" s="0"/>
      <c r="FHP123" s="0"/>
      <c r="FHQ123" s="0"/>
      <c r="FHR123" s="0"/>
      <c r="FHS123" s="0"/>
      <c r="FHT123" s="0"/>
      <c r="FHU123" s="0"/>
      <c r="FHV123" s="0"/>
      <c r="FHW123" s="0"/>
      <c r="FHX123" s="0"/>
      <c r="FHY123" s="0"/>
      <c r="FHZ123" s="0"/>
      <c r="FIA123" s="0"/>
      <c r="FIB123" s="0"/>
      <c r="FIC123" s="0"/>
      <c r="FID123" s="0"/>
      <c r="FIE123" s="0"/>
      <c r="FIF123" s="0"/>
      <c r="FIG123" s="0"/>
      <c r="FIH123" s="0"/>
      <c r="FII123" s="0"/>
      <c r="FIJ123" s="0"/>
      <c r="FIK123" s="0"/>
      <c r="FIL123" s="0"/>
      <c r="FIM123" s="0"/>
      <c r="FIN123" s="0"/>
      <c r="FIO123" s="0"/>
      <c r="FIP123" s="0"/>
      <c r="FIQ123" s="0"/>
      <c r="FIR123" s="0"/>
      <c r="FIS123" s="0"/>
      <c r="FIT123" s="0"/>
      <c r="FIU123" s="0"/>
      <c r="FIV123" s="0"/>
      <c r="FIW123" s="0"/>
      <c r="FIX123" s="0"/>
      <c r="FIY123" s="0"/>
      <c r="FIZ123" s="0"/>
      <c r="FJA123" s="0"/>
      <c r="FJB123" s="0"/>
      <c r="FJC123" s="0"/>
      <c r="FJD123" s="0"/>
      <c r="FJE123" s="0"/>
      <c r="FJF123" s="0"/>
      <c r="FJG123" s="0"/>
      <c r="FJH123" s="0"/>
      <c r="FJI123" s="0"/>
      <c r="FJJ123" s="0"/>
      <c r="FJK123" s="0"/>
      <c r="FJL123" s="0"/>
      <c r="FJM123" s="0"/>
      <c r="FJN123" s="0"/>
      <c r="FJO123" s="0"/>
      <c r="FJP123" s="0"/>
      <c r="FJQ123" s="0"/>
      <c r="FJR123" s="0"/>
      <c r="FJS123" s="0"/>
      <c r="FJT123" s="0"/>
      <c r="FJU123" s="0"/>
      <c r="FJV123" s="0"/>
      <c r="FJW123" s="0"/>
      <c r="FJX123" s="0"/>
      <c r="FJY123" s="0"/>
      <c r="FJZ123" s="0"/>
      <c r="FKA123" s="0"/>
      <c r="FKB123" s="0"/>
      <c r="FKC123" s="0"/>
      <c r="FKD123" s="0"/>
      <c r="FKE123" s="0"/>
      <c r="FKF123" s="0"/>
      <c r="FKG123" s="0"/>
      <c r="FKH123" s="0"/>
      <c r="FKI123" s="0"/>
      <c r="FKJ123" s="0"/>
      <c r="FKK123" s="0"/>
      <c r="FKL123" s="0"/>
      <c r="FKM123" s="0"/>
      <c r="FKN123" s="0"/>
      <c r="FKO123" s="0"/>
      <c r="FKP123" s="0"/>
      <c r="FKQ123" s="0"/>
      <c r="FKR123" s="0"/>
      <c r="FKS123" s="0"/>
      <c r="FKT123" s="0"/>
      <c r="FKU123" s="0"/>
      <c r="FKV123" s="0"/>
      <c r="FKW123" s="0"/>
      <c r="FKX123" s="0"/>
      <c r="FKY123" s="0"/>
      <c r="FKZ123" s="0"/>
      <c r="FLA123" s="0"/>
      <c r="FLB123" s="0"/>
      <c r="FLC123" s="0"/>
      <c r="FLD123" s="0"/>
      <c r="FLE123" s="0"/>
      <c r="FLF123" s="0"/>
      <c r="FLG123" s="0"/>
      <c r="FLH123" s="0"/>
      <c r="FLI123" s="0"/>
      <c r="FLJ123" s="0"/>
      <c r="FLK123" s="0"/>
      <c r="FLL123" s="0"/>
      <c r="FLM123" s="0"/>
      <c r="FLN123" s="0"/>
      <c r="FLO123" s="0"/>
      <c r="FLP123" s="0"/>
      <c r="FLQ123" s="0"/>
      <c r="FLR123" s="0"/>
      <c r="FLS123" s="0"/>
      <c r="FLT123" s="0"/>
      <c r="FLU123" s="0"/>
      <c r="FLV123" s="0"/>
      <c r="FLW123" s="0"/>
      <c r="FLX123" s="0"/>
      <c r="FLY123" s="0"/>
      <c r="FLZ123" s="0"/>
      <c r="FMA123" s="0"/>
      <c r="FMB123" s="0"/>
      <c r="FMC123" s="0"/>
      <c r="FMD123" s="0"/>
      <c r="FME123" s="0"/>
      <c r="FMF123" s="0"/>
      <c r="FMG123" s="0"/>
      <c r="FMH123" s="0"/>
      <c r="FMI123" s="0"/>
      <c r="FMJ123" s="0"/>
      <c r="FMK123" s="0"/>
      <c r="FML123" s="0"/>
      <c r="FMM123" s="0"/>
      <c r="FMN123" s="0"/>
      <c r="FMO123" s="0"/>
      <c r="FMP123" s="0"/>
      <c r="FMQ123" s="0"/>
      <c r="FMR123" s="0"/>
      <c r="FMS123" s="0"/>
      <c r="FMT123" s="0"/>
      <c r="FMU123" s="0"/>
      <c r="FMV123" s="0"/>
      <c r="FMW123" s="0"/>
      <c r="FMX123" s="0"/>
      <c r="FMY123" s="0"/>
      <c r="FMZ123" s="0"/>
      <c r="FNA123" s="0"/>
      <c r="FNB123" s="0"/>
      <c r="FNC123" s="0"/>
      <c r="FND123" s="0"/>
      <c r="FNE123" s="0"/>
      <c r="FNF123" s="0"/>
      <c r="FNG123" s="0"/>
      <c r="FNH123" s="0"/>
      <c r="FNI123" s="0"/>
      <c r="FNJ123" s="0"/>
      <c r="FNK123" s="0"/>
      <c r="FNL123" s="0"/>
      <c r="FNM123" s="0"/>
      <c r="FNN123" s="0"/>
      <c r="FNO123" s="0"/>
      <c r="FNP123" s="0"/>
      <c r="FNQ123" s="0"/>
      <c r="FNR123" s="0"/>
      <c r="FNS123" s="0"/>
      <c r="FNT123" s="0"/>
      <c r="FNU123" s="0"/>
      <c r="FNV123" s="0"/>
      <c r="FNW123" s="0"/>
      <c r="FNX123" s="0"/>
      <c r="FNY123" s="0"/>
      <c r="FNZ123" s="0"/>
      <c r="FOA123" s="0"/>
      <c r="FOB123" s="0"/>
      <c r="FOC123" s="0"/>
      <c r="FOD123" s="0"/>
      <c r="FOE123" s="0"/>
      <c r="FOF123" s="0"/>
      <c r="FOG123" s="0"/>
      <c r="FOH123" s="0"/>
      <c r="FOI123" s="0"/>
      <c r="FOJ123" s="0"/>
      <c r="FOK123" s="0"/>
      <c r="FOL123" s="0"/>
      <c r="FOM123" s="0"/>
      <c r="FON123" s="0"/>
      <c r="FOO123" s="0"/>
      <c r="FOP123" s="0"/>
      <c r="FOQ123" s="0"/>
      <c r="FOR123" s="0"/>
      <c r="FOS123" s="0"/>
      <c r="FOT123" s="0"/>
      <c r="FOU123" s="0"/>
      <c r="FOV123" s="0"/>
      <c r="FOW123" s="0"/>
      <c r="FOX123" s="0"/>
      <c r="FOY123" s="0"/>
      <c r="FOZ123" s="0"/>
      <c r="FPA123" s="0"/>
      <c r="FPB123" s="0"/>
      <c r="FPC123" s="0"/>
      <c r="FPD123" s="0"/>
      <c r="FPE123" s="0"/>
      <c r="FPF123" s="0"/>
      <c r="FPG123" s="0"/>
      <c r="FPH123" s="0"/>
      <c r="FPI123" s="0"/>
      <c r="FPJ123" s="0"/>
      <c r="FPK123" s="0"/>
      <c r="FPL123" s="0"/>
      <c r="FPM123" s="0"/>
      <c r="FPN123" s="0"/>
      <c r="FPO123" s="0"/>
      <c r="FPP123" s="0"/>
      <c r="FPQ123" s="0"/>
      <c r="FPR123" s="0"/>
      <c r="FPS123" s="0"/>
      <c r="FPT123" s="0"/>
      <c r="FPU123" s="0"/>
      <c r="FPV123" s="0"/>
      <c r="FPW123" s="0"/>
      <c r="FPX123" s="0"/>
      <c r="FPY123" s="0"/>
      <c r="FPZ123" s="0"/>
      <c r="FQA123" s="0"/>
      <c r="FQB123" s="0"/>
      <c r="FQC123" s="0"/>
      <c r="FQD123" s="0"/>
      <c r="FQE123" s="0"/>
      <c r="FQF123" s="0"/>
      <c r="FQG123" s="0"/>
      <c r="FQH123" s="0"/>
      <c r="FQI123" s="0"/>
      <c r="FQJ123" s="0"/>
      <c r="FQK123" s="0"/>
      <c r="FQL123" s="0"/>
      <c r="FQM123" s="0"/>
      <c r="FQN123" s="0"/>
      <c r="FQO123" s="0"/>
      <c r="FQP123" s="0"/>
      <c r="FQQ123" s="0"/>
      <c r="FQR123" s="0"/>
      <c r="FQS123" s="0"/>
      <c r="FQT123" s="0"/>
      <c r="FQU123" s="0"/>
      <c r="FQV123" s="0"/>
      <c r="FQW123" s="0"/>
      <c r="FQX123" s="0"/>
      <c r="FQY123" s="0"/>
      <c r="FQZ123" s="0"/>
      <c r="FRA123" s="0"/>
      <c r="FRB123" s="0"/>
      <c r="FRC123" s="0"/>
      <c r="FRD123" s="0"/>
      <c r="FRE123" s="0"/>
      <c r="FRF123" s="0"/>
      <c r="FRG123" s="0"/>
      <c r="FRH123" s="0"/>
      <c r="FRI123" s="0"/>
      <c r="FRJ123" s="0"/>
      <c r="FRK123" s="0"/>
      <c r="FRL123" s="0"/>
      <c r="FRM123" s="0"/>
      <c r="FRN123" s="0"/>
      <c r="FRO123" s="0"/>
      <c r="FRP123" s="0"/>
      <c r="FRQ123" s="0"/>
      <c r="FRR123" s="0"/>
      <c r="FRS123" s="0"/>
      <c r="FRT123" s="0"/>
      <c r="FRU123" s="0"/>
      <c r="FRV123" s="0"/>
      <c r="FRW123" s="0"/>
      <c r="FRX123" s="0"/>
      <c r="FRY123" s="0"/>
      <c r="FRZ123" s="0"/>
      <c r="FSA123" s="0"/>
      <c r="FSB123" s="0"/>
      <c r="FSC123" s="0"/>
      <c r="FSD123" s="0"/>
      <c r="FSE123" s="0"/>
      <c r="FSF123" s="0"/>
      <c r="FSG123" s="0"/>
      <c r="FSH123" s="0"/>
      <c r="FSI123" s="0"/>
      <c r="FSJ123" s="0"/>
      <c r="FSK123" s="0"/>
      <c r="FSL123" s="0"/>
      <c r="FSM123" s="0"/>
      <c r="FSN123" s="0"/>
      <c r="FSO123" s="0"/>
      <c r="FSP123" s="0"/>
      <c r="FSQ123" s="0"/>
      <c r="FSR123" s="0"/>
      <c r="FSS123" s="0"/>
      <c r="FST123" s="0"/>
      <c r="FSU123" s="0"/>
      <c r="FSV123" s="0"/>
      <c r="FSW123" s="0"/>
      <c r="FSX123" s="0"/>
      <c r="FSY123" s="0"/>
      <c r="FSZ123" s="0"/>
      <c r="FTA123" s="0"/>
      <c r="FTB123" s="0"/>
      <c r="FTC123" s="0"/>
      <c r="FTD123" s="0"/>
      <c r="FTE123" s="0"/>
      <c r="FTF123" s="0"/>
      <c r="FTG123" s="0"/>
      <c r="FTH123" s="0"/>
      <c r="FTI123" s="0"/>
      <c r="FTJ123" s="0"/>
      <c r="FTK123" s="0"/>
      <c r="FTL123" s="0"/>
      <c r="FTM123" s="0"/>
      <c r="FTN123" s="0"/>
      <c r="FTO123" s="0"/>
      <c r="FTP123" s="0"/>
      <c r="FTQ123" s="0"/>
      <c r="FTR123" s="0"/>
      <c r="FTS123" s="0"/>
      <c r="FTT123" s="0"/>
      <c r="FTU123" s="0"/>
      <c r="FTV123" s="0"/>
      <c r="FTW123" s="0"/>
      <c r="FTX123" s="0"/>
      <c r="FTY123" s="0"/>
      <c r="FTZ123" s="0"/>
      <c r="FUA123" s="0"/>
      <c r="FUB123" s="0"/>
      <c r="FUC123" s="0"/>
      <c r="FUD123" s="0"/>
      <c r="FUE123" s="0"/>
      <c r="FUF123" s="0"/>
      <c r="FUG123" s="0"/>
      <c r="FUH123" s="0"/>
      <c r="FUI123" s="0"/>
      <c r="FUJ123" s="0"/>
      <c r="FUK123" s="0"/>
      <c r="FUL123" s="0"/>
      <c r="FUM123" s="0"/>
      <c r="FUN123" s="0"/>
      <c r="FUO123" s="0"/>
      <c r="FUP123" s="0"/>
      <c r="FUQ123" s="0"/>
      <c r="FUR123" s="0"/>
      <c r="FUS123" s="0"/>
      <c r="FUT123" s="0"/>
      <c r="FUU123" s="0"/>
      <c r="FUV123" s="0"/>
      <c r="FUW123" s="0"/>
      <c r="FUX123" s="0"/>
      <c r="FUY123" s="0"/>
      <c r="FUZ123" s="0"/>
      <c r="FVA123" s="0"/>
      <c r="FVB123" s="0"/>
      <c r="FVC123" s="0"/>
      <c r="FVD123" s="0"/>
      <c r="FVE123" s="0"/>
      <c r="FVF123" s="0"/>
      <c r="FVG123" s="0"/>
      <c r="FVH123" s="0"/>
      <c r="FVI123" s="0"/>
      <c r="FVJ123" s="0"/>
      <c r="FVK123" s="0"/>
      <c r="FVL123" s="0"/>
      <c r="FVM123" s="0"/>
      <c r="FVN123" s="0"/>
      <c r="FVO123" s="0"/>
      <c r="FVP123" s="0"/>
      <c r="FVQ123" s="0"/>
      <c r="FVR123" s="0"/>
      <c r="FVS123" s="0"/>
      <c r="FVT123" s="0"/>
      <c r="FVU123" s="0"/>
      <c r="FVV123" s="0"/>
      <c r="FVW123" s="0"/>
      <c r="FVX123" s="0"/>
      <c r="FVY123" s="0"/>
      <c r="FVZ123" s="0"/>
      <c r="FWA123" s="0"/>
      <c r="FWB123" s="0"/>
      <c r="FWC123" s="0"/>
      <c r="FWD123" s="0"/>
      <c r="FWE123" s="0"/>
      <c r="FWF123" s="0"/>
      <c r="FWG123" s="0"/>
      <c r="FWH123" s="0"/>
      <c r="FWI123" s="0"/>
      <c r="FWJ123" s="0"/>
      <c r="FWK123" s="0"/>
      <c r="FWL123" s="0"/>
      <c r="FWM123" s="0"/>
      <c r="FWN123" s="0"/>
      <c r="FWO123" s="0"/>
      <c r="FWP123" s="0"/>
      <c r="FWQ123" s="0"/>
      <c r="FWR123" s="0"/>
      <c r="FWS123" s="0"/>
      <c r="FWT123" s="0"/>
      <c r="FWU123" s="0"/>
      <c r="FWV123" s="0"/>
      <c r="FWW123" s="0"/>
      <c r="FWX123" s="0"/>
      <c r="FWY123" s="0"/>
      <c r="FWZ123" s="0"/>
      <c r="FXA123" s="0"/>
      <c r="FXB123" s="0"/>
      <c r="FXC123" s="0"/>
      <c r="FXD123" s="0"/>
      <c r="FXE123" s="0"/>
      <c r="FXF123" s="0"/>
      <c r="FXG123" s="0"/>
      <c r="FXH123" s="0"/>
      <c r="FXI123" s="0"/>
      <c r="FXJ123" s="0"/>
      <c r="FXK123" s="0"/>
      <c r="FXL123" s="0"/>
      <c r="FXM123" s="0"/>
      <c r="FXN123" s="0"/>
      <c r="FXO123" s="0"/>
      <c r="FXP123" s="0"/>
      <c r="FXQ123" s="0"/>
      <c r="FXR123" s="0"/>
      <c r="FXS123" s="0"/>
      <c r="FXT123" s="0"/>
      <c r="FXU123" s="0"/>
      <c r="FXV123" s="0"/>
      <c r="FXW123" s="0"/>
      <c r="FXX123" s="0"/>
      <c r="FXY123" s="0"/>
      <c r="FXZ123" s="0"/>
      <c r="FYA123" s="0"/>
      <c r="FYB123" s="0"/>
      <c r="FYC123" s="0"/>
      <c r="FYD123" s="0"/>
      <c r="FYE123" s="0"/>
      <c r="FYF123" s="0"/>
      <c r="FYG123" s="0"/>
      <c r="FYH123" s="0"/>
      <c r="FYI123" s="0"/>
      <c r="FYJ123" s="0"/>
      <c r="FYK123" s="0"/>
      <c r="FYL123" s="0"/>
      <c r="FYM123" s="0"/>
      <c r="FYN123" s="0"/>
      <c r="FYO123" s="0"/>
      <c r="FYP123" s="0"/>
      <c r="FYQ123" s="0"/>
      <c r="FYR123" s="0"/>
      <c r="FYS123" s="0"/>
      <c r="FYT123" s="0"/>
      <c r="FYU123" s="0"/>
      <c r="FYV123" s="0"/>
      <c r="FYW123" s="0"/>
      <c r="FYX123" s="0"/>
      <c r="FYY123" s="0"/>
      <c r="FYZ123" s="0"/>
      <c r="FZA123" s="0"/>
      <c r="FZB123" s="0"/>
      <c r="FZC123" s="0"/>
      <c r="FZD123" s="0"/>
      <c r="FZE123" s="0"/>
      <c r="FZF123" s="0"/>
      <c r="FZG123" s="0"/>
      <c r="FZH123" s="0"/>
      <c r="FZI123" s="0"/>
      <c r="FZJ123" s="0"/>
      <c r="FZK123" s="0"/>
      <c r="FZL123" s="0"/>
      <c r="FZM123" s="0"/>
      <c r="FZN123" s="0"/>
      <c r="FZO123" s="0"/>
      <c r="FZP123" s="0"/>
      <c r="FZQ123" s="0"/>
      <c r="FZR123" s="0"/>
      <c r="FZS123" s="0"/>
      <c r="FZT123" s="0"/>
      <c r="FZU123" s="0"/>
      <c r="FZV123" s="0"/>
      <c r="FZW123" s="0"/>
      <c r="FZX123" s="0"/>
      <c r="FZY123" s="0"/>
      <c r="FZZ123" s="0"/>
      <c r="GAA123" s="0"/>
      <c r="GAB123" s="0"/>
      <c r="GAC123" s="0"/>
      <c r="GAD123" s="0"/>
      <c r="GAE123" s="0"/>
      <c r="GAF123" s="0"/>
      <c r="GAG123" s="0"/>
      <c r="GAH123" s="0"/>
      <c r="GAI123" s="0"/>
      <c r="GAJ123" s="0"/>
      <c r="GAK123" s="0"/>
      <c r="GAL123" s="0"/>
      <c r="GAM123" s="0"/>
      <c r="GAN123" s="0"/>
      <c r="GAO123" s="0"/>
      <c r="GAP123" s="0"/>
      <c r="GAQ123" s="0"/>
      <c r="GAR123" s="0"/>
      <c r="GAS123" s="0"/>
      <c r="GAT123" s="0"/>
      <c r="GAU123" s="0"/>
      <c r="GAV123" s="0"/>
      <c r="GAW123" s="0"/>
      <c r="GAX123" s="0"/>
      <c r="GAY123" s="0"/>
      <c r="GAZ123" s="0"/>
      <c r="GBA123" s="0"/>
      <c r="GBB123" s="0"/>
      <c r="GBC123" s="0"/>
      <c r="GBD123" s="0"/>
      <c r="GBE123" s="0"/>
      <c r="GBF123" s="0"/>
      <c r="GBG123" s="0"/>
      <c r="GBH123" s="0"/>
      <c r="GBI123" s="0"/>
      <c r="GBJ123" s="0"/>
      <c r="GBK123" s="0"/>
      <c r="GBL123" s="0"/>
      <c r="GBM123" s="0"/>
      <c r="GBN123" s="0"/>
      <c r="GBO123" s="0"/>
      <c r="GBP123" s="0"/>
      <c r="GBQ123" s="0"/>
      <c r="GBR123" s="0"/>
      <c r="GBS123" s="0"/>
      <c r="GBT123" s="0"/>
      <c r="GBU123" s="0"/>
      <c r="GBV123" s="0"/>
      <c r="GBW123" s="0"/>
      <c r="GBX123" s="0"/>
      <c r="GBY123" s="0"/>
      <c r="GBZ123" s="0"/>
      <c r="GCA123" s="0"/>
      <c r="GCB123" s="0"/>
      <c r="GCC123" s="0"/>
      <c r="GCD123" s="0"/>
      <c r="GCE123" s="0"/>
      <c r="GCF123" s="0"/>
      <c r="GCG123" s="0"/>
      <c r="GCH123" s="0"/>
      <c r="GCI123" s="0"/>
      <c r="GCJ123" s="0"/>
      <c r="GCK123" s="0"/>
      <c r="GCL123" s="0"/>
      <c r="GCM123" s="0"/>
      <c r="GCN123" s="0"/>
      <c r="GCO123" s="0"/>
      <c r="GCP123" s="0"/>
      <c r="GCQ123" s="0"/>
      <c r="GCR123" s="0"/>
      <c r="GCS123" s="0"/>
      <c r="GCT123" s="0"/>
      <c r="GCU123" s="0"/>
      <c r="GCV123" s="0"/>
      <c r="GCW123" s="0"/>
      <c r="GCX123" s="0"/>
      <c r="GCY123" s="0"/>
      <c r="GCZ123" s="0"/>
      <c r="GDA123" s="0"/>
      <c r="GDB123" s="0"/>
      <c r="GDC123" s="0"/>
      <c r="GDD123" s="0"/>
      <c r="GDE123" s="0"/>
      <c r="GDF123" s="0"/>
      <c r="GDG123" s="0"/>
      <c r="GDH123" s="0"/>
      <c r="GDI123" s="0"/>
      <c r="GDJ123" s="0"/>
      <c r="GDK123" s="0"/>
      <c r="GDL123" s="0"/>
      <c r="GDM123" s="0"/>
      <c r="GDN123" s="0"/>
      <c r="GDO123" s="0"/>
      <c r="GDP123" s="0"/>
      <c r="GDQ123" s="0"/>
      <c r="GDR123" s="0"/>
      <c r="GDS123" s="0"/>
      <c r="GDT123" s="0"/>
      <c r="GDU123" s="0"/>
      <c r="GDV123" s="0"/>
      <c r="GDW123" s="0"/>
      <c r="GDX123" s="0"/>
      <c r="GDY123" s="0"/>
      <c r="GDZ123" s="0"/>
      <c r="GEA123" s="0"/>
      <c r="GEB123" s="0"/>
      <c r="GEC123" s="0"/>
      <c r="GED123" s="0"/>
      <c r="GEE123" s="0"/>
      <c r="GEF123" s="0"/>
      <c r="GEG123" s="0"/>
      <c r="GEH123" s="0"/>
      <c r="GEI123" s="0"/>
      <c r="GEJ123" s="0"/>
      <c r="GEK123" s="0"/>
      <c r="GEL123" s="0"/>
      <c r="GEM123" s="0"/>
      <c r="GEN123" s="0"/>
      <c r="GEO123" s="0"/>
      <c r="GEP123" s="0"/>
      <c r="GEQ123" s="0"/>
      <c r="GER123" s="0"/>
      <c r="GES123" s="0"/>
      <c r="GET123" s="0"/>
      <c r="GEU123" s="0"/>
      <c r="GEV123" s="0"/>
      <c r="GEW123" s="0"/>
      <c r="GEX123" s="0"/>
      <c r="GEY123" s="0"/>
      <c r="GEZ123" s="0"/>
      <c r="GFA123" s="0"/>
      <c r="GFB123" s="0"/>
      <c r="GFC123" s="0"/>
      <c r="GFD123" s="0"/>
      <c r="GFE123" s="0"/>
      <c r="GFF123" s="0"/>
      <c r="GFG123" s="0"/>
      <c r="GFH123" s="0"/>
      <c r="GFI123" s="0"/>
      <c r="GFJ123" s="0"/>
      <c r="GFK123" s="0"/>
      <c r="GFL123" s="0"/>
      <c r="GFM123" s="0"/>
      <c r="GFN123" s="0"/>
      <c r="GFO123" s="0"/>
      <c r="GFP123" s="0"/>
      <c r="GFQ123" s="0"/>
      <c r="GFR123" s="0"/>
      <c r="GFS123" s="0"/>
      <c r="GFT123" s="0"/>
      <c r="GFU123" s="0"/>
      <c r="GFV123" s="0"/>
      <c r="GFW123" s="0"/>
      <c r="GFX123" s="0"/>
      <c r="GFY123" s="0"/>
      <c r="GFZ123" s="0"/>
      <c r="GGA123" s="0"/>
      <c r="GGB123" s="0"/>
      <c r="GGC123" s="0"/>
      <c r="GGD123" s="0"/>
      <c r="GGE123" s="0"/>
      <c r="GGF123" s="0"/>
      <c r="GGG123" s="0"/>
      <c r="GGH123" s="0"/>
      <c r="GGI123" s="0"/>
      <c r="GGJ123" s="0"/>
      <c r="GGK123" s="0"/>
      <c r="GGL123" s="0"/>
      <c r="GGM123" s="0"/>
      <c r="GGN123" s="0"/>
      <c r="GGO123" s="0"/>
      <c r="GGP123" s="0"/>
      <c r="GGQ123" s="0"/>
      <c r="GGR123" s="0"/>
      <c r="GGS123" s="0"/>
      <c r="GGT123" s="0"/>
      <c r="GGU123" s="0"/>
      <c r="GGV123" s="0"/>
      <c r="GGW123" s="0"/>
      <c r="GGX123" s="0"/>
      <c r="GGY123" s="0"/>
      <c r="GGZ123" s="0"/>
      <c r="GHA123" s="0"/>
      <c r="GHB123" s="0"/>
      <c r="GHC123" s="0"/>
      <c r="GHD123" s="0"/>
      <c r="GHE123" s="0"/>
      <c r="GHF123" s="0"/>
      <c r="GHG123" s="0"/>
      <c r="GHH123" s="0"/>
      <c r="GHI123" s="0"/>
      <c r="GHJ123" s="0"/>
      <c r="GHK123" s="0"/>
      <c r="GHL123" s="0"/>
      <c r="GHM123" s="0"/>
      <c r="GHN123" s="0"/>
      <c r="GHO123" s="0"/>
      <c r="GHP123" s="0"/>
      <c r="GHQ123" s="0"/>
      <c r="GHR123" s="0"/>
      <c r="GHS123" s="0"/>
      <c r="GHT123" s="0"/>
      <c r="GHU123" s="0"/>
      <c r="GHV123" s="0"/>
      <c r="GHW123" s="0"/>
      <c r="GHX123" s="0"/>
      <c r="GHY123" s="0"/>
      <c r="GHZ123" s="0"/>
      <c r="GIA123" s="0"/>
      <c r="GIB123" s="0"/>
      <c r="GIC123" s="0"/>
      <c r="GID123" s="0"/>
      <c r="GIE123" s="0"/>
      <c r="GIF123" s="0"/>
      <c r="GIG123" s="0"/>
      <c r="GIH123" s="0"/>
      <c r="GII123" s="0"/>
      <c r="GIJ123" s="0"/>
      <c r="GIK123" s="0"/>
      <c r="GIL123" s="0"/>
      <c r="GIM123" s="0"/>
      <c r="GIN123" s="0"/>
      <c r="GIO123" s="0"/>
      <c r="GIP123" s="0"/>
      <c r="GIQ123" s="0"/>
      <c r="GIR123" s="0"/>
      <c r="GIS123" s="0"/>
      <c r="GIT123" s="0"/>
      <c r="GIU123" s="0"/>
      <c r="GIV123" s="0"/>
      <c r="GIW123" s="0"/>
      <c r="GIX123" s="0"/>
      <c r="GIY123" s="0"/>
      <c r="GIZ123" s="0"/>
      <c r="GJA123" s="0"/>
      <c r="GJB123" s="0"/>
      <c r="GJC123" s="0"/>
      <c r="GJD123" s="0"/>
      <c r="GJE123" s="0"/>
      <c r="GJF123" s="0"/>
      <c r="GJG123" s="0"/>
      <c r="GJH123" s="0"/>
      <c r="GJI123" s="0"/>
      <c r="GJJ123" s="0"/>
      <c r="GJK123" s="0"/>
      <c r="GJL123" s="0"/>
      <c r="GJM123" s="0"/>
      <c r="GJN123" s="0"/>
      <c r="GJO123" s="0"/>
      <c r="GJP123" s="0"/>
      <c r="GJQ123" s="0"/>
      <c r="GJR123" s="0"/>
      <c r="GJS123" s="0"/>
      <c r="GJT123" s="0"/>
      <c r="GJU123" s="0"/>
      <c r="GJV123" s="0"/>
      <c r="GJW123" s="0"/>
      <c r="GJX123" s="0"/>
      <c r="GJY123" s="0"/>
      <c r="GJZ123" s="0"/>
      <c r="GKA123" s="0"/>
      <c r="GKB123" s="0"/>
      <c r="GKC123" s="0"/>
      <c r="GKD123" s="0"/>
      <c r="GKE123" s="0"/>
      <c r="GKF123" s="0"/>
      <c r="GKG123" s="0"/>
      <c r="GKH123" s="0"/>
      <c r="GKI123" s="0"/>
      <c r="GKJ123" s="0"/>
      <c r="GKK123" s="0"/>
      <c r="GKL123" s="0"/>
      <c r="GKM123" s="0"/>
      <c r="GKN123" s="0"/>
      <c r="GKO123" s="0"/>
      <c r="GKP123" s="0"/>
      <c r="GKQ123" s="0"/>
      <c r="GKR123" s="0"/>
      <c r="GKS123" s="0"/>
      <c r="GKT123" s="0"/>
      <c r="GKU123" s="0"/>
      <c r="GKV123" s="0"/>
      <c r="GKW123" s="0"/>
      <c r="GKX123" s="0"/>
      <c r="GKY123" s="0"/>
      <c r="GKZ123" s="0"/>
      <c r="GLA123" s="0"/>
      <c r="GLB123" s="0"/>
      <c r="GLC123" s="0"/>
      <c r="GLD123" s="0"/>
      <c r="GLE123" s="0"/>
      <c r="GLF123" s="0"/>
      <c r="GLG123" s="0"/>
      <c r="GLH123" s="0"/>
      <c r="GLI123" s="0"/>
      <c r="GLJ123" s="0"/>
      <c r="GLK123" s="0"/>
      <c r="GLL123" s="0"/>
      <c r="GLM123" s="0"/>
      <c r="GLN123" s="0"/>
      <c r="GLO123" s="0"/>
      <c r="GLP123" s="0"/>
      <c r="GLQ123" s="0"/>
      <c r="GLR123" s="0"/>
      <c r="GLS123" s="0"/>
      <c r="GLT123" s="0"/>
      <c r="GLU123" s="0"/>
      <c r="GLV123" s="0"/>
      <c r="GLW123" s="0"/>
      <c r="GLX123" s="0"/>
      <c r="GLY123" s="0"/>
      <c r="GLZ123" s="0"/>
      <c r="GMA123" s="0"/>
      <c r="GMB123" s="0"/>
      <c r="GMC123" s="0"/>
      <c r="GMD123" s="0"/>
      <c r="GME123" s="0"/>
      <c r="GMF123" s="0"/>
      <c r="GMG123" s="0"/>
      <c r="GMH123" s="0"/>
      <c r="GMI123" s="0"/>
      <c r="GMJ123" s="0"/>
      <c r="GMK123" s="0"/>
      <c r="GML123" s="0"/>
      <c r="GMM123" s="0"/>
      <c r="GMN123" s="0"/>
      <c r="GMO123" s="0"/>
      <c r="GMP123" s="0"/>
      <c r="GMQ123" s="0"/>
      <c r="GMR123" s="0"/>
      <c r="GMS123" s="0"/>
      <c r="GMT123" s="0"/>
      <c r="GMU123" s="0"/>
      <c r="GMV123" s="0"/>
      <c r="GMW123" s="0"/>
      <c r="GMX123" s="0"/>
      <c r="GMY123" s="0"/>
      <c r="GMZ123" s="0"/>
      <c r="GNA123" s="0"/>
      <c r="GNB123" s="0"/>
      <c r="GNC123" s="0"/>
      <c r="GND123" s="0"/>
      <c r="GNE123" s="0"/>
      <c r="GNF123" s="0"/>
      <c r="GNG123" s="0"/>
      <c r="GNH123" s="0"/>
      <c r="GNI123" s="0"/>
      <c r="GNJ123" s="0"/>
      <c r="GNK123" s="0"/>
      <c r="GNL123" s="0"/>
      <c r="GNM123" s="0"/>
      <c r="GNN123" s="0"/>
      <c r="GNO123" s="0"/>
      <c r="GNP123" s="0"/>
      <c r="GNQ123" s="0"/>
      <c r="GNR123" s="0"/>
      <c r="GNS123" s="0"/>
      <c r="GNT123" s="0"/>
      <c r="GNU123" s="0"/>
      <c r="GNV123" s="0"/>
      <c r="GNW123" s="0"/>
      <c r="GNX123" s="0"/>
      <c r="GNY123" s="0"/>
      <c r="GNZ123" s="0"/>
      <c r="GOA123" s="0"/>
      <c r="GOB123" s="0"/>
      <c r="GOC123" s="0"/>
      <c r="GOD123" s="0"/>
      <c r="GOE123" s="0"/>
      <c r="GOF123" s="0"/>
      <c r="GOG123" s="0"/>
      <c r="GOH123" s="0"/>
      <c r="GOI123" s="0"/>
      <c r="GOJ123" s="0"/>
      <c r="GOK123" s="0"/>
      <c r="GOL123" s="0"/>
      <c r="GOM123" s="0"/>
      <c r="GON123" s="0"/>
      <c r="GOO123" s="0"/>
      <c r="GOP123" s="0"/>
      <c r="GOQ123" s="0"/>
      <c r="GOR123" s="0"/>
      <c r="GOS123" s="0"/>
      <c r="GOT123" s="0"/>
      <c r="GOU123" s="0"/>
      <c r="GOV123" s="0"/>
      <c r="GOW123" s="0"/>
      <c r="GOX123" s="0"/>
      <c r="GOY123" s="0"/>
      <c r="GOZ123" s="0"/>
      <c r="GPA123" s="0"/>
      <c r="GPB123" s="0"/>
      <c r="GPC123" s="0"/>
      <c r="GPD123" s="0"/>
      <c r="GPE123" s="0"/>
      <c r="GPF123" s="0"/>
      <c r="GPG123" s="0"/>
      <c r="GPH123" s="0"/>
      <c r="GPI123" s="0"/>
      <c r="GPJ123" s="0"/>
      <c r="GPK123" s="0"/>
      <c r="GPL123" s="0"/>
      <c r="GPM123" s="0"/>
      <c r="GPN123" s="0"/>
      <c r="GPO123" s="0"/>
      <c r="GPP123" s="0"/>
      <c r="GPQ123" s="0"/>
      <c r="GPR123" s="0"/>
      <c r="GPS123" s="0"/>
      <c r="GPT123" s="0"/>
      <c r="GPU123" s="0"/>
      <c r="GPV123" s="0"/>
      <c r="GPW123" s="0"/>
      <c r="GPX123" s="0"/>
      <c r="GPY123" s="0"/>
      <c r="GPZ123" s="0"/>
      <c r="GQA123" s="0"/>
      <c r="GQB123" s="0"/>
      <c r="GQC123" s="0"/>
      <c r="GQD123" s="0"/>
      <c r="GQE123" s="0"/>
      <c r="GQF123" s="0"/>
      <c r="GQG123" s="0"/>
      <c r="GQH123" s="0"/>
      <c r="GQI123" s="0"/>
      <c r="GQJ123" s="0"/>
      <c r="GQK123" s="0"/>
      <c r="GQL123" s="0"/>
      <c r="GQM123" s="0"/>
      <c r="GQN123" s="0"/>
      <c r="GQO123" s="0"/>
      <c r="GQP123" s="0"/>
      <c r="GQQ123" s="0"/>
      <c r="GQR123" s="0"/>
      <c r="GQS123" s="0"/>
      <c r="GQT123" s="0"/>
      <c r="GQU123" s="0"/>
      <c r="GQV123" s="0"/>
      <c r="GQW123" s="0"/>
      <c r="GQX123" s="0"/>
      <c r="GQY123" s="0"/>
      <c r="GQZ123" s="0"/>
      <c r="GRA123" s="0"/>
      <c r="GRB123" s="0"/>
      <c r="GRC123" s="0"/>
      <c r="GRD123" s="0"/>
      <c r="GRE123" s="0"/>
      <c r="GRF123" s="0"/>
      <c r="GRG123" s="0"/>
      <c r="GRH123" s="0"/>
      <c r="GRI123" s="0"/>
      <c r="GRJ123" s="0"/>
      <c r="GRK123" s="0"/>
      <c r="GRL123" s="0"/>
      <c r="GRM123" s="0"/>
      <c r="GRN123" s="0"/>
      <c r="GRO123" s="0"/>
      <c r="GRP123" s="0"/>
      <c r="GRQ123" s="0"/>
      <c r="GRR123" s="0"/>
      <c r="GRS123" s="0"/>
      <c r="GRT123" s="0"/>
      <c r="GRU123" s="0"/>
      <c r="GRV123" s="0"/>
      <c r="GRW123" s="0"/>
      <c r="GRX123" s="0"/>
      <c r="GRY123" s="0"/>
      <c r="GRZ123" s="0"/>
      <c r="GSA123" s="0"/>
      <c r="GSB123" s="0"/>
      <c r="GSC123" s="0"/>
      <c r="GSD123" s="0"/>
      <c r="GSE123" s="0"/>
      <c r="GSF123" s="0"/>
      <c r="GSG123" s="0"/>
      <c r="GSH123" s="0"/>
      <c r="GSI123" s="0"/>
      <c r="GSJ123" s="0"/>
      <c r="GSK123" s="0"/>
      <c r="GSL123" s="0"/>
      <c r="GSM123" s="0"/>
      <c r="GSN123" s="0"/>
      <c r="GSO123" s="0"/>
      <c r="GSP123" s="0"/>
      <c r="GSQ123" s="0"/>
      <c r="GSR123" s="0"/>
      <c r="GSS123" s="0"/>
      <c r="GST123" s="0"/>
      <c r="GSU123" s="0"/>
      <c r="GSV123" s="0"/>
      <c r="GSW123" s="0"/>
      <c r="GSX123" s="0"/>
      <c r="GSY123" s="0"/>
      <c r="GSZ123" s="0"/>
      <c r="GTA123" s="0"/>
      <c r="GTB123" s="0"/>
      <c r="GTC123" s="0"/>
      <c r="GTD123" s="0"/>
      <c r="GTE123" s="0"/>
      <c r="GTF123" s="0"/>
      <c r="GTG123" s="0"/>
      <c r="GTH123" s="0"/>
      <c r="GTI123" s="0"/>
      <c r="GTJ123" s="0"/>
      <c r="GTK123" s="0"/>
      <c r="GTL123" s="0"/>
      <c r="GTM123" s="0"/>
      <c r="GTN123" s="0"/>
      <c r="GTO123" s="0"/>
      <c r="GTP123" s="0"/>
      <c r="GTQ123" s="0"/>
      <c r="GTR123" s="0"/>
      <c r="GTS123" s="0"/>
      <c r="GTT123" s="0"/>
      <c r="GTU123" s="0"/>
      <c r="GTV123" s="0"/>
      <c r="GTW123" s="0"/>
      <c r="GTX123" s="0"/>
      <c r="GTY123" s="0"/>
      <c r="GTZ123" s="0"/>
      <c r="GUA123" s="0"/>
      <c r="GUB123" s="0"/>
      <c r="GUC123" s="0"/>
      <c r="GUD123" s="0"/>
      <c r="GUE123" s="0"/>
      <c r="GUF123" s="0"/>
      <c r="GUG123" s="0"/>
      <c r="GUH123" s="0"/>
      <c r="GUI123" s="0"/>
      <c r="GUJ123" s="0"/>
      <c r="GUK123" s="0"/>
      <c r="GUL123" s="0"/>
      <c r="GUM123" s="0"/>
      <c r="GUN123" s="0"/>
      <c r="GUO123" s="0"/>
      <c r="GUP123" s="0"/>
      <c r="GUQ123" s="0"/>
      <c r="GUR123" s="0"/>
      <c r="GUS123" s="0"/>
      <c r="GUT123" s="0"/>
      <c r="GUU123" s="0"/>
      <c r="GUV123" s="0"/>
      <c r="GUW123" s="0"/>
      <c r="GUX123" s="0"/>
      <c r="GUY123" s="0"/>
      <c r="GUZ123" s="0"/>
      <c r="GVA123" s="0"/>
      <c r="GVB123" s="0"/>
      <c r="GVC123" s="0"/>
      <c r="GVD123" s="0"/>
      <c r="GVE123" s="0"/>
      <c r="GVF123" s="0"/>
      <c r="GVG123" s="0"/>
      <c r="GVH123" s="0"/>
      <c r="GVI123" s="0"/>
      <c r="GVJ123" s="0"/>
      <c r="GVK123" s="0"/>
      <c r="GVL123" s="0"/>
      <c r="GVM123" s="0"/>
      <c r="GVN123" s="0"/>
      <c r="GVO123" s="0"/>
      <c r="GVP123" s="0"/>
      <c r="GVQ123" s="0"/>
      <c r="GVR123" s="0"/>
      <c r="GVS123" s="0"/>
      <c r="GVT123" s="0"/>
      <c r="GVU123" s="0"/>
      <c r="GVV123" s="0"/>
      <c r="GVW123" s="0"/>
      <c r="GVX123" s="0"/>
      <c r="GVY123" s="0"/>
      <c r="GVZ123" s="0"/>
      <c r="GWA123" s="0"/>
      <c r="GWB123" s="0"/>
      <c r="GWC123" s="0"/>
      <c r="GWD123" s="0"/>
      <c r="GWE123" s="0"/>
      <c r="GWF123" s="0"/>
      <c r="GWG123" s="0"/>
      <c r="GWH123" s="0"/>
      <c r="GWI123" s="0"/>
      <c r="GWJ123" s="0"/>
      <c r="GWK123" s="0"/>
      <c r="GWL123" s="0"/>
      <c r="GWM123" s="0"/>
      <c r="GWN123" s="0"/>
      <c r="GWO123" s="0"/>
      <c r="GWP123" s="0"/>
      <c r="GWQ123" s="0"/>
      <c r="GWR123" s="0"/>
      <c r="GWS123" s="0"/>
      <c r="GWT123" s="0"/>
      <c r="GWU123" s="0"/>
      <c r="GWV123" s="0"/>
      <c r="GWW123" s="0"/>
      <c r="GWX123" s="0"/>
      <c r="GWY123" s="0"/>
      <c r="GWZ123" s="0"/>
      <c r="GXA123" s="0"/>
      <c r="GXB123" s="0"/>
      <c r="GXC123" s="0"/>
      <c r="GXD123" s="0"/>
      <c r="GXE123" s="0"/>
      <c r="GXF123" s="0"/>
      <c r="GXG123" s="0"/>
      <c r="GXH123" s="0"/>
      <c r="GXI123" s="0"/>
      <c r="GXJ123" s="0"/>
      <c r="GXK123" s="0"/>
      <c r="GXL123" s="0"/>
      <c r="GXM123" s="0"/>
      <c r="GXN123" s="0"/>
      <c r="GXO123" s="0"/>
      <c r="GXP123" s="0"/>
      <c r="GXQ123" s="0"/>
      <c r="GXR123" s="0"/>
      <c r="GXS123" s="0"/>
      <c r="GXT123" s="0"/>
      <c r="GXU123" s="0"/>
      <c r="GXV123" s="0"/>
      <c r="GXW123" s="0"/>
      <c r="GXX123" s="0"/>
      <c r="GXY123" s="0"/>
      <c r="GXZ123" s="0"/>
      <c r="GYA123" s="0"/>
      <c r="GYB123" s="0"/>
      <c r="GYC123" s="0"/>
      <c r="GYD123" s="0"/>
      <c r="GYE123" s="0"/>
      <c r="GYF123" s="0"/>
      <c r="GYG123" s="0"/>
      <c r="GYH123" s="0"/>
      <c r="GYI123" s="0"/>
      <c r="GYJ123" s="0"/>
      <c r="GYK123" s="0"/>
      <c r="GYL123" s="0"/>
      <c r="GYM123" s="0"/>
      <c r="GYN123" s="0"/>
      <c r="GYO123" s="0"/>
      <c r="GYP123" s="0"/>
      <c r="GYQ123" s="0"/>
      <c r="GYR123" s="0"/>
      <c r="GYS123" s="0"/>
      <c r="GYT123" s="0"/>
      <c r="GYU123" s="0"/>
      <c r="GYV123" s="0"/>
      <c r="GYW123" s="0"/>
      <c r="GYX123" s="0"/>
      <c r="GYY123" s="0"/>
      <c r="GYZ123" s="0"/>
      <c r="GZA123" s="0"/>
      <c r="GZB123" s="0"/>
      <c r="GZC123" s="0"/>
      <c r="GZD123" s="0"/>
      <c r="GZE123" s="0"/>
      <c r="GZF123" s="0"/>
      <c r="GZG123" s="0"/>
      <c r="GZH123" s="0"/>
      <c r="GZI123" s="0"/>
      <c r="GZJ123" s="0"/>
      <c r="GZK123" s="0"/>
      <c r="GZL123" s="0"/>
      <c r="GZM123" s="0"/>
      <c r="GZN123" s="0"/>
      <c r="GZO123" s="0"/>
      <c r="GZP123" s="0"/>
      <c r="GZQ123" s="0"/>
      <c r="GZR123" s="0"/>
      <c r="GZS123" s="0"/>
      <c r="GZT123" s="0"/>
      <c r="GZU123" s="0"/>
      <c r="GZV123" s="0"/>
      <c r="GZW123" s="0"/>
      <c r="GZX123" s="0"/>
      <c r="GZY123" s="0"/>
      <c r="GZZ123" s="0"/>
      <c r="HAA123" s="0"/>
      <c r="HAB123" s="0"/>
      <c r="HAC123" s="0"/>
      <c r="HAD123" s="0"/>
      <c r="HAE123" s="0"/>
      <c r="HAF123" s="0"/>
      <c r="HAG123" s="0"/>
      <c r="HAH123" s="0"/>
      <c r="HAI123" s="0"/>
      <c r="HAJ123" s="0"/>
      <c r="HAK123" s="0"/>
      <c r="HAL123" s="0"/>
      <c r="HAM123" s="0"/>
      <c r="HAN123" s="0"/>
      <c r="HAO123" s="0"/>
      <c r="HAP123" s="0"/>
      <c r="HAQ123" s="0"/>
      <c r="HAR123" s="0"/>
      <c r="HAS123" s="0"/>
      <c r="HAT123" s="0"/>
      <c r="HAU123" s="0"/>
      <c r="HAV123" s="0"/>
      <c r="HAW123" s="0"/>
      <c r="HAX123" s="0"/>
      <c r="HAY123" s="0"/>
      <c r="HAZ123" s="0"/>
      <c r="HBA123" s="0"/>
      <c r="HBB123" s="0"/>
      <c r="HBC123" s="0"/>
      <c r="HBD123" s="0"/>
      <c r="HBE123" s="0"/>
      <c r="HBF123" s="0"/>
      <c r="HBG123" s="0"/>
      <c r="HBH123" s="0"/>
      <c r="HBI123" s="0"/>
      <c r="HBJ123" s="0"/>
      <c r="HBK123" s="0"/>
      <c r="HBL123" s="0"/>
      <c r="HBM123" s="0"/>
      <c r="HBN123" s="0"/>
      <c r="HBO123" s="0"/>
      <c r="HBP123" s="0"/>
      <c r="HBQ123" s="0"/>
      <c r="HBR123" s="0"/>
      <c r="HBS123" s="0"/>
      <c r="HBT123" s="0"/>
      <c r="HBU123" s="0"/>
      <c r="HBV123" s="0"/>
      <c r="HBW123" s="0"/>
      <c r="HBX123" s="0"/>
      <c r="HBY123" s="0"/>
      <c r="HBZ123" s="0"/>
      <c r="HCA123" s="0"/>
      <c r="HCB123" s="0"/>
      <c r="HCC123" s="0"/>
      <c r="HCD123" s="0"/>
      <c r="HCE123" s="0"/>
      <c r="HCF123" s="0"/>
      <c r="HCG123" s="0"/>
      <c r="HCH123" s="0"/>
      <c r="HCI123" s="0"/>
      <c r="HCJ123" s="0"/>
      <c r="HCK123" s="0"/>
      <c r="HCL123" s="0"/>
      <c r="HCM123" s="0"/>
      <c r="HCN123" s="0"/>
      <c r="HCO123" s="0"/>
      <c r="HCP123" s="0"/>
      <c r="HCQ123" s="0"/>
      <c r="HCR123" s="0"/>
      <c r="HCS123" s="0"/>
      <c r="HCT123" s="0"/>
      <c r="HCU123" s="0"/>
      <c r="HCV123" s="0"/>
      <c r="HCW123" s="0"/>
      <c r="HCX123" s="0"/>
      <c r="HCY123" s="0"/>
      <c r="HCZ123" s="0"/>
      <c r="HDA123" s="0"/>
      <c r="HDB123" s="0"/>
      <c r="HDC123" s="0"/>
      <c r="HDD123" s="0"/>
      <c r="HDE123" s="0"/>
      <c r="HDF123" s="0"/>
      <c r="HDG123" s="0"/>
      <c r="HDH123" s="0"/>
      <c r="HDI123" s="0"/>
      <c r="HDJ123" s="0"/>
      <c r="HDK123" s="0"/>
      <c r="HDL123" s="0"/>
      <c r="HDM123" s="0"/>
      <c r="HDN123" s="0"/>
      <c r="HDO123" s="0"/>
      <c r="HDP123" s="0"/>
      <c r="HDQ123" s="0"/>
      <c r="HDR123" s="0"/>
      <c r="HDS123" s="0"/>
      <c r="HDT123" s="0"/>
      <c r="HDU123" s="0"/>
      <c r="HDV123" s="0"/>
      <c r="HDW123" s="0"/>
      <c r="HDX123" s="0"/>
      <c r="HDY123" s="0"/>
      <c r="HDZ123" s="0"/>
      <c r="HEA123" s="0"/>
      <c r="HEB123" s="0"/>
      <c r="HEC123" s="0"/>
      <c r="HED123" s="0"/>
      <c r="HEE123" s="0"/>
      <c r="HEF123" s="0"/>
      <c r="HEG123" s="0"/>
      <c r="HEH123" s="0"/>
      <c r="HEI123" s="0"/>
      <c r="HEJ123" s="0"/>
      <c r="HEK123" s="0"/>
      <c r="HEL123" s="0"/>
      <c r="HEM123" s="0"/>
      <c r="HEN123" s="0"/>
      <c r="HEO123" s="0"/>
      <c r="HEP123" s="0"/>
      <c r="HEQ123" s="0"/>
      <c r="HER123" s="0"/>
      <c r="HES123" s="0"/>
      <c r="HET123" s="0"/>
      <c r="HEU123" s="0"/>
      <c r="HEV123" s="0"/>
      <c r="HEW123" s="0"/>
      <c r="HEX123" s="0"/>
      <c r="HEY123" s="0"/>
      <c r="HEZ123" s="0"/>
      <c r="HFA123" s="0"/>
      <c r="HFB123" s="0"/>
      <c r="HFC123" s="0"/>
      <c r="HFD123" s="0"/>
      <c r="HFE123" s="0"/>
      <c r="HFF123" s="0"/>
      <c r="HFG123" s="0"/>
      <c r="HFH123" s="0"/>
      <c r="HFI123" s="0"/>
      <c r="HFJ123" s="0"/>
      <c r="HFK123" s="0"/>
      <c r="HFL123" s="0"/>
      <c r="HFM123" s="0"/>
      <c r="HFN123" s="0"/>
      <c r="HFO123" s="0"/>
      <c r="HFP123" s="0"/>
      <c r="HFQ123" s="0"/>
      <c r="HFR123" s="0"/>
      <c r="HFS123" s="0"/>
      <c r="HFT123" s="0"/>
      <c r="HFU123" s="0"/>
      <c r="HFV123" s="0"/>
      <c r="HFW123" s="0"/>
      <c r="HFX123" s="0"/>
      <c r="HFY123" s="0"/>
      <c r="HFZ123" s="0"/>
      <c r="HGA123" s="0"/>
      <c r="HGB123" s="0"/>
      <c r="HGC123" s="0"/>
      <c r="HGD123" s="0"/>
      <c r="HGE123" s="0"/>
      <c r="HGF123" s="0"/>
      <c r="HGG123" s="0"/>
      <c r="HGH123" s="0"/>
      <c r="HGI123" s="0"/>
      <c r="HGJ123" s="0"/>
      <c r="HGK123" s="0"/>
      <c r="HGL123" s="0"/>
      <c r="HGM123" s="0"/>
      <c r="HGN123" s="0"/>
      <c r="HGO123" s="0"/>
      <c r="HGP123" s="0"/>
      <c r="HGQ123" s="0"/>
      <c r="HGR123" s="0"/>
      <c r="HGS123" s="0"/>
      <c r="HGT123" s="0"/>
      <c r="HGU123" s="0"/>
      <c r="HGV123" s="0"/>
      <c r="HGW123" s="0"/>
      <c r="HGX123" s="0"/>
      <c r="HGY123" s="0"/>
      <c r="HGZ123" s="0"/>
      <c r="HHA123" s="0"/>
      <c r="HHB123" s="0"/>
      <c r="HHC123" s="0"/>
      <c r="HHD123" s="0"/>
      <c r="HHE123" s="0"/>
      <c r="HHF123" s="0"/>
      <c r="HHG123" s="0"/>
      <c r="HHH123" s="0"/>
      <c r="HHI123" s="0"/>
      <c r="HHJ123" s="0"/>
      <c r="HHK123" s="0"/>
      <c r="HHL123" s="0"/>
      <c r="HHM123" s="0"/>
      <c r="HHN123" s="0"/>
      <c r="HHO123" s="0"/>
      <c r="HHP123" s="0"/>
      <c r="HHQ123" s="0"/>
      <c r="HHR123" s="0"/>
      <c r="HHS123" s="0"/>
      <c r="HHT123" s="0"/>
      <c r="HHU123" s="0"/>
      <c r="HHV123" s="0"/>
      <c r="HHW123" s="0"/>
      <c r="HHX123" s="0"/>
      <c r="HHY123" s="0"/>
      <c r="HHZ123" s="0"/>
      <c r="HIA123" s="0"/>
      <c r="HIB123" s="0"/>
      <c r="HIC123" s="0"/>
      <c r="HID123" s="0"/>
      <c r="HIE123" s="0"/>
      <c r="HIF123" s="0"/>
      <c r="HIG123" s="0"/>
      <c r="HIH123" s="0"/>
      <c r="HII123" s="0"/>
      <c r="HIJ123" s="0"/>
      <c r="HIK123" s="0"/>
      <c r="HIL123" s="0"/>
      <c r="HIM123" s="0"/>
      <c r="HIN123" s="0"/>
      <c r="HIO123" s="0"/>
      <c r="HIP123" s="0"/>
      <c r="HIQ123" s="0"/>
      <c r="HIR123" s="0"/>
      <c r="HIS123" s="0"/>
      <c r="HIT123" s="0"/>
      <c r="HIU123" s="0"/>
      <c r="HIV123" s="0"/>
      <c r="HIW123" s="0"/>
      <c r="HIX123" s="0"/>
      <c r="HIY123" s="0"/>
      <c r="HIZ123" s="0"/>
      <c r="HJA123" s="0"/>
      <c r="HJB123" s="0"/>
      <c r="HJC123" s="0"/>
      <c r="HJD123" s="0"/>
      <c r="HJE123" s="0"/>
      <c r="HJF123" s="0"/>
      <c r="HJG123" s="0"/>
      <c r="HJH123" s="0"/>
      <c r="HJI123" s="0"/>
      <c r="HJJ123" s="0"/>
      <c r="HJK123" s="0"/>
      <c r="HJL123" s="0"/>
      <c r="HJM123" s="0"/>
      <c r="HJN123" s="0"/>
      <c r="HJO123" s="0"/>
      <c r="HJP123" s="0"/>
      <c r="HJQ123" s="0"/>
      <c r="HJR123" s="0"/>
      <c r="HJS123" s="0"/>
      <c r="HJT123" s="0"/>
      <c r="HJU123" s="0"/>
      <c r="HJV123" s="0"/>
      <c r="HJW123" s="0"/>
      <c r="HJX123" s="0"/>
      <c r="HJY123" s="0"/>
      <c r="HJZ123" s="0"/>
      <c r="HKA123" s="0"/>
      <c r="HKB123" s="0"/>
      <c r="HKC123" s="0"/>
      <c r="HKD123" s="0"/>
      <c r="HKE123" s="0"/>
      <c r="HKF123" s="0"/>
      <c r="HKG123" s="0"/>
      <c r="HKH123" s="0"/>
      <c r="HKI123" s="0"/>
      <c r="HKJ123" s="0"/>
      <c r="HKK123" s="0"/>
      <c r="HKL123" s="0"/>
      <c r="HKM123" s="0"/>
      <c r="HKN123" s="0"/>
      <c r="HKO123" s="0"/>
      <c r="HKP123" s="0"/>
      <c r="HKQ123" s="0"/>
      <c r="HKR123" s="0"/>
      <c r="HKS123" s="0"/>
      <c r="HKT123" s="0"/>
      <c r="HKU123" s="0"/>
      <c r="HKV123" s="0"/>
      <c r="HKW123" s="0"/>
      <c r="HKX123" s="0"/>
      <c r="HKY123" s="0"/>
      <c r="HKZ123" s="0"/>
      <c r="HLA123" s="0"/>
      <c r="HLB123" s="0"/>
      <c r="HLC123" s="0"/>
      <c r="HLD123" s="0"/>
      <c r="HLE123" s="0"/>
      <c r="HLF123" s="0"/>
      <c r="HLG123" s="0"/>
      <c r="HLH123" s="0"/>
      <c r="HLI123" s="0"/>
      <c r="HLJ123" s="0"/>
      <c r="HLK123" s="0"/>
      <c r="HLL123" s="0"/>
      <c r="HLM123" s="0"/>
      <c r="HLN123" s="0"/>
      <c r="HLO123" s="0"/>
      <c r="HLP123" s="0"/>
      <c r="HLQ123" s="0"/>
      <c r="HLR123" s="0"/>
      <c r="HLS123" s="0"/>
      <c r="HLT123" s="0"/>
      <c r="HLU123" s="0"/>
      <c r="HLV123" s="0"/>
      <c r="HLW123" s="0"/>
      <c r="HLX123" s="0"/>
      <c r="HLY123" s="0"/>
      <c r="HLZ123" s="0"/>
      <c r="HMA123" s="0"/>
      <c r="HMB123" s="0"/>
      <c r="HMC123" s="0"/>
      <c r="HMD123" s="0"/>
      <c r="HME123" s="0"/>
      <c r="HMF123" s="0"/>
      <c r="HMG123" s="0"/>
      <c r="HMH123" s="0"/>
      <c r="HMI123" s="0"/>
      <c r="HMJ123" s="0"/>
      <c r="HMK123" s="0"/>
      <c r="HML123" s="0"/>
      <c r="HMM123" s="0"/>
      <c r="HMN123" s="0"/>
      <c r="HMO123" s="0"/>
      <c r="HMP123" s="0"/>
      <c r="HMQ123" s="0"/>
      <c r="HMR123" s="0"/>
      <c r="HMS123" s="0"/>
      <c r="HMT123" s="0"/>
      <c r="HMU123" s="0"/>
      <c r="HMV123" s="0"/>
      <c r="HMW123" s="0"/>
      <c r="HMX123" s="0"/>
      <c r="HMY123" s="0"/>
      <c r="HMZ123" s="0"/>
      <c r="HNA123" s="0"/>
      <c r="HNB123" s="0"/>
      <c r="HNC123" s="0"/>
      <c r="HND123" s="0"/>
      <c r="HNE123" s="0"/>
      <c r="HNF123" s="0"/>
      <c r="HNG123" s="0"/>
      <c r="HNH123" s="0"/>
      <c r="HNI123" s="0"/>
      <c r="HNJ123" s="0"/>
      <c r="HNK123" s="0"/>
      <c r="HNL123" s="0"/>
      <c r="HNM123" s="0"/>
      <c r="HNN123" s="0"/>
      <c r="HNO123" s="0"/>
      <c r="HNP123" s="0"/>
      <c r="HNQ123" s="0"/>
      <c r="HNR123" s="0"/>
      <c r="HNS123" s="0"/>
      <c r="HNT123" s="0"/>
      <c r="HNU123" s="0"/>
      <c r="HNV123" s="0"/>
      <c r="HNW123" s="0"/>
      <c r="HNX123" s="0"/>
      <c r="HNY123" s="0"/>
      <c r="HNZ123" s="0"/>
      <c r="HOA123" s="0"/>
      <c r="HOB123" s="0"/>
      <c r="HOC123" s="0"/>
      <c r="HOD123" s="0"/>
      <c r="HOE123" s="0"/>
      <c r="HOF123" s="0"/>
      <c r="HOG123" s="0"/>
      <c r="HOH123" s="0"/>
      <c r="HOI123" s="0"/>
      <c r="HOJ123" s="0"/>
      <c r="HOK123" s="0"/>
      <c r="HOL123" s="0"/>
      <c r="HOM123" s="0"/>
      <c r="HON123" s="0"/>
      <c r="HOO123" s="0"/>
      <c r="HOP123" s="0"/>
      <c r="HOQ123" s="0"/>
      <c r="HOR123" s="0"/>
      <c r="HOS123" s="0"/>
      <c r="HOT123" s="0"/>
      <c r="HOU123" s="0"/>
      <c r="HOV123" s="0"/>
      <c r="HOW123" s="0"/>
      <c r="HOX123" s="0"/>
      <c r="HOY123" s="0"/>
      <c r="HOZ123" s="0"/>
      <c r="HPA123" s="0"/>
      <c r="HPB123" s="0"/>
      <c r="HPC123" s="0"/>
      <c r="HPD123" s="0"/>
      <c r="HPE123" s="0"/>
      <c r="HPF123" s="0"/>
      <c r="HPG123" s="0"/>
      <c r="HPH123" s="0"/>
      <c r="HPI123" s="0"/>
      <c r="HPJ123" s="0"/>
      <c r="HPK123" s="0"/>
      <c r="HPL123" s="0"/>
      <c r="HPM123" s="0"/>
      <c r="HPN123" s="0"/>
      <c r="HPO123" s="0"/>
      <c r="HPP123" s="0"/>
      <c r="HPQ123" s="0"/>
      <c r="HPR123" s="0"/>
      <c r="HPS123" s="0"/>
      <c r="HPT123" s="0"/>
      <c r="HPU123" s="0"/>
      <c r="HPV123" s="0"/>
      <c r="HPW123" s="0"/>
      <c r="HPX123" s="0"/>
      <c r="HPY123" s="0"/>
      <c r="HPZ123" s="0"/>
      <c r="HQA123" s="0"/>
      <c r="HQB123" s="0"/>
      <c r="HQC123" s="0"/>
      <c r="HQD123" s="0"/>
      <c r="HQE123" s="0"/>
      <c r="HQF123" s="0"/>
      <c r="HQG123" s="0"/>
      <c r="HQH123" s="0"/>
      <c r="HQI123" s="0"/>
      <c r="HQJ123" s="0"/>
      <c r="HQK123" s="0"/>
      <c r="HQL123" s="0"/>
      <c r="HQM123" s="0"/>
      <c r="HQN123" s="0"/>
      <c r="HQO123" s="0"/>
      <c r="HQP123" s="0"/>
      <c r="HQQ123" s="0"/>
      <c r="HQR123" s="0"/>
      <c r="HQS123" s="0"/>
      <c r="HQT123" s="0"/>
      <c r="HQU123" s="0"/>
      <c r="HQV123" s="0"/>
      <c r="HQW123" s="0"/>
      <c r="HQX123" s="0"/>
      <c r="HQY123" s="0"/>
      <c r="HQZ123" s="0"/>
      <c r="HRA123" s="0"/>
      <c r="HRB123" s="0"/>
      <c r="HRC123" s="0"/>
      <c r="HRD123" s="0"/>
      <c r="HRE123" s="0"/>
      <c r="HRF123" s="0"/>
      <c r="HRG123" s="0"/>
      <c r="HRH123" s="0"/>
      <c r="HRI123" s="0"/>
      <c r="HRJ123" s="0"/>
      <c r="HRK123" s="0"/>
      <c r="HRL123" s="0"/>
      <c r="HRM123" s="0"/>
      <c r="HRN123" s="0"/>
      <c r="HRO123" s="0"/>
      <c r="HRP123" s="0"/>
      <c r="HRQ123" s="0"/>
      <c r="HRR123" s="0"/>
      <c r="HRS123" s="0"/>
      <c r="HRT123" s="0"/>
      <c r="HRU123" s="0"/>
      <c r="HRV123" s="0"/>
      <c r="HRW123" s="0"/>
      <c r="HRX123" s="0"/>
      <c r="HRY123" s="0"/>
      <c r="HRZ123" s="0"/>
      <c r="HSA123" s="0"/>
      <c r="HSB123" s="0"/>
      <c r="HSC123" s="0"/>
      <c r="HSD123" s="0"/>
      <c r="HSE123" s="0"/>
      <c r="HSF123" s="0"/>
      <c r="HSG123" s="0"/>
      <c r="HSH123" s="0"/>
      <c r="HSI123" s="0"/>
      <c r="HSJ123" s="0"/>
      <c r="HSK123" s="0"/>
      <c r="HSL123" s="0"/>
      <c r="HSM123" s="0"/>
      <c r="HSN123" s="0"/>
      <c r="HSO123" s="0"/>
      <c r="HSP123" s="0"/>
      <c r="HSQ123" s="0"/>
      <c r="HSR123" s="0"/>
      <c r="HSS123" s="0"/>
      <c r="HST123" s="0"/>
      <c r="HSU123" s="0"/>
      <c r="HSV123" s="0"/>
      <c r="HSW123" s="0"/>
      <c r="HSX123" s="0"/>
      <c r="HSY123" s="0"/>
      <c r="HSZ123" s="0"/>
      <c r="HTA123" s="0"/>
      <c r="HTB123" s="0"/>
      <c r="HTC123" s="0"/>
      <c r="HTD123" s="0"/>
      <c r="HTE123" s="0"/>
      <c r="HTF123" s="0"/>
      <c r="HTG123" s="0"/>
      <c r="HTH123" s="0"/>
      <c r="HTI123" s="0"/>
      <c r="HTJ123" s="0"/>
      <c r="HTK123" s="0"/>
      <c r="HTL123" s="0"/>
      <c r="HTM123" s="0"/>
      <c r="HTN123" s="0"/>
      <c r="HTO123" s="0"/>
      <c r="HTP123" s="0"/>
      <c r="HTQ123" s="0"/>
      <c r="HTR123" s="0"/>
      <c r="HTS123" s="0"/>
      <c r="HTT123" s="0"/>
      <c r="HTU123" s="0"/>
      <c r="HTV123" s="0"/>
      <c r="HTW123" s="0"/>
      <c r="HTX123" s="0"/>
      <c r="HTY123" s="0"/>
      <c r="HTZ123" s="0"/>
      <c r="HUA123" s="0"/>
      <c r="HUB123" s="0"/>
      <c r="HUC123" s="0"/>
      <c r="HUD123" s="0"/>
      <c r="HUE123" s="0"/>
      <c r="HUF123" s="0"/>
      <c r="HUG123" s="0"/>
      <c r="HUH123" s="0"/>
      <c r="HUI123" s="0"/>
      <c r="HUJ123" s="0"/>
      <c r="HUK123" s="0"/>
      <c r="HUL123" s="0"/>
      <c r="HUM123" s="0"/>
      <c r="HUN123" s="0"/>
      <c r="HUO123" s="0"/>
      <c r="HUP123" s="0"/>
      <c r="HUQ123" s="0"/>
      <c r="HUR123" s="0"/>
      <c r="HUS123" s="0"/>
      <c r="HUT123" s="0"/>
      <c r="HUU123" s="0"/>
      <c r="HUV123" s="0"/>
      <c r="HUW123" s="0"/>
      <c r="HUX123" s="0"/>
      <c r="HUY123" s="0"/>
      <c r="HUZ123" s="0"/>
      <c r="HVA123" s="0"/>
      <c r="HVB123" s="0"/>
      <c r="HVC123" s="0"/>
      <c r="HVD123" s="0"/>
      <c r="HVE123" s="0"/>
      <c r="HVF123" s="0"/>
      <c r="HVG123" s="0"/>
      <c r="HVH123" s="0"/>
      <c r="HVI123" s="0"/>
      <c r="HVJ123" s="0"/>
      <c r="HVK123" s="0"/>
      <c r="HVL123" s="0"/>
      <c r="HVM123" s="0"/>
      <c r="HVN123" s="0"/>
      <c r="HVO123" s="0"/>
      <c r="HVP123" s="0"/>
      <c r="HVQ123" s="0"/>
      <c r="HVR123" s="0"/>
      <c r="HVS123" s="0"/>
      <c r="HVT123" s="0"/>
      <c r="HVU123" s="0"/>
      <c r="HVV123" s="0"/>
      <c r="HVW123" s="0"/>
      <c r="HVX123" s="0"/>
      <c r="HVY123" s="0"/>
      <c r="HVZ123" s="0"/>
      <c r="HWA123" s="0"/>
      <c r="HWB123" s="0"/>
      <c r="HWC123" s="0"/>
      <c r="HWD123" s="0"/>
      <c r="HWE123" s="0"/>
      <c r="HWF123" s="0"/>
      <c r="HWG123" s="0"/>
      <c r="HWH123" s="0"/>
      <c r="HWI123" s="0"/>
      <c r="HWJ123" s="0"/>
      <c r="HWK123" s="0"/>
      <c r="HWL123" s="0"/>
      <c r="HWM123" s="0"/>
      <c r="HWN123" s="0"/>
      <c r="HWO123" s="0"/>
      <c r="HWP123" s="0"/>
      <c r="HWQ123" s="0"/>
      <c r="HWR123" s="0"/>
      <c r="HWS123" s="0"/>
      <c r="HWT123" s="0"/>
      <c r="HWU123" s="0"/>
      <c r="HWV123" s="0"/>
      <c r="HWW123" s="0"/>
      <c r="HWX123" s="0"/>
      <c r="HWY123" s="0"/>
      <c r="HWZ123" s="0"/>
      <c r="HXA123" s="0"/>
      <c r="HXB123" s="0"/>
      <c r="HXC123" s="0"/>
      <c r="HXD123" s="0"/>
      <c r="HXE123" s="0"/>
      <c r="HXF123" s="0"/>
      <c r="HXG123" s="0"/>
      <c r="HXH123" s="0"/>
      <c r="HXI123" s="0"/>
      <c r="HXJ123" s="0"/>
      <c r="HXK123" s="0"/>
      <c r="HXL123" s="0"/>
      <c r="HXM123" s="0"/>
      <c r="HXN123" s="0"/>
      <c r="HXO123" s="0"/>
      <c r="HXP123" s="0"/>
      <c r="HXQ123" s="0"/>
      <c r="HXR123" s="0"/>
      <c r="HXS123" s="0"/>
      <c r="HXT123" s="0"/>
      <c r="HXU123" s="0"/>
      <c r="HXV123" s="0"/>
      <c r="HXW123" s="0"/>
      <c r="HXX123" s="0"/>
      <c r="HXY123" s="0"/>
      <c r="HXZ123" s="0"/>
      <c r="HYA123" s="0"/>
      <c r="HYB123" s="0"/>
      <c r="HYC123" s="0"/>
      <c r="HYD123" s="0"/>
      <c r="HYE123" s="0"/>
      <c r="HYF123" s="0"/>
      <c r="HYG123" s="0"/>
      <c r="HYH123" s="0"/>
      <c r="HYI123" s="0"/>
      <c r="HYJ123" s="0"/>
      <c r="HYK123" s="0"/>
      <c r="HYL123" s="0"/>
      <c r="HYM123" s="0"/>
      <c r="HYN123" s="0"/>
      <c r="HYO123" s="0"/>
      <c r="HYP123" s="0"/>
      <c r="HYQ123" s="0"/>
      <c r="HYR123" s="0"/>
      <c r="HYS123" s="0"/>
      <c r="HYT123" s="0"/>
      <c r="HYU123" s="0"/>
      <c r="HYV123" s="0"/>
      <c r="HYW123" s="0"/>
      <c r="HYX123" s="0"/>
      <c r="HYY123" s="0"/>
      <c r="HYZ123" s="0"/>
      <c r="HZA123" s="0"/>
      <c r="HZB123" s="0"/>
      <c r="HZC123" s="0"/>
      <c r="HZD123" s="0"/>
      <c r="HZE123" s="0"/>
      <c r="HZF123" s="0"/>
      <c r="HZG123" s="0"/>
      <c r="HZH123" s="0"/>
      <c r="HZI123" s="0"/>
      <c r="HZJ123" s="0"/>
      <c r="HZK123" s="0"/>
      <c r="HZL123" s="0"/>
      <c r="HZM123" s="0"/>
      <c r="HZN123" s="0"/>
      <c r="HZO123" s="0"/>
      <c r="HZP123" s="0"/>
      <c r="HZQ123" s="0"/>
      <c r="HZR123" s="0"/>
      <c r="HZS123" s="0"/>
      <c r="HZT123" s="0"/>
      <c r="HZU123" s="0"/>
      <c r="HZV123" s="0"/>
      <c r="HZW123" s="0"/>
      <c r="HZX123" s="0"/>
      <c r="HZY123" s="0"/>
      <c r="HZZ123" s="0"/>
      <c r="IAA123" s="0"/>
      <c r="IAB123" s="0"/>
      <c r="IAC123" s="0"/>
      <c r="IAD123" s="0"/>
      <c r="IAE123" s="0"/>
      <c r="IAF123" s="0"/>
      <c r="IAG123" s="0"/>
      <c r="IAH123" s="0"/>
      <c r="IAI123" s="0"/>
      <c r="IAJ123" s="0"/>
      <c r="IAK123" s="0"/>
      <c r="IAL123" s="0"/>
      <c r="IAM123" s="0"/>
      <c r="IAN123" s="0"/>
      <c r="IAO123" s="0"/>
      <c r="IAP123" s="0"/>
      <c r="IAQ123" s="0"/>
      <c r="IAR123" s="0"/>
      <c r="IAS123" s="0"/>
      <c r="IAT123" s="0"/>
      <c r="IAU123" s="0"/>
      <c r="IAV123" s="0"/>
      <c r="IAW123" s="0"/>
      <c r="IAX123" s="0"/>
      <c r="IAY123" s="0"/>
      <c r="IAZ123" s="0"/>
      <c r="IBA123" s="0"/>
      <c r="IBB123" s="0"/>
      <c r="IBC123" s="0"/>
      <c r="IBD123" s="0"/>
      <c r="IBE123" s="0"/>
      <c r="IBF123" s="0"/>
      <c r="IBG123" s="0"/>
      <c r="IBH123" s="0"/>
      <c r="IBI123" s="0"/>
      <c r="IBJ123" s="0"/>
      <c r="IBK123" s="0"/>
      <c r="IBL123" s="0"/>
      <c r="IBM123" s="0"/>
      <c r="IBN123" s="0"/>
      <c r="IBO123" s="0"/>
      <c r="IBP123" s="0"/>
      <c r="IBQ123" s="0"/>
      <c r="IBR123" s="0"/>
      <c r="IBS123" s="0"/>
      <c r="IBT123" s="0"/>
      <c r="IBU123" s="0"/>
      <c r="IBV123" s="0"/>
      <c r="IBW123" s="0"/>
      <c r="IBX123" s="0"/>
      <c r="IBY123" s="0"/>
      <c r="IBZ123" s="0"/>
      <c r="ICA123" s="0"/>
      <c r="ICB123" s="0"/>
      <c r="ICC123" s="0"/>
      <c r="ICD123" s="0"/>
      <c r="ICE123" s="0"/>
      <c r="ICF123" s="0"/>
      <c r="ICG123" s="0"/>
      <c r="ICH123" s="0"/>
      <c r="ICI123" s="0"/>
      <c r="ICJ123" s="0"/>
      <c r="ICK123" s="0"/>
      <c r="ICL123" s="0"/>
      <c r="ICM123" s="0"/>
      <c r="ICN123" s="0"/>
      <c r="ICO123" s="0"/>
      <c r="ICP123" s="0"/>
      <c r="ICQ123" s="0"/>
      <c r="ICR123" s="0"/>
      <c r="ICS123" s="0"/>
      <c r="ICT123" s="0"/>
      <c r="ICU123" s="0"/>
      <c r="ICV123" s="0"/>
      <c r="ICW123" s="0"/>
      <c r="ICX123" s="0"/>
      <c r="ICY123" s="0"/>
      <c r="ICZ123" s="0"/>
      <c r="IDA123" s="0"/>
      <c r="IDB123" s="0"/>
      <c r="IDC123" s="0"/>
      <c r="IDD123" s="0"/>
      <c r="IDE123" s="0"/>
      <c r="IDF123" s="0"/>
      <c r="IDG123" s="0"/>
      <c r="IDH123" s="0"/>
      <c r="IDI123" s="0"/>
      <c r="IDJ123" s="0"/>
      <c r="IDK123" s="0"/>
      <c r="IDL123" s="0"/>
      <c r="IDM123" s="0"/>
      <c r="IDN123" s="0"/>
      <c r="IDO123" s="0"/>
      <c r="IDP123" s="0"/>
      <c r="IDQ123" s="0"/>
      <c r="IDR123" s="0"/>
      <c r="IDS123" s="0"/>
      <c r="IDT123" s="0"/>
      <c r="IDU123" s="0"/>
      <c r="IDV123" s="0"/>
      <c r="IDW123" s="0"/>
      <c r="IDX123" s="0"/>
      <c r="IDY123" s="0"/>
      <c r="IDZ123" s="0"/>
      <c r="IEA123" s="0"/>
      <c r="IEB123" s="0"/>
      <c r="IEC123" s="0"/>
      <c r="IED123" s="0"/>
      <c r="IEE123" s="0"/>
      <c r="IEF123" s="0"/>
      <c r="IEG123" s="0"/>
      <c r="IEH123" s="0"/>
      <c r="IEI123" s="0"/>
      <c r="IEJ123" s="0"/>
      <c r="IEK123" s="0"/>
      <c r="IEL123" s="0"/>
      <c r="IEM123" s="0"/>
      <c r="IEN123" s="0"/>
      <c r="IEO123" s="0"/>
      <c r="IEP123" s="0"/>
      <c r="IEQ123" s="0"/>
      <c r="IER123" s="0"/>
      <c r="IES123" s="0"/>
      <c r="IET123" s="0"/>
      <c r="IEU123" s="0"/>
      <c r="IEV123" s="0"/>
      <c r="IEW123" s="0"/>
      <c r="IEX123" s="0"/>
      <c r="IEY123" s="0"/>
      <c r="IEZ123" s="0"/>
      <c r="IFA123" s="0"/>
      <c r="IFB123" s="0"/>
      <c r="IFC123" s="0"/>
      <c r="IFD123" s="0"/>
      <c r="IFE123" s="0"/>
      <c r="IFF123" s="0"/>
      <c r="IFG123" s="0"/>
      <c r="IFH123" s="0"/>
      <c r="IFI123" s="0"/>
      <c r="IFJ123" s="0"/>
      <c r="IFK123" s="0"/>
      <c r="IFL123" s="0"/>
      <c r="IFM123" s="0"/>
      <c r="IFN123" s="0"/>
      <c r="IFO123" s="0"/>
      <c r="IFP123" s="0"/>
      <c r="IFQ123" s="0"/>
      <c r="IFR123" s="0"/>
      <c r="IFS123" s="0"/>
      <c r="IFT123" s="0"/>
      <c r="IFU123" s="0"/>
      <c r="IFV123" s="0"/>
      <c r="IFW123" s="0"/>
      <c r="IFX123" s="0"/>
      <c r="IFY123" s="0"/>
      <c r="IFZ123" s="0"/>
      <c r="IGA123" s="0"/>
      <c r="IGB123" s="0"/>
      <c r="IGC123" s="0"/>
      <c r="IGD123" s="0"/>
      <c r="IGE123" s="0"/>
      <c r="IGF123" s="0"/>
      <c r="IGG123" s="0"/>
      <c r="IGH123" s="0"/>
      <c r="IGI123" s="0"/>
      <c r="IGJ123" s="0"/>
      <c r="IGK123" s="0"/>
      <c r="IGL123" s="0"/>
      <c r="IGM123" s="0"/>
      <c r="IGN123" s="0"/>
      <c r="IGO123" s="0"/>
      <c r="IGP123" s="0"/>
      <c r="IGQ123" s="0"/>
      <c r="IGR123" s="0"/>
      <c r="IGS123" s="0"/>
      <c r="IGT123" s="0"/>
      <c r="IGU123" s="0"/>
      <c r="IGV123" s="0"/>
      <c r="IGW123" s="0"/>
      <c r="IGX123" s="0"/>
      <c r="IGY123" s="0"/>
      <c r="IGZ123" s="0"/>
      <c r="IHA123" s="0"/>
      <c r="IHB123" s="0"/>
      <c r="IHC123" s="0"/>
      <c r="IHD123" s="0"/>
      <c r="IHE123" s="0"/>
      <c r="IHF123" s="0"/>
      <c r="IHG123" s="0"/>
      <c r="IHH123" s="0"/>
      <c r="IHI123" s="0"/>
      <c r="IHJ123" s="0"/>
      <c r="IHK123" s="0"/>
      <c r="IHL123" s="0"/>
      <c r="IHM123" s="0"/>
      <c r="IHN123" s="0"/>
      <c r="IHO123" s="0"/>
      <c r="IHP123" s="0"/>
      <c r="IHQ123" s="0"/>
      <c r="IHR123" s="0"/>
      <c r="IHS123" s="0"/>
      <c r="IHT123" s="0"/>
      <c r="IHU123" s="0"/>
      <c r="IHV123" s="0"/>
      <c r="IHW123" s="0"/>
      <c r="IHX123" s="0"/>
      <c r="IHY123" s="0"/>
      <c r="IHZ123" s="0"/>
      <c r="IIA123" s="0"/>
      <c r="IIB123" s="0"/>
      <c r="IIC123" s="0"/>
      <c r="IID123" s="0"/>
      <c r="IIE123" s="0"/>
      <c r="IIF123" s="0"/>
      <c r="IIG123" s="0"/>
      <c r="IIH123" s="0"/>
      <c r="III123" s="0"/>
      <c r="IIJ123" s="0"/>
      <c r="IIK123" s="0"/>
      <c r="IIL123" s="0"/>
      <c r="IIM123" s="0"/>
      <c r="IIN123" s="0"/>
      <c r="IIO123" s="0"/>
      <c r="IIP123" s="0"/>
      <c r="IIQ123" s="0"/>
      <c r="IIR123" s="0"/>
      <c r="IIS123" s="0"/>
      <c r="IIT123" s="0"/>
      <c r="IIU123" s="0"/>
      <c r="IIV123" s="0"/>
      <c r="IIW123" s="0"/>
      <c r="IIX123" s="0"/>
      <c r="IIY123" s="0"/>
      <c r="IIZ123" s="0"/>
      <c r="IJA123" s="0"/>
      <c r="IJB123" s="0"/>
      <c r="IJC123" s="0"/>
      <c r="IJD123" s="0"/>
      <c r="IJE123" s="0"/>
      <c r="IJF123" s="0"/>
      <c r="IJG123" s="0"/>
      <c r="IJH123" s="0"/>
      <c r="IJI123" s="0"/>
      <c r="IJJ123" s="0"/>
      <c r="IJK123" s="0"/>
      <c r="IJL123" s="0"/>
      <c r="IJM123" s="0"/>
      <c r="IJN123" s="0"/>
      <c r="IJO123" s="0"/>
      <c r="IJP123" s="0"/>
      <c r="IJQ123" s="0"/>
      <c r="IJR123" s="0"/>
      <c r="IJS123" s="0"/>
      <c r="IJT123" s="0"/>
      <c r="IJU123" s="0"/>
      <c r="IJV123" s="0"/>
      <c r="IJW123" s="0"/>
      <c r="IJX123" s="0"/>
      <c r="IJY123" s="0"/>
      <c r="IJZ123" s="0"/>
      <c r="IKA123" s="0"/>
      <c r="IKB123" s="0"/>
      <c r="IKC123" s="0"/>
      <c r="IKD123" s="0"/>
      <c r="IKE123" s="0"/>
      <c r="IKF123" s="0"/>
      <c r="IKG123" s="0"/>
      <c r="IKH123" s="0"/>
      <c r="IKI123" s="0"/>
      <c r="IKJ123" s="0"/>
      <c r="IKK123" s="0"/>
      <c r="IKL123" s="0"/>
      <c r="IKM123" s="0"/>
      <c r="IKN123" s="0"/>
      <c r="IKO123" s="0"/>
      <c r="IKP123" s="0"/>
      <c r="IKQ123" s="0"/>
      <c r="IKR123" s="0"/>
      <c r="IKS123" s="0"/>
      <c r="IKT123" s="0"/>
      <c r="IKU123" s="0"/>
      <c r="IKV123" s="0"/>
      <c r="IKW123" s="0"/>
      <c r="IKX123" s="0"/>
      <c r="IKY123" s="0"/>
      <c r="IKZ123" s="0"/>
      <c r="ILA123" s="0"/>
      <c r="ILB123" s="0"/>
      <c r="ILC123" s="0"/>
      <c r="ILD123" s="0"/>
      <c r="ILE123" s="0"/>
      <c r="ILF123" s="0"/>
      <c r="ILG123" s="0"/>
      <c r="ILH123" s="0"/>
      <c r="ILI123" s="0"/>
      <c r="ILJ123" s="0"/>
      <c r="ILK123" s="0"/>
      <c r="ILL123" s="0"/>
      <c r="ILM123" s="0"/>
      <c r="ILN123" s="0"/>
      <c r="ILO123" s="0"/>
      <c r="ILP123" s="0"/>
      <c r="ILQ123" s="0"/>
      <c r="ILR123" s="0"/>
      <c r="ILS123" s="0"/>
      <c r="ILT123" s="0"/>
      <c r="ILU123" s="0"/>
      <c r="ILV123" s="0"/>
      <c r="ILW123" s="0"/>
      <c r="ILX123" s="0"/>
      <c r="ILY123" s="0"/>
      <c r="ILZ123" s="0"/>
      <c r="IMA123" s="0"/>
      <c r="IMB123" s="0"/>
      <c r="IMC123" s="0"/>
      <c r="IMD123" s="0"/>
      <c r="IME123" s="0"/>
      <c r="IMF123" s="0"/>
      <c r="IMG123" s="0"/>
      <c r="IMH123" s="0"/>
      <c r="IMI123" s="0"/>
      <c r="IMJ123" s="0"/>
      <c r="IMK123" s="0"/>
      <c r="IML123" s="0"/>
      <c r="IMM123" s="0"/>
      <c r="IMN123" s="0"/>
      <c r="IMO123" s="0"/>
      <c r="IMP123" s="0"/>
      <c r="IMQ123" s="0"/>
      <c r="IMR123" s="0"/>
      <c r="IMS123" s="0"/>
      <c r="IMT123" s="0"/>
      <c r="IMU123" s="0"/>
      <c r="IMV123" s="0"/>
      <c r="IMW123" s="0"/>
      <c r="IMX123" s="0"/>
      <c r="IMY123" s="0"/>
      <c r="IMZ123" s="0"/>
      <c r="INA123" s="0"/>
      <c r="INB123" s="0"/>
      <c r="INC123" s="0"/>
      <c r="IND123" s="0"/>
      <c r="INE123" s="0"/>
      <c r="INF123" s="0"/>
      <c r="ING123" s="0"/>
      <c r="INH123" s="0"/>
      <c r="INI123" s="0"/>
      <c r="INJ123" s="0"/>
      <c r="INK123" s="0"/>
      <c r="INL123" s="0"/>
      <c r="INM123" s="0"/>
      <c r="INN123" s="0"/>
      <c r="INO123" s="0"/>
      <c r="INP123" s="0"/>
      <c r="INQ123" s="0"/>
      <c r="INR123" s="0"/>
      <c r="INS123" s="0"/>
      <c r="INT123" s="0"/>
      <c r="INU123" s="0"/>
      <c r="INV123" s="0"/>
      <c r="INW123" s="0"/>
      <c r="INX123" s="0"/>
      <c r="INY123" s="0"/>
      <c r="INZ123" s="0"/>
      <c r="IOA123" s="0"/>
      <c r="IOB123" s="0"/>
      <c r="IOC123" s="0"/>
      <c r="IOD123" s="0"/>
      <c r="IOE123" s="0"/>
      <c r="IOF123" s="0"/>
      <c r="IOG123" s="0"/>
      <c r="IOH123" s="0"/>
      <c r="IOI123" s="0"/>
      <c r="IOJ123" s="0"/>
      <c r="IOK123" s="0"/>
      <c r="IOL123" s="0"/>
      <c r="IOM123" s="0"/>
      <c r="ION123" s="0"/>
      <c r="IOO123" s="0"/>
      <c r="IOP123" s="0"/>
      <c r="IOQ123" s="0"/>
      <c r="IOR123" s="0"/>
      <c r="IOS123" s="0"/>
      <c r="IOT123" s="0"/>
      <c r="IOU123" s="0"/>
      <c r="IOV123" s="0"/>
      <c r="IOW123" s="0"/>
      <c r="IOX123" s="0"/>
      <c r="IOY123" s="0"/>
      <c r="IOZ123" s="0"/>
      <c r="IPA123" s="0"/>
      <c r="IPB123" s="0"/>
      <c r="IPC123" s="0"/>
      <c r="IPD123" s="0"/>
      <c r="IPE123" s="0"/>
      <c r="IPF123" s="0"/>
      <c r="IPG123" s="0"/>
      <c r="IPH123" s="0"/>
      <c r="IPI123" s="0"/>
      <c r="IPJ123" s="0"/>
      <c r="IPK123" s="0"/>
      <c r="IPL123" s="0"/>
      <c r="IPM123" s="0"/>
      <c r="IPN123" s="0"/>
      <c r="IPO123" s="0"/>
      <c r="IPP123" s="0"/>
      <c r="IPQ123" s="0"/>
      <c r="IPR123" s="0"/>
      <c r="IPS123" s="0"/>
      <c r="IPT123" s="0"/>
      <c r="IPU123" s="0"/>
      <c r="IPV123" s="0"/>
      <c r="IPW123" s="0"/>
      <c r="IPX123" s="0"/>
      <c r="IPY123" s="0"/>
      <c r="IPZ123" s="0"/>
      <c r="IQA123" s="0"/>
      <c r="IQB123" s="0"/>
      <c r="IQC123" s="0"/>
      <c r="IQD123" s="0"/>
      <c r="IQE123" s="0"/>
      <c r="IQF123" s="0"/>
      <c r="IQG123" s="0"/>
      <c r="IQH123" s="0"/>
      <c r="IQI123" s="0"/>
      <c r="IQJ123" s="0"/>
      <c r="IQK123" s="0"/>
      <c r="IQL123" s="0"/>
      <c r="IQM123" s="0"/>
      <c r="IQN123" s="0"/>
      <c r="IQO123" s="0"/>
      <c r="IQP123" s="0"/>
      <c r="IQQ123" s="0"/>
      <c r="IQR123" s="0"/>
      <c r="IQS123" s="0"/>
      <c r="IQT123" s="0"/>
      <c r="IQU123" s="0"/>
      <c r="IQV123" s="0"/>
      <c r="IQW123" s="0"/>
      <c r="IQX123" s="0"/>
      <c r="IQY123" s="0"/>
      <c r="IQZ123" s="0"/>
      <c r="IRA123" s="0"/>
      <c r="IRB123" s="0"/>
      <c r="IRC123" s="0"/>
      <c r="IRD123" s="0"/>
      <c r="IRE123" s="0"/>
      <c r="IRF123" s="0"/>
      <c r="IRG123" s="0"/>
      <c r="IRH123" s="0"/>
      <c r="IRI123" s="0"/>
      <c r="IRJ123" s="0"/>
      <c r="IRK123" s="0"/>
      <c r="IRL123" s="0"/>
      <c r="IRM123" s="0"/>
      <c r="IRN123" s="0"/>
      <c r="IRO123" s="0"/>
      <c r="IRP123" s="0"/>
      <c r="IRQ123" s="0"/>
      <c r="IRR123" s="0"/>
      <c r="IRS123" s="0"/>
      <c r="IRT123" s="0"/>
      <c r="IRU123" s="0"/>
      <c r="IRV123" s="0"/>
      <c r="IRW123" s="0"/>
      <c r="IRX123" s="0"/>
      <c r="IRY123" s="0"/>
      <c r="IRZ123" s="0"/>
      <c r="ISA123" s="0"/>
      <c r="ISB123" s="0"/>
      <c r="ISC123" s="0"/>
      <c r="ISD123" s="0"/>
      <c r="ISE123" s="0"/>
      <c r="ISF123" s="0"/>
      <c r="ISG123" s="0"/>
      <c r="ISH123" s="0"/>
      <c r="ISI123" s="0"/>
      <c r="ISJ123" s="0"/>
      <c r="ISK123" s="0"/>
      <c r="ISL123" s="0"/>
      <c r="ISM123" s="0"/>
      <c r="ISN123" s="0"/>
      <c r="ISO123" s="0"/>
      <c r="ISP123" s="0"/>
      <c r="ISQ123" s="0"/>
      <c r="ISR123" s="0"/>
      <c r="ISS123" s="0"/>
      <c r="IST123" s="0"/>
      <c r="ISU123" s="0"/>
      <c r="ISV123" s="0"/>
      <c r="ISW123" s="0"/>
      <c r="ISX123" s="0"/>
      <c r="ISY123" s="0"/>
      <c r="ISZ123" s="0"/>
      <c r="ITA123" s="0"/>
      <c r="ITB123" s="0"/>
      <c r="ITC123" s="0"/>
      <c r="ITD123" s="0"/>
      <c r="ITE123" s="0"/>
      <c r="ITF123" s="0"/>
      <c r="ITG123" s="0"/>
      <c r="ITH123" s="0"/>
      <c r="ITI123" s="0"/>
      <c r="ITJ123" s="0"/>
      <c r="ITK123" s="0"/>
      <c r="ITL123" s="0"/>
      <c r="ITM123" s="0"/>
      <c r="ITN123" s="0"/>
      <c r="ITO123" s="0"/>
      <c r="ITP123" s="0"/>
      <c r="ITQ123" s="0"/>
      <c r="ITR123" s="0"/>
      <c r="ITS123" s="0"/>
      <c r="ITT123" s="0"/>
      <c r="ITU123" s="0"/>
      <c r="ITV123" s="0"/>
      <c r="ITW123" s="0"/>
      <c r="ITX123" s="0"/>
      <c r="ITY123" s="0"/>
      <c r="ITZ123" s="0"/>
      <c r="IUA123" s="0"/>
      <c r="IUB123" s="0"/>
      <c r="IUC123" s="0"/>
      <c r="IUD123" s="0"/>
      <c r="IUE123" s="0"/>
      <c r="IUF123" s="0"/>
      <c r="IUG123" s="0"/>
      <c r="IUH123" s="0"/>
      <c r="IUI123" s="0"/>
      <c r="IUJ123" s="0"/>
      <c r="IUK123" s="0"/>
      <c r="IUL123" s="0"/>
      <c r="IUM123" s="0"/>
      <c r="IUN123" s="0"/>
      <c r="IUO123" s="0"/>
      <c r="IUP123" s="0"/>
      <c r="IUQ123" s="0"/>
      <c r="IUR123" s="0"/>
      <c r="IUS123" s="0"/>
      <c r="IUT123" s="0"/>
      <c r="IUU123" s="0"/>
      <c r="IUV123" s="0"/>
      <c r="IUW123" s="0"/>
      <c r="IUX123" s="0"/>
      <c r="IUY123" s="0"/>
      <c r="IUZ123" s="0"/>
      <c r="IVA123" s="0"/>
      <c r="IVB123" s="0"/>
      <c r="IVC123" s="0"/>
      <c r="IVD123" s="0"/>
      <c r="IVE123" s="0"/>
      <c r="IVF123" s="0"/>
      <c r="IVG123" s="0"/>
      <c r="IVH123" s="0"/>
      <c r="IVI123" s="0"/>
      <c r="IVJ123" s="0"/>
      <c r="IVK123" s="0"/>
      <c r="IVL123" s="0"/>
      <c r="IVM123" s="0"/>
      <c r="IVN123" s="0"/>
      <c r="IVO123" s="0"/>
      <c r="IVP123" s="0"/>
      <c r="IVQ123" s="0"/>
      <c r="IVR123" s="0"/>
      <c r="IVS123" s="0"/>
      <c r="IVT123" s="0"/>
      <c r="IVU123" s="0"/>
      <c r="IVV123" s="0"/>
      <c r="IVW123" s="0"/>
      <c r="IVX123" s="0"/>
      <c r="IVY123" s="0"/>
      <c r="IVZ123" s="0"/>
      <c r="IWA123" s="0"/>
      <c r="IWB123" s="0"/>
      <c r="IWC123" s="0"/>
      <c r="IWD123" s="0"/>
      <c r="IWE123" s="0"/>
      <c r="IWF123" s="0"/>
      <c r="IWG123" s="0"/>
      <c r="IWH123" s="0"/>
      <c r="IWI123" s="0"/>
      <c r="IWJ123" s="0"/>
      <c r="IWK123" s="0"/>
      <c r="IWL123" s="0"/>
      <c r="IWM123" s="0"/>
      <c r="IWN123" s="0"/>
      <c r="IWO123" s="0"/>
      <c r="IWP123" s="0"/>
      <c r="IWQ123" s="0"/>
      <c r="IWR123" s="0"/>
      <c r="IWS123" s="0"/>
      <c r="IWT123" s="0"/>
      <c r="IWU123" s="0"/>
      <c r="IWV123" s="0"/>
      <c r="IWW123" s="0"/>
      <c r="IWX123" s="0"/>
      <c r="IWY123" s="0"/>
      <c r="IWZ123" s="0"/>
      <c r="IXA123" s="0"/>
      <c r="IXB123" s="0"/>
      <c r="IXC123" s="0"/>
      <c r="IXD123" s="0"/>
      <c r="IXE123" s="0"/>
      <c r="IXF123" s="0"/>
      <c r="IXG123" s="0"/>
      <c r="IXH123" s="0"/>
      <c r="IXI123" s="0"/>
      <c r="IXJ123" s="0"/>
      <c r="IXK123" s="0"/>
      <c r="IXL123" s="0"/>
      <c r="IXM123" s="0"/>
      <c r="IXN123" s="0"/>
      <c r="IXO123" s="0"/>
      <c r="IXP123" s="0"/>
      <c r="IXQ123" s="0"/>
      <c r="IXR123" s="0"/>
      <c r="IXS123" s="0"/>
      <c r="IXT123" s="0"/>
      <c r="IXU123" s="0"/>
      <c r="IXV123" s="0"/>
      <c r="IXW123" s="0"/>
      <c r="IXX123" s="0"/>
      <c r="IXY123" s="0"/>
      <c r="IXZ123" s="0"/>
      <c r="IYA123" s="0"/>
      <c r="IYB123" s="0"/>
      <c r="IYC123" s="0"/>
      <c r="IYD123" s="0"/>
      <c r="IYE123" s="0"/>
      <c r="IYF123" s="0"/>
      <c r="IYG123" s="0"/>
      <c r="IYH123" s="0"/>
      <c r="IYI123" s="0"/>
      <c r="IYJ123" s="0"/>
      <c r="IYK123" s="0"/>
      <c r="IYL123" s="0"/>
      <c r="IYM123" s="0"/>
      <c r="IYN123" s="0"/>
      <c r="IYO123" s="0"/>
      <c r="IYP123" s="0"/>
      <c r="IYQ123" s="0"/>
      <c r="IYR123" s="0"/>
      <c r="IYS123" s="0"/>
      <c r="IYT123" s="0"/>
      <c r="IYU123" s="0"/>
      <c r="IYV123" s="0"/>
      <c r="IYW123" s="0"/>
      <c r="IYX123" s="0"/>
      <c r="IYY123" s="0"/>
      <c r="IYZ123" s="0"/>
      <c r="IZA123" s="0"/>
      <c r="IZB123" s="0"/>
      <c r="IZC123" s="0"/>
      <c r="IZD123" s="0"/>
      <c r="IZE123" s="0"/>
      <c r="IZF123" s="0"/>
      <c r="IZG123" s="0"/>
      <c r="IZH123" s="0"/>
      <c r="IZI123" s="0"/>
      <c r="IZJ123" s="0"/>
      <c r="IZK123" s="0"/>
      <c r="IZL123" s="0"/>
      <c r="IZM123" s="0"/>
      <c r="IZN123" s="0"/>
      <c r="IZO123" s="0"/>
      <c r="IZP123" s="0"/>
      <c r="IZQ123" s="0"/>
      <c r="IZR123" s="0"/>
      <c r="IZS123" s="0"/>
      <c r="IZT123" s="0"/>
      <c r="IZU123" s="0"/>
      <c r="IZV123" s="0"/>
      <c r="IZW123" s="0"/>
      <c r="IZX123" s="0"/>
      <c r="IZY123" s="0"/>
      <c r="IZZ123" s="0"/>
      <c r="JAA123" s="0"/>
      <c r="JAB123" s="0"/>
      <c r="JAC123" s="0"/>
      <c r="JAD123" s="0"/>
      <c r="JAE123" s="0"/>
      <c r="JAF123" s="0"/>
      <c r="JAG123" s="0"/>
      <c r="JAH123" s="0"/>
      <c r="JAI123" s="0"/>
      <c r="JAJ123" s="0"/>
      <c r="JAK123" s="0"/>
      <c r="JAL123" s="0"/>
      <c r="JAM123" s="0"/>
      <c r="JAN123" s="0"/>
      <c r="JAO123" s="0"/>
      <c r="JAP123" s="0"/>
      <c r="JAQ123" s="0"/>
      <c r="JAR123" s="0"/>
      <c r="JAS123" s="0"/>
      <c r="JAT123" s="0"/>
      <c r="JAU123" s="0"/>
      <c r="JAV123" s="0"/>
      <c r="JAW123" s="0"/>
      <c r="JAX123" s="0"/>
      <c r="JAY123" s="0"/>
      <c r="JAZ123" s="0"/>
      <c r="JBA123" s="0"/>
      <c r="JBB123" s="0"/>
      <c r="JBC123" s="0"/>
      <c r="JBD123" s="0"/>
      <c r="JBE123" s="0"/>
      <c r="JBF123" s="0"/>
      <c r="JBG123" s="0"/>
      <c r="JBH123" s="0"/>
      <c r="JBI123" s="0"/>
      <c r="JBJ123" s="0"/>
      <c r="JBK123" s="0"/>
      <c r="JBL123" s="0"/>
      <c r="JBM123" s="0"/>
      <c r="JBN123" s="0"/>
      <c r="JBO123" s="0"/>
      <c r="JBP123" s="0"/>
      <c r="JBQ123" s="0"/>
      <c r="JBR123" s="0"/>
      <c r="JBS123" s="0"/>
      <c r="JBT123" s="0"/>
      <c r="JBU123" s="0"/>
      <c r="JBV123" s="0"/>
      <c r="JBW123" s="0"/>
      <c r="JBX123" s="0"/>
      <c r="JBY123" s="0"/>
      <c r="JBZ123" s="0"/>
      <c r="JCA123" s="0"/>
      <c r="JCB123" s="0"/>
      <c r="JCC123" s="0"/>
      <c r="JCD123" s="0"/>
      <c r="JCE123" s="0"/>
      <c r="JCF123" s="0"/>
      <c r="JCG123" s="0"/>
      <c r="JCH123" s="0"/>
      <c r="JCI123" s="0"/>
      <c r="JCJ123" s="0"/>
      <c r="JCK123" s="0"/>
      <c r="JCL123" s="0"/>
      <c r="JCM123" s="0"/>
      <c r="JCN123" s="0"/>
      <c r="JCO123" s="0"/>
      <c r="JCP123" s="0"/>
      <c r="JCQ123" s="0"/>
      <c r="JCR123" s="0"/>
      <c r="JCS123" s="0"/>
      <c r="JCT123" s="0"/>
      <c r="JCU123" s="0"/>
      <c r="JCV123" s="0"/>
      <c r="JCW123" s="0"/>
      <c r="JCX123" s="0"/>
      <c r="JCY123" s="0"/>
      <c r="JCZ123" s="0"/>
      <c r="JDA123" s="0"/>
      <c r="JDB123" s="0"/>
      <c r="JDC123" s="0"/>
      <c r="JDD123" s="0"/>
      <c r="JDE123" s="0"/>
      <c r="JDF123" s="0"/>
      <c r="JDG123" s="0"/>
      <c r="JDH123" s="0"/>
      <c r="JDI123" s="0"/>
      <c r="JDJ123" s="0"/>
      <c r="JDK123" s="0"/>
      <c r="JDL123" s="0"/>
      <c r="JDM123" s="0"/>
      <c r="JDN123" s="0"/>
      <c r="JDO123" s="0"/>
      <c r="JDP123" s="0"/>
      <c r="JDQ123" s="0"/>
      <c r="JDR123" s="0"/>
      <c r="JDS123" s="0"/>
      <c r="JDT123" s="0"/>
      <c r="JDU123" s="0"/>
      <c r="JDV123" s="0"/>
      <c r="JDW123" s="0"/>
      <c r="JDX123" s="0"/>
      <c r="JDY123" s="0"/>
      <c r="JDZ123" s="0"/>
      <c r="JEA123" s="0"/>
      <c r="JEB123" s="0"/>
      <c r="JEC123" s="0"/>
      <c r="JED123" s="0"/>
      <c r="JEE123" s="0"/>
      <c r="JEF123" s="0"/>
      <c r="JEG123" s="0"/>
      <c r="JEH123" s="0"/>
      <c r="JEI123" s="0"/>
      <c r="JEJ123" s="0"/>
      <c r="JEK123" s="0"/>
      <c r="JEL123" s="0"/>
      <c r="JEM123" s="0"/>
      <c r="JEN123" s="0"/>
      <c r="JEO123" s="0"/>
      <c r="JEP123" s="0"/>
      <c r="JEQ123" s="0"/>
      <c r="JER123" s="0"/>
      <c r="JES123" s="0"/>
      <c r="JET123" s="0"/>
      <c r="JEU123" s="0"/>
      <c r="JEV123" s="0"/>
      <c r="JEW123" s="0"/>
      <c r="JEX123" s="0"/>
      <c r="JEY123" s="0"/>
      <c r="JEZ123" s="0"/>
      <c r="JFA123" s="0"/>
      <c r="JFB123" s="0"/>
      <c r="JFC123" s="0"/>
      <c r="JFD123" s="0"/>
      <c r="JFE123" s="0"/>
      <c r="JFF123" s="0"/>
      <c r="JFG123" s="0"/>
      <c r="JFH123" s="0"/>
      <c r="JFI123" s="0"/>
      <c r="JFJ123" s="0"/>
      <c r="JFK123" s="0"/>
      <c r="JFL123" s="0"/>
      <c r="JFM123" s="0"/>
      <c r="JFN123" s="0"/>
      <c r="JFO123" s="0"/>
      <c r="JFP123" s="0"/>
      <c r="JFQ123" s="0"/>
      <c r="JFR123" s="0"/>
      <c r="JFS123" s="0"/>
      <c r="JFT123" s="0"/>
      <c r="JFU123" s="0"/>
      <c r="JFV123" s="0"/>
      <c r="JFW123" s="0"/>
      <c r="JFX123" s="0"/>
      <c r="JFY123" s="0"/>
      <c r="JFZ123" s="0"/>
      <c r="JGA123" s="0"/>
      <c r="JGB123" s="0"/>
      <c r="JGC123" s="0"/>
      <c r="JGD123" s="0"/>
      <c r="JGE123" s="0"/>
      <c r="JGF123" s="0"/>
      <c r="JGG123" s="0"/>
      <c r="JGH123" s="0"/>
      <c r="JGI123" s="0"/>
      <c r="JGJ123" s="0"/>
      <c r="JGK123" s="0"/>
      <c r="JGL123" s="0"/>
      <c r="JGM123" s="0"/>
      <c r="JGN123" s="0"/>
      <c r="JGO123" s="0"/>
      <c r="JGP123" s="0"/>
      <c r="JGQ123" s="0"/>
      <c r="JGR123" s="0"/>
      <c r="JGS123" s="0"/>
      <c r="JGT123" s="0"/>
      <c r="JGU123" s="0"/>
      <c r="JGV123" s="0"/>
      <c r="JGW123" s="0"/>
      <c r="JGX123" s="0"/>
      <c r="JGY123" s="0"/>
      <c r="JGZ123" s="0"/>
      <c r="JHA123" s="0"/>
      <c r="JHB123" s="0"/>
      <c r="JHC123" s="0"/>
      <c r="JHD123" s="0"/>
      <c r="JHE123" s="0"/>
      <c r="JHF123" s="0"/>
      <c r="JHG123" s="0"/>
      <c r="JHH123" s="0"/>
      <c r="JHI123" s="0"/>
      <c r="JHJ123" s="0"/>
      <c r="JHK123" s="0"/>
      <c r="JHL123" s="0"/>
      <c r="JHM123" s="0"/>
      <c r="JHN123" s="0"/>
      <c r="JHO123" s="0"/>
      <c r="JHP123" s="0"/>
      <c r="JHQ123" s="0"/>
      <c r="JHR123" s="0"/>
      <c r="JHS123" s="0"/>
      <c r="JHT123" s="0"/>
      <c r="JHU123" s="0"/>
      <c r="JHV123" s="0"/>
      <c r="JHW123" s="0"/>
      <c r="JHX123" s="0"/>
      <c r="JHY123" s="0"/>
      <c r="JHZ123" s="0"/>
      <c r="JIA123" s="0"/>
      <c r="JIB123" s="0"/>
      <c r="JIC123" s="0"/>
      <c r="JID123" s="0"/>
      <c r="JIE123" s="0"/>
      <c r="JIF123" s="0"/>
      <c r="JIG123" s="0"/>
      <c r="JIH123" s="0"/>
      <c r="JII123" s="0"/>
      <c r="JIJ123" s="0"/>
      <c r="JIK123" s="0"/>
      <c r="JIL123" s="0"/>
      <c r="JIM123" s="0"/>
      <c r="JIN123" s="0"/>
      <c r="JIO123" s="0"/>
      <c r="JIP123" s="0"/>
      <c r="JIQ123" s="0"/>
      <c r="JIR123" s="0"/>
      <c r="JIS123" s="0"/>
      <c r="JIT123" s="0"/>
      <c r="JIU123" s="0"/>
      <c r="JIV123" s="0"/>
      <c r="JIW123" s="0"/>
      <c r="JIX123" s="0"/>
      <c r="JIY123" s="0"/>
      <c r="JIZ123" s="0"/>
      <c r="JJA123" s="0"/>
      <c r="JJB123" s="0"/>
      <c r="JJC123" s="0"/>
      <c r="JJD123" s="0"/>
      <c r="JJE123" s="0"/>
      <c r="JJF123" s="0"/>
      <c r="JJG123" s="0"/>
      <c r="JJH123" s="0"/>
      <c r="JJI123" s="0"/>
      <c r="JJJ123" s="0"/>
      <c r="JJK123" s="0"/>
      <c r="JJL123" s="0"/>
      <c r="JJM123" s="0"/>
      <c r="JJN123" s="0"/>
      <c r="JJO123" s="0"/>
      <c r="JJP123" s="0"/>
      <c r="JJQ123" s="0"/>
      <c r="JJR123" s="0"/>
      <c r="JJS123" s="0"/>
      <c r="JJT123" s="0"/>
      <c r="JJU123" s="0"/>
      <c r="JJV123" s="0"/>
      <c r="JJW123" s="0"/>
      <c r="JJX123" s="0"/>
      <c r="JJY123" s="0"/>
      <c r="JJZ123" s="0"/>
      <c r="JKA123" s="0"/>
      <c r="JKB123" s="0"/>
      <c r="JKC123" s="0"/>
      <c r="JKD123" s="0"/>
      <c r="JKE123" s="0"/>
      <c r="JKF123" s="0"/>
      <c r="JKG123" s="0"/>
      <c r="JKH123" s="0"/>
      <c r="JKI123" s="0"/>
      <c r="JKJ123" s="0"/>
      <c r="JKK123" s="0"/>
      <c r="JKL123" s="0"/>
      <c r="JKM123" s="0"/>
      <c r="JKN123" s="0"/>
      <c r="JKO123" s="0"/>
      <c r="JKP123" s="0"/>
      <c r="JKQ123" s="0"/>
      <c r="JKR123" s="0"/>
      <c r="JKS123" s="0"/>
      <c r="JKT123" s="0"/>
      <c r="JKU123" s="0"/>
      <c r="JKV123" s="0"/>
      <c r="JKW123" s="0"/>
      <c r="JKX123" s="0"/>
      <c r="JKY123" s="0"/>
      <c r="JKZ123" s="0"/>
      <c r="JLA123" s="0"/>
      <c r="JLB123" s="0"/>
      <c r="JLC123" s="0"/>
      <c r="JLD123" s="0"/>
      <c r="JLE123" s="0"/>
      <c r="JLF123" s="0"/>
      <c r="JLG123" s="0"/>
      <c r="JLH123" s="0"/>
      <c r="JLI123" s="0"/>
      <c r="JLJ123" s="0"/>
      <c r="JLK123" s="0"/>
      <c r="JLL123" s="0"/>
      <c r="JLM123" s="0"/>
      <c r="JLN123" s="0"/>
      <c r="JLO123" s="0"/>
      <c r="JLP123" s="0"/>
      <c r="JLQ123" s="0"/>
      <c r="JLR123" s="0"/>
      <c r="JLS123" s="0"/>
      <c r="JLT123" s="0"/>
      <c r="JLU123" s="0"/>
      <c r="JLV123" s="0"/>
      <c r="JLW123" s="0"/>
      <c r="JLX123" s="0"/>
      <c r="JLY123" s="0"/>
      <c r="JLZ123" s="0"/>
      <c r="JMA123" s="0"/>
      <c r="JMB123" s="0"/>
      <c r="JMC123" s="0"/>
      <c r="JMD123" s="0"/>
      <c r="JME123" s="0"/>
      <c r="JMF123" s="0"/>
      <c r="JMG123" s="0"/>
      <c r="JMH123" s="0"/>
      <c r="JMI123" s="0"/>
      <c r="JMJ123" s="0"/>
      <c r="JMK123" s="0"/>
      <c r="JML123" s="0"/>
      <c r="JMM123" s="0"/>
      <c r="JMN123" s="0"/>
      <c r="JMO123" s="0"/>
      <c r="JMP123" s="0"/>
      <c r="JMQ123" s="0"/>
      <c r="JMR123" s="0"/>
      <c r="JMS123" s="0"/>
      <c r="JMT123" s="0"/>
      <c r="JMU123" s="0"/>
      <c r="JMV123" s="0"/>
      <c r="JMW123" s="0"/>
      <c r="JMX123" s="0"/>
      <c r="JMY123" s="0"/>
      <c r="JMZ123" s="0"/>
      <c r="JNA123" s="0"/>
      <c r="JNB123" s="0"/>
      <c r="JNC123" s="0"/>
      <c r="JND123" s="0"/>
      <c r="JNE123" s="0"/>
      <c r="JNF123" s="0"/>
      <c r="JNG123" s="0"/>
      <c r="JNH123" s="0"/>
      <c r="JNI123" s="0"/>
      <c r="JNJ123" s="0"/>
      <c r="JNK123" s="0"/>
      <c r="JNL123" s="0"/>
      <c r="JNM123" s="0"/>
      <c r="JNN123" s="0"/>
      <c r="JNO123" s="0"/>
      <c r="JNP123" s="0"/>
      <c r="JNQ123" s="0"/>
      <c r="JNR123" s="0"/>
      <c r="JNS123" s="0"/>
      <c r="JNT123" s="0"/>
      <c r="JNU123" s="0"/>
      <c r="JNV123" s="0"/>
      <c r="JNW123" s="0"/>
      <c r="JNX123" s="0"/>
      <c r="JNY123" s="0"/>
      <c r="JNZ123" s="0"/>
      <c r="JOA123" s="0"/>
      <c r="JOB123" s="0"/>
      <c r="JOC123" s="0"/>
      <c r="JOD123" s="0"/>
      <c r="JOE123" s="0"/>
      <c r="JOF123" s="0"/>
      <c r="JOG123" s="0"/>
      <c r="JOH123" s="0"/>
      <c r="JOI123" s="0"/>
      <c r="JOJ123" s="0"/>
      <c r="JOK123" s="0"/>
      <c r="JOL123" s="0"/>
      <c r="JOM123" s="0"/>
      <c r="JON123" s="0"/>
      <c r="JOO123" s="0"/>
      <c r="JOP123" s="0"/>
      <c r="JOQ123" s="0"/>
      <c r="JOR123" s="0"/>
      <c r="JOS123" s="0"/>
      <c r="JOT123" s="0"/>
      <c r="JOU123" s="0"/>
      <c r="JOV123" s="0"/>
      <c r="JOW123" s="0"/>
      <c r="JOX123" s="0"/>
      <c r="JOY123" s="0"/>
      <c r="JOZ123" s="0"/>
      <c r="JPA123" s="0"/>
      <c r="JPB123" s="0"/>
      <c r="JPC123" s="0"/>
      <c r="JPD123" s="0"/>
      <c r="JPE123" s="0"/>
      <c r="JPF123" s="0"/>
      <c r="JPG123" s="0"/>
      <c r="JPH123" s="0"/>
      <c r="JPI123" s="0"/>
      <c r="JPJ123" s="0"/>
      <c r="JPK123" s="0"/>
      <c r="JPL123" s="0"/>
      <c r="JPM123" s="0"/>
      <c r="JPN123" s="0"/>
      <c r="JPO123" s="0"/>
      <c r="JPP123" s="0"/>
      <c r="JPQ123" s="0"/>
      <c r="JPR123" s="0"/>
      <c r="JPS123" s="0"/>
      <c r="JPT123" s="0"/>
      <c r="JPU123" s="0"/>
      <c r="JPV123" s="0"/>
      <c r="JPW123" s="0"/>
      <c r="JPX123" s="0"/>
      <c r="JPY123" s="0"/>
      <c r="JPZ123" s="0"/>
      <c r="JQA123" s="0"/>
      <c r="JQB123" s="0"/>
      <c r="JQC123" s="0"/>
      <c r="JQD123" s="0"/>
      <c r="JQE123" s="0"/>
      <c r="JQF123" s="0"/>
      <c r="JQG123" s="0"/>
      <c r="JQH123" s="0"/>
      <c r="JQI123" s="0"/>
      <c r="JQJ123" s="0"/>
      <c r="JQK123" s="0"/>
      <c r="JQL123" s="0"/>
      <c r="JQM123" s="0"/>
      <c r="JQN123" s="0"/>
      <c r="JQO123" s="0"/>
      <c r="JQP123" s="0"/>
      <c r="JQQ123" s="0"/>
      <c r="JQR123" s="0"/>
      <c r="JQS123" s="0"/>
      <c r="JQT123" s="0"/>
      <c r="JQU123" s="0"/>
      <c r="JQV123" s="0"/>
      <c r="JQW123" s="0"/>
      <c r="JQX123" s="0"/>
      <c r="JQY123" s="0"/>
      <c r="JQZ123" s="0"/>
      <c r="JRA123" s="0"/>
      <c r="JRB123" s="0"/>
      <c r="JRC123" s="0"/>
      <c r="JRD123" s="0"/>
      <c r="JRE123" s="0"/>
      <c r="JRF123" s="0"/>
      <c r="JRG123" s="0"/>
      <c r="JRH123" s="0"/>
      <c r="JRI123" s="0"/>
      <c r="JRJ123" s="0"/>
      <c r="JRK123" s="0"/>
      <c r="JRL123" s="0"/>
      <c r="JRM123" s="0"/>
      <c r="JRN123" s="0"/>
      <c r="JRO123" s="0"/>
      <c r="JRP123" s="0"/>
      <c r="JRQ123" s="0"/>
      <c r="JRR123" s="0"/>
      <c r="JRS123" s="0"/>
      <c r="JRT123" s="0"/>
      <c r="JRU123" s="0"/>
      <c r="JRV123" s="0"/>
      <c r="JRW123" s="0"/>
      <c r="JRX123" s="0"/>
      <c r="JRY123" s="0"/>
      <c r="JRZ123" s="0"/>
      <c r="JSA123" s="0"/>
      <c r="JSB123" s="0"/>
      <c r="JSC123" s="0"/>
      <c r="JSD123" s="0"/>
      <c r="JSE123" s="0"/>
      <c r="JSF123" s="0"/>
      <c r="JSG123" s="0"/>
      <c r="JSH123" s="0"/>
      <c r="JSI123" s="0"/>
      <c r="JSJ123" s="0"/>
      <c r="JSK123" s="0"/>
      <c r="JSL123" s="0"/>
      <c r="JSM123" s="0"/>
      <c r="JSN123" s="0"/>
      <c r="JSO123" s="0"/>
      <c r="JSP123" s="0"/>
      <c r="JSQ123" s="0"/>
      <c r="JSR123" s="0"/>
      <c r="JSS123" s="0"/>
      <c r="JST123" s="0"/>
      <c r="JSU123" s="0"/>
      <c r="JSV123" s="0"/>
      <c r="JSW123" s="0"/>
      <c r="JSX123" s="0"/>
      <c r="JSY123" s="0"/>
      <c r="JSZ123" s="0"/>
      <c r="JTA123" s="0"/>
      <c r="JTB123" s="0"/>
      <c r="JTC123" s="0"/>
      <c r="JTD123" s="0"/>
      <c r="JTE123" s="0"/>
      <c r="JTF123" s="0"/>
      <c r="JTG123" s="0"/>
      <c r="JTH123" s="0"/>
      <c r="JTI123" s="0"/>
      <c r="JTJ123" s="0"/>
      <c r="JTK123" s="0"/>
      <c r="JTL123" s="0"/>
      <c r="JTM123" s="0"/>
      <c r="JTN123" s="0"/>
      <c r="JTO123" s="0"/>
      <c r="JTP123" s="0"/>
      <c r="JTQ123" s="0"/>
      <c r="JTR123" s="0"/>
      <c r="JTS123" s="0"/>
      <c r="JTT123" s="0"/>
      <c r="JTU123" s="0"/>
      <c r="JTV123" s="0"/>
      <c r="JTW123" s="0"/>
      <c r="JTX123" s="0"/>
      <c r="JTY123" s="0"/>
      <c r="JTZ123" s="0"/>
      <c r="JUA123" s="0"/>
      <c r="JUB123" s="0"/>
      <c r="JUC123" s="0"/>
      <c r="JUD123" s="0"/>
      <c r="JUE123" s="0"/>
      <c r="JUF123" s="0"/>
      <c r="JUG123" s="0"/>
      <c r="JUH123" s="0"/>
      <c r="JUI123" s="0"/>
      <c r="JUJ123" s="0"/>
      <c r="JUK123" s="0"/>
      <c r="JUL123" s="0"/>
      <c r="JUM123" s="0"/>
      <c r="JUN123" s="0"/>
      <c r="JUO123" s="0"/>
      <c r="JUP123" s="0"/>
      <c r="JUQ123" s="0"/>
      <c r="JUR123" s="0"/>
      <c r="JUS123" s="0"/>
      <c r="JUT123" s="0"/>
      <c r="JUU123" s="0"/>
      <c r="JUV123" s="0"/>
      <c r="JUW123" s="0"/>
      <c r="JUX123" s="0"/>
      <c r="JUY123" s="0"/>
      <c r="JUZ123" s="0"/>
      <c r="JVA123" s="0"/>
      <c r="JVB123" s="0"/>
      <c r="JVC123" s="0"/>
      <c r="JVD123" s="0"/>
      <c r="JVE123" s="0"/>
      <c r="JVF123" s="0"/>
      <c r="JVG123" s="0"/>
      <c r="JVH123" s="0"/>
      <c r="JVI123" s="0"/>
      <c r="JVJ123" s="0"/>
      <c r="JVK123" s="0"/>
      <c r="JVL123" s="0"/>
      <c r="JVM123" s="0"/>
      <c r="JVN123" s="0"/>
      <c r="JVO123" s="0"/>
      <c r="JVP123" s="0"/>
      <c r="JVQ123" s="0"/>
      <c r="JVR123" s="0"/>
      <c r="JVS123" s="0"/>
      <c r="JVT123" s="0"/>
      <c r="JVU123" s="0"/>
      <c r="JVV123" s="0"/>
      <c r="JVW123" s="0"/>
      <c r="JVX123" s="0"/>
      <c r="JVY123" s="0"/>
      <c r="JVZ123" s="0"/>
      <c r="JWA123" s="0"/>
      <c r="JWB123" s="0"/>
      <c r="JWC123" s="0"/>
      <c r="JWD123" s="0"/>
      <c r="JWE123" s="0"/>
      <c r="JWF123" s="0"/>
      <c r="JWG123" s="0"/>
      <c r="JWH123" s="0"/>
      <c r="JWI123" s="0"/>
      <c r="JWJ123" s="0"/>
      <c r="JWK123" s="0"/>
      <c r="JWL123" s="0"/>
      <c r="JWM123" s="0"/>
      <c r="JWN123" s="0"/>
      <c r="JWO123" s="0"/>
      <c r="JWP123" s="0"/>
      <c r="JWQ123" s="0"/>
      <c r="JWR123" s="0"/>
      <c r="JWS123" s="0"/>
      <c r="JWT123" s="0"/>
      <c r="JWU123" s="0"/>
      <c r="JWV123" s="0"/>
      <c r="JWW123" s="0"/>
      <c r="JWX123" s="0"/>
      <c r="JWY123" s="0"/>
      <c r="JWZ123" s="0"/>
      <c r="JXA123" s="0"/>
      <c r="JXB123" s="0"/>
      <c r="JXC123" s="0"/>
      <c r="JXD123" s="0"/>
      <c r="JXE123" s="0"/>
      <c r="JXF123" s="0"/>
      <c r="JXG123" s="0"/>
      <c r="JXH123" s="0"/>
      <c r="JXI123" s="0"/>
      <c r="JXJ123" s="0"/>
      <c r="JXK123" s="0"/>
      <c r="JXL123" s="0"/>
      <c r="JXM123" s="0"/>
      <c r="JXN123" s="0"/>
      <c r="JXO123" s="0"/>
      <c r="JXP123" s="0"/>
      <c r="JXQ123" s="0"/>
      <c r="JXR123" s="0"/>
      <c r="JXS123" s="0"/>
      <c r="JXT123" s="0"/>
      <c r="JXU123" s="0"/>
      <c r="JXV123" s="0"/>
      <c r="JXW123" s="0"/>
      <c r="JXX123" s="0"/>
      <c r="JXY123" s="0"/>
      <c r="JXZ123" s="0"/>
      <c r="JYA123" s="0"/>
      <c r="JYB123" s="0"/>
      <c r="JYC123" s="0"/>
      <c r="JYD123" s="0"/>
      <c r="JYE123" s="0"/>
      <c r="JYF123" s="0"/>
      <c r="JYG123" s="0"/>
      <c r="JYH123" s="0"/>
      <c r="JYI123" s="0"/>
      <c r="JYJ123" s="0"/>
      <c r="JYK123" s="0"/>
      <c r="JYL123" s="0"/>
      <c r="JYM123" s="0"/>
      <c r="JYN123" s="0"/>
      <c r="JYO123" s="0"/>
      <c r="JYP123" s="0"/>
      <c r="JYQ123" s="0"/>
      <c r="JYR123" s="0"/>
      <c r="JYS123" s="0"/>
      <c r="JYT123" s="0"/>
      <c r="JYU123" s="0"/>
      <c r="JYV123" s="0"/>
      <c r="JYW123" s="0"/>
      <c r="JYX123" s="0"/>
      <c r="JYY123" s="0"/>
      <c r="JYZ123" s="0"/>
      <c r="JZA123" s="0"/>
      <c r="JZB123" s="0"/>
      <c r="JZC123" s="0"/>
      <c r="JZD123" s="0"/>
      <c r="JZE123" s="0"/>
      <c r="JZF123" s="0"/>
      <c r="JZG123" s="0"/>
      <c r="JZH123" s="0"/>
      <c r="JZI123" s="0"/>
      <c r="JZJ123" s="0"/>
      <c r="JZK123" s="0"/>
      <c r="JZL123" s="0"/>
      <c r="JZM123" s="0"/>
      <c r="JZN123" s="0"/>
      <c r="JZO123" s="0"/>
      <c r="JZP123" s="0"/>
      <c r="JZQ123" s="0"/>
      <c r="JZR123" s="0"/>
      <c r="JZS123" s="0"/>
      <c r="JZT123" s="0"/>
      <c r="JZU123" s="0"/>
      <c r="JZV123" s="0"/>
      <c r="JZW123" s="0"/>
      <c r="JZX123" s="0"/>
      <c r="JZY123" s="0"/>
      <c r="JZZ123" s="0"/>
      <c r="KAA123" s="0"/>
      <c r="KAB123" s="0"/>
      <c r="KAC123" s="0"/>
      <c r="KAD123" s="0"/>
      <c r="KAE123" s="0"/>
      <c r="KAF123" s="0"/>
      <c r="KAG123" s="0"/>
      <c r="KAH123" s="0"/>
      <c r="KAI123" s="0"/>
      <c r="KAJ123" s="0"/>
      <c r="KAK123" s="0"/>
      <c r="KAL123" s="0"/>
      <c r="KAM123" s="0"/>
      <c r="KAN123" s="0"/>
      <c r="KAO123" s="0"/>
      <c r="KAP123" s="0"/>
      <c r="KAQ123" s="0"/>
      <c r="KAR123" s="0"/>
      <c r="KAS123" s="0"/>
      <c r="KAT123" s="0"/>
      <c r="KAU123" s="0"/>
      <c r="KAV123" s="0"/>
      <c r="KAW123" s="0"/>
      <c r="KAX123" s="0"/>
      <c r="KAY123" s="0"/>
      <c r="KAZ123" s="0"/>
      <c r="KBA123" s="0"/>
      <c r="KBB123" s="0"/>
      <c r="KBC123" s="0"/>
      <c r="KBD123" s="0"/>
      <c r="KBE123" s="0"/>
      <c r="KBF123" s="0"/>
      <c r="KBG123" s="0"/>
      <c r="KBH123" s="0"/>
      <c r="KBI123" s="0"/>
      <c r="KBJ123" s="0"/>
      <c r="KBK123" s="0"/>
      <c r="KBL123" s="0"/>
      <c r="KBM123" s="0"/>
      <c r="KBN123" s="0"/>
      <c r="KBO123" s="0"/>
      <c r="KBP123" s="0"/>
      <c r="KBQ123" s="0"/>
      <c r="KBR123" s="0"/>
      <c r="KBS123" s="0"/>
      <c r="KBT123" s="0"/>
      <c r="KBU123" s="0"/>
      <c r="KBV123" s="0"/>
      <c r="KBW123" s="0"/>
      <c r="KBX123" s="0"/>
      <c r="KBY123" s="0"/>
      <c r="KBZ123" s="0"/>
      <c r="KCA123" s="0"/>
      <c r="KCB123" s="0"/>
      <c r="KCC123" s="0"/>
      <c r="KCD123" s="0"/>
      <c r="KCE123" s="0"/>
      <c r="KCF123" s="0"/>
      <c r="KCG123" s="0"/>
      <c r="KCH123" s="0"/>
      <c r="KCI123" s="0"/>
      <c r="KCJ123" s="0"/>
      <c r="KCK123" s="0"/>
      <c r="KCL123" s="0"/>
      <c r="KCM123" s="0"/>
      <c r="KCN123" s="0"/>
      <c r="KCO123" s="0"/>
      <c r="KCP123" s="0"/>
      <c r="KCQ123" s="0"/>
      <c r="KCR123" s="0"/>
      <c r="KCS123" s="0"/>
      <c r="KCT123" s="0"/>
      <c r="KCU123" s="0"/>
      <c r="KCV123" s="0"/>
      <c r="KCW123" s="0"/>
      <c r="KCX123" s="0"/>
      <c r="KCY123" s="0"/>
      <c r="KCZ123" s="0"/>
      <c r="KDA123" s="0"/>
      <c r="KDB123" s="0"/>
      <c r="KDC123" s="0"/>
      <c r="KDD123" s="0"/>
      <c r="KDE123" s="0"/>
      <c r="KDF123" s="0"/>
      <c r="KDG123" s="0"/>
      <c r="KDH123" s="0"/>
      <c r="KDI123" s="0"/>
      <c r="KDJ123" s="0"/>
      <c r="KDK123" s="0"/>
      <c r="KDL123" s="0"/>
      <c r="KDM123" s="0"/>
      <c r="KDN123" s="0"/>
      <c r="KDO123" s="0"/>
      <c r="KDP123" s="0"/>
      <c r="KDQ123" s="0"/>
      <c r="KDR123" s="0"/>
      <c r="KDS123" s="0"/>
      <c r="KDT123" s="0"/>
      <c r="KDU123" s="0"/>
      <c r="KDV123" s="0"/>
      <c r="KDW123" s="0"/>
      <c r="KDX123" s="0"/>
      <c r="KDY123" s="0"/>
      <c r="KDZ123" s="0"/>
      <c r="KEA123" s="0"/>
      <c r="KEB123" s="0"/>
      <c r="KEC123" s="0"/>
      <c r="KED123" s="0"/>
      <c r="KEE123" s="0"/>
      <c r="KEF123" s="0"/>
      <c r="KEG123" s="0"/>
      <c r="KEH123" s="0"/>
      <c r="KEI123" s="0"/>
      <c r="KEJ123" s="0"/>
      <c r="KEK123" s="0"/>
      <c r="KEL123" s="0"/>
      <c r="KEM123" s="0"/>
      <c r="KEN123" s="0"/>
      <c r="KEO123" s="0"/>
      <c r="KEP123" s="0"/>
      <c r="KEQ123" s="0"/>
      <c r="KER123" s="0"/>
      <c r="KES123" s="0"/>
      <c r="KET123" s="0"/>
      <c r="KEU123" s="0"/>
      <c r="KEV123" s="0"/>
      <c r="KEW123" s="0"/>
      <c r="KEX123" s="0"/>
      <c r="KEY123" s="0"/>
      <c r="KEZ123" s="0"/>
      <c r="KFA123" s="0"/>
      <c r="KFB123" s="0"/>
      <c r="KFC123" s="0"/>
      <c r="KFD123" s="0"/>
      <c r="KFE123" s="0"/>
      <c r="KFF123" s="0"/>
      <c r="KFG123" s="0"/>
      <c r="KFH123" s="0"/>
      <c r="KFI123" s="0"/>
      <c r="KFJ123" s="0"/>
      <c r="KFK123" s="0"/>
      <c r="KFL123" s="0"/>
      <c r="KFM123" s="0"/>
      <c r="KFN123" s="0"/>
      <c r="KFO123" s="0"/>
      <c r="KFP123" s="0"/>
      <c r="KFQ123" s="0"/>
      <c r="KFR123" s="0"/>
      <c r="KFS123" s="0"/>
      <c r="KFT123" s="0"/>
      <c r="KFU123" s="0"/>
      <c r="KFV123" s="0"/>
      <c r="KFW123" s="0"/>
      <c r="KFX123" s="0"/>
      <c r="KFY123" s="0"/>
      <c r="KFZ123" s="0"/>
      <c r="KGA123" s="0"/>
      <c r="KGB123" s="0"/>
      <c r="KGC123" s="0"/>
      <c r="KGD123" s="0"/>
      <c r="KGE123" s="0"/>
      <c r="KGF123" s="0"/>
      <c r="KGG123" s="0"/>
      <c r="KGH123" s="0"/>
      <c r="KGI123" s="0"/>
      <c r="KGJ123" s="0"/>
      <c r="KGK123" s="0"/>
      <c r="KGL123" s="0"/>
      <c r="KGM123" s="0"/>
      <c r="KGN123" s="0"/>
      <c r="KGO123" s="0"/>
      <c r="KGP123" s="0"/>
      <c r="KGQ123" s="0"/>
      <c r="KGR123" s="0"/>
      <c r="KGS123" s="0"/>
      <c r="KGT123" s="0"/>
      <c r="KGU123" s="0"/>
      <c r="KGV123" s="0"/>
      <c r="KGW123" s="0"/>
      <c r="KGX123" s="0"/>
      <c r="KGY123" s="0"/>
      <c r="KGZ123" s="0"/>
      <c r="KHA123" s="0"/>
      <c r="KHB123" s="0"/>
      <c r="KHC123" s="0"/>
      <c r="KHD123" s="0"/>
      <c r="KHE123" s="0"/>
      <c r="KHF123" s="0"/>
      <c r="KHG123" s="0"/>
      <c r="KHH123" s="0"/>
      <c r="KHI123" s="0"/>
      <c r="KHJ123" s="0"/>
      <c r="KHK123" s="0"/>
      <c r="KHL123" s="0"/>
      <c r="KHM123" s="0"/>
      <c r="KHN123" s="0"/>
      <c r="KHO123" s="0"/>
      <c r="KHP123" s="0"/>
      <c r="KHQ123" s="0"/>
      <c r="KHR123" s="0"/>
      <c r="KHS123" s="0"/>
      <c r="KHT123" s="0"/>
      <c r="KHU123" s="0"/>
      <c r="KHV123" s="0"/>
      <c r="KHW123" s="0"/>
      <c r="KHX123" s="0"/>
      <c r="KHY123" s="0"/>
      <c r="KHZ123" s="0"/>
      <c r="KIA123" s="0"/>
      <c r="KIB123" s="0"/>
      <c r="KIC123" s="0"/>
      <c r="KID123" s="0"/>
      <c r="KIE123" s="0"/>
      <c r="KIF123" s="0"/>
      <c r="KIG123" s="0"/>
      <c r="KIH123" s="0"/>
      <c r="KII123" s="0"/>
      <c r="KIJ123" s="0"/>
      <c r="KIK123" s="0"/>
      <c r="KIL123" s="0"/>
      <c r="KIM123" s="0"/>
      <c r="KIN123" s="0"/>
      <c r="KIO123" s="0"/>
      <c r="KIP123" s="0"/>
      <c r="KIQ123" s="0"/>
      <c r="KIR123" s="0"/>
      <c r="KIS123" s="0"/>
      <c r="KIT123" s="0"/>
      <c r="KIU123" s="0"/>
      <c r="KIV123" s="0"/>
      <c r="KIW123" s="0"/>
      <c r="KIX123" s="0"/>
      <c r="KIY123" s="0"/>
      <c r="KIZ123" s="0"/>
      <c r="KJA123" s="0"/>
      <c r="KJB123" s="0"/>
      <c r="KJC123" s="0"/>
      <c r="KJD123" s="0"/>
      <c r="KJE123" s="0"/>
      <c r="KJF123" s="0"/>
      <c r="KJG123" s="0"/>
      <c r="KJH123" s="0"/>
      <c r="KJI123" s="0"/>
      <c r="KJJ123" s="0"/>
      <c r="KJK123" s="0"/>
      <c r="KJL123" s="0"/>
      <c r="KJM123" s="0"/>
      <c r="KJN123" s="0"/>
      <c r="KJO123" s="0"/>
      <c r="KJP123" s="0"/>
      <c r="KJQ123" s="0"/>
      <c r="KJR123" s="0"/>
      <c r="KJS123" s="0"/>
      <c r="KJT123" s="0"/>
      <c r="KJU123" s="0"/>
      <c r="KJV123" s="0"/>
      <c r="KJW123" s="0"/>
      <c r="KJX123" s="0"/>
      <c r="KJY123" s="0"/>
      <c r="KJZ123" s="0"/>
      <c r="KKA123" s="0"/>
      <c r="KKB123" s="0"/>
      <c r="KKC123" s="0"/>
      <c r="KKD123" s="0"/>
      <c r="KKE123" s="0"/>
      <c r="KKF123" s="0"/>
      <c r="KKG123" s="0"/>
      <c r="KKH123" s="0"/>
      <c r="KKI123" s="0"/>
      <c r="KKJ123" s="0"/>
      <c r="KKK123" s="0"/>
      <c r="KKL123" s="0"/>
      <c r="KKM123" s="0"/>
      <c r="KKN123" s="0"/>
      <c r="KKO123" s="0"/>
      <c r="KKP123" s="0"/>
      <c r="KKQ123" s="0"/>
      <c r="KKR123" s="0"/>
      <c r="KKS123" s="0"/>
      <c r="KKT123" s="0"/>
      <c r="KKU123" s="0"/>
      <c r="KKV123" s="0"/>
      <c r="KKW123" s="0"/>
      <c r="KKX123" s="0"/>
      <c r="KKY123" s="0"/>
      <c r="KKZ123" s="0"/>
      <c r="KLA123" s="0"/>
      <c r="KLB123" s="0"/>
      <c r="KLC123" s="0"/>
      <c r="KLD123" s="0"/>
      <c r="KLE123" s="0"/>
      <c r="KLF123" s="0"/>
      <c r="KLG123" s="0"/>
      <c r="KLH123" s="0"/>
      <c r="KLI123" s="0"/>
      <c r="KLJ123" s="0"/>
      <c r="KLK123" s="0"/>
      <c r="KLL123" s="0"/>
      <c r="KLM123" s="0"/>
      <c r="KLN123" s="0"/>
      <c r="KLO123" s="0"/>
      <c r="KLP123" s="0"/>
      <c r="KLQ123" s="0"/>
      <c r="KLR123" s="0"/>
      <c r="KLS123" s="0"/>
      <c r="KLT123" s="0"/>
      <c r="KLU123" s="0"/>
      <c r="KLV123" s="0"/>
      <c r="KLW123" s="0"/>
      <c r="KLX123" s="0"/>
      <c r="KLY123" s="0"/>
      <c r="KLZ123" s="0"/>
      <c r="KMA123" s="0"/>
      <c r="KMB123" s="0"/>
      <c r="KMC123" s="0"/>
      <c r="KMD123" s="0"/>
      <c r="KME123" s="0"/>
      <c r="KMF123" s="0"/>
      <c r="KMG123" s="0"/>
      <c r="KMH123" s="0"/>
      <c r="KMI123" s="0"/>
      <c r="KMJ123" s="0"/>
      <c r="KMK123" s="0"/>
      <c r="KML123" s="0"/>
      <c r="KMM123" s="0"/>
      <c r="KMN123" s="0"/>
      <c r="KMO123" s="0"/>
      <c r="KMP123" s="0"/>
      <c r="KMQ123" s="0"/>
      <c r="KMR123" s="0"/>
      <c r="KMS123" s="0"/>
      <c r="KMT123" s="0"/>
      <c r="KMU123" s="0"/>
      <c r="KMV123" s="0"/>
      <c r="KMW123" s="0"/>
      <c r="KMX123" s="0"/>
      <c r="KMY123" s="0"/>
      <c r="KMZ123" s="0"/>
      <c r="KNA123" s="0"/>
      <c r="KNB123" s="0"/>
      <c r="KNC123" s="0"/>
      <c r="KND123" s="0"/>
      <c r="KNE123" s="0"/>
      <c r="KNF123" s="0"/>
      <c r="KNG123" s="0"/>
      <c r="KNH123" s="0"/>
      <c r="KNI123" s="0"/>
      <c r="KNJ123" s="0"/>
      <c r="KNK123" s="0"/>
      <c r="KNL123" s="0"/>
      <c r="KNM123" s="0"/>
      <c r="KNN123" s="0"/>
      <c r="KNO123" s="0"/>
      <c r="KNP123" s="0"/>
      <c r="KNQ123" s="0"/>
      <c r="KNR123" s="0"/>
      <c r="KNS123" s="0"/>
      <c r="KNT123" s="0"/>
      <c r="KNU123" s="0"/>
      <c r="KNV123" s="0"/>
      <c r="KNW123" s="0"/>
      <c r="KNX123" s="0"/>
      <c r="KNY123" s="0"/>
      <c r="KNZ123" s="0"/>
      <c r="KOA123" s="0"/>
      <c r="KOB123" s="0"/>
      <c r="KOC123" s="0"/>
      <c r="KOD123" s="0"/>
      <c r="KOE123" s="0"/>
      <c r="KOF123" s="0"/>
      <c r="KOG123" s="0"/>
      <c r="KOH123" s="0"/>
      <c r="KOI123" s="0"/>
      <c r="KOJ123" s="0"/>
      <c r="KOK123" s="0"/>
      <c r="KOL123" s="0"/>
      <c r="KOM123" s="0"/>
      <c r="KON123" s="0"/>
      <c r="KOO123" s="0"/>
      <c r="KOP123" s="0"/>
      <c r="KOQ123" s="0"/>
      <c r="KOR123" s="0"/>
      <c r="KOS123" s="0"/>
      <c r="KOT123" s="0"/>
      <c r="KOU123" s="0"/>
      <c r="KOV123" s="0"/>
      <c r="KOW123" s="0"/>
      <c r="KOX123" s="0"/>
      <c r="KOY123" s="0"/>
      <c r="KOZ123" s="0"/>
      <c r="KPA123" s="0"/>
      <c r="KPB123" s="0"/>
      <c r="KPC123" s="0"/>
      <c r="KPD123" s="0"/>
      <c r="KPE123" s="0"/>
      <c r="KPF123" s="0"/>
      <c r="KPG123" s="0"/>
      <c r="KPH123" s="0"/>
      <c r="KPI123" s="0"/>
      <c r="KPJ123" s="0"/>
      <c r="KPK123" s="0"/>
      <c r="KPL123" s="0"/>
      <c r="KPM123" s="0"/>
      <c r="KPN123" s="0"/>
      <c r="KPO123" s="0"/>
      <c r="KPP123" s="0"/>
      <c r="KPQ123" s="0"/>
      <c r="KPR123" s="0"/>
      <c r="KPS123" s="0"/>
      <c r="KPT123" s="0"/>
      <c r="KPU123" s="0"/>
      <c r="KPV123" s="0"/>
      <c r="KPW123" s="0"/>
      <c r="KPX123" s="0"/>
      <c r="KPY123" s="0"/>
      <c r="KPZ123" s="0"/>
      <c r="KQA123" s="0"/>
      <c r="KQB123" s="0"/>
      <c r="KQC123" s="0"/>
      <c r="KQD123" s="0"/>
      <c r="KQE123" s="0"/>
      <c r="KQF123" s="0"/>
      <c r="KQG123" s="0"/>
      <c r="KQH123" s="0"/>
      <c r="KQI123" s="0"/>
      <c r="KQJ123" s="0"/>
      <c r="KQK123" s="0"/>
      <c r="KQL123" s="0"/>
      <c r="KQM123" s="0"/>
      <c r="KQN123" s="0"/>
      <c r="KQO123" s="0"/>
      <c r="KQP123" s="0"/>
      <c r="KQQ123" s="0"/>
      <c r="KQR123" s="0"/>
      <c r="KQS123" s="0"/>
      <c r="KQT123" s="0"/>
      <c r="KQU123" s="0"/>
      <c r="KQV123" s="0"/>
      <c r="KQW123" s="0"/>
      <c r="KQX123" s="0"/>
      <c r="KQY123" s="0"/>
      <c r="KQZ123" s="0"/>
      <c r="KRA123" s="0"/>
      <c r="KRB123" s="0"/>
      <c r="KRC123" s="0"/>
      <c r="KRD123" s="0"/>
      <c r="KRE123" s="0"/>
      <c r="KRF123" s="0"/>
      <c r="KRG123" s="0"/>
      <c r="KRH123" s="0"/>
      <c r="KRI123" s="0"/>
      <c r="KRJ123" s="0"/>
      <c r="KRK123" s="0"/>
      <c r="KRL123" s="0"/>
      <c r="KRM123" s="0"/>
      <c r="KRN123" s="0"/>
      <c r="KRO123" s="0"/>
      <c r="KRP123" s="0"/>
      <c r="KRQ123" s="0"/>
      <c r="KRR123" s="0"/>
      <c r="KRS123" s="0"/>
      <c r="KRT123" s="0"/>
      <c r="KRU123" s="0"/>
      <c r="KRV123" s="0"/>
      <c r="KRW123" s="0"/>
      <c r="KRX123" s="0"/>
      <c r="KRY123" s="0"/>
      <c r="KRZ123" s="0"/>
      <c r="KSA123" s="0"/>
      <c r="KSB123" s="0"/>
      <c r="KSC123" s="0"/>
      <c r="KSD123" s="0"/>
      <c r="KSE123" s="0"/>
      <c r="KSF123" s="0"/>
      <c r="KSG123" s="0"/>
      <c r="KSH123" s="0"/>
      <c r="KSI123" s="0"/>
      <c r="KSJ123" s="0"/>
      <c r="KSK123" s="0"/>
      <c r="KSL123" s="0"/>
      <c r="KSM123" s="0"/>
      <c r="KSN123" s="0"/>
      <c r="KSO123" s="0"/>
      <c r="KSP123" s="0"/>
      <c r="KSQ123" s="0"/>
      <c r="KSR123" s="0"/>
      <c r="KSS123" s="0"/>
      <c r="KST123" s="0"/>
      <c r="KSU123" s="0"/>
      <c r="KSV123" s="0"/>
      <c r="KSW123" s="0"/>
      <c r="KSX123" s="0"/>
      <c r="KSY123" s="0"/>
      <c r="KSZ123" s="0"/>
      <c r="KTA123" s="0"/>
      <c r="KTB123" s="0"/>
      <c r="KTC123" s="0"/>
      <c r="KTD123" s="0"/>
      <c r="KTE123" s="0"/>
      <c r="KTF123" s="0"/>
      <c r="KTG123" s="0"/>
      <c r="KTH123" s="0"/>
      <c r="KTI123" s="0"/>
      <c r="KTJ123" s="0"/>
      <c r="KTK123" s="0"/>
      <c r="KTL123" s="0"/>
      <c r="KTM123" s="0"/>
      <c r="KTN123" s="0"/>
      <c r="KTO123" s="0"/>
      <c r="KTP123" s="0"/>
      <c r="KTQ123" s="0"/>
      <c r="KTR123" s="0"/>
      <c r="KTS123" s="0"/>
      <c r="KTT123" s="0"/>
      <c r="KTU123" s="0"/>
      <c r="KTV123" s="0"/>
      <c r="KTW123" s="0"/>
      <c r="KTX123" s="0"/>
      <c r="KTY123" s="0"/>
      <c r="KTZ123" s="0"/>
      <c r="KUA123" s="0"/>
      <c r="KUB123" s="0"/>
      <c r="KUC123" s="0"/>
      <c r="KUD123" s="0"/>
      <c r="KUE123" s="0"/>
      <c r="KUF123" s="0"/>
      <c r="KUG123" s="0"/>
      <c r="KUH123" s="0"/>
      <c r="KUI123" s="0"/>
      <c r="KUJ123" s="0"/>
      <c r="KUK123" s="0"/>
      <c r="KUL123" s="0"/>
      <c r="KUM123" s="0"/>
      <c r="KUN123" s="0"/>
      <c r="KUO123" s="0"/>
      <c r="KUP123" s="0"/>
      <c r="KUQ123" s="0"/>
      <c r="KUR123" s="0"/>
      <c r="KUS123" s="0"/>
      <c r="KUT123" s="0"/>
      <c r="KUU123" s="0"/>
      <c r="KUV123" s="0"/>
      <c r="KUW123" s="0"/>
      <c r="KUX123" s="0"/>
      <c r="KUY123" s="0"/>
      <c r="KUZ123" s="0"/>
      <c r="KVA123" s="0"/>
      <c r="KVB123" s="0"/>
      <c r="KVC123" s="0"/>
      <c r="KVD123" s="0"/>
      <c r="KVE123" s="0"/>
      <c r="KVF123" s="0"/>
      <c r="KVG123" s="0"/>
      <c r="KVH123" s="0"/>
      <c r="KVI123" s="0"/>
      <c r="KVJ123" s="0"/>
      <c r="KVK123" s="0"/>
      <c r="KVL123" s="0"/>
      <c r="KVM123" s="0"/>
      <c r="KVN123" s="0"/>
      <c r="KVO123" s="0"/>
      <c r="KVP123" s="0"/>
      <c r="KVQ123" s="0"/>
      <c r="KVR123" s="0"/>
      <c r="KVS123" s="0"/>
      <c r="KVT123" s="0"/>
      <c r="KVU123" s="0"/>
      <c r="KVV123" s="0"/>
      <c r="KVW123" s="0"/>
      <c r="KVX123" s="0"/>
      <c r="KVY123" s="0"/>
      <c r="KVZ123" s="0"/>
      <c r="KWA123" s="0"/>
      <c r="KWB123" s="0"/>
      <c r="KWC123" s="0"/>
      <c r="KWD123" s="0"/>
      <c r="KWE123" s="0"/>
      <c r="KWF123" s="0"/>
      <c r="KWG123" s="0"/>
      <c r="KWH123" s="0"/>
      <c r="KWI123" s="0"/>
      <c r="KWJ123" s="0"/>
      <c r="KWK123" s="0"/>
      <c r="KWL123" s="0"/>
      <c r="KWM123" s="0"/>
      <c r="KWN123" s="0"/>
      <c r="KWO123" s="0"/>
      <c r="KWP123" s="0"/>
      <c r="KWQ123" s="0"/>
      <c r="KWR123" s="0"/>
      <c r="KWS123" s="0"/>
      <c r="KWT123" s="0"/>
      <c r="KWU123" s="0"/>
      <c r="KWV123" s="0"/>
      <c r="KWW123" s="0"/>
      <c r="KWX123" s="0"/>
      <c r="KWY123" s="0"/>
      <c r="KWZ123" s="0"/>
      <c r="KXA123" s="0"/>
      <c r="KXB123" s="0"/>
      <c r="KXC123" s="0"/>
      <c r="KXD123" s="0"/>
      <c r="KXE123" s="0"/>
      <c r="KXF123" s="0"/>
      <c r="KXG123" s="0"/>
      <c r="KXH123" s="0"/>
      <c r="KXI123" s="0"/>
      <c r="KXJ123" s="0"/>
      <c r="KXK123" s="0"/>
      <c r="KXL123" s="0"/>
      <c r="KXM123" s="0"/>
      <c r="KXN123" s="0"/>
      <c r="KXO123" s="0"/>
      <c r="KXP123" s="0"/>
      <c r="KXQ123" s="0"/>
      <c r="KXR123" s="0"/>
      <c r="KXS123" s="0"/>
      <c r="KXT123" s="0"/>
      <c r="KXU123" s="0"/>
      <c r="KXV123" s="0"/>
      <c r="KXW123" s="0"/>
      <c r="KXX123" s="0"/>
      <c r="KXY123" s="0"/>
      <c r="KXZ123" s="0"/>
      <c r="KYA123" s="0"/>
      <c r="KYB123" s="0"/>
      <c r="KYC123" s="0"/>
      <c r="KYD123" s="0"/>
      <c r="KYE123" s="0"/>
      <c r="KYF123" s="0"/>
      <c r="KYG123" s="0"/>
      <c r="KYH123" s="0"/>
      <c r="KYI123" s="0"/>
      <c r="KYJ123" s="0"/>
      <c r="KYK123" s="0"/>
      <c r="KYL123" s="0"/>
      <c r="KYM123" s="0"/>
      <c r="KYN123" s="0"/>
      <c r="KYO123" s="0"/>
      <c r="KYP123" s="0"/>
      <c r="KYQ123" s="0"/>
      <c r="KYR123" s="0"/>
      <c r="KYS123" s="0"/>
      <c r="KYT123" s="0"/>
      <c r="KYU123" s="0"/>
      <c r="KYV123" s="0"/>
      <c r="KYW123" s="0"/>
      <c r="KYX123" s="0"/>
      <c r="KYY123" s="0"/>
      <c r="KYZ123" s="0"/>
      <c r="KZA123" s="0"/>
      <c r="KZB123" s="0"/>
      <c r="KZC123" s="0"/>
      <c r="KZD123" s="0"/>
      <c r="KZE123" s="0"/>
      <c r="KZF123" s="0"/>
      <c r="KZG123" s="0"/>
      <c r="KZH123" s="0"/>
      <c r="KZI123" s="0"/>
      <c r="KZJ123" s="0"/>
      <c r="KZK123" s="0"/>
      <c r="KZL123" s="0"/>
      <c r="KZM123" s="0"/>
      <c r="KZN123" s="0"/>
      <c r="KZO123" s="0"/>
      <c r="KZP123" s="0"/>
      <c r="KZQ123" s="0"/>
      <c r="KZR123" s="0"/>
      <c r="KZS123" s="0"/>
      <c r="KZT123" s="0"/>
      <c r="KZU123" s="0"/>
      <c r="KZV123" s="0"/>
      <c r="KZW123" s="0"/>
      <c r="KZX123" s="0"/>
      <c r="KZY123" s="0"/>
      <c r="KZZ123" s="0"/>
      <c r="LAA123" s="0"/>
      <c r="LAB123" s="0"/>
      <c r="LAC123" s="0"/>
      <c r="LAD123" s="0"/>
      <c r="LAE123" s="0"/>
      <c r="LAF123" s="0"/>
      <c r="LAG123" s="0"/>
      <c r="LAH123" s="0"/>
      <c r="LAI123" s="0"/>
      <c r="LAJ123" s="0"/>
      <c r="LAK123" s="0"/>
      <c r="LAL123" s="0"/>
      <c r="LAM123" s="0"/>
      <c r="LAN123" s="0"/>
      <c r="LAO123" s="0"/>
      <c r="LAP123" s="0"/>
      <c r="LAQ123" s="0"/>
      <c r="LAR123" s="0"/>
      <c r="LAS123" s="0"/>
      <c r="LAT123" s="0"/>
      <c r="LAU123" s="0"/>
      <c r="LAV123" s="0"/>
      <c r="LAW123" s="0"/>
      <c r="LAX123" s="0"/>
      <c r="LAY123" s="0"/>
      <c r="LAZ123" s="0"/>
      <c r="LBA123" s="0"/>
      <c r="LBB123" s="0"/>
      <c r="LBC123" s="0"/>
      <c r="LBD123" s="0"/>
      <c r="LBE123" s="0"/>
      <c r="LBF123" s="0"/>
      <c r="LBG123" s="0"/>
      <c r="LBH123" s="0"/>
      <c r="LBI123" s="0"/>
      <c r="LBJ123" s="0"/>
      <c r="LBK123" s="0"/>
      <c r="LBL123" s="0"/>
      <c r="LBM123" s="0"/>
      <c r="LBN123" s="0"/>
      <c r="LBO123" s="0"/>
      <c r="LBP123" s="0"/>
      <c r="LBQ123" s="0"/>
      <c r="LBR123" s="0"/>
      <c r="LBS123" s="0"/>
      <c r="LBT123" s="0"/>
      <c r="LBU123" s="0"/>
      <c r="LBV123" s="0"/>
      <c r="LBW123" s="0"/>
      <c r="LBX123" s="0"/>
      <c r="LBY123" s="0"/>
      <c r="LBZ123" s="0"/>
      <c r="LCA123" s="0"/>
      <c r="LCB123" s="0"/>
      <c r="LCC123" s="0"/>
      <c r="LCD123" s="0"/>
      <c r="LCE123" s="0"/>
      <c r="LCF123" s="0"/>
      <c r="LCG123" s="0"/>
      <c r="LCH123" s="0"/>
      <c r="LCI123" s="0"/>
      <c r="LCJ123" s="0"/>
      <c r="LCK123" s="0"/>
      <c r="LCL123" s="0"/>
      <c r="LCM123" s="0"/>
      <c r="LCN123" s="0"/>
      <c r="LCO123" s="0"/>
      <c r="LCP123" s="0"/>
      <c r="LCQ123" s="0"/>
      <c r="LCR123" s="0"/>
      <c r="LCS123" s="0"/>
      <c r="LCT123" s="0"/>
      <c r="LCU123" s="0"/>
      <c r="LCV123" s="0"/>
      <c r="LCW123" s="0"/>
      <c r="LCX123" s="0"/>
      <c r="LCY123" s="0"/>
      <c r="LCZ123" s="0"/>
      <c r="LDA123" s="0"/>
      <c r="LDB123" s="0"/>
      <c r="LDC123" s="0"/>
      <c r="LDD123" s="0"/>
      <c r="LDE123" s="0"/>
      <c r="LDF123" s="0"/>
      <c r="LDG123" s="0"/>
      <c r="LDH123" s="0"/>
      <c r="LDI123" s="0"/>
      <c r="LDJ123" s="0"/>
      <c r="LDK123" s="0"/>
      <c r="LDL123" s="0"/>
      <c r="LDM123" s="0"/>
      <c r="LDN123" s="0"/>
      <c r="LDO123" s="0"/>
      <c r="LDP123" s="0"/>
      <c r="LDQ123" s="0"/>
      <c r="LDR123" s="0"/>
      <c r="LDS123" s="0"/>
      <c r="LDT123" s="0"/>
      <c r="LDU123" s="0"/>
      <c r="LDV123" s="0"/>
      <c r="LDW123" s="0"/>
      <c r="LDX123" s="0"/>
      <c r="LDY123" s="0"/>
      <c r="LDZ123" s="0"/>
      <c r="LEA123" s="0"/>
      <c r="LEB123" s="0"/>
      <c r="LEC123" s="0"/>
      <c r="LED123" s="0"/>
      <c r="LEE123" s="0"/>
      <c r="LEF123" s="0"/>
      <c r="LEG123" s="0"/>
      <c r="LEH123" s="0"/>
      <c r="LEI123" s="0"/>
      <c r="LEJ123" s="0"/>
      <c r="LEK123" s="0"/>
      <c r="LEL123" s="0"/>
      <c r="LEM123" s="0"/>
      <c r="LEN123" s="0"/>
      <c r="LEO123" s="0"/>
      <c r="LEP123" s="0"/>
      <c r="LEQ123" s="0"/>
      <c r="LER123" s="0"/>
      <c r="LES123" s="0"/>
      <c r="LET123" s="0"/>
      <c r="LEU123" s="0"/>
      <c r="LEV123" s="0"/>
      <c r="LEW123" s="0"/>
      <c r="LEX123" s="0"/>
      <c r="LEY123" s="0"/>
      <c r="LEZ123" s="0"/>
      <c r="LFA123" s="0"/>
      <c r="LFB123" s="0"/>
      <c r="LFC123" s="0"/>
      <c r="LFD123" s="0"/>
      <c r="LFE123" s="0"/>
      <c r="LFF123" s="0"/>
      <c r="LFG123" s="0"/>
      <c r="LFH123" s="0"/>
      <c r="LFI123" s="0"/>
      <c r="LFJ123" s="0"/>
      <c r="LFK123" s="0"/>
      <c r="LFL123" s="0"/>
      <c r="LFM123" s="0"/>
      <c r="LFN123" s="0"/>
      <c r="LFO123" s="0"/>
      <c r="LFP123" s="0"/>
      <c r="LFQ123" s="0"/>
      <c r="LFR123" s="0"/>
      <c r="LFS123" s="0"/>
      <c r="LFT123" s="0"/>
      <c r="LFU123" s="0"/>
      <c r="LFV123" s="0"/>
      <c r="LFW123" s="0"/>
      <c r="LFX123" s="0"/>
      <c r="LFY123" s="0"/>
      <c r="LFZ123" s="0"/>
      <c r="LGA123" s="0"/>
      <c r="LGB123" s="0"/>
      <c r="LGC123" s="0"/>
      <c r="LGD123" s="0"/>
      <c r="LGE123" s="0"/>
      <c r="LGF123" s="0"/>
      <c r="LGG123" s="0"/>
      <c r="LGH123" s="0"/>
      <c r="LGI123" s="0"/>
      <c r="LGJ123" s="0"/>
      <c r="LGK123" s="0"/>
      <c r="LGL123" s="0"/>
      <c r="LGM123" s="0"/>
      <c r="LGN123" s="0"/>
      <c r="LGO123" s="0"/>
      <c r="LGP123" s="0"/>
      <c r="LGQ123" s="0"/>
      <c r="LGR123" s="0"/>
      <c r="LGS123" s="0"/>
      <c r="LGT123" s="0"/>
      <c r="LGU123" s="0"/>
      <c r="LGV123" s="0"/>
      <c r="LGW123" s="0"/>
      <c r="LGX123" s="0"/>
      <c r="LGY123" s="0"/>
      <c r="LGZ123" s="0"/>
      <c r="LHA123" s="0"/>
      <c r="LHB123" s="0"/>
      <c r="LHC123" s="0"/>
      <c r="LHD123" s="0"/>
      <c r="LHE123" s="0"/>
      <c r="LHF123" s="0"/>
      <c r="LHG123" s="0"/>
      <c r="LHH123" s="0"/>
      <c r="LHI123" s="0"/>
      <c r="LHJ123" s="0"/>
      <c r="LHK123" s="0"/>
      <c r="LHL123" s="0"/>
      <c r="LHM123" s="0"/>
      <c r="LHN123" s="0"/>
      <c r="LHO123" s="0"/>
      <c r="LHP123" s="0"/>
      <c r="LHQ123" s="0"/>
      <c r="LHR123" s="0"/>
      <c r="LHS123" s="0"/>
      <c r="LHT123" s="0"/>
      <c r="LHU123" s="0"/>
      <c r="LHV123" s="0"/>
      <c r="LHW123" s="0"/>
      <c r="LHX123" s="0"/>
      <c r="LHY123" s="0"/>
      <c r="LHZ123" s="0"/>
      <c r="LIA123" s="0"/>
      <c r="LIB123" s="0"/>
      <c r="LIC123" s="0"/>
      <c r="LID123" s="0"/>
      <c r="LIE123" s="0"/>
      <c r="LIF123" s="0"/>
      <c r="LIG123" s="0"/>
      <c r="LIH123" s="0"/>
      <c r="LII123" s="0"/>
      <c r="LIJ123" s="0"/>
      <c r="LIK123" s="0"/>
      <c r="LIL123" s="0"/>
      <c r="LIM123" s="0"/>
      <c r="LIN123" s="0"/>
      <c r="LIO123" s="0"/>
      <c r="LIP123" s="0"/>
      <c r="LIQ123" s="0"/>
      <c r="LIR123" s="0"/>
      <c r="LIS123" s="0"/>
      <c r="LIT123" s="0"/>
      <c r="LIU123" s="0"/>
      <c r="LIV123" s="0"/>
      <c r="LIW123" s="0"/>
      <c r="LIX123" s="0"/>
      <c r="LIY123" s="0"/>
      <c r="LIZ123" s="0"/>
      <c r="LJA123" s="0"/>
      <c r="LJB123" s="0"/>
      <c r="LJC123" s="0"/>
      <c r="LJD123" s="0"/>
      <c r="LJE123" s="0"/>
      <c r="LJF123" s="0"/>
      <c r="LJG123" s="0"/>
      <c r="LJH123" s="0"/>
      <c r="LJI123" s="0"/>
      <c r="LJJ123" s="0"/>
      <c r="LJK123" s="0"/>
      <c r="LJL123" s="0"/>
      <c r="LJM123" s="0"/>
      <c r="LJN123" s="0"/>
      <c r="LJO123" s="0"/>
      <c r="LJP123" s="0"/>
      <c r="LJQ123" s="0"/>
      <c r="LJR123" s="0"/>
      <c r="LJS123" s="0"/>
      <c r="LJT123" s="0"/>
      <c r="LJU123" s="0"/>
      <c r="LJV123" s="0"/>
      <c r="LJW123" s="0"/>
      <c r="LJX123" s="0"/>
      <c r="LJY123" s="0"/>
      <c r="LJZ123" s="0"/>
      <c r="LKA123" s="0"/>
      <c r="LKB123" s="0"/>
      <c r="LKC123" s="0"/>
      <c r="LKD123" s="0"/>
      <c r="LKE123" s="0"/>
      <c r="LKF123" s="0"/>
      <c r="LKG123" s="0"/>
      <c r="LKH123" s="0"/>
      <c r="LKI123" s="0"/>
      <c r="LKJ123" s="0"/>
      <c r="LKK123" s="0"/>
      <c r="LKL123" s="0"/>
      <c r="LKM123" s="0"/>
      <c r="LKN123" s="0"/>
      <c r="LKO123" s="0"/>
      <c r="LKP123" s="0"/>
      <c r="LKQ123" s="0"/>
      <c r="LKR123" s="0"/>
      <c r="LKS123" s="0"/>
      <c r="LKT123" s="0"/>
      <c r="LKU123" s="0"/>
      <c r="LKV123" s="0"/>
      <c r="LKW123" s="0"/>
      <c r="LKX123" s="0"/>
      <c r="LKY123" s="0"/>
      <c r="LKZ123" s="0"/>
      <c r="LLA123" s="0"/>
      <c r="LLB123" s="0"/>
      <c r="LLC123" s="0"/>
      <c r="LLD123" s="0"/>
      <c r="LLE123" s="0"/>
      <c r="LLF123" s="0"/>
      <c r="LLG123" s="0"/>
      <c r="LLH123" s="0"/>
      <c r="LLI123" s="0"/>
      <c r="LLJ123" s="0"/>
      <c r="LLK123" s="0"/>
      <c r="LLL123" s="0"/>
      <c r="LLM123" s="0"/>
      <c r="LLN123" s="0"/>
      <c r="LLO123" s="0"/>
      <c r="LLP123" s="0"/>
      <c r="LLQ123" s="0"/>
      <c r="LLR123" s="0"/>
      <c r="LLS123" s="0"/>
      <c r="LLT123" s="0"/>
      <c r="LLU123" s="0"/>
      <c r="LLV123" s="0"/>
      <c r="LLW123" s="0"/>
      <c r="LLX123" s="0"/>
      <c r="LLY123" s="0"/>
      <c r="LLZ123" s="0"/>
      <c r="LMA123" s="0"/>
      <c r="LMB123" s="0"/>
      <c r="LMC123" s="0"/>
      <c r="LMD123" s="0"/>
      <c r="LME123" s="0"/>
      <c r="LMF123" s="0"/>
      <c r="LMG123" s="0"/>
      <c r="LMH123" s="0"/>
      <c r="LMI123" s="0"/>
      <c r="LMJ123" s="0"/>
      <c r="LMK123" s="0"/>
      <c r="LML123" s="0"/>
      <c r="LMM123" s="0"/>
      <c r="LMN123" s="0"/>
      <c r="LMO123" s="0"/>
      <c r="LMP123" s="0"/>
      <c r="LMQ123" s="0"/>
      <c r="LMR123" s="0"/>
      <c r="LMS123" s="0"/>
      <c r="LMT123" s="0"/>
      <c r="LMU123" s="0"/>
      <c r="LMV123" s="0"/>
      <c r="LMW123" s="0"/>
      <c r="LMX123" s="0"/>
      <c r="LMY123" s="0"/>
      <c r="LMZ123" s="0"/>
      <c r="LNA123" s="0"/>
      <c r="LNB123" s="0"/>
      <c r="LNC123" s="0"/>
      <c r="LND123" s="0"/>
      <c r="LNE123" s="0"/>
      <c r="LNF123" s="0"/>
      <c r="LNG123" s="0"/>
      <c r="LNH123" s="0"/>
      <c r="LNI123" s="0"/>
      <c r="LNJ123" s="0"/>
      <c r="LNK123" s="0"/>
      <c r="LNL123" s="0"/>
      <c r="LNM123" s="0"/>
      <c r="LNN123" s="0"/>
      <c r="LNO123" s="0"/>
      <c r="LNP123" s="0"/>
      <c r="LNQ123" s="0"/>
      <c r="LNR123" s="0"/>
      <c r="LNS123" s="0"/>
      <c r="LNT123" s="0"/>
      <c r="LNU123" s="0"/>
      <c r="LNV123" s="0"/>
      <c r="LNW123" s="0"/>
      <c r="LNX123" s="0"/>
      <c r="LNY123" s="0"/>
      <c r="LNZ123" s="0"/>
      <c r="LOA123" s="0"/>
      <c r="LOB123" s="0"/>
      <c r="LOC123" s="0"/>
      <c r="LOD123" s="0"/>
      <c r="LOE123" s="0"/>
      <c r="LOF123" s="0"/>
      <c r="LOG123" s="0"/>
      <c r="LOH123" s="0"/>
      <c r="LOI123" s="0"/>
      <c r="LOJ123" s="0"/>
      <c r="LOK123" s="0"/>
      <c r="LOL123" s="0"/>
      <c r="LOM123" s="0"/>
      <c r="LON123" s="0"/>
      <c r="LOO123" s="0"/>
      <c r="LOP123" s="0"/>
      <c r="LOQ123" s="0"/>
      <c r="LOR123" s="0"/>
      <c r="LOS123" s="0"/>
      <c r="LOT123" s="0"/>
      <c r="LOU123" s="0"/>
      <c r="LOV123" s="0"/>
      <c r="LOW123" s="0"/>
      <c r="LOX123" s="0"/>
      <c r="LOY123" s="0"/>
      <c r="LOZ123" s="0"/>
      <c r="LPA123" s="0"/>
      <c r="LPB123" s="0"/>
      <c r="LPC123" s="0"/>
      <c r="LPD123" s="0"/>
      <c r="LPE123" s="0"/>
      <c r="LPF123" s="0"/>
      <c r="LPG123" s="0"/>
      <c r="LPH123" s="0"/>
      <c r="LPI123" s="0"/>
      <c r="LPJ123" s="0"/>
      <c r="LPK123" s="0"/>
      <c r="LPL123" s="0"/>
      <c r="LPM123" s="0"/>
      <c r="LPN123" s="0"/>
      <c r="LPO123" s="0"/>
      <c r="LPP123" s="0"/>
      <c r="LPQ123" s="0"/>
      <c r="LPR123" s="0"/>
      <c r="LPS123" s="0"/>
      <c r="LPT123" s="0"/>
      <c r="LPU123" s="0"/>
      <c r="LPV123" s="0"/>
      <c r="LPW123" s="0"/>
      <c r="LPX123" s="0"/>
      <c r="LPY123" s="0"/>
      <c r="LPZ123" s="0"/>
      <c r="LQA123" s="0"/>
      <c r="LQB123" s="0"/>
      <c r="LQC123" s="0"/>
      <c r="LQD123" s="0"/>
      <c r="LQE123" s="0"/>
      <c r="LQF123" s="0"/>
      <c r="LQG123" s="0"/>
      <c r="LQH123" s="0"/>
      <c r="LQI123" s="0"/>
      <c r="LQJ123" s="0"/>
      <c r="LQK123" s="0"/>
      <c r="LQL123" s="0"/>
      <c r="LQM123" s="0"/>
      <c r="LQN123" s="0"/>
      <c r="LQO123" s="0"/>
      <c r="LQP123" s="0"/>
      <c r="LQQ123" s="0"/>
      <c r="LQR123" s="0"/>
      <c r="LQS123" s="0"/>
      <c r="LQT123" s="0"/>
      <c r="LQU123" s="0"/>
      <c r="LQV123" s="0"/>
      <c r="LQW123" s="0"/>
      <c r="LQX123" s="0"/>
      <c r="LQY123" s="0"/>
      <c r="LQZ123" s="0"/>
      <c r="LRA123" s="0"/>
      <c r="LRB123" s="0"/>
      <c r="LRC123" s="0"/>
      <c r="LRD123" s="0"/>
      <c r="LRE123" s="0"/>
      <c r="LRF123" s="0"/>
      <c r="LRG123" s="0"/>
      <c r="LRH123" s="0"/>
      <c r="LRI123" s="0"/>
      <c r="LRJ123" s="0"/>
      <c r="LRK123" s="0"/>
      <c r="LRL123" s="0"/>
      <c r="LRM123" s="0"/>
      <c r="LRN123" s="0"/>
      <c r="LRO123" s="0"/>
      <c r="LRP123" s="0"/>
      <c r="LRQ123" s="0"/>
      <c r="LRR123" s="0"/>
      <c r="LRS123" s="0"/>
      <c r="LRT123" s="0"/>
      <c r="LRU123" s="0"/>
      <c r="LRV123" s="0"/>
      <c r="LRW123" s="0"/>
      <c r="LRX123" s="0"/>
      <c r="LRY123" s="0"/>
      <c r="LRZ123" s="0"/>
      <c r="LSA123" s="0"/>
      <c r="LSB123" s="0"/>
      <c r="LSC123" s="0"/>
      <c r="LSD123" s="0"/>
      <c r="LSE123" s="0"/>
      <c r="LSF123" s="0"/>
      <c r="LSG123" s="0"/>
      <c r="LSH123" s="0"/>
      <c r="LSI123" s="0"/>
      <c r="LSJ123" s="0"/>
      <c r="LSK123" s="0"/>
      <c r="LSL123" s="0"/>
      <c r="LSM123" s="0"/>
      <c r="LSN123" s="0"/>
      <c r="LSO123" s="0"/>
      <c r="LSP123" s="0"/>
      <c r="LSQ123" s="0"/>
      <c r="LSR123" s="0"/>
      <c r="LSS123" s="0"/>
      <c r="LST123" s="0"/>
      <c r="LSU123" s="0"/>
      <c r="LSV123" s="0"/>
      <c r="LSW123" s="0"/>
      <c r="LSX123" s="0"/>
      <c r="LSY123" s="0"/>
      <c r="LSZ123" s="0"/>
      <c r="LTA123" s="0"/>
      <c r="LTB123" s="0"/>
      <c r="LTC123" s="0"/>
      <c r="LTD123" s="0"/>
      <c r="LTE123" s="0"/>
      <c r="LTF123" s="0"/>
      <c r="LTG123" s="0"/>
      <c r="LTH123" s="0"/>
      <c r="LTI123" s="0"/>
      <c r="LTJ123" s="0"/>
      <c r="LTK123" s="0"/>
      <c r="LTL123" s="0"/>
      <c r="LTM123" s="0"/>
      <c r="LTN123" s="0"/>
      <c r="LTO123" s="0"/>
      <c r="LTP123" s="0"/>
      <c r="LTQ123" s="0"/>
      <c r="LTR123" s="0"/>
      <c r="LTS123" s="0"/>
      <c r="LTT123" s="0"/>
      <c r="LTU123" s="0"/>
      <c r="LTV123" s="0"/>
      <c r="LTW123" s="0"/>
      <c r="LTX123" s="0"/>
      <c r="LTY123" s="0"/>
      <c r="LTZ123" s="0"/>
      <c r="LUA123" s="0"/>
      <c r="LUB123" s="0"/>
      <c r="LUC123" s="0"/>
      <c r="LUD123" s="0"/>
      <c r="LUE123" s="0"/>
      <c r="LUF123" s="0"/>
      <c r="LUG123" s="0"/>
      <c r="LUH123" s="0"/>
      <c r="LUI123" s="0"/>
      <c r="LUJ123" s="0"/>
      <c r="LUK123" s="0"/>
      <c r="LUL123" s="0"/>
      <c r="LUM123" s="0"/>
      <c r="LUN123" s="0"/>
      <c r="LUO123" s="0"/>
      <c r="LUP123" s="0"/>
      <c r="LUQ123" s="0"/>
      <c r="LUR123" s="0"/>
      <c r="LUS123" s="0"/>
      <c r="LUT123" s="0"/>
      <c r="LUU123" s="0"/>
      <c r="LUV123" s="0"/>
      <c r="LUW123" s="0"/>
      <c r="LUX123" s="0"/>
      <c r="LUY123" s="0"/>
      <c r="LUZ123" s="0"/>
      <c r="LVA123" s="0"/>
      <c r="LVB123" s="0"/>
      <c r="LVC123" s="0"/>
      <c r="LVD123" s="0"/>
      <c r="LVE123" s="0"/>
      <c r="LVF123" s="0"/>
      <c r="LVG123" s="0"/>
      <c r="LVH123" s="0"/>
      <c r="LVI123" s="0"/>
      <c r="LVJ123" s="0"/>
      <c r="LVK123" s="0"/>
      <c r="LVL123" s="0"/>
      <c r="LVM123" s="0"/>
      <c r="LVN123" s="0"/>
      <c r="LVO123" s="0"/>
      <c r="LVP123" s="0"/>
      <c r="LVQ123" s="0"/>
      <c r="LVR123" s="0"/>
      <c r="LVS123" s="0"/>
      <c r="LVT123" s="0"/>
      <c r="LVU123" s="0"/>
      <c r="LVV123" s="0"/>
      <c r="LVW123" s="0"/>
      <c r="LVX123" s="0"/>
      <c r="LVY123" s="0"/>
      <c r="LVZ123" s="0"/>
      <c r="LWA123" s="0"/>
      <c r="LWB123" s="0"/>
      <c r="LWC123" s="0"/>
      <c r="LWD123" s="0"/>
      <c r="LWE123" s="0"/>
      <c r="LWF123" s="0"/>
      <c r="LWG123" s="0"/>
      <c r="LWH123" s="0"/>
      <c r="LWI123" s="0"/>
      <c r="LWJ123" s="0"/>
      <c r="LWK123" s="0"/>
      <c r="LWL123" s="0"/>
      <c r="LWM123" s="0"/>
      <c r="LWN123" s="0"/>
      <c r="LWO123" s="0"/>
      <c r="LWP123" s="0"/>
      <c r="LWQ123" s="0"/>
      <c r="LWR123" s="0"/>
      <c r="LWS123" s="0"/>
      <c r="LWT123" s="0"/>
      <c r="LWU123" s="0"/>
      <c r="LWV123" s="0"/>
      <c r="LWW123" s="0"/>
      <c r="LWX123" s="0"/>
      <c r="LWY123" s="0"/>
      <c r="LWZ123" s="0"/>
      <c r="LXA123" s="0"/>
      <c r="LXB123" s="0"/>
      <c r="LXC123" s="0"/>
      <c r="LXD123" s="0"/>
      <c r="LXE123" s="0"/>
      <c r="LXF123" s="0"/>
      <c r="LXG123" s="0"/>
      <c r="LXH123" s="0"/>
      <c r="LXI123" s="0"/>
      <c r="LXJ123" s="0"/>
      <c r="LXK123" s="0"/>
      <c r="LXL123" s="0"/>
      <c r="LXM123" s="0"/>
      <c r="LXN123" s="0"/>
      <c r="LXO123" s="0"/>
      <c r="LXP123" s="0"/>
      <c r="LXQ123" s="0"/>
      <c r="LXR123" s="0"/>
      <c r="LXS123" s="0"/>
      <c r="LXT123" s="0"/>
      <c r="LXU123" s="0"/>
      <c r="LXV123" s="0"/>
      <c r="LXW123" s="0"/>
      <c r="LXX123" s="0"/>
      <c r="LXY123" s="0"/>
      <c r="LXZ123" s="0"/>
      <c r="LYA123" s="0"/>
      <c r="LYB123" s="0"/>
      <c r="LYC123" s="0"/>
      <c r="LYD123" s="0"/>
      <c r="LYE123" s="0"/>
      <c r="LYF123" s="0"/>
      <c r="LYG123" s="0"/>
      <c r="LYH123" s="0"/>
      <c r="LYI123" s="0"/>
      <c r="LYJ123" s="0"/>
      <c r="LYK123" s="0"/>
      <c r="LYL123" s="0"/>
      <c r="LYM123" s="0"/>
      <c r="LYN123" s="0"/>
      <c r="LYO123" s="0"/>
      <c r="LYP123" s="0"/>
      <c r="LYQ123" s="0"/>
      <c r="LYR123" s="0"/>
      <c r="LYS123" s="0"/>
      <c r="LYT123" s="0"/>
      <c r="LYU123" s="0"/>
      <c r="LYV123" s="0"/>
      <c r="LYW123" s="0"/>
      <c r="LYX123" s="0"/>
      <c r="LYY123" s="0"/>
      <c r="LYZ123" s="0"/>
      <c r="LZA123" s="0"/>
      <c r="LZB123" s="0"/>
      <c r="LZC123" s="0"/>
      <c r="LZD123" s="0"/>
      <c r="LZE123" s="0"/>
      <c r="LZF123" s="0"/>
      <c r="LZG123" s="0"/>
      <c r="LZH123" s="0"/>
      <c r="LZI123" s="0"/>
      <c r="LZJ123" s="0"/>
      <c r="LZK123" s="0"/>
      <c r="LZL123" s="0"/>
      <c r="LZM123" s="0"/>
      <c r="LZN123" s="0"/>
      <c r="LZO123" s="0"/>
      <c r="LZP123" s="0"/>
      <c r="LZQ123" s="0"/>
      <c r="LZR123" s="0"/>
      <c r="LZS123" s="0"/>
      <c r="LZT123" s="0"/>
      <c r="LZU123" s="0"/>
      <c r="LZV123" s="0"/>
      <c r="LZW123" s="0"/>
      <c r="LZX123" s="0"/>
      <c r="LZY123" s="0"/>
      <c r="LZZ123" s="0"/>
      <c r="MAA123" s="0"/>
      <c r="MAB123" s="0"/>
      <c r="MAC123" s="0"/>
      <c r="MAD123" s="0"/>
      <c r="MAE123" s="0"/>
      <c r="MAF123" s="0"/>
      <c r="MAG123" s="0"/>
      <c r="MAH123" s="0"/>
      <c r="MAI123" s="0"/>
      <c r="MAJ123" s="0"/>
      <c r="MAK123" s="0"/>
      <c r="MAL123" s="0"/>
      <c r="MAM123" s="0"/>
      <c r="MAN123" s="0"/>
      <c r="MAO123" s="0"/>
      <c r="MAP123" s="0"/>
      <c r="MAQ123" s="0"/>
      <c r="MAR123" s="0"/>
      <c r="MAS123" s="0"/>
      <c r="MAT123" s="0"/>
      <c r="MAU123" s="0"/>
      <c r="MAV123" s="0"/>
      <c r="MAW123" s="0"/>
      <c r="MAX123" s="0"/>
      <c r="MAY123" s="0"/>
      <c r="MAZ123" s="0"/>
      <c r="MBA123" s="0"/>
      <c r="MBB123" s="0"/>
      <c r="MBC123" s="0"/>
      <c r="MBD123" s="0"/>
      <c r="MBE123" s="0"/>
      <c r="MBF123" s="0"/>
      <c r="MBG123" s="0"/>
      <c r="MBH123" s="0"/>
      <c r="MBI123" s="0"/>
      <c r="MBJ123" s="0"/>
      <c r="MBK123" s="0"/>
      <c r="MBL123" s="0"/>
      <c r="MBM123" s="0"/>
      <c r="MBN123" s="0"/>
      <c r="MBO123" s="0"/>
      <c r="MBP123" s="0"/>
      <c r="MBQ123" s="0"/>
      <c r="MBR123" s="0"/>
      <c r="MBS123" s="0"/>
      <c r="MBT123" s="0"/>
      <c r="MBU123" s="0"/>
      <c r="MBV123" s="0"/>
      <c r="MBW123" s="0"/>
      <c r="MBX123" s="0"/>
      <c r="MBY123" s="0"/>
      <c r="MBZ123" s="0"/>
      <c r="MCA123" s="0"/>
      <c r="MCB123" s="0"/>
      <c r="MCC123" s="0"/>
      <c r="MCD123" s="0"/>
      <c r="MCE123" s="0"/>
      <c r="MCF123" s="0"/>
      <c r="MCG123" s="0"/>
      <c r="MCH123" s="0"/>
      <c r="MCI123" s="0"/>
      <c r="MCJ123" s="0"/>
      <c r="MCK123" s="0"/>
      <c r="MCL123" s="0"/>
      <c r="MCM123" s="0"/>
      <c r="MCN123" s="0"/>
      <c r="MCO123" s="0"/>
      <c r="MCP123" s="0"/>
      <c r="MCQ123" s="0"/>
      <c r="MCR123" s="0"/>
      <c r="MCS123" s="0"/>
      <c r="MCT123" s="0"/>
      <c r="MCU123" s="0"/>
      <c r="MCV123" s="0"/>
      <c r="MCW123" s="0"/>
      <c r="MCX123" s="0"/>
      <c r="MCY123" s="0"/>
      <c r="MCZ123" s="0"/>
      <c r="MDA123" s="0"/>
      <c r="MDB123" s="0"/>
      <c r="MDC123" s="0"/>
      <c r="MDD123" s="0"/>
      <c r="MDE123" s="0"/>
      <c r="MDF123" s="0"/>
      <c r="MDG123" s="0"/>
      <c r="MDH123" s="0"/>
      <c r="MDI123" s="0"/>
      <c r="MDJ123" s="0"/>
      <c r="MDK123" s="0"/>
      <c r="MDL123" s="0"/>
      <c r="MDM123" s="0"/>
      <c r="MDN123" s="0"/>
      <c r="MDO123" s="0"/>
      <c r="MDP123" s="0"/>
      <c r="MDQ123" s="0"/>
      <c r="MDR123" s="0"/>
      <c r="MDS123" s="0"/>
      <c r="MDT123" s="0"/>
      <c r="MDU123" s="0"/>
      <c r="MDV123" s="0"/>
      <c r="MDW123" s="0"/>
      <c r="MDX123" s="0"/>
      <c r="MDY123" s="0"/>
      <c r="MDZ123" s="0"/>
      <c r="MEA123" s="0"/>
      <c r="MEB123" s="0"/>
      <c r="MEC123" s="0"/>
      <c r="MED123" s="0"/>
      <c r="MEE123" s="0"/>
      <c r="MEF123" s="0"/>
      <c r="MEG123" s="0"/>
      <c r="MEH123" s="0"/>
      <c r="MEI123" s="0"/>
      <c r="MEJ123" s="0"/>
      <c r="MEK123" s="0"/>
      <c r="MEL123" s="0"/>
      <c r="MEM123" s="0"/>
      <c r="MEN123" s="0"/>
      <c r="MEO123" s="0"/>
      <c r="MEP123" s="0"/>
      <c r="MEQ123" s="0"/>
      <c r="MER123" s="0"/>
      <c r="MES123" s="0"/>
      <c r="MET123" s="0"/>
      <c r="MEU123" s="0"/>
      <c r="MEV123" s="0"/>
      <c r="MEW123" s="0"/>
      <c r="MEX123" s="0"/>
      <c r="MEY123" s="0"/>
      <c r="MEZ123" s="0"/>
      <c r="MFA123" s="0"/>
      <c r="MFB123" s="0"/>
      <c r="MFC123" s="0"/>
      <c r="MFD123" s="0"/>
      <c r="MFE123" s="0"/>
      <c r="MFF123" s="0"/>
      <c r="MFG123" s="0"/>
      <c r="MFH123" s="0"/>
      <c r="MFI123" s="0"/>
      <c r="MFJ123" s="0"/>
      <c r="MFK123" s="0"/>
      <c r="MFL123" s="0"/>
      <c r="MFM123" s="0"/>
      <c r="MFN123" s="0"/>
      <c r="MFO123" s="0"/>
      <c r="MFP123" s="0"/>
      <c r="MFQ123" s="0"/>
      <c r="MFR123" s="0"/>
      <c r="MFS123" s="0"/>
      <c r="MFT123" s="0"/>
      <c r="MFU123" s="0"/>
      <c r="MFV123" s="0"/>
      <c r="MFW123" s="0"/>
      <c r="MFX123" s="0"/>
      <c r="MFY123" s="0"/>
      <c r="MFZ123" s="0"/>
      <c r="MGA123" s="0"/>
      <c r="MGB123" s="0"/>
      <c r="MGC123" s="0"/>
      <c r="MGD123" s="0"/>
      <c r="MGE123" s="0"/>
      <c r="MGF123" s="0"/>
      <c r="MGG123" s="0"/>
      <c r="MGH123" s="0"/>
      <c r="MGI123" s="0"/>
      <c r="MGJ123" s="0"/>
      <c r="MGK123" s="0"/>
      <c r="MGL123" s="0"/>
      <c r="MGM123" s="0"/>
      <c r="MGN123" s="0"/>
      <c r="MGO123" s="0"/>
      <c r="MGP123" s="0"/>
      <c r="MGQ123" s="0"/>
      <c r="MGR123" s="0"/>
      <c r="MGS123" s="0"/>
      <c r="MGT123" s="0"/>
      <c r="MGU123" s="0"/>
      <c r="MGV123" s="0"/>
      <c r="MGW123" s="0"/>
      <c r="MGX123" s="0"/>
      <c r="MGY123" s="0"/>
      <c r="MGZ123" s="0"/>
      <c r="MHA123" s="0"/>
      <c r="MHB123" s="0"/>
      <c r="MHC123" s="0"/>
      <c r="MHD123" s="0"/>
      <c r="MHE123" s="0"/>
      <c r="MHF123" s="0"/>
      <c r="MHG123" s="0"/>
      <c r="MHH123" s="0"/>
      <c r="MHI123" s="0"/>
      <c r="MHJ123" s="0"/>
      <c r="MHK123" s="0"/>
      <c r="MHL123" s="0"/>
      <c r="MHM123" s="0"/>
      <c r="MHN123" s="0"/>
      <c r="MHO123" s="0"/>
      <c r="MHP123" s="0"/>
      <c r="MHQ123" s="0"/>
      <c r="MHR123" s="0"/>
      <c r="MHS123" s="0"/>
      <c r="MHT123" s="0"/>
      <c r="MHU123" s="0"/>
      <c r="MHV123" s="0"/>
      <c r="MHW123" s="0"/>
      <c r="MHX123" s="0"/>
      <c r="MHY123" s="0"/>
      <c r="MHZ123" s="0"/>
      <c r="MIA123" s="0"/>
      <c r="MIB123" s="0"/>
      <c r="MIC123" s="0"/>
      <c r="MID123" s="0"/>
      <c r="MIE123" s="0"/>
      <c r="MIF123" s="0"/>
      <c r="MIG123" s="0"/>
      <c r="MIH123" s="0"/>
      <c r="MII123" s="0"/>
      <c r="MIJ123" s="0"/>
      <c r="MIK123" s="0"/>
      <c r="MIL123" s="0"/>
      <c r="MIM123" s="0"/>
      <c r="MIN123" s="0"/>
      <c r="MIO123" s="0"/>
      <c r="MIP123" s="0"/>
      <c r="MIQ123" s="0"/>
      <c r="MIR123" s="0"/>
      <c r="MIS123" s="0"/>
      <c r="MIT123" s="0"/>
      <c r="MIU123" s="0"/>
      <c r="MIV123" s="0"/>
      <c r="MIW123" s="0"/>
      <c r="MIX123" s="0"/>
      <c r="MIY123" s="0"/>
      <c r="MIZ123" s="0"/>
      <c r="MJA123" s="0"/>
      <c r="MJB123" s="0"/>
      <c r="MJC123" s="0"/>
      <c r="MJD123" s="0"/>
      <c r="MJE123" s="0"/>
      <c r="MJF123" s="0"/>
      <c r="MJG123" s="0"/>
      <c r="MJH123" s="0"/>
      <c r="MJI123" s="0"/>
      <c r="MJJ123" s="0"/>
      <c r="MJK123" s="0"/>
      <c r="MJL123" s="0"/>
      <c r="MJM123" s="0"/>
      <c r="MJN123" s="0"/>
      <c r="MJO123" s="0"/>
      <c r="MJP123" s="0"/>
      <c r="MJQ123" s="0"/>
      <c r="MJR123" s="0"/>
      <c r="MJS123" s="0"/>
      <c r="MJT123" s="0"/>
      <c r="MJU123" s="0"/>
      <c r="MJV123" s="0"/>
      <c r="MJW123" s="0"/>
      <c r="MJX123" s="0"/>
      <c r="MJY123" s="0"/>
      <c r="MJZ123" s="0"/>
      <c r="MKA123" s="0"/>
      <c r="MKB123" s="0"/>
      <c r="MKC123" s="0"/>
      <c r="MKD123" s="0"/>
      <c r="MKE123" s="0"/>
      <c r="MKF123" s="0"/>
      <c r="MKG123" s="0"/>
      <c r="MKH123" s="0"/>
      <c r="MKI123" s="0"/>
      <c r="MKJ123" s="0"/>
      <c r="MKK123" s="0"/>
      <c r="MKL123" s="0"/>
      <c r="MKM123" s="0"/>
      <c r="MKN123" s="0"/>
      <c r="MKO123" s="0"/>
      <c r="MKP123" s="0"/>
      <c r="MKQ123" s="0"/>
      <c r="MKR123" s="0"/>
      <c r="MKS123" s="0"/>
      <c r="MKT123" s="0"/>
      <c r="MKU123" s="0"/>
      <c r="MKV123" s="0"/>
      <c r="MKW123" s="0"/>
      <c r="MKX123" s="0"/>
      <c r="MKY123" s="0"/>
      <c r="MKZ123" s="0"/>
      <c r="MLA123" s="0"/>
      <c r="MLB123" s="0"/>
      <c r="MLC123" s="0"/>
      <c r="MLD123" s="0"/>
      <c r="MLE123" s="0"/>
      <c r="MLF123" s="0"/>
      <c r="MLG123" s="0"/>
      <c r="MLH123" s="0"/>
      <c r="MLI123" s="0"/>
      <c r="MLJ123" s="0"/>
      <c r="MLK123" s="0"/>
      <c r="MLL123" s="0"/>
      <c r="MLM123" s="0"/>
      <c r="MLN123" s="0"/>
      <c r="MLO123" s="0"/>
      <c r="MLP123" s="0"/>
      <c r="MLQ123" s="0"/>
      <c r="MLR123" s="0"/>
      <c r="MLS123" s="0"/>
      <c r="MLT123" s="0"/>
      <c r="MLU123" s="0"/>
      <c r="MLV123" s="0"/>
      <c r="MLW123" s="0"/>
      <c r="MLX123" s="0"/>
      <c r="MLY123" s="0"/>
      <c r="MLZ123" s="0"/>
      <c r="MMA123" s="0"/>
      <c r="MMB123" s="0"/>
      <c r="MMC123" s="0"/>
      <c r="MMD123" s="0"/>
      <c r="MME123" s="0"/>
      <c r="MMF123" s="0"/>
      <c r="MMG123" s="0"/>
      <c r="MMH123" s="0"/>
      <c r="MMI123" s="0"/>
      <c r="MMJ123" s="0"/>
      <c r="MMK123" s="0"/>
      <c r="MML123" s="0"/>
      <c r="MMM123" s="0"/>
      <c r="MMN123" s="0"/>
      <c r="MMO123" s="0"/>
      <c r="MMP123" s="0"/>
      <c r="MMQ123" s="0"/>
      <c r="MMR123" s="0"/>
      <c r="MMS123" s="0"/>
      <c r="MMT123" s="0"/>
      <c r="MMU123" s="0"/>
      <c r="MMV123" s="0"/>
      <c r="MMW123" s="0"/>
      <c r="MMX123" s="0"/>
      <c r="MMY123" s="0"/>
      <c r="MMZ123" s="0"/>
      <c r="MNA123" s="0"/>
      <c r="MNB123" s="0"/>
      <c r="MNC123" s="0"/>
      <c r="MND123" s="0"/>
      <c r="MNE123" s="0"/>
      <c r="MNF123" s="0"/>
      <c r="MNG123" s="0"/>
      <c r="MNH123" s="0"/>
      <c r="MNI123" s="0"/>
      <c r="MNJ123" s="0"/>
      <c r="MNK123" s="0"/>
      <c r="MNL123" s="0"/>
      <c r="MNM123" s="0"/>
      <c r="MNN123" s="0"/>
      <c r="MNO123" s="0"/>
      <c r="MNP123" s="0"/>
      <c r="MNQ123" s="0"/>
      <c r="MNR123" s="0"/>
      <c r="MNS123" s="0"/>
      <c r="MNT123" s="0"/>
      <c r="MNU123" s="0"/>
      <c r="MNV123" s="0"/>
      <c r="MNW123" s="0"/>
      <c r="MNX123" s="0"/>
      <c r="MNY123" s="0"/>
      <c r="MNZ123" s="0"/>
      <c r="MOA123" s="0"/>
      <c r="MOB123" s="0"/>
      <c r="MOC123" s="0"/>
      <c r="MOD123" s="0"/>
      <c r="MOE123" s="0"/>
      <c r="MOF123" s="0"/>
      <c r="MOG123" s="0"/>
      <c r="MOH123" s="0"/>
      <c r="MOI123" s="0"/>
      <c r="MOJ123" s="0"/>
      <c r="MOK123" s="0"/>
      <c r="MOL123" s="0"/>
      <c r="MOM123" s="0"/>
      <c r="MON123" s="0"/>
      <c r="MOO123" s="0"/>
      <c r="MOP123" s="0"/>
      <c r="MOQ123" s="0"/>
      <c r="MOR123" s="0"/>
      <c r="MOS123" s="0"/>
      <c r="MOT123" s="0"/>
      <c r="MOU123" s="0"/>
      <c r="MOV123" s="0"/>
      <c r="MOW123" s="0"/>
      <c r="MOX123" s="0"/>
      <c r="MOY123" s="0"/>
      <c r="MOZ123" s="0"/>
      <c r="MPA123" s="0"/>
      <c r="MPB123" s="0"/>
      <c r="MPC123" s="0"/>
      <c r="MPD123" s="0"/>
      <c r="MPE123" s="0"/>
      <c r="MPF123" s="0"/>
      <c r="MPG123" s="0"/>
      <c r="MPH123" s="0"/>
      <c r="MPI123" s="0"/>
      <c r="MPJ123" s="0"/>
      <c r="MPK123" s="0"/>
      <c r="MPL123" s="0"/>
      <c r="MPM123" s="0"/>
      <c r="MPN123" s="0"/>
      <c r="MPO123" s="0"/>
      <c r="MPP123" s="0"/>
      <c r="MPQ123" s="0"/>
      <c r="MPR123" s="0"/>
      <c r="MPS123" s="0"/>
      <c r="MPT123" s="0"/>
      <c r="MPU123" s="0"/>
      <c r="MPV123" s="0"/>
      <c r="MPW123" s="0"/>
      <c r="MPX123" s="0"/>
      <c r="MPY123" s="0"/>
      <c r="MPZ123" s="0"/>
      <c r="MQA123" s="0"/>
      <c r="MQB123" s="0"/>
      <c r="MQC123" s="0"/>
      <c r="MQD123" s="0"/>
      <c r="MQE123" s="0"/>
      <c r="MQF123" s="0"/>
      <c r="MQG123" s="0"/>
      <c r="MQH123" s="0"/>
      <c r="MQI123" s="0"/>
      <c r="MQJ123" s="0"/>
      <c r="MQK123" s="0"/>
      <c r="MQL123" s="0"/>
      <c r="MQM123" s="0"/>
      <c r="MQN123" s="0"/>
      <c r="MQO123" s="0"/>
      <c r="MQP123" s="0"/>
      <c r="MQQ123" s="0"/>
      <c r="MQR123" s="0"/>
      <c r="MQS123" s="0"/>
      <c r="MQT123" s="0"/>
      <c r="MQU123" s="0"/>
      <c r="MQV123" s="0"/>
      <c r="MQW123" s="0"/>
      <c r="MQX123" s="0"/>
      <c r="MQY123" s="0"/>
      <c r="MQZ123" s="0"/>
      <c r="MRA123" s="0"/>
      <c r="MRB123" s="0"/>
      <c r="MRC123" s="0"/>
      <c r="MRD123" s="0"/>
      <c r="MRE123" s="0"/>
      <c r="MRF123" s="0"/>
      <c r="MRG123" s="0"/>
      <c r="MRH123" s="0"/>
      <c r="MRI123" s="0"/>
      <c r="MRJ123" s="0"/>
      <c r="MRK123" s="0"/>
      <c r="MRL123" s="0"/>
      <c r="MRM123" s="0"/>
      <c r="MRN123" s="0"/>
      <c r="MRO123" s="0"/>
      <c r="MRP123" s="0"/>
      <c r="MRQ123" s="0"/>
      <c r="MRR123" s="0"/>
      <c r="MRS123" s="0"/>
      <c r="MRT123" s="0"/>
      <c r="MRU123" s="0"/>
      <c r="MRV123" s="0"/>
      <c r="MRW123" s="0"/>
      <c r="MRX123" s="0"/>
      <c r="MRY123" s="0"/>
      <c r="MRZ123" s="0"/>
      <c r="MSA123" s="0"/>
      <c r="MSB123" s="0"/>
      <c r="MSC123" s="0"/>
      <c r="MSD123" s="0"/>
      <c r="MSE123" s="0"/>
      <c r="MSF123" s="0"/>
      <c r="MSG123" s="0"/>
      <c r="MSH123" s="0"/>
      <c r="MSI123" s="0"/>
      <c r="MSJ123" s="0"/>
      <c r="MSK123" s="0"/>
      <c r="MSL123" s="0"/>
      <c r="MSM123" s="0"/>
      <c r="MSN123" s="0"/>
      <c r="MSO123" s="0"/>
      <c r="MSP123" s="0"/>
      <c r="MSQ123" s="0"/>
      <c r="MSR123" s="0"/>
      <c r="MSS123" s="0"/>
      <c r="MST123" s="0"/>
      <c r="MSU123" s="0"/>
      <c r="MSV123" s="0"/>
      <c r="MSW123" s="0"/>
      <c r="MSX123" s="0"/>
      <c r="MSY123" s="0"/>
      <c r="MSZ123" s="0"/>
      <c r="MTA123" s="0"/>
      <c r="MTB123" s="0"/>
      <c r="MTC123" s="0"/>
      <c r="MTD123" s="0"/>
      <c r="MTE123" s="0"/>
      <c r="MTF123" s="0"/>
      <c r="MTG123" s="0"/>
      <c r="MTH123" s="0"/>
      <c r="MTI123" s="0"/>
      <c r="MTJ123" s="0"/>
      <c r="MTK123" s="0"/>
      <c r="MTL123" s="0"/>
      <c r="MTM123" s="0"/>
      <c r="MTN123" s="0"/>
      <c r="MTO123" s="0"/>
      <c r="MTP123" s="0"/>
      <c r="MTQ123" s="0"/>
      <c r="MTR123" s="0"/>
      <c r="MTS123" s="0"/>
      <c r="MTT123" s="0"/>
      <c r="MTU123" s="0"/>
      <c r="MTV123" s="0"/>
      <c r="MTW123" s="0"/>
      <c r="MTX123" s="0"/>
      <c r="MTY123" s="0"/>
      <c r="MTZ123" s="0"/>
      <c r="MUA123" s="0"/>
      <c r="MUB123" s="0"/>
      <c r="MUC123" s="0"/>
      <c r="MUD123" s="0"/>
      <c r="MUE123" s="0"/>
      <c r="MUF123" s="0"/>
      <c r="MUG123" s="0"/>
      <c r="MUH123" s="0"/>
      <c r="MUI123" s="0"/>
      <c r="MUJ123" s="0"/>
      <c r="MUK123" s="0"/>
      <c r="MUL123" s="0"/>
      <c r="MUM123" s="0"/>
      <c r="MUN123" s="0"/>
      <c r="MUO123" s="0"/>
      <c r="MUP123" s="0"/>
      <c r="MUQ123" s="0"/>
      <c r="MUR123" s="0"/>
      <c r="MUS123" s="0"/>
      <c r="MUT123" s="0"/>
      <c r="MUU123" s="0"/>
      <c r="MUV123" s="0"/>
      <c r="MUW123" s="0"/>
      <c r="MUX123" s="0"/>
      <c r="MUY123" s="0"/>
      <c r="MUZ123" s="0"/>
      <c r="MVA123" s="0"/>
      <c r="MVB123" s="0"/>
      <c r="MVC123" s="0"/>
      <c r="MVD123" s="0"/>
      <c r="MVE123" s="0"/>
      <c r="MVF123" s="0"/>
      <c r="MVG123" s="0"/>
      <c r="MVH123" s="0"/>
      <c r="MVI123" s="0"/>
      <c r="MVJ123" s="0"/>
      <c r="MVK123" s="0"/>
      <c r="MVL123" s="0"/>
      <c r="MVM123" s="0"/>
      <c r="MVN123" s="0"/>
      <c r="MVO123" s="0"/>
      <c r="MVP123" s="0"/>
      <c r="MVQ123" s="0"/>
      <c r="MVR123" s="0"/>
      <c r="MVS123" s="0"/>
      <c r="MVT123" s="0"/>
      <c r="MVU123" s="0"/>
      <c r="MVV123" s="0"/>
      <c r="MVW123" s="0"/>
      <c r="MVX123" s="0"/>
      <c r="MVY123" s="0"/>
      <c r="MVZ123" s="0"/>
      <c r="MWA123" s="0"/>
      <c r="MWB123" s="0"/>
      <c r="MWC123" s="0"/>
      <c r="MWD123" s="0"/>
      <c r="MWE123" s="0"/>
      <c r="MWF123" s="0"/>
      <c r="MWG123" s="0"/>
      <c r="MWH123" s="0"/>
      <c r="MWI123" s="0"/>
      <c r="MWJ123" s="0"/>
      <c r="MWK123" s="0"/>
      <c r="MWL123" s="0"/>
      <c r="MWM123" s="0"/>
      <c r="MWN123" s="0"/>
      <c r="MWO123" s="0"/>
      <c r="MWP123" s="0"/>
      <c r="MWQ123" s="0"/>
      <c r="MWR123" s="0"/>
      <c r="MWS123" s="0"/>
      <c r="MWT123" s="0"/>
      <c r="MWU123" s="0"/>
      <c r="MWV123" s="0"/>
      <c r="MWW123" s="0"/>
      <c r="MWX123" s="0"/>
      <c r="MWY123" s="0"/>
      <c r="MWZ123" s="0"/>
      <c r="MXA123" s="0"/>
      <c r="MXB123" s="0"/>
      <c r="MXC123" s="0"/>
      <c r="MXD123" s="0"/>
      <c r="MXE123" s="0"/>
      <c r="MXF123" s="0"/>
      <c r="MXG123" s="0"/>
      <c r="MXH123" s="0"/>
      <c r="MXI123" s="0"/>
      <c r="MXJ123" s="0"/>
      <c r="MXK123" s="0"/>
      <c r="MXL123" s="0"/>
      <c r="MXM123" s="0"/>
      <c r="MXN123" s="0"/>
      <c r="MXO123" s="0"/>
      <c r="MXP123" s="0"/>
      <c r="MXQ123" s="0"/>
      <c r="MXR123" s="0"/>
      <c r="MXS123" s="0"/>
      <c r="MXT123" s="0"/>
      <c r="MXU123" s="0"/>
      <c r="MXV123" s="0"/>
      <c r="MXW123" s="0"/>
      <c r="MXX123" s="0"/>
      <c r="MXY123" s="0"/>
      <c r="MXZ123" s="0"/>
      <c r="MYA123" s="0"/>
      <c r="MYB123" s="0"/>
      <c r="MYC123" s="0"/>
      <c r="MYD123" s="0"/>
      <c r="MYE123" s="0"/>
      <c r="MYF123" s="0"/>
      <c r="MYG123" s="0"/>
      <c r="MYH123" s="0"/>
      <c r="MYI123" s="0"/>
      <c r="MYJ123" s="0"/>
      <c r="MYK123" s="0"/>
      <c r="MYL123" s="0"/>
      <c r="MYM123" s="0"/>
      <c r="MYN123" s="0"/>
      <c r="MYO123" s="0"/>
      <c r="MYP123" s="0"/>
      <c r="MYQ123" s="0"/>
      <c r="MYR123" s="0"/>
      <c r="MYS123" s="0"/>
      <c r="MYT123" s="0"/>
      <c r="MYU123" s="0"/>
      <c r="MYV123" s="0"/>
      <c r="MYW123" s="0"/>
      <c r="MYX123" s="0"/>
      <c r="MYY123" s="0"/>
      <c r="MYZ123" s="0"/>
      <c r="MZA123" s="0"/>
      <c r="MZB123" s="0"/>
      <c r="MZC123" s="0"/>
      <c r="MZD123" s="0"/>
      <c r="MZE123" s="0"/>
      <c r="MZF123" s="0"/>
      <c r="MZG123" s="0"/>
      <c r="MZH123" s="0"/>
      <c r="MZI123" s="0"/>
      <c r="MZJ123" s="0"/>
      <c r="MZK123" s="0"/>
      <c r="MZL123" s="0"/>
      <c r="MZM123" s="0"/>
      <c r="MZN123" s="0"/>
      <c r="MZO123" s="0"/>
      <c r="MZP123" s="0"/>
      <c r="MZQ123" s="0"/>
      <c r="MZR123" s="0"/>
      <c r="MZS123" s="0"/>
      <c r="MZT123" s="0"/>
      <c r="MZU123" s="0"/>
      <c r="MZV123" s="0"/>
      <c r="MZW123" s="0"/>
      <c r="MZX123" s="0"/>
      <c r="MZY123" s="0"/>
      <c r="MZZ123" s="0"/>
      <c r="NAA123" s="0"/>
      <c r="NAB123" s="0"/>
      <c r="NAC123" s="0"/>
      <c r="NAD123" s="0"/>
      <c r="NAE123" s="0"/>
      <c r="NAF123" s="0"/>
      <c r="NAG123" s="0"/>
      <c r="NAH123" s="0"/>
      <c r="NAI123" s="0"/>
      <c r="NAJ123" s="0"/>
      <c r="NAK123" s="0"/>
      <c r="NAL123" s="0"/>
      <c r="NAM123" s="0"/>
      <c r="NAN123" s="0"/>
      <c r="NAO123" s="0"/>
      <c r="NAP123" s="0"/>
      <c r="NAQ123" s="0"/>
      <c r="NAR123" s="0"/>
      <c r="NAS123" s="0"/>
      <c r="NAT123" s="0"/>
      <c r="NAU123" s="0"/>
      <c r="NAV123" s="0"/>
      <c r="NAW123" s="0"/>
      <c r="NAX123" s="0"/>
      <c r="NAY123" s="0"/>
      <c r="NAZ123" s="0"/>
      <c r="NBA123" s="0"/>
      <c r="NBB123" s="0"/>
      <c r="NBC123" s="0"/>
      <c r="NBD123" s="0"/>
      <c r="NBE123" s="0"/>
      <c r="NBF123" s="0"/>
      <c r="NBG123" s="0"/>
      <c r="NBH123" s="0"/>
      <c r="NBI123" s="0"/>
      <c r="NBJ123" s="0"/>
      <c r="NBK123" s="0"/>
      <c r="NBL123" s="0"/>
      <c r="NBM123" s="0"/>
      <c r="NBN123" s="0"/>
      <c r="NBO123" s="0"/>
      <c r="NBP123" s="0"/>
      <c r="NBQ123" s="0"/>
      <c r="NBR123" s="0"/>
      <c r="NBS123" s="0"/>
      <c r="NBT123" s="0"/>
      <c r="NBU123" s="0"/>
      <c r="NBV123" s="0"/>
      <c r="NBW123" s="0"/>
      <c r="NBX123" s="0"/>
      <c r="NBY123" s="0"/>
      <c r="NBZ123" s="0"/>
      <c r="NCA123" s="0"/>
      <c r="NCB123" s="0"/>
      <c r="NCC123" s="0"/>
      <c r="NCD123" s="0"/>
      <c r="NCE123" s="0"/>
      <c r="NCF123" s="0"/>
      <c r="NCG123" s="0"/>
      <c r="NCH123" s="0"/>
      <c r="NCI123" s="0"/>
      <c r="NCJ123" s="0"/>
      <c r="NCK123" s="0"/>
      <c r="NCL123" s="0"/>
      <c r="NCM123" s="0"/>
      <c r="NCN123" s="0"/>
      <c r="NCO123" s="0"/>
      <c r="NCP123" s="0"/>
      <c r="NCQ123" s="0"/>
      <c r="NCR123" s="0"/>
      <c r="NCS123" s="0"/>
      <c r="NCT123" s="0"/>
      <c r="NCU123" s="0"/>
      <c r="NCV123" s="0"/>
      <c r="NCW123" s="0"/>
      <c r="NCX123" s="0"/>
      <c r="NCY123" s="0"/>
      <c r="NCZ123" s="0"/>
      <c r="NDA123" s="0"/>
      <c r="NDB123" s="0"/>
      <c r="NDC123" s="0"/>
      <c r="NDD123" s="0"/>
      <c r="NDE123" s="0"/>
      <c r="NDF123" s="0"/>
      <c r="NDG123" s="0"/>
      <c r="NDH123" s="0"/>
      <c r="NDI123" s="0"/>
      <c r="NDJ123" s="0"/>
      <c r="NDK123" s="0"/>
      <c r="NDL123" s="0"/>
      <c r="NDM123" s="0"/>
      <c r="NDN123" s="0"/>
      <c r="NDO123" s="0"/>
      <c r="NDP123" s="0"/>
      <c r="NDQ123" s="0"/>
      <c r="NDR123" s="0"/>
      <c r="NDS123" s="0"/>
      <c r="NDT123" s="0"/>
      <c r="NDU123" s="0"/>
      <c r="NDV123" s="0"/>
      <c r="NDW123" s="0"/>
      <c r="NDX123" s="0"/>
      <c r="NDY123" s="0"/>
      <c r="NDZ123" s="0"/>
      <c r="NEA123" s="0"/>
      <c r="NEB123" s="0"/>
      <c r="NEC123" s="0"/>
      <c r="NED123" s="0"/>
      <c r="NEE123" s="0"/>
      <c r="NEF123" s="0"/>
      <c r="NEG123" s="0"/>
      <c r="NEH123" s="0"/>
      <c r="NEI123" s="0"/>
      <c r="NEJ123" s="0"/>
      <c r="NEK123" s="0"/>
      <c r="NEL123" s="0"/>
      <c r="NEM123" s="0"/>
      <c r="NEN123" s="0"/>
      <c r="NEO123" s="0"/>
      <c r="NEP123" s="0"/>
      <c r="NEQ123" s="0"/>
      <c r="NER123" s="0"/>
      <c r="NES123" s="0"/>
      <c r="NET123" s="0"/>
      <c r="NEU123" s="0"/>
      <c r="NEV123" s="0"/>
      <c r="NEW123" s="0"/>
      <c r="NEX123" s="0"/>
      <c r="NEY123" s="0"/>
      <c r="NEZ123" s="0"/>
      <c r="NFA123" s="0"/>
      <c r="NFB123" s="0"/>
      <c r="NFC123" s="0"/>
      <c r="NFD123" s="0"/>
      <c r="NFE123" s="0"/>
      <c r="NFF123" s="0"/>
      <c r="NFG123" s="0"/>
      <c r="NFH123" s="0"/>
      <c r="NFI123" s="0"/>
      <c r="NFJ123" s="0"/>
      <c r="NFK123" s="0"/>
      <c r="NFL123" s="0"/>
      <c r="NFM123" s="0"/>
      <c r="NFN123" s="0"/>
      <c r="NFO123" s="0"/>
      <c r="NFP123" s="0"/>
      <c r="NFQ123" s="0"/>
      <c r="NFR123" s="0"/>
      <c r="NFS123" s="0"/>
      <c r="NFT123" s="0"/>
      <c r="NFU123" s="0"/>
      <c r="NFV123" s="0"/>
      <c r="NFW123" s="0"/>
      <c r="NFX123" s="0"/>
      <c r="NFY123" s="0"/>
      <c r="NFZ123" s="0"/>
      <c r="NGA123" s="0"/>
      <c r="NGB123" s="0"/>
      <c r="NGC123" s="0"/>
      <c r="NGD123" s="0"/>
      <c r="NGE123" s="0"/>
      <c r="NGF123" s="0"/>
      <c r="NGG123" s="0"/>
      <c r="NGH123" s="0"/>
      <c r="NGI123" s="0"/>
      <c r="NGJ123" s="0"/>
      <c r="NGK123" s="0"/>
      <c r="NGL123" s="0"/>
      <c r="NGM123" s="0"/>
      <c r="NGN123" s="0"/>
      <c r="NGO123" s="0"/>
      <c r="NGP123" s="0"/>
      <c r="NGQ123" s="0"/>
      <c r="NGR123" s="0"/>
      <c r="NGS123" s="0"/>
      <c r="NGT123" s="0"/>
      <c r="NGU123" s="0"/>
      <c r="NGV123" s="0"/>
      <c r="NGW123" s="0"/>
      <c r="NGX123" s="0"/>
      <c r="NGY123" s="0"/>
      <c r="NGZ123" s="0"/>
      <c r="NHA123" s="0"/>
      <c r="NHB123" s="0"/>
      <c r="NHC123" s="0"/>
      <c r="NHD123" s="0"/>
      <c r="NHE123" s="0"/>
      <c r="NHF123" s="0"/>
      <c r="NHG123" s="0"/>
      <c r="NHH123" s="0"/>
      <c r="NHI123" s="0"/>
      <c r="NHJ123" s="0"/>
      <c r="NHK123" s="0"/>
      <c r="NHL123" s="0"/>
      <c r="NHM123" s="0"/>
      <c r="NHN123" s="0"/>
      <c r="NHO123" s="0"/>
      <c r="NHP123" s="0"/>
      <c r="NHQ123" s="0"/>
      <c r="NHR123" s="0"/>
      <c r="NHS123" s="0"/>
      <c r="NHT123" s="0"/>
      <c r="NHU123" s="0"/>
      <c r="NHV123" s="0"/>
      <c r="NHW123" s="0"/>
      <c r="NHX123" s="0"/>
      <c r="NHY123" s="0"/>
      <c r="NHZ123" s="0"/>
      <c r="NIA123" s="0"/>
      <c r="NIB123" s="0"/>
      <c r="NIC123" s="0"/>
      <c r="NID123" s="0"/>
      <c r="NIE123" s="0"/>
      <c r="NIF123" s="0"/>
      <c r="NIG123" s="0"/>
      <c r="NIH123" s="0"/>
      <c r="NII123" s="0"/>
      <c r="NIJ123" s="0"/>
      <c r="NIK123" s="0"/>
      <c r="NIL123" s="0"/>
      <c r="NIM123" s="0"/>
      <c r="NIN123" s="0"/>
      <c r="NIO123" s="0"/>
      <c r="NIP123" s="0"/>
      <c r="NIQ123" s="0"/>
      <c r="NIR123" s="0"/>
      <c r="NIS123" s="0"/>
      <c r="NIT123" s="0"/>
      <c r="NIU123" s="0"/>
      <c r="NIV123" s="0"/>
      <c r="NIW123" s="0"/>
      <c r="NIX123" s="0"/>
      <c r="NIY123" s="0"/>
      <c r="NIZ123" s="0"/>
      <c r="NJA123" s="0"/>
      <c r="NJB123" s="0"/>
      <c r="NJC123" s="0"/>
      <c r="NJD123" s="0"/>
      <c r="NJE123" s="0"/>
      <c r="NJF123" s="0"/>
      <c r="NJG123" s="0"/>
      <c r="NJH123" s="0"/>
      <c r="NJI123" s="0"/>
      <c r="NJJ123" s="0"/>
      <c r="NJK123" s="0"/>
      <c r="NJL123" s="0"/>
      <c r="NJM123" s="0"/>
      <c r="NJN123" s="0"/>
      <c r="NJO123" s="0"/>
      <c r="NJP123" s="0"/>
      <c r="NJQ123" s="0"/>
      <c r="NJR123" s="0"/>
      <c r="NJS123" s="0"/>
      <c r="NJT123" s="0"/>
      <c r="NJU123" s="0"/>
      <c r="NJV123" s="0"/>
      <c r="NJW123" s="0"/>
      <c r="NJX123" s="0"/>
      <c r="NJY123" s="0"/>
      <c r="NJZ123" s="0"/>
      <c r="NKA123" s="0"/>
      <c r="NKB123" s="0"/>
      <c r="NKC123" s="0"/>
      <c r="NKD123" s="0"/>
      <c r="NKE123" s="0"/>
      <c r="NKF123" s="0"/>
      <c r="NKG123" s="0"/>
      <c r="NKH123" s="0"/>
      <c r="NKI123" s="0"/>
      <c r="NKJ123" s="0"/>
      <c r="NKK123" s="0"/>
      <c r="NKL123" s="0"/>
      <c r="NKM123" s="0"/>
      <c r="NKN123" s="0"/>
      <c r="NKO123" s="0"/>
      <c r="NKP123" s="0"/>
      <c r="NKQ123" s="0"/>
      <c r="NKR123" s="0"/>
      <c r="NKS123" s="0"/>
      <c r="NKT123" s="0"/>
      <c r="NKU123" s="0"/>
      <c r="NKV123" s="0"/>
      <c r="NKW123" s="0"/>
      <c r="NKX123" s="0"/>
      <c r="NKY123" s="0"/>
      <c r="NKZ123" s="0"/>
      <c r="NLA123" s="0"/>
      <c r="NLB123" s="0"/>
      <c r="NLC123" s="0"/>
      <c r="NLD123" s="0"/>
      <c r="NLE123" s="0"/>
      <c r="NLF123" s="0"/>
      <c r="NLG123" s="0"/>
      <c r="NLH123" s="0"/>
      <c r="NLI123" s="0"/>
      <c r="NLJ123" s="0"/>
      <c r="NLK123" s="0"/>
      <c r="NLL123" s="0"/>
      <c r="NLM123" s="0"/>
      <c r="NLN123" s="0"/>
      <c r="NLO123" s="0"/>
      <c r="NLP123" s="0"/>
      <c r="NLQ123" s="0"/>
      <c r="NLR123" s="0"/>
      <c r="NLS123" s="0"/>
      <c r="NLT123" s="0"/>
      <c r="NLU123" s="0"/>
      <c r="NLV123" s="0"/>
      <c r="NLW123" s="0"/>
      <c r="NLX123" s="0"/>
      <c r="NLY123" s="0"/>
      <c r="NLZ123" s="0"/>
      <c r="NMA123" s="0"/>
      <c r="NMB123" s="0"/>
      <c r="NMC123" s="0"/>
      <c r="NMD123" s="0"/>
      <c r="NME123" s="0"/>
      <c r="NMF123" s="0"/>
      <c r="NMG123" s="0"/>
      <c r="NMH123" s="0"/>
      <c r="NMI123" s="0"/>
      <c r="NMJ123" s="0"/>
      <c r="NMK123" s="0"/>
      <c r="NML123" s="0"/>
      <c r="NMM123" s="0"/>
      <c r="NMN123" s="0"/>
      <c r="NMO123" s="0"/>
      <c r="NMP123" s="0"/>
      <c r="NMQ123" s="0"/>
      <c r="NMR123" s="0"/>
      <c r="NMS123" s="0"/>
      <c r="NMT123" s="0"/>
      <c r="NMU123" s="0"/>
      <c r="NMV123" s="0"/>
      <c r="NMW123" s="0"/>
      <c r="NMX123" s="0"/>
      <c r="NMY123" s="0"/>
      <c r="NMZ123" s="0"/>
      <c r="NNA123" s="0"/>
      <c r="NNB123" s="0"/>
      <c r="NNC123" s="0"/>
      <c r="NND123" s="0"/>
      <c r="NNE123" s="0"/>
      <c r="NNF123" s="0"/>
      <c r="NNG123" s="0"/>
      <c r="NNH123" s="0"/>
      <c r="NNI123" s="0"/>
      <c r="NNJ123" s="0"/>
      <c r="NNK123" s="0"/>
      <c r="NNL123" s="0"/>
      <c r="NNM123" s="0"/>
      <c r="NNN123" s="0"/>
      <c r="NNO123" s="0"/>
      <c r="NNP123" s="0"/>
      <c r="NNQ123" s="0"/>
      <c r="NNR123" s="0"/>
      <c r="NNS123" s="0"/>
      <c r="NNT123" s="0"/>
      <c r="NNU123" s="0"/>
      <c r="NNV123" s="0"/>
      <c r="NNW123" s="0"/>
      <c r="NNX123" s="0"/>
      <c r="NNY123" s="0"/>
      <c r="NNZ123" s="0"/>
      <c r="NOA123" s="0"/>
      <c r="NOB123" s="0"/>
      <c r="NOC123" s="0"/>
      <c r="NOD123" s="0"/>
      <c r="NOE123" s="0"/>
      <c r="NOF123" s="0"/>
      <c r="NOG123" s="0"/>
      <c r="NOH123" s="0"/>
      <c r="NOI123" s="0"/>
      <c r="NOJ123" s="0"/>
      <c r="NOK123" s="0"/>
      <c r="NOL123" s="0"/>
      <c r="NOM123" s="0"/>
      <c r="NON123" s="0"/>
      <c r="NOO123" s="0"/>
      <c r="NOP123" s="0"/>
      <c r="NOQ123" s="0"/>
      <c r="NOR123" s="0"/>
      <c r="NOS123" s="0"/>
      <c r="NOT123" s="0"/>
      <c r="NOU123" s="0"/>
      <c r="NOV123" s="0"/>
      <c r="NOW123" s="0"/>
      <c r="NOX123" s="0"/>
      <c r="NOY123" s="0"/>
      <c r="NOZ123" s="0"/>
      <c r="NPA123" s="0"/>
      <c r="NPB123" s="0"/>
      <c r="NPC123" s="0"/>
      <c r="NPD123" s="0"/>
      <c r="NPE123" s="0"/>
      <c r="NPF123" s="0"/>
      <c r="NPG123" s="0"/>
      <c r="NPH123" s="0"/>
      <c r="NPI123" s="0"/>
      <c r="NPJ123" s="0"/>
      <c r="NPK123" s="0"/>
      <c r="NPL123" s="0"/>
      <c r="NPM123" s="0"/>
      <c r="NPN123" s="0"/>
      <c r="NPO123" s="0"/>
      <c r="NPP123" s="0"/>
      <c r="NPQ123" s="0"/>
      <c r="NPR123" s="0"/>
      <c r="NPS123" s="0"/>
      <c r="NPT123" s="0"/>
      <c r="NPU123" s="0"/>
      <c r="NPV123" s="0"/>
      <c r="NPW123" s="0"/>
      <c r="NPX123" s="0"/>
      <c r="NPY123" s="0"/>
      <c r="NPZ123" s="0"/>
      <c r="NQA123" s="0"/>
      <c r="NQB123" s="0"/>
      <c r="NQC123" s="0"/>
      <c r="NQD123" s="0"/>
      <c r="NQE123" s="0"/>
      <c r="NQF123" s="0"/>
      <c r="NQG123" s="0"/>
      <c r="NQH123" s="0"/>
      <c r="NQI123" s="0"/>
      <c r="NQJ123" s="0"/>
      <c r="NQK123" s="0"/>
      <c r="NQL123" s="0"/>
      <c r="NQM123" s="0"/>
      <c r="NQN123" s="0"/>
      <c r="NQO123" s="0"/>
      <c r="NQP123" s="0"/>
      <c r="NQQ123" s="0"/>
      <c r="NQR123" s="0"/>
      <c r="NQS123" s="0"/>
      <c r="NQT123" s="0"/>
      <c r="NQU123" s="0"/>
      <c r="NQV123" s="0"/>
      <c r="NQW123" s="0"/>
      <c r="NQX123" s="0"/>
      <c r="NQY123" s="0"/>
      <c r="NQZ123" s="0"/>
      <c r="NRA123" s="0"/>
      <c r="NRB123" s="0"/>
      <c r="NRC123" s="0"/>
      <c r="NRD123" s="0"/>
      <c r="NRE123" s="0"/>
      <c r="NRF123" s="0"/>
      <c r="NRG123" s="0"/>
      <c r="NRH123" s="0"/>
      <c r="NRI123" s="0"/>
      <c r="NRJ123" s="0"/>
      <c r="NRK123" s="0"/>
      <c r="NRL123" s="0"/>
      <c r="NRM123" s="0"/>
      <c r="NRN123" s="0"/>
      <c r="NRO123" s="0"/>
      <c r="NRP123" s="0"/>
      <c r="NRQ123" s="0"/>
      <c r="NRR123" s="0"/>
      <c r="NRS123" s="0"/>
      <c r="NRT123" s="0"/>
      <c r="NRU123" s="0"/>
      <c r="NRV123" s="0"/>
      <c r="NRW123" s="0"/>
      <c r="NRX123" s="0"/>
      <c r="NRY123" s="0"/>
      <c r="NRZ123" s="0"/>
      <c r="NSA123" s="0"/>
      <c r="NSB123" s="0"/>
      <c r="NSC123" s="0"/>
      <c r="NSD123" s="0"/>
      <c r="NSE123" s="0"/>
      <c r="NSF123" s="0"/>
      <c r="NSG123" s="0"/>
      <c r="NSH123" s="0"/>
      <c r="NSI123" s="0"/>
      <c r="NSJ123" s="0"/>
      <c r="NSK123" s="0"/>
      <c r="NSL123" s="0"/>
      <c r="NSM123" s="0"/>
      <c r="NSN123" s="0"/>
      <c r="NSO123" s="0"/>
      <c r="NSP123" s="0"/>
      <c r="NSQ123" s="0"/>
      <c r="NSR123" s="0"/>
      <c r="NSS123" s="0"/>
      <c r="NST123" s="0"/>
      <c r="NSU123" s="0"/>
      <c r="NSV123" s="0"/>
      <c r="NSW123" s="0"/>
      <c r="NSX123" s="0"/>
      <c r="NSY123" s="0"/>
      <c r="NSZ123" s="0"/>
      <c r="NTA123" s="0"/>
      <c r="NTB123" s="0"/>
      <c r="NTC123" s="0"/>
      <c r="NTD123" s="0"/>
      <c r="NTE123" s="0"/>
      <c r="NTF123" s="0"/>
      <c r="NTG123" s="0"/>
      <c r="NTH123" s="0"/>
      <c r="NTI123" s="0"/>
      <c r="NTJ123" s="0"/>
      <c r="NTK123" s="0"/>
      <c r="NTL123" s="0"/>
      <c r="NTM123" s="0"/>
      <c r="NTN123" s="0"/>
      <c r="NTO123" s="0"/>
      <c r="NTP123" s="0"/>
      <c r="NTQ123" s="0"/>
      <c r="NTR123" s="0"/>
      <c r="NTS123" s="0"/>
      <c r="NTT123" s="0"/>
      <c r="NTU123" s="0"/>
      <c r="NTV123" s="0"/>
      <c r="NTW123" s="0"/>
      <c r="NTX123" s="0"/>
      <c r="NTY123" s="0"/>
      <c r="NTZ123" s="0"/>
      <c r="NUA123" s="0"/>
      <c r="NUB123" s="0"/>
      <c r="NUC123" s="0"/>
      <c r="NUD123" s="0"/>
      <c r="NUE123" s="0"/>
      <c r="NUF123" s="0"/>
      <c r="NUG123" s="0"/>
      <c r="NUH123" s="0"/>
      <c r="NUI123" s="0"/>
      <c r="NUJ123" s="0"/>
      <c r="NUK123" s="0"/>
      <c r="NUL123" s="0"/>
      <c r="NUM123" s="0"/>
      <c r="NUN123" s="0"/>
      <c r="NUO123" s="0"/>
      <c r="NUP123" s="0"/>
      <c r="NUQ123" s="0"/>
      <c r="NUR123" s="0"/>
      <c r="NUS123" s="0"/>
      <c r="NUT123" s="0"/>
      <c r="NUU123" s="0"/>
      <c r="NUV123" s="0"/>
      <c r="NUW123" s="0"/>
      <c r="NUX123" s="0"/>
      <c r="NUY123" s="0"/>
      <c r="NUZ123" s="0"/>
      <c r="NVA123" s="0"/>
      <c r="NVB123" s="0"/>
      <c r="NVC123" s="0"/>
      <c r="NVD123" s="0"/>
      <c r="NVE123" s="0"/>
      <c r="NVF123" s="0"/>
      <c r="NVG123" s="0"/>
      <c r="NVH123" s="0"/>
      <c r="NVI123" s="0"/>
      <c r="NVJ123" s="0"/>
      <c r="NVK123" s="0"/>
      <c r="NVL123" s="0"/>
      <c r="NVM123" s="0"/>
      <c r="NVN123" s="0"/>
      <c r="NVO123" s="0"/>
      <c r="NVP123" s="0"/>
      <c r="NVQ123" s="0"/>
      <c r="NVR123" s="0"/>
      <c r="NVS123" s="0"/>
      <c r="NVT123" s="0"/>
      <c r="NVU123" s="0"/>
      <c r="NVV123" s="0"/>
      <c r="NVW123" s="0"/>
      <c r="NVX123" s="0"/>
      <c r="NVY123" s="0"/>
      <c r="NVZ123" s="0"/>
      <c r="NWA123" s="0"/>
      <c r="NWB123" s="0"/>
      <c r="NWC123" s="0"/>
      <c r="NWD123" s="0"/>
      <c r="NWE123" s="0"/>
      <c r="NWF123" s="0"/>
      <c r="NWG123" s="0"/>
      <c r="NWH123" s="0"/>
      <c r="NWI123" s="0"/>
      <c r="NWJ123" s="0"/>
      <c r="NWK123" s="0"/>
      <c r="NWL123" s="0"/>
      <c r="NWM123" s="0"/>
      <c r="NWN123" s="0"/>
      <c r="NWO123" s="0"/>
      <c r="NWP123" s="0"/>
      <c r="NWQ123" s="0"/>
      <c r="NWR123" s="0"/>
      <c r="NWS123" s="0"/>
      <c r="NWT123" s="0"/>
      <c r="NWU123" s="0"/>
      <c r="NWV123" s="0"/>
      <c r="NWW123" s="0"/>
      <c r="NWX123" s="0"/>
      <c r="NWY123" s="0"/>
      <c r="NWZ123" s="0"/>
      <c r="NXA123" s="0"/>
      <c r="NXB123" s="0"/>
      <c r="NXC123" s="0"/>
      <c r="NXD123" s="0"/>
      <c r="NXE123" s="0"/>
      <c r="NXF123" s="0"/>
      <c r="NXG123" s="0"/>
      <c r="NXH123" s="0"/>
      <c r="NXI123" s="0"/>
      <c r="NXJ123" s="0"/>
      <c r="NXK123" s="0"/>
      <c r="NXL123" s="0"/>
      <c r="NXM123" s="0"/>
      <c r="NXN123" s="0"/>
      <c r="NXO123" s="0"/>
      <c r="NXP123" s="0"/>
      <c r="NXQ123" s="0"/>
      <c r="NXR123" s="0"/>
      <c r="NXS123" s="0"/>
      <c r="NXT123" s="0"/>
      <c r="NXU123" s="0"/>
      <c r="NXV123" s="0"/>
      <c r="NXW123" s="0"/>
      <c r="NXX123" s="0"/>
      <c r="NXY123" s="0"/>
      <c r="NXZ123" s="0"/>
      <c r="NYA123" s="0"/>
      <c r="NYB123" s="0"/>
      <c r="NYC123" s="0"/>
      <c r="NYD123" s="0"/>
      <c r="NYE123" s="0"/>
      <c r="NYF123" s="0"/>
      <c r="NYG123" s="0"/>
      <c r="NYH123" s="0"/>
      <c r="NYI123" s="0"/>
      <c r="NYJ123" s="0"/>
      <c r="NYK123" s="0"/>
      <c r="NYL123" s="0"/>
      <c r="NYM123" s="0"/>
      <c r="NYN123" s="0"/>
      <c r="NYO123" s="0"/>
      <c r="NYP123" s="0"/>
      <c r="NYQ123" s="0"/>
      <c r="NYR123" s="0"/>
      <c r="NYS123" s="0"/>
      <c r="NYT123" s="0"/>
      <c r="NYU123" s="0"/>
      <c r="NYV123" s="0"/>
      <c r="NYW123" s="0"/>
      <c r="NYX123" s="0"/>
      <c r="NYY123" s="0"/>
      <c r="NYZ123" s="0"/>
      <c r="NZA123" s="0"/>
      <c r="NZB123" s="0"/>
      <c r="NZC123" s="0"/>
      <c r="NZD123" s="0"/>
      <c r="NZE123" s="0"/>
      <c r="NZF123" s="0"/>
      <c r="NZG123" s="0"/>
      <c r="NZH123" s="0"/>
      <c r="NZI123" s="0"/>
      <c r="NZJ123" s="0"/>
      <c r="NZK123" s="0"/>
      <c r="NZL123" s="0"/>
      <c r="NZM123" s="0"/>
      <c r="NZN123" s="0"/>
      <c r="NZO123" s="0"/>
      <c r="NZP123" s="0"/>
      <c r="NZQ123" s="0"/>
      <c r="NZR123" s="0"/>
      <c r="NZS123" s="0"/>
      <c r="NZT123" s="0"/>
      <c r="NZU123" s="0"/>
      <c r="NZV123" s="0"/>
      <c r="NZW123" s="0"/>
      <c r="NZX123" s="0"/>
      <c r="NZY123" s="0"/>
      <c r="NZZ123" s="0"/>
      <c r="OAA123" s="0"/>
      <c r="OAB123" s="0"/>
      <c r="OAC123" s="0"/>
      <c r="OAD123" s="0"/>
      <c r="OAE123" s="0"/>
      <c r="OAF123" s="0"/>
      <c r="OAG123" s="0"/>
      <c r="OAH123" s="0"/>
      <c r="OAI123" s="0"/>
      <c r="OAJ123" s="0"/>
      <c r="OAK123" s="0"/>
      <c r="OAL123" s="0"/>
      <c r="OAM123" s="0"/>
      <c r="OAN123" s="0"/>
      <c r="OAO123" s="0"/>
      <c r="OAP123" s="0"/>
      <c r="OAQ123" s="0"/>
      <c r="OAR123" s="0"/>
      <c r="OAS123" s="0"/>
      <c r="OAT123" s="0"/>
      <c r="OAU123" s="0"/>
      <c r="OAV123" s="0"/>
      <c r="OAW123" s="0"/>
      <c r="OAX123" s="0"/>
      <c r="OAY123" s="0"/>
      <c r="OAZ123" s="0"/>
      <c r="OBA123" s="0"/>
      <c r="OBB123" s="0"/>
      <c r="OBC123" s="0"/>
      <c r="OBD123" s="0"/>
      <c r="OBE123" s="0"/>
      <c r="OBF123" s="0"/>
      <c r="OBG123" s="0"/>
      <c r="OBH123" s="0"/>
      <c r="OBI123" s="0"/>
      <c r="OBJ123" s="0"/>
      <c r="OBK123" s="0"/>
      <c r="OBL123" s="0"/>
      <c r="OBM123" s="0"/>
      <c r="OBN123" s="0"/>
      <c r="OBO123" s="0"/>
      <c r="OBP123" s="0"/>
      <c r="OBQ123" s="0"/>
      <c r="OBR123" s="0"/>
      <c r="OBS123" s="0"/>
      <c r="OBT123" s="0"/>
      <c r="OBU123" s="0"/>
      <c r="OBV123" s="0"/>
      <c r="OBW123" s="0"/>
      <c r="OBX123" s="0"/>
      <c r="OBY123" s="0"/>
      <c r="OBZ123" s="0"/>
      <c r="OCA123" s="0"/>
      <c r="OCB123" s="0"/>
      <c r="OCC123" s="0"/>
      <c r="OCD123" s="0"/>
      <c r="OCE123" s="0"/>
      <c r="OCF123" s="0"/>
      <c r="OCG123" s="0"/>
      <c r="OCH123" s="0"/>
      <c r="OCI123" s="0"/>
      <c r="OCJ123" s="0"/>
      <c r="OCK123" s="0"/>
      <c r="OCL123" s="0"/>
      <c r="OCM123" s="0"/>
      <c r="OCN123" s="0"/>
      <c r="OCO123" s="0"/>
      <c r="OCP123" s="0"/>
      <c r="OCQ123" s="0"/>
      <c r="OCR123" s="0"/>
      <c r="OCS123" s="0"/>
      <c r="OCT123" s="0"/>
      <c r="OCU123" s="0"/>
      <c r="OCV123" s="0"/>
      <c r="OCW123" s="0"/>
      <c r="OCX123" s="0"/>
      <c r="OCY123" s="0"/>
      <c r="OCZ123" s="0"/>
      <c r="ODA123" s="0"/>
      <c r="ODB123" s="0"/>
      <c r="ODC123" s="0"/>
      <c r="ODD123" s="0"/>
      <c r="ODE123" s="0"/>
      <c r="ODF123" s="0"/>
      <c r="ODG123" s="0"/>
      <c r="ODH123" s="0"/>
      <c r="ODI123" s="0"/>
      <c r="ODJ123" s="0"/>
      <c r="ODK123" s="0"/>
      <c r="ODL123" s="0"/>
      <c r="ODM123" s="0"/>
      <c r="ODN123" s="0"/>
      <c r="ODO123" s="0"/>
      <c r="ODP123" s="0"/>
      <c r="ODQ123" s="0"/>
      <c r="ODR123" s="0"/>
      <c r="ODS123" s="0"/>
      <c r="ODT123" s="0"/>
      <c r="ODU123" s="0"/>
      <c r="ODV123" s="0"/>
      <c r="ODW123" s="0"/>
      <c r="ODX123" s="0"/>
      <c r="ODY123" s="0"/>
      <c r="ODZ123" s="0"/>
      <c r="OEA123" s="0"/>
      <c r="OEB123" s="0"/>
      <c r="OEC123" s="0"/>
      <c r="OED123" s="0"/>
      <c r="OEE123" s="0"/>
      <c r="OEF123" s="0"/>
      <c r="OEG123" s="0"/>
      <c r="OEH123" s="0"/>
      <c r="OEI123" s="0"/>
      <c r="OEJ123" s="0"/>
      <c r="OEK123" s="0"/>
      <c r="OEL123" s="0"/>
      <c r="OEM123" s="0"/>
      <c r="OEN123" s="0"/>
      <c r="OEO123" s="0"/>
      <c r="OEP123" s="0"/>
      <c r="OEQ123" s="0"/>
      <c r="OER123" s="0"/>
      <c r="OES123" s="0"/>
      <c r="OET123" s="0"/>
      <c r="OEU123" s="0"/>
      <c r="OEV123" s="0"/>
      <c r="OEW123" s="0"/>
      <c r="OEX123" s="0"/>
      <c r="OEY123" s="0"/>
      <c r="OEZ123" s="0"/>
      <c r="OFA123" s="0"/>
      <c r="OFB123" s="0"/>
      <c r="OFC123" s="0"/>
      <c r="OFD123" s="0"/>
      <c r="OFE123" s="0"/>
      <c r="OFF123" s="0"/>
      <c r="OFG123" s="0"/>
      <c r="OFH123" s="0"/>
      <c r="OFI123" s="0"/>
      <c r="OFJ123" s="0"/>
      <c r="OFK123" s="0"/>
      <c r="OFL123" s="0"/>
      <c r="OFM123" s="0"/>
      <c r="OFN123" s="0"/>
      <c r="OFO123" s="0"/>
      <c r="OFP123" s="0"/>
      <c r="OFQ123" s="0"/>
      <c r="OFR123" s="0"/>
      <c r="OFS123" s="0"/>
      <c r="OFT123" s="0"/>
      <c r="OFU123" s="0"/>
      <c r="OFV123" s="0"/>
      <c r="OFW123" s="0"/>
      <c r="OFX123" s="0"/>
      <c r="OFY123" s="0"/>
      <c r="OFZ123" s="0"/>
      <c r="OGA123" s="0"/>
      <c r="OGB123" s="0"/>
      <c r="OGC123" s="0"/>
      <c r="OGD123" s="0"/>
      <c r="OGE123" s="0"/>
      <c r="OGF123" s="0"/>
      <c r="OGG123" s="0"/>
      <c r="OGH123" s="0"/>
      <c r="OGI123" s="0"/>
      <c r="OGJ123" s="0"/>
      <c r="OGK123" s="0"/>
      <c r="OGL123" s="0"/>
      <c r="OGM123" s="0"/>
      <c r="OGN123" s="0"/>
      <c r="OGO123" s="0"/>
      <c r="OGP123" s="0"/>
      <c r="OGQ123" s="0"/>
      <c r="OGR123" s="0"/>
      <c r="OGS123" s="0"/>
      <c r="OGT123" s="0"/>
      <c r="OGU123" s="0"/>
      <c r="OGV123" s="0"/>
      <c r="OGW123" s="0"/>
      <c r="OGX123" s="0"/>
      <c r="OGY123" s="0"/>
      <c r="OGZ123" s="0"/>
      <c r="OHA123" s="0"/>
      <c r="OHB123" s="0"/>
      <c r="OHC123" s="0"/>
      <c r="OHD123" s="0"/>
      <c r="OHE123" s="0"/>
      <c r="OHF123" s="0"/>
      <c r="OHG123" s="0"/>
      <c r="OHH123" s="0"/>
      <c r="OHI123" s="0"/>
      <c r="OHJ123" s="0"/>
      <c r="OHK123" s="0"/>
      <c r="OHL123" s="0"/>
      <c r="OHM123" s="0"/>
      <c r="OHN123" s="0"/>
      <c r="OHO123" s="0"/>
      <c r="OHP123" s="0"/>
      <c r="OHQ123" s="0"/>
      <c r="OHR123" s="0"/>
      <c r="OHS123" s="0"/>
      <c r="OHT123" s="0"/>
      <c r="OHU123" s="0"/>
      <c r="OHV123" s="0"/>
      <c r="OHW123" s="0"/>
      <c r="OHX123" s="0"/>
      <c r="OHY123" s="0"/>
      <c r="OHZ123" s="0"/>
      <c r="OIA123" s="0"/>
      <c r="OIB123" s="0"/>
      <c r="OIC123" s="0"/>
      <c r="OID123" s="0"/>
      <c r="OIE123" s="0"/>
      <c r="OIF123" s="0"/>
      <c r="OIG123" s="0"/>
      <c r="OIH123" s="0"/>
      <c r="OII123" s="0"/>
      <c r="OIJ123" s="0"/>
      <c r="OIK123" s="0"/>
      <c r="OIL123" s="0"/>
      <c r="OIM123" s="0"/>
      <c r="OIN123" s="0"/>
      <c r="OIO123" s="0"/>
      <c r="OIP123" s="0"/>
      <c r="OIQ123" s="0"/>
      <c r="OIR123" s="0"/>
      <c r="OIS123" s="0"/>
      <c r="OIT123" s="0"/>
      <c r="OIU123" s="0"/>
      <c r="OIV123" s="0"/>
      <c r="OIW123" s="0"/>
      <c r="OIX123" s="0"/>
      <c r="OIY123" s="0"/>
      <c r="OIZ123" s="0"/>
      <c r="OJA123" s="0"/>
      <c r="OJB123" s="0"/>
      <c r="OJC123" s="0"/>
      <c r="OJD123" s="0"/>
      <c r="OJE123" s="0"/>
      <c r="OJF123" s="0"/>
      <c r="OJG123" s="0"/>
      <c r="OJH123" s="0"/>
      <c r="OJI123" s="0"/>
      <c r="OJJ123" s="0"/>
      <c r="OJK123" s="0"/>
      <c r="OJL123" s="0"/>
      <c r="OJM123" s="0"/>
      <c r="OJN123" s="0"/>
      <c r="OJO123" s="0"/>
      <c r="OJP123" s="0"/>
      <c r="OJQ123" s="0"/>
      <c r="OJR123" s="0"/>
      <c r="OJS123" s="0"/>
      <c r="OJT123" s="0"/>
      <c r="OJU123" s="0"/>
      <c r="OJV123" s="0"/>
      <c r="OJW123" s="0"/>
      <c r="OJX123" s="0"/>
      <c r="OJY123" s="0"/>
      <c r="OJZ123" s="0"/>
      <c r="OKA123" s="0"/>
      <c r="OKB123" s="0"/>
      <c r="OKC123" s="0"/>
      <c r="OKD123" s="0"/>
      <c r="OKE123" s="0"/>
      <c r="OKF123" s="0"/>
      <c r="OKG123" s="0"/>
      <c r="OKH123" s="0"/>
      <c r="OKI123" s="0"/>
      <c r="OKJ123" s="0"/>
      <c r="OKK123" s="0"/>
      <c r="OKL123" s="0"/>
      <c r="OKM123" s="0"/>
      <c r="OKN123" s="0"/>
      <c r="OKO123" s="0"/>
      <c r="OKP123" s="0"/>
      <c r="OKQ123" s="0"/>
      <c r="OKR123" s="0"/>
      <c r="OKS123" s="0"/>
      <c r="OKT123" s="0"/>
      <c r="OKU123" s="0"/>
      <c r="OKV123" s="0"/>
      <c r="OKW123" s="0"/>
      <c r="OKX123" s="0"/>
      <c r="OKY123" s="0"/>
      <c r="OKZ123" s="0"/>
      <c r="OLA123" s="0"/>
      <c r="OLB123" s="0"/>
      <c r="OLC123" s="0"/>
      <c r="OLD123" s="0"/>
      <c r="OLE123" s="0"/>
      <c r="OLF123" s="0"/>
      <c r="OLG123" s="0"/>
      <c r="OLH123" s="0"/>
      <c r="OLI123" s="0"/>
      <c r="OLJ123" s="0"/>
      <c r="OLK123" s="0"/>
      <c r="OLL123" s="0"/>
      <c r="OLM123" s="0"/>
      <c r="OLN123" s="0"/>
      <c r="OLO123" s="0"/>
      <c r="OLP123" s="0"/>
      <c r="OLQ123" s="0"/>
      <c r="OLR123" s="0"/>
      <c r="OLS123" s="0"/>
      <c r="OLT123" s="0"/>
      <c r="OLU123" s="0"/>
      <c r="OLV123" s="0"/>
      <c r="OLW123" s="0"/>
      <c r="OLX123" s="0"/>
      <c r="OLY123" s="0"/>
      <c r="OLZ123" s="0"/>
      <c r="OMA123" s="0"/>
      <c r="OMB123" s="0"/>
      <c r="OMC123" s="0"/>
      <c r="OMD123" s="0"/>
      <c r="OME123" s="0"/>
      <c r="OMF123" s="0"/>
      <c r="OMG123" s="0"/>
      <c r="OMH123" s="0"/>
      <c r="OMI123" s="0"/>
      <c r="OMJ123" s="0"/>
      <c r="OMK123" s="0"/>
      <c r="OML123" s="0"/>
      <c r="OMM123" s="0"/>
      <c r="OMN123" s="0"/>
      <c r="OMO123" s="0"/>
      <c r="OMP123" s="0"/>
      <c r="OMQ123" s="0"/>
      <c r="OMR123" s="0"/>
      <c r="OMS123" s="0"/>
      <c r="OMT123" s="0"/>
      <c r="OMU123" s="0"/>
      <c r="OMV123" s="0"/>
      <c r="OMW123" s="0"/>
      <c r="OMX123" s="0"/>
      <c r="OMY123" s="0"/>
      <c r="OMZ123" s="0"/>
      <c r="ONA123" s="0"/>
      <c r="ONB123" s="0"/>
      <c r="ONC123" s="0"/>
      <c r="OND123" s="0"/>
      <c r="ONE123" s="0"/>
      <c r="ONF123" s="0"/>
      <c r="ONG123" s="0"/>
      <c r="ONH123" s="0"/>
      <c r="ONI123" s="0"/>
      <c r="ONJ123" s="0"/>
      <c r="ONK123" s="0"/>
      <c r="ONL123" s="0"/>
      <c r="ONM123" s="0"/>
      <c r="ONN123" s="0"/>
      <c r="ONO123" s="0"/>
      <c r="ONP123" s="0"/>
      <c r="ONQ123" s="0"/>
      <c r="ONR123" s="0"/>
      <c r="ONS123" s="0"/>
      <c r="ONT123" s="0"/>
      <c r="ONU123" s="0"/>
      <c r="ONV123" s="0"/>
      <c r="ONW123" s="0"/>
      <c r="ONX123" s="0"/>
      <c r="ONY123" s="0"/>
      <c r="ONZ123" s="0"/>
      <c r="OOA123" s="0"/>
      <c r="OOB123" s="0"/>
      <c r="OOC123" s="0"/>
      <c r="OOD123" s="0"/>
      <c r="OOE123" s="0"/>
      <c r="OOF123" s="0"/>
      <c r="OOG123" s="0"/>
      <c r="OOH123" s="0"/>
      <c r="OOI123" s="0"/>
      <c r="OOJ123" s="0"/>
      <c r="OOK123" s="0"/>
      <c r="OOL123" s="0"/>
      <c r="OOM123" s="0"/>
      <c r="OON123" s="0"/>
      <c r="OOO123" s="0"/>
      <c r="OOP123" s="0"/>
      <c r="OOQ123" s="0"/>
      <c r="OOR123" s="0"/>
      <c r="OOS123" s="0"/>
      <c r="OOT123" s="0"/>
      <c r="OOU123" s="0"/>
      <c r="OOV123" s="0"/>
      <c r="OOW123" s="0"/>
      <c r="OOX123" s="0"/>
      <c r="OOY123" s="0"/>
      <c r="OOZ123" s="0"/>
      <c r="OPA123" s="0"/>
      <c r="OPB123" s="0"/>
      <c r="OPC123" s="0"/>
      <c r="OPD123" s="0"/>
      <c r="OPE123" s="0"/>
      <c r="OPF123" s="0"/>
      <c r="OPG123" s="0"/>
      <c r="OPH123" s="0"/>
      <c r="OPI123" s="0"/>
      <c r="OPJ123" s="0"/>
      <c r="OPK123" s="0"/>
      <c r="OPL123" s="0"/>
      <c r="OPM123" s="0"/>
      <c r="OPN123" s="0"/>
      <c r="OPO123" s="0"/>
      <c r="OPP123" s="0"/>
      <c r="OPQ123" s="0"/>
      <c r="OPR123" s="0"/>
      <c r="OPS123" s="0"/>
      <c r="OPT123" s="0"/>
      <c r="OPU123" s="0"/>
      <c r="OPV123" s="0"/>
      <c r="OPW123" s="0"/>
      <c r="OPX123" s="0"/>
      <c r="OPY123" s="0"/>
      <c r="OPZ123" s="0"/>
      <c r="OQA123" s="0"/>
      <c r="OQB123" s="0"/>
      <c r="OQC123" s="0"/>
      <c r="OQD123" s="0"/>
      <c r="OQE123" s="0"/>
      <c r="OQF123" s="0"/>
      <c r="OQG123" s="0"/>
      <c r="OQH123" s="0"/>
      <c r="OQI123" s="0"/>
      <c r="OQJ123" s="0"/>
      <c r="OQK123" s="0"/>
      <c r="OQL123" s="0"/>
      <c r="OQM123" s="0"/>
      <c r="OQN123" s="0"/>
      <c r="OQO123" s="0"/>
      <c r="OQP123" s="0"/>
      <c r="OQQ123" s="0"/>
      <c r="OQR123" s="0"/>
      <c r="OQS123" s="0"/>
      <c r="OQT123" s="0"/>
      <c r="OQU123" s="0"/>
      <c r="OQV123" s="0"/>
      <c r="OQW123" s="0"/>
      <c r="OQX123" s="0"/>
      <c r="OQY123" s="0"/>
      <c r="OQZ123" s="0"/>
      <c r="ORA123" s="0"/>
      <c r="ORB123" s="0"/>
      <c r="ORC123" s="0"/>
      <c r="ORD123" s="0"/>
      <c r="ORE123" s="0"/>
      <c r="ORF123" s="0"/>
      <c r="ORG123" s="0"/>
      <c r="ORH123" s="0"/>
      <c r="ORI123" s="0"/>
      <c r="ORJ123" s="0"/>
      <c r="ORK123" s="0"/>
      <c r="ORL123" s="0"/>
      <c r="ORM123" s="0"/>
      <c r="ORN123" s="0"/>
      <c r="ORO123" s="0"/>
      <c r="ORP123" s="0"/>
      <c r="ORQ123" s="0"/>
      <c r="ORR123" s="0"/>
      <c r="ORS123" s="0"/>
      <c r="ORT123" s="0"/>
      <c r="ORU123" s="0"/>
      <c r="ORV123" s="0"/>
      <c r="ORW123" s="0"/>
      <c r="ORX123" s="0"/>
      <c r="ORY123" s="0"/>
      <c r="ORZ123" s="0"/>
      <c r="OSA123" s="0"/>
      <c r="OSB123" s="0"/>
      <c r="OSC123" s="0"/>
      <c r="OSD123" s="0"/>
      <c r="OSE123" s="0"/>
      <c r="OSF123" s="0"/>
      <c r="OSG123" s="0"/>
      <c r="OSH123" s="0"/>
      <c r="OSI123" s="0"/>
      <c r="OSJ123" s="0"/>
      <c r="OSK123" s="0"/>
      <c r="OSL123" s="0"/>
      <c r="OSM123" s="0"/>
      <c r="OSN123" s="0"/>
      <c r="OSO123" s="0"/>
      <c r="OSP123" s="0"/>
      <c r="OSQ123" s="0"/>
      <c r="OSR123" s="0"/>
      <c r="OSS123" s="0"/>
      <c r="OST123" s="0"/>
      <c r="OSU123" s="0"/>
      <c r="OSV123" s="0"/>
      <c r="OSW123" s="0"/>
      <c r="OSX123" s="0"/>
      <c r="OSY123" s="0"/>
      <c r="OSZ123" s="0"/>
      <c r="OTA123" s="0"/>
      <c r="OTB123" s="0"/>
      <c r="OTC123" s="0"/>
      <c r="OTD123" s="0"/>
      <c r="OTE123" s="0"/>
      <c r="OTF123" s="0"/>
      <c r="OTG123" s="0"/>
      <c r="OTH123" s="0"/>
      <c r="OTI123" s="0"/>
      <c r="OTJ123" s="0"/>
      <c r="OTK123" s="0"/>
      <c r="OTL123" s="0"/>
      <c r="OTM123" s="0"/>
      <c r="OTN123" s="0"/>
      <c r="OTO123" s="0"/>
      <c r="OTP123" s="0"/>
      <c r="OTQ123" s="0"/>
      <c r="OTR123" s="0"/>
      <c r="OTS123" s="0"/>
      <c r="OTT123" s="0"/>
      <c r="OTU123" s="0"/>
      <c r="OTV123" s="0"/>
      <c r="OTW123" s="0"/>
      <c r="OTX123" s="0"/>
      <c r="OTY123" s="0"/>
      <c r="OTZ123" s="0"/>
      <c r="OUA123" s="0"/>
      <c r="OUB123" s="0"/>
      <c r="OUC123" s="0"/>
      <c r="OUD123" s="0"/>
      <c r="OUE123" s="0"/>
      <c r="OUF123" s="0"/>
      <c r="OUG123" s="0"/>
      <c r="OUH123" s="0"/>
      <c r="OUI123" s="0"/>
      <c r="OUJ123" s="0"/>
      <c r="OUK123" s="0"/>
      <c r="OUL123" s="0"/>
      <c r="OUM123" s="0"/>
      <c r="OUN123" s="0"/>
      <c r="OUO123" s="0"/>
      <c r="OUP123" s="0"/>
      <c r="OUQ123" s="0"/>
      <c r="OUR123" s="0"/>
      <c r="OUS123" s="0"/>
      <c r="OUT123" s="0"/>
      <c r="OUU123" s="0"/>
      <c r="OUV123" s="0"/>
      <c r="OUW123" s="0"/>
      <c r="OUX123" s="0"/>
      <c r="OUY123" s="0"/>
      <c r="OUZ123" s="0"/>
      <c r="OVA123" s="0"/>
      <c r="OVB123" s="0"/>
      <c r="OVC123" s="0"/>
      <c r="OVD123" s="0"/>
      <c r="OVE123" s="0"/>
      <c r="OVF123" s="0"/>
      <c r="OVG123" s="0"/>
      <c r="OVH123" s="0"/>
      <c r="OVI123" s="0"/>
      <c r="OVJ123" s="0"/>
      <c r="OVK123" s="0"/>
      <c r="OVL123" s="0"/>
      <c r="OVM123" s="0"/>
      <c r="OVN123" s="0"/>
      <c r="OVO123" s="0"/>
      <c r="OVP123" s="0"/>
      <c r="OVQ123" s="0"/>
      <c r="OVR123" s="0"/>
      <c r="OVS123" s="0"/>
      <c r="OVT123" s="0"/>
      <c r="OVU123" s="0"/>
      <c r="OVV123" s="0"/>
      <c r="OVW123" s="0"/>
      <c r="OVX123" s="0"/>
      <c r="OVY123" s="0"/>
      <c r="OVZ123" s="0"/>
      <c r="OWA123" s="0"/>
      <c r="OWB123" s="0"/>
      <c r="OWC123" s="0"/>
      <c r="OWD123" s="0"/>
      <c r="OWE123" s="0"/>
      <c r="OWF123" s="0"/>
      <c r="OWG123" s="0"/>
      <c r="OWH123" s="0"/>
      <c r="OWI123" s="0"/>
      <c r="OWJ123" s="0"/>
      <c r="OWK123" s="0"/>
      <c r="OWL123" s="0"/>
      <c r="OWM123" s="0"/>
      <c r="OWN123" s="0"/>
      <c r="OWO123" s="0"/>
      <c r="OWP123" s="0"/>
      <c r="OWQ123" s="0"/>
      <c r="OWR123" s="0"/>
      <c r="OWS123" s="0"/>
      <c r="OWT123" s="0"/>
      <c r="OWU123" s="0"/>
      <c r="OWV123" s="0"/>
      <c r="OWW123" s="0"/>
      <c r="OWX123" s="0"/>
      <c r="OWY123" s="0"/>
      <c r="OWZ123" s="0"/>
      <c r="OXA123" s="0"/>
      <c r="OXB123" s="0"/>
      <c r="OXC123" s="0"/>
      <c r="OXD123" s="0"/>
      <c r="OXE123" s="0"/>
      <c r="OXF123" s="0"/>
      <c r="OXG123" s="0"/>
      <c r="OXH123" s="0"/>
      <c r="OXI123" s="0"/>
      <c r="OXJ123" s="0"/>
      <c r="OXK123" s="0"/>
      <c r="OXL123" s="0"/>
      <c r="OXM123" s="0"/>
      <c r="OXN123" s="0"/>
      <c r="OXO123" s="0"/>
      <c r="OXP123" s="0"/>
      <c r="OXQ123" s="0"/>
      <c r="OXR123" s="0"/>
      <c r="OXS123" s="0"/>
      <c r="OXT123" s="0"/>
      <c r="OXU123" s="0"/>
      <c r="OXV123" s="0"/>
      <c r="OXW123" s="0"/>
      <c r="OXX123" s="0"/>
      <c r="OXY123" s="0"/>
      <c r="OXZ123" s="0"/>
      <c r="OYA123" s="0"/>
      <c r="OYB123" s="0"/>
      <c r="OYC123" s="0"/>
      <c r="OYD123" s="0"/>
      <c r="OYE123" s="0"/>
      <c r="OYF123" s="0"/>
      <c r="OYG123" s="0"/>
      <c r="OYH123" s="0"/>
      <c r="OYI123" s="0"/>
      <c r="OYJ123" s="0"/>
      <c r="OYK123" s="0"/>
      <c r="OYL123" s="0"/>
      <c r="OYM123" s="0"/>
      <c r="OYN123" s="0"/>
      <c r="OYO123" s="0"/>
      <c r="OYP123" s="0"/>
      <c r="OYQ123" s="0"/>
      <c r="OYR123" s="0"/>
      <c r="OYS123" s="0"/>
      <c r="OYT123" s="0"/>
      <c r="OYU123" s="0"/>
      <c r="OYV123" s="0"/>
      <c r="OYW123" s="0"/>
      <c r="OYX123" s="0"/>
      <c r="OYY123" s="0"/>
      <c r="OYZ123" s="0"/>
      <c r="OZA123" s="0"/>
      <c r="OZB123" s="0"/>
      <c r="OZC123" s="0"/>
      <c r="OZD123" s="0"/>
      <c r="OZE123" s="0"/>
      <c r="OZF123" s="0"/>
      <c r="OZG123" s="0"/>
      <c r="OZH123" s="0"/>
      <c r="OZI123" s="0"/>
      <c r="OZJ123" s="0"/>
      <c r="OZK123" s="0"/>
      <c r="OZL123" s="0"/>
      <c r="OZM123" s="0"/>
      <c r="OZN123" s="0"/>
      <c r="OZO123" s="0"/>
      <c r="OZP123" s="0"/>
      <c r="OZQ123" s="0"/>
      <c r="OZR123" s="0"/>
      <c r="OZS123" s="0"/>
      <c r="OZT123" s="0"/>
      <c r="OZU123" s="0"/>
      <c r="OZV123" s="0"/>
      <c r="OZW123" s="0"/>
      <c r="OZX123" s="0"/>
      <c r="OZY123" s="0"/>
      <c r="OZZ123" s="0"/>
      <c r="PAA123" s="0"/>
      <c r="PAB123" s="0"/>
      <c r="PAC123" s="0"/>
      <c r="PAD123" s="0"/>
      <c r="PAE123" s="0"/>
      <c r="PAF123" s="0"/>
      <c r="PAG123" s="0"/>
      <c r="PAH123" s="0"/>
      <c r="PAI123" s="0"/>
      <c r="PAJ123" s="0"/>
      <c r="PAK123" s="0"/>
      <c r="PAL123" s="0"/>
      <c r="PAM123" s="0"/>
      <c r="PAN123" s="0"/>
      <c r="PAO123" s="0"/>
      <c r="PAP123" s="0"/>
      <c r="PAQ123" s="0"/>
      <c r="PAR123" s="0"/>
      <c r="PAS123" s="0"/>
      <c r="PAT123" s="0"/>
      <c r="PAU123" s="0"/>
      <c r="PAV123" s="0"/>
      <c r="PAW123" s="0"/>
      <c r="PAX123" s="0"/>
      <c r="PAY123" s="0"/>
      <c r="PAZ123" s="0"/>
      <c r="PBA123" s="0"/>
      <c r="PBB123" s="0"/>
      <c r="PBC123" s="0"/>
      <c r="PBD123" s="0"/>
      <c r="PBE123" s="0"/>
      <c r="PBF123" s="0"/>
      <c r="PBG123" s="0"/>
      <c r="PBH123" s="0"/>
      <c r="PBI123" s="0"/>
      <c r="PBJ123" s="0"/>
      <c r="PBK123" s="0"/>
      <c r="PBL123" s="0"/>
      <c r="PBM123" s="0"/>
      <c r="PBN123" s="0"/>
      <c r="PBO123" s="0"/>
      <c r="PBP123" s="0"/>
      <c r="PBQ123" s="0"/>
      <c r="PBR123" s="0"/>
      <c r="PBS123" s="0"/>
      <c r="PBT123" s="0"/>
      <c r="PBU123" s="0"/>
      <c r="PBV123" s="0"/>
      <c r="PBW123" s="0"/>
      <c r="PBX123" s="0"/>
      <c r="PBY123" s="0"/>
      <c r="PBZ123" s="0"/>
      <c r="PCA123" s="0"/>
      <c r="PCB123" s="0"/>
      <c r="PCC123" s="0"/>
      <c r="PCD123" s="0"/>
      <c r="PCE123" s="0"/>
      <c r="PCF123" s="0"/>
      <c r="PCG123" s="0"/>
      <c r="PCH123" s="0"/>
      <c r="PCI123" s="0"/>
      <c r="PCJ123" s="0"/>
      <c r="PCK123" s="0"/>
      <c r="PCL123" s="0"/>
      <c r="PCM123" s="0"/>
      <c r="PCN123" s="0"/>
      <c r="PCO123" s="0"/>
      <c r="PCP123" s="0"/>
      <c r="PCQ123" s="0"/>
      <c r="PCR123" s="0"/>
      <c r="PCS123" s="0"/>
      <c r="PCT123" s="0"/>
      <c r="PCU123" s="0"/>
      <c r="PCV123" s="0"/>
      <c r="PCW123" s="0"/>
      <c r="PCX123" s="0"/>
      <c r="PCY123" s="0"/>
      <c r="PCZ123" s="0"/>
      <c r="PDA123" s="0"/>
      <c r="PDB123" s="0"/>
      <c r="PDC123" s="0"/>
      <c r="PDD123" s="0"/>
      <c r="PDE123" s="0"/>
      <c r="PDF123" s="0"/>
      <c r="PDG123" s="0"/>
      <c r="PDH123" s="0"/>
      <c r="PDI123" s="0"/>
      <c r="PDJ123" s="0"/>
      <c r="PDK123" s="0"/>
      <c r="PDL123" s="0"/>
      <c r="PDM123" s="0"/>
      <c r="PDN123" s="0"/>
      <c r="PDO123" s="0"/>
      <c r="PDP123" s="0"/>
      <c r="PDQ123" s="0"/>
      <c r="PDR123" s="0"/>
      <c r="PDS123" s="0"/>
      <c r="PDT123" s="0"/>
      <c r="PDU123" s="0"/>
      <c r="PDV123" s="0"/>
      <c r="PDW123" s="0"/>
      <c r="PDX123" s="0"/>
      <c r="PDY123" s="0"/>
      <c r="PDZ123" s="0"/>
      <c r="PEA123" s="0"/>
      <c r="PEB123" s="0"/>
      <c r="PEC123" s="0"/>
      <c r="PED123" s="0"/>
      <c r="PEE123" s="0"/>
      <c r="PEF123" s="0"/>
      <c r="PEG123" s="0"/>
      <c r="PEH123" s="0"/>
      <c r="PEI123" s="0"/>
      <c r="PEJ123" s="0"/>
      <c r="PEK123" s="0"/>
      <c r="PEL123" s="0"/>
      <c r="PEM123" s="0"/>
      <c r="PEN123" s="0"/>
      <c r="PEO123" s="0"/>
      <c r="PEP123" s="0"/>
      <c r="PEQ123" s="0"/>
      <c r="PER123" s="0"/>
      <c r="PES123" s="0"/>
      <c r="PET123" s="0"/>
      <c r="PEU123" s="0"/>
      <c r="PEV123" s="0"/>
      <c r="PEW123" s="0"/>
      <c r="PEX123" s="0"/>
      <c r="PEY123" s="0"/>
      <c r="PEZ123" s="0"/>
      <c r="PFA123" s="0"/>
      <c r="PFB123" s="0"/>
      <c r="PFC123" s="0"/>
      <c r="PFD123" s="0"/>
      <c r="PFE123" s="0"/>
      <c r="PFF123" s="0"/>
      <c r="PFG123" s="0"/>
      <c r="PFH123" s="0"/>
      <c r="PFI123" s="0"/>
      <c r="PFJ123" s="0"/>
      <c r="PFK123" s="0"/>
      <c r="PFL123" s="0"/>
      <c r="PFM123" s="0"/>
      <c r="PFN123" s="0"/>
      <c r="PFO123" s="0"/>
      <c r="PFP123" s="0"/>
      <c r="PFQ123" s="0"/>
      <c r="PFR123" s="0"/>
      <c r="PFS123" s="0"/>
      <c r="PFT123" s="0"/>
      <c r="PFU123" s="0"/>
      <c r="PFV123" s="0"/>
      <c r="PFW123" s="0"/>
      <c r="PFX123" s="0"/>
      <c r="PFY123" s="0"/>
      <c r="PFZ123" s="0"/>
      <c r="PGA123" s="0"/>
      <c r="PGB123" s="0"/>
      <c r="PGC123" s="0"/>
      <c r="PGD123" s="0"/>
      <c r="PGE123" s="0"/>
      <c r="PGF123" s="0"/>
      <c r="PGG123" s="0"/>
      <c r="PGH123" s="0"/>
      <c r="PGI123" s="0"/>
      <c r="PGJ123" s="0"/>
      <c r="PGK123" s="0"/>
      <c r="PGL123" s="0"/>
      <c r="PGM123" s="0"/>
      <c r="PGN123" s="0"/>
      <c r="PGO123" s="0"/>
      <c r="PGP123" s="0"/>
      <c r="PGQ123" s="0"/>
      <c r="PGR123" s="0"/>
      <c r="PGS123" s="0"/>
      <c r="PGT123" s="0"/>
      <c r="PGU123" s="0"/>
      <c r="PGV123" s="0"/>
      <c r="PGW123" s="0"/>
      <c r="PGX123" s="0"/>
      <c r="PGY123" s="0"/>
      <c r="PGZ123" s="0"/>
      <c r="PHA123" s="0"/>
      <c r="PHB123" s="0"/>
      <c r="PHC123" s="0"/>
      <c r="PHD123" s="0"/>
      <c r="PHE123" s="0"/>
      <c r="PHF123" s="0"/>
      <c r="PHG123" s="0"/>
      <c r="PHH123" s="0"/>
      <c r="PHI123" s="0"/>
      <c r="PHJ123" s="0"/>
      <c r="PHK123" s="0"/>
      <c r="PHL123" s="0"/>
      <c r="PHM123" s="0"/>
      <c r="PHN123" s="0"/>
      <c r="PHO123" s="0"/>
      <c r="PHP123" s="0"/>
      <c r="PHQ123" s="0"/>
      <c r="PHR123" s="0"/>
      <c r="PHS123" s="0"/>
      <c r="PHT123" s="0"/>
      <c r="PHU123" s="0"/>
      <c r="PHV123" s="0"/>
      <c r="PHW123" s="0"/>
      <c r="PHX123" s="0"/>
      <c r="PHY123" s="0"/>
      <c r="PHZ123" s="0"/>
      <c r="PIA123" s="0"/>
      <c r="PIB123" s="0"/>
      <c r="PIC123" s="0"/>
      <c r="PID123" s="0"/>
      <c r="PIE123" s="0"/>
      <c r="PIF123" s="0"/>
      <c r="PIG123" s="0"/>
      <c r="PIH123" s="0"/>
      <c r="PII123" s="0"/>
      <c r="PIJ123" s="0"/>
      <c r="PIK123" s="0"/>
      <c r="PIL123" s="0"/>
      <c r="PIM123" s="0"/>
      <c r="PIN123" s="0"/>
      <c r="PIO123" s="0"/>
      <c r="PIP123" s="0"/>
      <c r="PIQ123" s="0"/>
      <c r="PIR123" s="0"/>
      <c r="PIS123" s="0"/>
      <c r="PIT123" s="0"/>
      <c r="PIU123" s="0"/>
      <c r="PIV123" s="0"/>
      <c r="PIW123" s="0"/>
      <c r="PIX123" s="0"/>
      <c r="PIY123" s="0"/>
      <c r="PIZ123" s="0"/>
      <c r="PJA123" s="0"/>
      <c r="PJB123" s="0"/>
      <c r="PJC123" s="0"/>
      <c r="PJD123" s="0"/>
      <c r="PJE123" s="0"/>
      <c r="PJF123" s="0"/>
      <c r="PJG123" s="0"/>
      <c r="PJH123" s="0"/>
      <c r="PJI123" s="0"/>
      <c r="PJJ123" s="0"/>
      <c r="PJK123" s="0"/>
      <c r="PJL123" s="0"/>
      <c r="PJM123" s="0"/>
      <c r="PJN123" s="0"/>
      <c r="PJO123" s="0"/>
      <c r="PJP123" s="0"/>
      <c r="PJQ123" s="0"/>
      <c r="PJR123" s="0"/>
      <c r="PJS123" s="0"/>
      <c r="PJT123" s="0"/>
      <c r="PJU123" s="0"/>
      <c r="PJV123" s="0"/>
      <c r="PJW123" s="0"/>
      <c r="PJX123" s="0"/>
      <c r="PJY123" s="0"/>
      <c r="PJZ123" s="0"/>
      <c r="PKA123" s="0"/>
      <c r="PKB123" s="0"/>
      <c r="PKC123" s="0"/>
      <c r="PKD123" s="0"/>
      <c r="PKE123" s="0"/>
      <c r="PKF123" s="0"/>
      <c r="PKG123" s="0"/>
      <c r="PKH123" s="0"/>
      <c r="PKI123" s="0"/>
      <c r="PKJ123" s="0"/>
      <c r="PKK123" s="0"/>
      <c r="PKL123" s="0"/>
      <c r="PKM123" s="0"/>
      <c r="PKN123" s="0"/>
      <c r="PKO123" s="0"/>
      <c r="PKP123" s="0"/>
      <c r="PKQ123" s="0"/>
      <c r="PKR123" s="0"/>
      <c r="PKS123" s="0"/>
      <c r="PKT123" s="0"/>
      <c r="PKU123" s="0"/>
      <c r="PKV123" s="0"/>
      <c r="PKW123" s="0"/>
      <c r="PKX123" s="0"/>
      <c r="PKY123" s="0"/>
      <c r="PKZ123" s="0"/>
      <c r="PLA123" s="0"/>
      <c r="PLB123" s="0"/>
      <c r="PLC123" s="0"/>
      <c r="PLD123" s="0"/>
      <c r="PLE123" s="0"/>
      <c r="PLF123" s="0"/>
      <c r="PLG123" s="0"/>
      <c r="PLH123" s="0"/>
      <c r="PLI123" s="0"/>
      <c r="PLJ123" s="0"/>
      <c r="PLK123" s="0"/>
      <c r="PLL123" s="0"/>
      <c r="PLM123" s="0"/>
      <c r="PLN123" s="0"/>
      <c r="PLO123" s="0"/>
      <c r="PLP123" s="0"/>
      <c r="PLQ123" s="0"/>
      <c r="PLR123" s="0"/>
      <c r="PLS123" s="0"/>
      <c r="PLT123" s="0"/>
      <c r="PLU123" s="0"/>
      <c r="PLV123" s="0"/>
      <c r="PLW123" s="0"/>
      <c r="PLX123" s="0"/>
      <c r="PLY123" s="0"/>
      <c r="PLZ123" s="0"/>
      <c r="PMA123" s="0"/>
      <c r="PMB123" s="0"/>
      <c r="PMC123" s="0"/>
      <c r="PMD123" s="0"/>
      <c r="PME123" s="0"/>
      <c r="PMF123" s="0"/>
      <c r="PMG123" s="0"/>
      <c r="PMH123" s="0"/>
      <c r="PMI123" s="0"/>
      <c r="PMJ123" s="0"/>
      <c r="PMK123" s="0"/>
      <c r="PML123" s="0"/>
      <c r="PMM123" s="0"/>
      <c r="PMN123" s="0"/>
      <c r="PMO123" s="0"/>
      <c r="PMP123" s="0"/>
      <c r="PMQ123" s="0"/>
      <c r="PMR123" s="0"/>
      <c r="PMS123" s="0"/>
      <c r="PMT123" s="0"/>
      <c r="PMU123" s="0"/>
      <c r="PMV123" s="0"/>
      <c r="PMW123" s="0"/>
      <c r="PMX123" s="0"/>
      <c r="PMY123" s="0"/>
      <c r="PMZ123" s="0"/>
      <c r="PNA123" s="0"/>
      <c r="PNB123" s="0"/>
      <c r="PNC123" s="0"/>
      <c r="PND123" s="0"/>
      <c r="PNE123" s="0"/>
      <c r="PNF123" s="0"/>
      <c r="PNG123" s="0"/>
      <c r="PNH123" s="0"/>
      <c r="PNI123" s="0"/>
      <c r="PNJ123" s="0"/>
      <c r="PNK123" s="0"/>
      <c r="PNL123" s="0"/>
      <c r="PNM123" s="0"/>
      <c r="PNN123" s="0"/>
      <c r="PNO123" s="0"/>
      <c r="PNP123" s="0"/>
      <c r="PNQ123" s="0"/>
      <c r="PNR123" s="0"/>
      <c r="PNS123" s="0"/>
      <c r="PNT123" s="0"/>
      <c r="PNU123" s="0"/>
      <c r="PNV123" s="0"/>
      <c r="PNW123" s="0"/>
      <c r="PNX123" s="0"/>
      <c r="PNY123" s="0"/>
      <c r="PNZ123" s="0"/>
      <c r="POA123" s="0"/>
      <c r="POB123" s="0"/>
      <c r="POC123" s="0"/>
      <c r="POD123" s="0"/>
      <c r="POE123" s="0"/>
      <c r="POF123" s="0"/>
      <c r="POG123" s="0"/>
      <c r="POH123" s="0"/>
      <c r="POI123" s="0"/>
      <c r="POJ123" s="0"/>
      <c r="POK123" s="0"/>
      <c r="POL123" s="0"/>
      <c r="POM123" s="0"/>
      <c r="PON123" s="0"/>
      <c r="POO123" s="0"/>
      <c r="POP123" s="0"/>
      <c r="POQ123" s="0"/>
      <c r="POR123" s="0"/>
      <c r="POS123" s="0"/>
      <c r="POT123" s="0"/>
      <c r="POU123" s="0"/>
      <c r="POV123" s="0"/>
      <c r="POW123" s="0"/>
      <c r="POX123" s="0"/>
      <c r="POY123" s="0"/>
      <c r="POZ123" s="0"/>
      <c r="PPA123" s="0"/>
      <c r="PPB123" s="0"/>
      <c r="PPC123" s="0"/>
      <c r="PPD123" s="0"/>
      <c r="PPE123" s="0"/>
      <c r="PPF123" s="0"/>
      <c r="PPG123" s="0"/>
      <c r="PPH123" s="0"/>
      <c r="PPI123" s="0"/>
      <c r="PPJ123" s="0"/>
      <c r="PPK123" s="0"/>
      <c r="PPL123" s="0"/>
      <c r="PPM123" s="0"/>
      <c r="PPN123" s="0"/>
      <c r="PPO123" s="0"/>
      <c r="PPP123" s="0"/>
      <c r="PPQ123" s="0"/>
      <c r="PPR123" s="0"/>
      <c r="PPS123" s="0"/>
      <c r="PPT123" s="0"/>
      <c r="PPU123" s="0"/>
      <c r="PPV123" s="0"/>
      <c r="PPW123" s="0"/>
      <c r="PPX123" s="0"/>
      <c r="PPY123" s="0"/>
      <c r="PPZ123" s="0"/>
      <c r="PQA123" s="0"/>
      <c r="PQB123" s="0"/>
      <c r="PQC123" s="0"/>
      <c r="PQD123" s="0"/>
      <c r="PQE123" s="0"/>
      <c r="PQF123" s="0"/>
      <c r="PQG123" s="0"/>
      <c r="PQH123" s="0"/>
      <c r="PQI123" s="0"/>
      <c r="PQJ123" s="0"/>
      <c r="PQK123" s="0"/>
      <c r="PQL123" s="0"/>
      <c r="PQM123" s="0"/>
      <c r="PQN123" s="0"/>
      <c r="PQO123" s="0"/>
      <c r="PQP123" s="0"/>
      <c r="PQQ123" s="0"/>
      <c r="PQR123" s="0"/>
      <c r="PQS123" s="0"/>
      <c r="PQT123" s="0"/>
      <c r="PQU123" s="0"/>
      <c r="PQV123" s="0"/>
      <c r="PQW123" s="0"/>
      <c r="PQX123" s="0"/>
      <c r="PQY123" s="0"/>
      <c r="PQZ123" s="0"/>
      <c r="PRA123" s="0"/>
      <c r="PRB123" s="0"/>
      <c r="PRC123" s="0"/>
      <c r="PRD123" s="0"/>
      <c r="PRE123" s="0"/>
      <c r="PRF123" s="0"/>
      <c r="PRG123" s="0"/>
      <c r="PRH123" s="0"/>
      <c r="PRI123" s="0"/>
      <c r="PRJ123" s="0"/>
      <c r="PRK123" s="0"/>
      <c r="PRL123" s="0"/>
      <c r="PRM123" s="0"/>
      <c r="PRN123" s="0"/>
      <c r="PRO123" s="0"/>
      <c r="PRP123" s="0"/>
      <c r="PRQ123" s="0"/>
      <c r="PRR123" s="0"/>
      <c r="PRS123" s="0"/>
      <c r="PRT123" s="0"/>
      <c r="PRU123" s="0"/>
      <c r="PRV123" s="0"/>
      <c r="PRW123" s="0"/>
      <c r="PRX123" s="0"/>
      <c r="PRY123" s="0"/>
      <c r="PRZ123" s="0"/>
      <c r="PSA123" s="0"/>
      <c r="PSB123" s="0"/>
      <c r="PSC123" s="0"/>
      <c r="PSD123" s="0"/>
      <c r="PSE123" s="0"/>
      <c r="PSF123" s="0"/>
      <c r="PSG123" s="0"/>
      <c r="PSH123" s="0"/>
      <c r="PSI123" s="0"/>
      <c r="PSJ123" s="0"/>
      <c r="PSK123" s="0"/>
      <c r="PSL123" s="0"/>
      <c r="PSM123" s="0"/>
      <c r="PSN123" s="0"/>
      <c r="PSO123" s="0"/>
      <c r="PSP123" s="0"/>
      <c r="PSQ123" s="0"/>
      <c r="PSR123" s="0"/>
      <c r="PSS123" s="0"/>
      <c r="PST123" s="0"/>
      <c r="PSU123" s="0"/>
      <c r="PSV123" s="0"/>
      <c r="PSW123" s="0"/>
      <c r="PSX123" s="0"/>
      <c r="PSY123" s="0"/>
      <c r="PSZ123" s="0"/>
      <c r="PTA123" s="0"/>
      <c r="PTB123" s="0"/>
      <c r="PTC123" s="0"/>
      <c r="PTD123" s="0"/>
      <c r="PTE123" s="0"/>
      <c r="PTF123" s="0"/>
      <c r="PTG123" s="0"/>
      <c r="PTH123" s="0"/>
      <c r="PTI123" s="0"/>
      <c r="PTJ123" s="0"/>
      <c r="PTK123" s="0"/>
      <c r="PTL123" s="0"/>
      <c r="PTM123" s="0"/>
      <c r="PTN123" s="0"/>
      <c r="PTO123" s="0"/>
      <c r="PTP123" s="0"/>
      <c r="PTQ123" s="0"/>
      <c r="PTR123" s="0"/>
      <c r="PTS123" s="0"/>
      <c r="PTT123" s="0"/>
      <c r="PTU123" s="0"/>
      <c r="PTV123" s="0"/>
      <c r="PTW123" s="0"/>
      <c r="PTX123" s="0"/>
      <c r="PTY123" s="0"/>
      <c r="PTZ123" s="0"/>
      <c r="PUA123" s="0"/>
      <c r="PUB123" s="0"/>
      <c r="PUC123" s="0"/>
      <c r="PUD123" s="0"/>
      <c r="PUE123" s="0"/>
      <c r="PUF123" s="0"/>
      <c r="PUG123" s="0"/>
      <c r="PUH123" s="0"/>
      <c r="PUI123" s="0"/>
      <c r="PUJ123" s="0"/>
      <c r="PUK123" s="0"/>
      <c r="PUL123" s="0"/>
      <c r="PUM123" s="0"/>
      <c r="PUN123" s="0"/>
      <c r="PUO123" s="0"/>
      <c r="PUP123" s="0"/>
      <c r="PUQ123" s="0"/>
      <c r="PUR123" s="0"/>
      <c r="PUS123" s="0"/>
      <c r="PUT123" s="0"/>
      <c r="PUU123" s="0"/>
      <c r="PUV123" s="0"/>
      <c r="PUW123" s="0"/>
      <c r="PUX123" s="0"/>
      <c r="PUY123" s="0"/>
      <c r="PUZ123" s="0"/>
      <c r="PVA123" s="0"/>
      <c r="PVB123" s="0"/>
      <c r="PVC123" s="0"/>
      <c r="PVD123" s="0"/>
      <c r="PVE123" s="0"/>
      <c r="PVF123" s="0"/>
      <c r="PVG123" s="0"/>
      <c r="PVH123" s="0"/>
      <c r="PVI123" s="0"/>
      <c r="PVJ123" s="0"/>
      <c r="PVK123" s="0"/>
      <c r="PVL123" s="0"/>
      <c r="PVM123" s="0"/>
      <c r="PVN123" s="0"/>
      <c r="PVO123" s="0"/>
      <c r="PVP123" s="0"/>
      <c r="PVQ123" s="0"/>
      <c r="PVR123" s="0"/>
      <c r="PVS123" s="0"/>
      <c r="PVT123" s="0"/>
      <c r="PVU123" s="0"/>
      <c r="PVV123" s="0"/>
      <c r="PVW123" s="0"/>
      <c r="PVX123" s="0"/>
      <c r="PVY123" s="0"/>
      <c r="PVZ123" s="0"/>
      <c r="PWA123" s="0"/>
      <c r="PWB123" s="0"/>
      <c r="PWC123" s="0"/>
      <c r="PWD123" s="0"/>
      <c r="PWE123" s="0"/>
      <c r="PWF123" s="0"/>
      <c r="PWG123" s="0"/>
      <c r="PWH123" s="0"/>
      <c r="PWI123" s="0"/>
      <c r="PWJ123" s="0"/>
      <c r="PWK123" s="0"/>
      <c r="PWL123" s="0"/>
      <c r="PWM123" s="0"/>
      <c r="PWN123" s="0"/>
      <c r="PWO123" s="0"/>
      <c r="PWP123" s="0"/>
      <c r="PWQ123" s="0"/>
      <c r="PWR123" s="0"/>
      <c r="PWS123" s="0"/>
      <c r="PWT123" s="0"/>
      <c r="PWU123" s="0"/>
      <c r="PWV123" s="0"/>
      <c r="PWW123" s="0"/>
      <c r="PWX123" s="0"/>
      <c r="PWY123" s="0"/>
      <c r="PWZ123" s="0"/>
      <c r="PXA123" s="0"/>
      <c r="PXB123" s="0"/>
      <c r="PXC123" s="0"/>
      <c r="PXD123" s="0"/>
      <c r="PXE123" s="0"/>
      <c r="PXF123" s="0"/>
      <c r="PXG123" s="0"/>
      <c r="PXH123" s="0"/>
      <c r="PXI123" s="0"/>
      <c r="PXJ123" s="0"/>
      <c r="PXK123" s="0"/>
      <c r="PXL123" s="0"/>
      <c r="PXM123" s="0"/>
      <c r="PXN123" s="0"/>
      <c r="PXO123" s="0"/>
      <c r="PXP123" s="0"/>
      <c r="PXQ123" s="0"/>
      <c r="PXR123" s="0"/>
      <c r="PXS123" s="0"/>
      <c r="PXT123" s="0"/>
      <c r="PXU123" s="0"/>
      <c r="PXV123" s="0"/>
      <c r="PXW123" s="0"/>
      <c r="PXX123" s="0"/>
      <c r="PXY123" s="0"/>
      <c r="PXZ123" s="0"/>
      <c r="PYA123" s="0"/>
      <c r="PYB123" s="0"/>
      <c r="PYC123" s="0"/>
      <c r="PYD123" s="0"/>
      <c r="PYE123" s="0"/>
      <c r="PYF123" s="0"/>
      <c r="PYG123" s="0"/>
      <c r="PYH123" s="0"/>
      <c r="PYI123" s="0"/>
      <c r="PYJ123" s="0"/>
      <c r="PYK123" s="0"/>
      <c r="PYL123" s="0"/>
      <c r="PYM123" s="0"/>
      <c r="PYN123" s="0"/>
      <c r="PYO123" s="0"/>
      <c r="PYP123" s="0"/>
      <c r="PYQ123" s="0"/>
      <c r="PYR123" s="0"/>
      <c r="PYS123" s="0"/>
      <c r="PYT123" s="0"/>
      <c r="PYU123" s="0"/>
      <c r="PYV123" s="0"/>
      <c r="PYW123" s="0"/>
      <c r="PYX123" s="0"/>
      <c r="PYY123" s="0"/>
      <c r="PYZ123" s="0"/>
      <c r="PZA123" s="0"/>
      <c r="PZB123" s="0"/>
      <c r="PZC123" s="0"/>
      <c r="PZD123" s="0"/>
      <c r="PZE123" s="0"/>
      <c r="PZF123" s="0"/>
      <c r="PZG123" s="0"/>
      <c r="PZH123" s="0"/>
      <c r="PZI123" s="0"/>
      <c r="PZJ123" s="0"/>
      <c r="PZK123" s="0"/>
      <c r="PZL123" s="0"/>
      <c r="PZM123" s="0"/>
      <c r="PZN123" s="0"/>
      <c r="PZO123" s="0"/>
      <c r="PZP123" s="0"/>
      <c r="PZQ123" s="0"/>
      <c r="PZR123" s="0"/>
      <c r="PZS123" s="0"/>
      <c r="PZT123" s="0"/>
      <c r="PZU123" s="0"/>
      <c r="PZV123" s="0"/>
      <c r="PZW123" s="0"/>
      <c r="PZX123" s="0"/>
      <c r="PZY123" s="0"/>
      <c r="PZZ123" s="0"/>
      <c r="QAA123" s="0"/>
      <c r="QAB123" s="0"/>
      <c r="QAC123" s="0"/>
      <c r="QAD123" s="0"/>
      <c r="QAE123" s="0"/>
      <c r="QAF123" s="0"/>
      <c r="QAG123" s="0"/>
      <c r="QAH123" s="0"/>
      <c r="QAI123" s="0"/>
      <c r="QAJ123" s="0"/>
      <c r="QAK123" s="0"/>
      <c r="QAL123" s="0"/>
      <c r="QAM123" s="0"/>
      <c r="QAN123" s="0"/>
      <c r="QAO123" s="0"/>
      <c r="QAP123" s="0"/>
      <c r="QAQ123" s="0"/>
      <c r="QAR123" s="0"/>
      <c r="QAS123" s="0"/>
      <c r="QAT123" s="0"/>
      <c r="QAU123" s="0"/>
      <c r="QAV123" s="0"/>
      <c r="QAW123" s="0"/>
      <c r="QAX123" s="0"/>
      <c r="QAY123" s="0"/>
      <c r="QAZ123" s="0"/>
      <c r="QBA123" s="0"/>
      <c r="QBB123" s="0"/>
      <c r="QBC123" s="0"/>
      <c r="QBD123" s="0"/>
      <c r="QBE123" s="0"/>
      <c r="QBF123" s="0"/>
      <c r="QBG123" s="0"/>
      <c r="QBH123" s="0"/>
      <c r="QBI123" s="0"/>
      <c r="QBJ123" s="0"/>
      <c r="QBK123" s="0"/>
      <c r="QBL123" s="0"/>
      <c r="QBM123" s="0"/>
      <c r="QBN123" s="0"/>
      <c r="QBO123" s="0"/>
      <c r="QBP123" s="0"/>
      <c r="QBQ123" s="0"/>
      <c r="QBR123" s="0"/>
      <c r="QBS123" s="0"/>
      <c r="QBT123" s="0"/>
      <c r="QBU123" s="0"/>
      <c r="QBV123" s="0"/>
      <c r="QBW123" s="0"/>
      <c r="QBX123" s="0"/>
      <c r="QBY123" s="0"/>
      <c r="QBZ123" s="0"/>
      <c r="QCA123" s="0"/>
      <c r="QCB123" s="0"/>
      <c r="QCC123" s="0"/>
      <c r="QCD123" s="0"/>
      <c r="QCE123" s="0"/>
      <c r="QCF123" s="0"/>
      <c r="QCG123" s="0"/>
      <c r="QCH123" s="0"/>
      <c r="QCI123" s="0"/>
      <c r="QCJ123" s="0"/>
      <c r="QCK123" s="0"/>
      <c r="QCL123" s="0"/>
      <c r="QCM123" s="0"/>
      <c r="QCN123" s="0"/>
      <c r="QCO123" s="0"/>
      <c r="QCP123" s="0"/>
      <c r="QCQ123" s="0"/>
      <c r="QCR123" s="0"/>
      <c r="QCS123" s="0"/>
      <c r="QCT123" s="0"/>
      <c r="QCU123" s="0"/>
      <c r="QCV123" s="0"/>
      <c r="QCW123" s="0"/>
      <c r="QCX123" s="0"/>
      <c r="QCY123" s="0"/>
      <c r="QCZ123" s="0"/>
      <c r="QDA123" s="0"/>
      <c r="QDB123" s="0"/>
      <c r="QDC123" s="0"/>
      <c r="QDD123" s="0"/>
      <c r="QDE123" s="0"/>
      <c r="QDF123" s="0"/>
      <c r="QDG123" s="0"/>
      <c r="QDH123" s="0"/>
      <c r="QDI123" s="0"/>
      <c r="QDJ123" s="0"/>
      <c r="QDK123" s="0"/>
      <c r="QDL123" s="0"/>
      <c r="QDM123" s="0"/>
      <c r="QDN123" s="0"/>
      <c r="QDO123" s="0"/>
      <c r="QDP123" s="0"/>
      <c r="QDQ123" s="0"/>
      <c r="QDR123" s="0"/>
      <c r="QDS123" s="0"/>
      <c r="QDT123" s="0"/>
      <c r="QDU123" s="0"/>
      <c r="QDV123" s="0"/>
      <c r="QDW123" s="0"/>
      <c r="QDX123" s="0"/>
      <c r="QDY123" s="0"/>
      <c r="QDZ123" s="0"/>
      <c r="QEA123" s="0"/>
      <c r="QEB123" s="0"/>
      <c r="QEC123" s="0"/>
      <c r="QED123" s="0"/>
      <c r="QEE123" s="0"/>
      <c r="QEF123" s="0"/>
      <c r="QEG123" s="0"/>
      <c r="QEH123" s="0"/>
      <c r="QEI123" s="0"/>
      <c r="QEJ123" s="0"/>
      <c r="QEK123" s="0"/>
      <c r="QEL123" s="0"/>
      <c r="QEM123" s="0"/>
      <c r="QEN123" s="0"/>
      <c r="QEO123" s="0"/>
      <c r="QEP123" s="0"/>
      <c r="QEQ123" s="0"/>
      <c r="QER123" s="0"/>
      <c r="QES123" s="0"/>
      <c r="QET123" s="0"/>
      <c r="QEU123" s="0"/>
      <c r="QEV123" s="0"/>
      <c r="QEW123" s="0"/>
      <c r="QEX123" s="0"/>
      <c r="QEY123" s="0"/>
      <c r="QEZ123" s="0"/>
      <c r="QFA123" s="0"/>
      <c r="QFB123" s="0"/>
      <c r="QFC123" s="0"/>
      <c r="QFD123" s="0"/>
      <c r="QFE123" s="0"/>
      <c r="QFF123" s="0"/>
      <c r="QFG123" s="0"/>
      <c r="QFH123" s="0"/>
      <c r="QFI123" s="0"/>
      <c r="QFJ123" s="0"/>
      <c r="QFK123" s="0"/>
      <c r="QFL123" s="0"/>
      <c r="QFM123" s="0"/>
      <c r="QFN123" s="0"/>
      <c r="QFO123" s="0"/>
      <c r="QFP123" s="0"/>
      <c r="QFQ123" s="0"/>
      <c r="QFR123" s="0"/>
      <c r="QFS123" s="0"/>
      <c r="QFT123" s="0"/>
      <c r="QFU123" s="0"/>
      <c r="QFV123" s="0"/>
      <c r="QFW123" s="0"/>
      <c r="QFX123" s="0"/>
      <c r="QFY123" s="0"/>
      <c r="QFZ123" s="0"/>
      <c r="QGA123" s="0"/>
      <c r="QGB123" s="0"/>
      <c r="QGC123" s="0"/>
      <c r="QGD123" s="0"/>
      <c r="QGE123" s="0"/>
      <c r="QGF123" s="0"/>
      <c r="QGG123" s="0"/>
      <c r="QGH123" s="0"/>
      <c r="QGI123" s="0"/>
      <c r="QGJ123" s="0"/>
      <c r="QGK123" s="0"/>
      <c r="QGL123" s="0"/>
      <c r="QGM123" s="0"/>
      <c r="QGN123" s="0"/>
      <c r="QGO123" s="0"/>
      <c r="QGP123" s="0"/>
      <c r="QGQ123" s="0"/>
      <c r="QGR123" s="0"/>
      <c r="QGS123" s="0"/>
      <c r="QGT123" s="0"/>
      <c r="QGU123" s="0"/>
      <c r="QGV123" s="0"/>
      <c r="QGW123" s="0"/>
      <c r="QGX123" s="0"/>
      <c r="QGY123" s="0"/>
      <c r="QGZ123" s="0"/>
      <c r="QHA123" s="0"/>
      <c r="QHB123" s="0"/>
      <c r="QHC123" s="0"/>
      <c r="QHD123" s="0"/>
      <c r="QHE123" s="0"/>
      <c r="QHF123" s="0"/>
      <c r="QHG123" s="0"/>
      <c r="QHH123" s="0"/>
      <c r="QHI123" s="0"/>
      <c r="QHJ123" s="0"/>
      <c r="QHK123" s="0"/>
      <c r="QHL123" s="0"/>
      <c r="QHM123" s="0"/>
      <c r="QHN123" s="0"/>
      <c r="QHO123" s="0"/>
      <c r="QHP123" s="0"/>
      <c r="QHQ123" s="0"/>
      <c r="QHR123" s="0"/>
      <c r="QHS123" s="0"/>
      <c r="QHT123" s="0"/>
      <c r="QHU123" s="0"/>
      <c r="QHV123" s="0"/>
      <c r="QHW123" s="0"/>
      <c r="QHX123" s="0"/>
      <c r="QHY123" s="0"/>
      <c r="QHZ123" s="0"/>
      <c r="QIA123" s="0"/>
      <c r="QIB123" s="0"/>
      <c r="QIC123" s="0"/>
      <c r="QID123" s="0"/>
      <c r="QIE123" s="0"/>
      <c r="QIF123" s="0"/>
      <c r="QIG123" s="0"/>
      <c r="QIH123" s="0"/>
      <c r="QII123" s="0"/>
      <c r="QIJ123" s="0"/>
      <c r="QIK123" s="0"/>
      <c r="QIL123" s="0"/>
      <c r="QIM123" s="0"/>
      <c r="QIN123" s="0"/>
      <c r="QIO123" s="0"/>
      <c r="QIP123" s="0"/>
      <c r="QIQ123" s="0"/>
      <c r="QIR123" s="0"/>
      <c r="QIS123" s="0"/>
      <c r="QIT123" s="0"/>
      <c r="QIU123" s="0"/>
      <c r="QIV123" s="0"/>
      <c r="QIW123" s="0"/>
      <c r="QIX123" s="0"/>
      <c r="QIY123" s="0"/>
      <c r="QIZ123" s="0"/>
      <c r="QJA123" s="0"/>
      <c r="QJB123" s="0"/>
      <c r="QJC123" s="0"/>
      <c r="QJD123" s="0"/>
      <c r="QJE123" s="0"/>
      <c r="QJF123" s="0"/>
      <c r="QJG123" s="0"/>
      <c r="QJH123" s="0"/>
      <c r="QJI123" s="0"/>
      <c r="QJJ123" s="0"/>
      <c r="QJK123" s="0"/>
      <c r="QJL123" s="0"/>
      <c r="QJM123" s="0"/>
      <c r="QJN123" s="0"/>
      <c r="QJO123" s="0"/>
      <c r="QJP123" s="0"/>
      <c r="QJQ123" s="0"/>
      <c r="QJR123" s="0"/>
      <c r="QJS123" s="0"/>
      <c r="QJT123" s="0"/>
      <c r="QJU123" s="0"/>
      <c r="QJV123" s="0"/>
      <c r="QJW123" s="0"/>
      <c r="QJX123" s="0"/>
      <c r="QJY123" s="0"/>
      <c r="QJZ123" s="0"/>
      <c r="QKA123" s="0"/>
      <c r="QKB123" s="0"/>
      <c r="QKC123" s="0"/>
      <c r="QKD123" s="0"/>
      <c r="QKE123" s="0"/>
      <c r="QKF123" s="0"/>
      <c r="QKG123" s="0"/>
      <c r="QKH123" s="0"/>
      <c r="QKI123" s="0"/>
      <c r="QKJ123" s="0"/>
      <c r="QKK123" s="0"/>
      <c r="QKL123" s="0"/>
      <c r="QKM123" s="0"/>
      <c r="QKN123" s="0"/>
      <c r="QKO123" s="0"/>
      <c r="QKP123" s="0"/>
      <c r="QKQ123" s="0"/>
      <c r="QKR123" s="0"/>
      <c r="QKS123" s="0"/>
      <c r="QKT123" s="0"/>
      <c r="QKU123" s="0"/>
      <c r="QKV123" s="0"/>
      <c r="QKW123" s="0"/>
      <c r="QKX123" s="0"/>
      <c r="QKY123" s="0"/>
      <c r="QKZ123" s="0"/>
      <c r="QLA123" s="0"/>
      <c r="QLB123" s="0"/>
      <c r="QLC123" s="0"/>
      <c r="QLD123" s="0"/>
      <c r="QLE123" s="0"/>
      <c r="QLF123" s="0"/>
      <c r="QLG123" s="0"/>
      <c r="QLH123" s="0"/>
      <c r="QLI123" s="0"/>
      <c r="QLJ123" s="0"/>
      <c r="QLK123" s="0"/>
      <c r="QLL123" s="0"/>
      <c r="QLM123" s="0"/>
      <c r="QLN123" s="0"/>
      <c r="QLO123" s="0"/>
      <c r="QLP123" s="0"/>
      <c r="QLQ123" s="0"/>
      <c r="QLR123" s="0"/>
      <c r="QLS123" s="0"/>
      <c r="QLT123" s="0"/>
      <c r="QLU123" s="0"/>
      <c r="QLV123" s="0"/>
      <c r="QLW123" s="0"/>
      <c r="QLX123" s="0"/>
      <c r="QLY123" s="0"/>
      <c r="QLZ123" s="0"/>
      <c r="QMA123" s="0"/>
      <c r="QMB123" s="0"/>
      <c r="QMC123" s="0"/>
      <c r="QMD123" s="0"/>
      <c r="QME123" s="0"/>
      <c r="QMF123" s="0"/>
      <c r="QMG123" s="0"/>
      <c r="QMH123" s="0"/>
      <c r="QMI123" s="0"/>
      <c r="QMJ123" s="0"/>
      <c r="QMK123" s="0"/>
      <c r="QML123" s="0"/>
      <c r="QMM123" s="0"/>
      <c r="QMN123" s="0"/>
      <c r="QMO123" s="0"/>
      <c r="QMP123" s="0"/>
      <c r="QMQ123" s="0"/>
      <c r="QMR123" s="0"/>
      <c r="QMS123" s="0"/>
      <c r="QMT123" s="0"/>
      <c r="QMU123" s="0"/>
      <c r="QMV123" s="0"/>
      <c r="QMW123" s="0"/>
      <c r="QMX123" s="0"/>
      <c r="QMY123" s="0"/>
      <c r="QMZ123" s="0"/>
      <c r="QNA123" s="0"/>
      <c r="QNB123" s="0"/>
      <c r="QNC123" s="0"/>
      <c r="QND123" s="0"/>
      <c r="QNE123" s="0"/>
      <c r="QNF123" s="0"/>
      <c r="QNG123" s="0"/>
      <c r="QNH123" s="0"/>
      <c r="QNI123" s="0"/>
      <c r="QNJ123" s="0"/>
      <c r="QNK123" s="0"/>
      <c r="QNL123" s="0"/>
      <c r="QNM123" s="0"/>
      <c r="QNN123" s="0"/>
      <c r="QNO123" s="0"/>
      <c r="QNP123" s="0"/>
      <c r="QNQ123" s="0"/>
      <c r="QNR123" s="0"/>
      <c r="QNS123" s="0"/>
      <c r="QNT123" s="0"/>
      <c r="QNU123" s="0"/>
      <c r="QNV123" s="0"/>
      <c r="QNW123" s="0"/>
      <c r="QNX123" s="0"/>
      <c r="QNY123" s="0"/>
      <c r="QNZ123" s="0"/>
      <c r="QOA123" s="0"/>
      <c r="QOB123" s="0"/>
      <c r="QOC123" s="0"/>
      <c r="QOD123" s="0"/>
      <c r="QOE123" s="0"/>
      <c r="QOF123" s="0"/>
      <c r="QOG123" s="0"/>
      <c r="QOH123" s="0"/>
      <c r="QOI123" s="0"/>
      <c r="QOJ123" s="0"/>
      <c r="QOK123" s="0"/>
      <c r="QOL123" s="0"/>
      <c r="QOM123" s="0"/>
      <c r="QON123" s="0"/>
      <c r="QOO123" s="0"/>
      <c r="QOP123" s="0"/>
      <c r="QOQ123" s="0"/>
      <c r="QOR123" s="0"/>
      <c r="QOS123" s="0"/>
      <c r="QOT123" s="0"/>
      <c r="QOU123" s="0"/>
      <c r="QOV123" s="0"/>
      <c r="QOW123" s="0"/>
      <c r="QOX123" s="0"/>
      <c r="QOY123" s="0"/>
      <c r="QOZ123" s="0"/>
      <c r="QPA123" s="0"/>
      <c r="QPB123" s="0"/>
      <c r="QPC123" s="0"/>
      <c r="QPD123" s="0"/>
      <c r="QPE123" s="0"/>
      <c r="QPF123" s="0"/>
      <c r="QPG123" s="0"/>
      <c r="QPH123" s="0"/>
      <c r="QPI123" s="0"/>
      <c r="QPJ123" s="0"/>
      <c r="QPK123" s="0"/>
      <c r="QPL123" s="0"/>
      <c r="QPM123" s="0"/>
      <c r="QPN123" s="0"/>
      <c r="QPO123" s="0"/>
      <c r="QPP123" s="0"/>
      <c r="QPQ123" s="0"/>
      <c r="QPR123" s="0"/>
      <c r="QPS123" s="0"/>
      <c r="QPT123" s="0"/>
      <c r="QPU123" s="0"/>
      <c r="QPV123" s="0"/>
      <c r="QPW123" s="0"/>
      <c r="QPX123" s="0"/>
      <c r="QPY123" s="0"/>
      <c r="QPZ123" s="0"/>
      <c r="QQA123" s="0"/>
      <c r="QQB123" s="0"/>
      <c r="QQC123" s="0"/>
      <c r="QQD123" s="0"/>
      <c r="QQE123" s="0"/>
      <c r="QQF123" s="0"/>
      <c r="QQG123" s="0"/>
      <c r="QQH123" s="0"/>
      <c r="QQI123" s="0"/>
      <c r="QQJ123" s="0"/>
      <c r="QQK123" s="0"/>
      <c r="QQL123" s="0"/>
      <c r="QQM123" s="0"/>
      <c r="QQN123" s="0"/>
      <c r="QQO123" s="0"/>
      <c r="QQP123" s="0"/>
      <c r="QQQ123" s="0"/>
      <c r="QQR123" s="0"/>
      <c r="QQS123" s="0"/>
      <c r="QQT123" s="0"/>
      <c r="QQU123" s="0"/>
      <c r="QQV123" s="0"/>
      <c r="QQW123" s="0"/>
      <c r="QQX123" s="0"/>
      <c r="QQY123" s="0"/>
      <c r="QQZ123" s="0"/>
      <c r="QRA123" s="0"/>
      <c r="QRB123" s="0"/>
      <c r="QRC123" s="0"/>
      <c r="QRD123" s="0"/>
      <c r="QRE123" s="0"/>
      <c r="QRF123" s="0"/>
      <c r="QRG123" s="0"/>
      <c r="QRH123" s="0"/>
      <c r="QRI123" s="0"/>
      <c r="QRJ123" s="0"/>
      <c r="QRK123" s="0"/>
      <c r="QRL123" s="0"/>
      <c r="QRM123" s="0"/>
      <c r="QRN123" s="0"/>
      <c r="QRO123" s="0"/>
      <c r="QRP123" s="0"/>
      <c r="QRQ123" s="0"/>
      <c r="QRR123" s="0"/>
      <c r="QRS123" s="0"/>
      <c r="QRT123" s="0"/>
      <c r="QRU123" s="0"/>
      <c r="QRV123" s="0"/>
      <c r="QRW123" s="0"/>
      <c r="QRX123" s="0"/>
      <c r="QRY123" s="0"/>
      <c r="QRZ123" s="0"/>
      <c r="QSA123" s="0"/>
      <c r="QSB123" s="0"/>
      <c r="QSC123" s="0"/>
      <c r="QSD123" s="0"/>
      <c r="QSE123" s="0"/>
      <c r="QSF123" s="0"/>
      <c r="QSG123" s="0"/>
      <c r="QSH123" s="0"/>
      <c r="QSI123" s="0"/>
      <c r="QSJ123" s="0"/>
      <c r="QSK123" s="0"/>
      <c r="QSL123" s="0"/>
      <c r="QSM123" s="0"/>
      <c r="QSN123" s="0"/>
      <c r="QSO123" s="0"/>
      <c r="QSP123" s="0"/>
      <c r="QSQ123" s="0"/>
      <c r="QSR123" s="0"/>
      <c r="QSS123" s="0"/>
      <c r="QST123" s="0"/>
      <c r="QSU123" s="0"/>
      <c r="QSV123" s="0"/>
      <c r="QSW123" s="0"/>
      <c r="QSX123" s="0"/>
      <c r="QSY123" s="0"/>
      <c r="QSZ123" s="0"/>
      <c r="QTA123" s="0"/>
      <c r="QTB123" s="0"/>
      <c r="QTC123" s="0"/>
      <c r="QTD123" s="0"/>
      <c r="QTE123" s="0"/>
      <c r="QTF123" s="0"/>
      <c r="QTG123" s="0"/>
      <c r="QTH123" s="0"/>
      <c r="QTI123" s="0"/>
      <c r="QTJ123" s="0"/>
      <c r="QTK123" s="0"/>
      <c r="QTL123" s="0"/>
      <c r="QTM123" s="0"/>
      <c r="QTN123" s="0"/>
      <c r="QTO123" s="0"/>
      <c r="QTP123" s="0"/>
      <c r="QTQ123" s="0"/>
      <c r="QTR123" s="0"/>
      <c r="QTS123" s="0"/>
      <c r="QTT123" s="0"/>
      <c r="QTU123" s="0"/>
      <c r="QTV123" s="0"/>
      <c r="QTW123" s="0"/>
      <c r="QTX123" s="0"/>
      <c r="QTY123" s="0"/>
      <c r="QTZ123" s="0"/>
      <c r="QUA123" s="0"/>
      <c r="QUB123" s="0"/>
      <c r="QUC123" s="0"/>
      <c r="QUD123" s="0"/>
      <c r="QUE123" s="0"/>
      <c r="QUF123" s="0"/>
      <c r="QUG123" s="0"/>
      <c r="QUH123" s="0"/>
      <c r="QUI123" s="0"/>
      <c r="QUJ123" s="0"/>
      <c r="QUK123" s="0"/>
      <c r="QUL123" s="0"/>
      <c r="QUM123" s="0"/>
      <c r="QUN123" s="0"/>
      <c r="QUO123" s="0"/>
      <c r="QUP123" s="0"/>
      <c r="QUQ123" s="0"/>
      <c r="QUR123" s="0"/>
      <c r="QUS123" s="0"/>
      <c r="QUT123" s="0"/>
      <c r="QUU123" s="0"/>
      <c r="QUV123" s="0"/>
      <c r="QUW123" s="0"/>
      <c r="QUX123" s="0"/>
      <c r="QUY123" s="0"/>
      <c r="QUZ123" s="0"/>
      <c r="QVA123" s="0"/>
      <c r="QVB123" s="0"/>
      <c r="QVC123" s="0"/>
      <c r="QVD123" s="0"/>
      <c r="QVE123" s="0"/>
      <c r="QVF123" s="0"/>
      <c r="QVG123" s="0"/>
      <c r="QVH123" s="0"/>
      <c r="QVI123" s="0"/>
      <c r="QVJ123" s="0"/>
      <c r="QVK123" s="0"/>
      <c r="QVL123" s="0"/>
      <c r="QVM123" s="0"/>
      <c r="QVN123" s="0"/>
      <c r="QVO123" s="0"/>
      <c r="QVP123" s="0"/>
      <c r="QVQ123" s="0"/>
      <c r="QVR123" s="0"/>
      <c r="QVS123" s="0"/>
      <c r="QVT123" s="0"/>
      <c r="QVU123" s="0"/>
      <c r="QVV123" s="0"/>
      <c r="QVW123" s="0"/>
      <c r="QVX123" s="0"/>
      <c r="QVY123" s="0"/>
      <c r="QVZ123" s="0"/>
      <c r="QWA123" s="0"/>
      <c r="QWB123" s="0"/>
      <c r="QWC123" s="0"/>
      <c r="QWD123" s="0"/>
      <c r="QWE123" s="0"/>
      <c r="QWF123" s="0"/>
      <c r="QWG123" s="0"/>
      <c r="QWH123" s="0"/>
      <c r="QWI123" s="0"/>
      <c r="QWJ123" s="0"/>
      <c r="QWK123" s="0"/>
      <c r="QWL123" s="0"/>
      <c r="QWM123" s="0"/>
      <c r="QWN123" s="0"/>
      <c r="QWO123" s="0"/>
      <c r="QWP123" s="0"/>
      <c r="QWQ123" s="0"/>
      <c r="QWR123" s="0"/>
      <c r="QWS123" s="0"/>
      <c r="QWT123" s="0"/>
      <c r="QWU123" s="0"/>
      <c r="QWV123" s="0"/>
      <c r="QWW123" s="0"/>
      <c r="QWX123" s="0"/>
      <c r="QWY123" s="0"/>
      <c r="QWZ123" s="0"/>
      <c r="QXA123" s="0"/>
      <c r="QXB123" s="0"/>
      <c r="QXC123" s="0"/>
      <c r="QXD123" s="0"/>
      <c r="QXE123" s="0"/>
      <c r="QXF123" s="0"/>
      <c r="QXG123" s="0"/>
      <c r="QXH123" s="0"/>
      <c r="QXI123" s="0"/>
      <c r="QXJ123" s="0"/>
      <c r="QXK123" s="0"/>
      <c r="QXL123" s="0"/>
      <c r="QXM123" s="0"/>
      <c r="QXN123" s="0"/>
      <c r="QXO123" s="0"/>
      <c r="QXP123" s="0"/>
      <c r="QXQ123" s="0"/>
      <c r="QXR123" s="0"/>
      <c r="QXS123" s="0"/>
      <c r="QXT123" s="0"/>
      <c r="QXU123" s="0"/>
      <c r="QXV123" s="0"/>
      <c r="QXW123" s="0"/>
      <c r="QXX123" s="0"/>
      <c r="QXY123" s="0"/>
      <c r="QXZ123" s="0"/>
      <c r="QYA123" s="0"/>
      <c r="QYB123" s="0"/>
      <c r="QYC123" s="0"/>
      <c r="QYD123" s="0"/>
      <c r="QYE123" s="0"/>
      <c r="QYF123" s="0"/>
      <c r="QYG123" s="0"/>
      <c r="QYH123" s="0"/>
      <c r="QYI123" s="0"/>
      <c r="QYJ123" s="0"/>
      <c r="QYK123" s="0"/>
      <c r="QYL123" s="0"/>
      <c r="QYM123" s="0"/>
      <c r="QYN123" s="0"/>
      <c r="QYO123" s="0"/>
      <c r="QYP123" s="0"/>
      <c r="QYQ123" s="0"/>
      <c r="QYR123" s="0"/>
      <c r="QYS123" s="0"/>
      <c r="QYT123" s="0"/>
      <c r="QYU123" s="0"/>
      <c r="QYV123" s="0"/>
      <c r="QYW123" s="0"/>
      <c r="QYX123" s="0"/>
      <c r="QYY123" s="0"/>
      <c r="QYZ123" s="0"/>
      <c r="QZA123" s="0"/>
      <c r="QZB123" s="0"/>
      <c r="QZC123" s="0"/>
      <c r="QZD123" s="0"/>
      <c r="QZE123" s="0"/>
      <c r="QZF123" s="0"/>
      <c r="QZG123" s="0"/>
      <c r="QZH123" s="0"/>
      <c r="QZI123" s="0"/>
      <c r="QZJ123" s="0"/>
      <c r="QZK123" s="0"/>
      <c r="QZL123" s="0"/>
      <c r="QZM123" s="0"/>
      <c r="QZN123" s="0"/>
      <c r="QZO123" s="0"/>
      <c r="QZP123" s="0"/>
      <c r="QZQ123" s="0"/>
      <c r="QZR123" s="0"/>
      <c r="QZS123" s="0"/>
      <c r="QZT123" s="0"/>
      <c r="QZU123" s="0"/>
      <c r="QZV123" s="0"/>
      <c r="QZW123" s="0"/>
      <c r="QZX123" s="0"/>
      <c r="QZY123" s="0"/>
      <c r="QZZ123" s="0"/>
      <c r="RAA123" s="0"/>
      <c r="RAB123" s="0"/>
      <c r="RAC123" s="0"/>
      <c r="RAD123" s="0"/>
      <c r="RAE123" s="0"/>
      <c r="RAF123" s="0"/>
      <c r="RAG123" s="0"/>
      <c r="RAH123" s="0"/>
      <c r="RAI123" s="0"/>
      <c r="RAJ123" s="0"/>
      <c r="RAK123" s="0"/>
      <c r="RAL123" s="0"/>
      <c r="RAM123" s="0"/>
      <c r="RAN123" s="0"/>
      <c r="RAO123" s="0"/>
      <c r="RAP123" s="0"/>
      <c r="RAQ123" s="0"/>
      <c r="RAR123" s="0"/>
      <c r="RAS123" s="0"/>
      <c r="RAT123" s="0"/>
      <c r="RAU123" s="0"/>
      <c r="RAV123" s="0"/>
      <c r="RAW123" s="0"/>
      <c r="RAX123" s="0"/>
      <c r="RAY123" s="0"/>
      <c r="RAZ123" s="0"/>
      <c r="RBA123" s="0"/>
      <c r="RBB123" s="0"/>
      <c r="RBC123" s="0"/>
      <c r="RBD123" s="0"/>
      <c r="RBE123" s="0"/>
      <c r="RBF123" s="0"/>
      <c r="RBG123" s="0"/>
      <c r="RBH123" s="0"/>
      <c r="RBI123" s="0"/>
      <c r="RBJ123" s="0"/>
      <c r="RBK123" s="0"/>
      <c r="RBL123" s="0"/>
      <c r="RBM123" s="0"/>
      <c r="RBN123" s="0"/>
      <c r="RBO123" s="0"/>
      <c r="RBP123" s="0"/>
      <c r="RBQ123" s="0"/>
      <c r="RBR123" s="0"/>
      <c r="RBS123" s="0"/>
      <c r="RBT123" s="0"/>
      <c r="RBU123" s="0"/>
      <c r="RBV123" s="0"/>
      <c r="RBW123" s="0"/>
      <c r="RBX123" s="0"/>
      <c r="RBY123" s="0"/>
      <c r="RBZ123" s="0"/>
      <c r="RCA123" s="0"/>
      <c r="RCB123" s="0"/>
      <c r="RCC123" s="0"/>
      <c r="RCD123" s="0"/>
      <c r="RCE123" s="0"/>
      <c r="RCF123" s="0"/>
      <c r="RCG123" s="0"/>
      <c r="RCH123" s="0"/>
      <c r="RCI123" s="0"/>
      <c r="RCJ123" s="0"/>
      <c r="RCK123" s="0"/>
      <c r="RCL123" s="0"/>
      <c r="RCM123" s="0"/>
      <c r="RCN123" s="0"/>
      <c r="RCO123" s="0"/>
      <c r="RCP123" s="0"/>
      <c r="RCQ123" s="0"/>
      <c r="RCR123" s="0"/>
      <c r="RCS123" s="0"/>
      <c r="RCT123" s="0"/>
      <c r="RCU123" s="0"/>
      <c r="RCV123" s="0"/>
      <c r="RCW123" s="0"/>
      <c r="RCX123" s="0"/>
      <c r="RCY123" s="0"/>
      <c r="RCZ123" s="0"/>
      <c r="RDA123" s="0"/>
      <c r="RDB123" s="0"/>
      <c r="RDC123" s="0"/>
      <c r="RDD123" s="0"/>
      <c r="RDE123" s="0"/>
      <c r="RDF123" s="0"/>
      <c r="RDG123" s="0"/>
      <c r="RDH123" s="0"/>
      <c r="RDI123" s="0"/>
      <c r="RDJ123" s="0"/>
      <c r="RDK123" s="0"/>
      <c r="RDL123" s="0"/>
      <c r="RDM123" s="0"/>
      <c r="RDN123" s="0"/>
      <c r="RDO123" s="0"/>
      <c r="RDP123" s="0"/>
      <c r="RDQ123" s="0"/>
      <c r="RDR123" s="0"/>
      <c r="RDS123" s="0"/>
      <c r="RDT123" s="0"/>
      <c r="RDU123" s="0"/>
      <c r="RDV123" s="0"/>
      <c r="RDW123" s="0"/>
      <c r="RDX123" s="0"/>
      <c r="RDY123" s="0"/>
      <c r="RDZ123" s="0"/>
      <c r="REA123" s="0"/>
      <c r="REB123" s="0"/>
      <c r="REC123" s="0"/>
      <c r="RED123" s="0"/>
      <c r="REE123" s="0"/>
      <c r="REF123" s="0"/>
      <c r="REG123" s="0"/>
      <c r="REH123" s="0"/>
      <c r="REI123" s="0"/>
      <c r="REJ123" s="0"/>
      <c r="REK123" s="0"/>
      <c r="REL123" s="0"/>
      <c r="REM123" s="0"/>
      <c r="REN123" s="0"/>
      <c r="REO123" s="0"/>
      <c r="REP123" s="0"/>
      <c r="REQ123" s="0"/>
      <c r="RER123" s="0"/>
      <c r="RES123" s="0"/>
      <c r="RET123" s="0"/>
      <c r="REU123" s="0"/>
      <c r="REV123" s="0"/>
      <c r="REW123" s="0"/>
      <c r="REX123" s="0"/>
      <c r="REY123" s="0"/>
      <c r="REZ123" s="0"/>
      <c r="RFA123" s="0"/>
      <c r="RFB123" s="0"/>
      <c r="RFC123" s="0"/>
      <c r="RFD123" s="0"/>
      <c r="RFE123" s="0"/>
      <c r="RFF123" s="0"/>
      <c r="RFG123" s="0"/>
      <c r="RFH123" s="0"/>
      <c r="RFI123" s="0"/>
      <c r="RFJ123" s="0"/>
      <c r="RFK123" s="0"/>
      <c r="RFL123" s="0"/>
      <c r="RFM123" s="0"/>
      <c r="RFN123" s="0"/>
      <c r="RFO123" s="0"/>
      <c r="RFP123" s="0"/>
      <c r="RFQ123" s="0"/>
      <c r="RFR123" s="0"/>
      <c r="RFS123" s="0"/>
      <c r="RFT123" s="0"/>
      <c r="RFU123" s="0"/>
      <c r="RFV123" s="0"/>
      <c r="RFW123" s="0"/>
      <c r="RFX123" s="0"/>
      <c r="RFY123" s="0"/>
      <c r="RFZ123" s="0"/>
      <c r="RGA123" s="0"/>
      <c r="RGB123" s="0"/>
      <c r="RGC123" s="0"/>
      <c r="RGD123" s="0"/>
      <c r="RGE123" s="0"/>
      <c r="RGF123" s="0"/>
      <c r="RGG123" s="0"/>
      <c r="RGH123" s="0"/>
      <c r="RGI123" s="0"/>
      <c r="RGJ123" s="0"/>
      <c r="RGK123" s="0"/>
      <c r="RGL123" s="0"/>
      <c r="RGM123" s="0"/>
      <c r="RGN123" s="0"/>
      <c r="RGO123" s="0"/>
      <c r="RGP123" s="0"/>
      <c r="RGQ123" s="0"/>
      <c r="RGR123" s="0"/>
      <c r="RGS123" s="0"/>
      <c r="RGT123" s="0"/>
      <c r="RGU123" s="0"/>
      <c r="RGV123" s="0"/>
      <c r="RGW123" s="0"/>
      <c r="RGX123" s="0"/>
      <c r="RGY123" s="0"/>
      <c r="RGZ123" s="0"/>
      <c r="RHA123" s="0"/>
      <c r="RHB123" s="0"/>
      <c r="RHC123" s="0"/>
      <c r="RHD123" s="0"/>
      <c r="RHE123" s="0"/>
      <c r="RHF123" s="0"/>
      <c r="RHG123" s="0"/>
      <c r="RHH123" s="0"/>
      <c r="RHI123" s="0"/>
      <c r="RHJ123" s="0"/>
      <c r="RHK123" s="0"/>
      <c r="RHL123" s="0"/>
      <c r="RHM123" s="0"/>
      <c r="RHN123" s="0"/>
      <c r="RHO123" s="0"/>
      <c r="RHP123" s="0"/>
      <c r="RHQ123" s="0"/>
      <c r="RHR123" s="0"/>
      <c r="RHS123" s="0"/>
      <c r="RHT123" s="0"/>
      <c r="RHU123" s="0"/>
      <c r="RHV123" s="0"/>
      <c r="RHW123" s="0"/>
      <c r="RHX123" s="0"/>
      <c r="RHY123" s="0"/>
      <c r="RHZ123" s="0"/>
      <c r="RIA123" s="0"/>
      <c r="RIB123" s="0"/>
      <c r="RIC123" s="0"/>
      <c r="RID123" s="0"/>
      <c r="RIE123" s="0"/>
      <c r="RIF123" s="0"/>
      <c r="RIG123" s="0"/>
      <c r="RIH123" s="0"/>
      <c r="RII123" s="0"/>
      <c r="RIJ123" s="0"/>
      <c r="RIK123" s="0"/>
      <c r="RIL123" s="0"/>
      <c r="RIM123" s="0"/>
      <c r="RIN123" s="0"/>
      <c r="RIO123" s="0"/>
      <c r="RIP123" s="0"/>
      <c r="RIQ123" s="0"/>
      <c r="RIR123" s="0"/>
      <c r="RIS123" s="0"/>
      <c r="RIT123" s="0"/>
      <c r="RIU123" s="0"/>
      <c r="RIV123" s="0"/>
      <c r="RIW123" s="0"/>
      <c r="RIX123" s="0"/>
      <c r="RIY123" s="0"/>
      <c r="RIZ123" s="0"/>
      <c r="RJA123" s="0"/>
      <c r="RJB123" s="0"/>
      <c r="RJC123" s="0"/>
      <c r="RJD123" s="0"/>
      <c r="RJE123" s="0"/>
      <c r="RJF123" s="0"/>
      <c r="RJG123" s="0"/>
      <c r="RJH123" s="0"/>
      <c r="RJI123" s="0"/>
      <c r="RJJ123" s="0"/>
      <c r="RJK123" s="0"/>
      <c r="RJL123" s="0"/>
      <c r="RJM123" s="0"/>
      <c r="RJN123" s="0"/>
      <c r="RJO123" s="0"/>
      <c r="RJP123" s="0"/>
      <c r="RJQ123" s="0"/>
      <c r="RJR123" s="0"/>
      <c r="RJS123" s="0"/>
      <c r="RJT123" s="0"/>
      <c r="RJU123" s="0"/>
      <c r="RJV123" s="0"/>
      <c r="RJW123" s="0"/>
      <c r="RJX123" s="0"/>
      <c r="RJY123" s="0"/>
      <c r="RJZ123" s="0"/>
      <c r="RKA123" s="0"/>
      <c r="RKB123" s="0"/>
      <c r="RKC123" s="0"/>
      <c r="RKD123" s="0"/>
      <c r="RKE123" s="0"/>
      <c r="RKF123" s="0"/>
      <c r="RKG123" s="0"/>
      <c r="RKH123" s="0"/>
      <c r="RKI123" s="0"/>
      <c r="RKJ123" s="0"/>
      <c r="RKK123" s="0"/>
      <c r="RKL123" s="0"/>
      <c r="RKM123" s="0"/>
      <c r="RKN123" s="0"/>
      <c r="RKO123" s="0"/>
      <c r="RKP123" s="0"/>
      <c r="RKQ123" s="0"/>
      <c r="RKR123" s="0"/>
      <c r="RKS123" s="0"/>
      <c r="RKT123" s="0"/>
      <c r="RKU123" s="0"/>
      <c r="RKV123" s="0"/>
      <c r="RKW123" s="0"/>
      <c r="RKX123" s="0"/>
      <c r="RKY123" s="0"/>
      <c r="RKZ123" s="0"/>
      <c r="RLA123" s="0"/>
      <c r="RLB123" s="0"/>
      <c r="RLC123" s="0"/>
      <c r="RLD123" s="0"/>
      <c r="RLE123" s="0"/>
      <c r="RLF123" s="0"/>
      <c r="RLG123" s="0"/>
      <c r="RLH123" s="0"/>
      <c r="RLI123" s="0"/>
      <c r="RLJ123" s="0"/>
      <c r="RLK123" s="0"/>
      <c r="RLL123" s="0"/>
      <c r="RLM123" s="0"/>
      <c r="RLN123" s="0"/>
      <c r="RLO123" s="0"/>
      <c r="RLP123" s="0"/>
      <c r="RLQ123" s="0"/>
      <c r="RLR123" s="0"/>
      <c r="RLS123" s="0"/>
      <c r="RLT123" s="0"/>
      <c r="RLU123" s="0"/>
      <c r="RLV123" s="0"/>
      <c r="RLW123" s="0"/>
      <c r="RLX123" s="0"/>
      <c r="RLY123" s="0"/>
      <c r="RLZ123" s="0"/>
      <c r="RMA123" s="0"/>
      <c r="RMB123" s="0"/>
      <c r="RMC123" s="0"/>
      <c r="RMD123" s="0"/>
      <c r="RME123" s="0"/>
      <c r="RMF123" s="0"/>
      <c r="RMG123" s="0"/>
      <c r="RMH123" s="0"/>
      <c r="RMI123" s="0"/>
      <c r="RMJ123" s="0"/>
      <c r="RMK123" s="0"/>
      <c r="RML123" s="0"/>
      <c r="RMM123" s="0"/>
      <c r="RMN123" s="0"/>
      <c r="RMO123" s="0"/>
      <c r="RMP123" s="0"/>
      <c r="RMQ123" s="0"/>
      <c r="RMR123" s="0"/>
      <c r="RMS123" s="0"/>
      <c r="RMT123" s="0"/>
      <c r="RMU123" s="0"/>
      <c r="RMV123" s="0"/>
      <c r="RMW123" s="0"/>
      <c r="RMX123" s="0"/>
      <c r="RMY123" s="0"/>
      <c r="RMZ123" s="0"/>
      <c r="RNA123" s="0"/>
      <c r="RNB123" s="0"/>
      <c r="RNC123" s="0"/>
      <c r="RND123" s="0"/>
      <c r="RNE123" s="0"/>
      <c r="RNF123" s="0"/>
      <c r="RNG123" s="0"/>
      <c r="RNH123" s="0"/>
      <c r="RNI123" s="0"/>
      <c r="RNJ123" s="0"/>
      <c r="RNK123" s="0"/>
      <c r="RNL123" s="0"/>
      <c r="RNM123" s="0"/>
      <c r="RNN123" s="0"/>
      <c r="RNO123" s="0"/>
      <c r="RNP123" s="0"/>
      <c r="RNQ123" s="0"/>
      <c r="RNR123" s="0"/>
      <c r="RNS123" s="0"/>
      <c r="RNT123" s="0"/>
      <c r="RNU123" s="0"/>
      <c r="RNV123" s="0"/>
      <c r="RNW123" s="0"/>
      <c r="RNX123" s="0"/>
      <c r="RNY123" s="0"/>
      <c r="RNZ123" s="0"/>
      <c r="ROA123" s="0"/>
      <c r="ROB123" s="0"/>
      <c r="ROC123" s="0"/>
      <c r="ROD123" s="0"/>
      <c r="ROE123" s="0"/>
      <c r="ROF123" s="0"/>
      <c r="ROG123" s="0"/>
      <c r="ROH123" s="0"/>
      <c r="ROI123" s="0"/>
      <c r="ROJ123" s="0"/>
      <c r="ROK123" s="0"/>
      <c r="ROL123" s="0"/>
      <c r="ROM123" s="0"/>
      <c r="RON123" s="0"/>
      <c r="ROO123" s="0"/>
      <c r="ROP123" s="0"/>
      <c r="ROQ123" s="0"/>
      <c r="ROR123" s="0"/>
      <c r="ROS123" s="0"/>
      <c r="ROT123" s="0"/>
      <c r="ROU123" s="0"/>
      <c r="ROV123" s="0"/>
      <c r="ROW123" s="0"/>
      <c r="ROX123" s="0"/>
      <c r="ROY123" s="0"/>
      <c r="ROZ123" s="0"/>
      <c r="RPA123" s="0"/>
      <c r="RPB123" s="0"/>
      <c r="RPC123" s="0"/>
      <c r="RPD123" s="0"/>
      <c r="RPE123" s="0"/>
      <c r="RPF123" s="0"/>
      <c r="RPG123" s="0"/>
      <c r="RPH123" s="0"/>
      <c r="RPI123" s="0"/>
      <c r="RPJ123" s="0"/>
      <c r="RPK123" s="0"/>
      <c r="RPL123" s="0"/>
      <c r="RPM123" s="0"/>
      <c r="RPN123" s="0"/>
      <c r="RPO123" s="0"/>
      <c r="RPP123" s="0"/>
      <c r="RPQ123" s="0"/>
      <c r="RPR123" s="0"/>
      <c r="RPS123" s="0"/>
      <c r="RPT123" s="0"/>
      <c r="RPU123" s="0"/>
      <c r="RPV123" s="0"/>
      <c r="RPW123" s="0"/>
      <c r="RPX123" s="0"/>
      <c r="RPY123" s="0"/>
      <c r="RPZ123" s="0"/>
      <c r="RQA123" s="0"/>
      <c r="RQB123" s="0"/>
      <c r="RQC123" s="0"/>
      <c r="RQD123" s="0"/>
      <c r="RQE123" s="0"/>
      <c r="RQF123" s="0"/>
      <c r="RQG123" s="0"/>
      <c r="RQH123" s="0"/>
      <c r="RQI123" s="0"/>
      <c r="RQJ123" s="0"/>
      <c r="RQK123" s="0"/>
      <c r="RQL123" s="0"/>
      <c r="RQM123" s="0"/>
      <c r="RQN123" s="0"/>
      <c r="RQO123" s="0"/>
      <c r="RQP123" s="0"/>
      <c r="RQQ123" s="0"/>
      <c r="RQR123" s="0"/>
      <c r="RQS123" s="0"/>
      <c r="RQT123" s="0"/>
      <c r="RQU123" s="0"/>
      <c r="RQV123" s="0"/>
      <c r="RQW123" s="0"/>
      <c r="RQX123" s="0"/>
      <c r="RQY123" s="0"/>
      <c r="RQZ123" s="0"/>
      <c r="RRA123" s="0"/>
      <c r="RRB123" s="0"/>
      <c r="RRC123" s="0"/>
      <c r="RRD123" s="0"/>
      <c r="RRE123" s="0"/>
      <c r="RRF123" s="0"/>
      <c r="RRG123" s="0"/>
      <c r="RRH123" s="0"/>
      <c r="RRI123" s="0"/>
      <c r="RRJ123" s="0"/>
      <c r="RRK123" s="0"/>
      <c r="RRL123" s="0"/>
      <c r="RRM123" s="0"/>
      <c r="RRN123" s="0"/>
      <c r="RRO123" s="0"/>
      <c r="RRP123" s="0"/>
      <c r="RRQ123" s="0"/>
      <c r="RRR123" s="0"/>
      <c r="RRS123" s="0"/>
      <c r="RRT123" s="0"/>
      <c r="RRU123" s="0"/>
      <c r="RRV123" s="0"/>
      <c r="RRW123" s="0"/>
      <c r="RRX123" s="0"/>
      <c r="RRY123" s="0"/>
      <c r="RRZ123" s="0"/>
      <c r="RSA123" s="0"/>
      <c r="RSB123" s="0"/>
      <c r="RSC123" s="0"/>
      <c r="RSD123" s="0"/>
      <c r="RSE123" s="0"/>
      <c r="RSF123" s="0"/>
      <c r="RSG123" s="0"/>
      <c r="RSH123" s="0"/>
      <c r="RSI123" s="0"/>
      <c r="RSJ123" s="0"/>
      <c r="RSK123" s="0"/>
      <c r="RSL123" s="0"/>
      <c r="RSM123" s="0"/>
      <c r="RSN123" s="0"/>
      <c r="RSO123" s="0"/>
      <c r="RSP123" s="0"/>
      <c r="RSQ123" s="0"/>
      <c r="RSR123" s="0"/>
      <c r="RSS123" s="0"/>
      <c r="RST123" s="0"/>
      <c r="RSU123" s="0"/>
      <c r="RSV123" s="0"/>
      <c r="RSW123" s="0"/>
      <c r="RSX123" s="0"/>
      <c r="RSY123" s="0"/>
      <c r="RSZ123" s="0"/>
      <c r="RTA123" s="0"/>
      <c r="RTB123" s="0"/>
      <c r="RTC123" s="0"/>
      <c r="RTD123" s="0"/>
      <c r="RTE123" s="0"/>
      <c r="RTF123" s="0"/>
      <c r="RTG123" s="0"/>
      <c r="RTH123" s="0"/>
      <c r="RTI123" s="0"/>
      <c r="RTJ123" s="0"/>
      <c r="RTK123" s="0"/>
      <c r="RTL123" s="0"/>
      <c r="RTM123" s="0"/>
      <c r="RTN123" s="0"/>
      <c r="RTO123" s="0"/>
      <c r="RTP123" s="0"/>
      <c r="RTQ123" s="0"/>
      <c r="RTR123" s="0"/>
      <c r="RTS123" s="0"/>
      <c r="RTT123" s="0"/>
      <c r="RTU123" s="0"/>
      <c r="RTV123" s="0"/>
      <c r="RTW123" s="0"/>
      <c r="RTX123" s="0"/>
      <c r="RTY123" s="0"/>
      <c r="RTZ123" s="0"/>
      <c r="RUA123" s="0"/>
      <c r="RUB123" s="0"/>
      <c r="RUC123" s="0"/>
      <c r="RUD123" s="0"/>
      <c r="RUE123" s="0"/>
      <c r="RUF123" s="0"/>
      <c r="RUG123" s="0"/>
      <c r="RUH123" s="0"/>
      <c r="RUI123" s="0"/>
      <c r="RUJ123" s="0"/>
      <c r="RUK123" s="0"/>
      <c r="RUL123" s="0"/>
      <c r="RUM123" s="0"/>
      <c r="RUN123" s="0"/>
      <c r="RUO123" s="0"/>
      <c r="RUP123" s="0"/>
      <c r="RUQ123" s="0"/>
      <c r="RUR123" s="0"/>
      <c r="RUS123" s="0"/>
      <c r="RUT123" s="0"/>
      <c r="RUU123" s="0"/>
      <c r="RUV123" s="0"/>
      <c r="RUW123" s="0"/>
      <c r="RUX123" s="0"/>
      <c r="RUY123" s="0"/>
      <c r="RUZ123" s="0"/>
      <c r="RVA123" s="0"/>
      <c r="RVB123" s="0"/>
      <c r="RVC123" s="0"/>
      <c r="RVD123" s="0"/>
      <c r="RVE123" s="0"/>
      <c r="RVF123" s="0"/>
      <c r="RVG123" s="0"/>
      <c r="RVH123" s="0"/>
      <c r="RVI123" s="0"/>
      <c r="RVJ123" s="0"/>
      <c r="RVK123" s="0"/>
      <c r="RVL123" s="0"/>
      <c r="RVM123" s="0"/>
      <c r="RVN123" s="0"/>
      <c r="RVO123" s="0"/>
      <c r="RVP123" s="0"/>
      <c r="RVQ123" s="0"/>
      <c r="RVR123" s="0"/>
      <c r="RVS123" s="0"/>
      <c r="RVT123" s="0"/>
      <c r="RVU123" s="0"/>
      <c r="RVV123" s="0"/>
      <c r="RVW123" s="0"/>
      <c r="RVX123" s="0"/>
      <c r="RVY123" s="0"/>
      <c r="RVZ123" s="0"/>
      <c r="RWA123" s="0"/>
      <c r="RWB123" s="0"/>
      <c r="RWC123" s="0"/>
      <c r="RWD123" s="0"/>
      <c r="RWE123" s="0"/>
      <c r="RWF123" s="0"/>
      <c r="RWG123" s="0"/>
      <c r="RWH123" s="0"/>
      <c r="RWI123" s="0"/>
      <c r="RWJ123" s="0"/>
      <c r="RWK123" s="0"/>
      <c r="RWL123" s="0"/>
      <c r="RWM123" s="0"/>
      <c r="RWN123" s="0"/>
      <c r="RWO123" s="0"/>
      <c r="RWP123" s="0"/>
      <c r="RWQ123" s="0"/>
      <c r="RWR123" s="0"/>
      <c r="RWS123" s="0"/>
      <c r="RWT123" s="0"/>
      <c r="RWU123" s="0"/>
      <c r="RWV123" s="0"/>
      <c r="RWW123" s="0"/>
      <c r="RWX123" s="0"/>
      <c r="RWY123" s="0"/>
      <c r="RWZ123" s="0"/>
      <c r="RXA123" s="0"/>
      <c r="RXB123" s="0"/>
      <c r="RXC123" s="0"/>
      <c r="RXD123" s="0"/>
      <c r="RXE123" s="0"/>
      <c r="RXF123" s="0"/>
      <c r="RXG123" s="0"/>
      <c r="RXH123" s="0"/>
      <c r="RXI123" s="0"/>
      <c r="RXJ123" s="0"/>
      <c r="RXK123" s="0"/>
      <c r="RXL123" s="0"/>
      <c r="RXM123" s="0"/>
      <c r="RXN123" s="0"/>
      <c r="RXO123" s="0"/>
      <c r="RXP123" s="0"/>
      <c r="RXQ123" s="0"/>
      <c r="RXR123" s="0"/>
      <c r="RXS123" s="0"/>
      <c r="RXT123" s="0"/>
      <c r="RXU123" s="0"/>
      <c r="RXV123" s="0"/>
      <c r="RXW123" s="0"/>
      <c r="RXX123" s="0"/>
      <c r="RXY123" s="0"/>
      <c r="RXZ123" s="0"/>
      <c r="RYA123" s="0"/>
      <c r="RYB123" s="0"/>
      <c r="RYC123" s="0"/>
      <c r="RYD123" s="0"/>
      <c r="RYE123" s="0"/>
      <c r="RYF123" s="0"/>
      <c r="RYG123" s="0"/>
      <c r="RYH123" s="0"/>
      <c r="RYI123" s="0"/>
      <c r="RYJ123" s="0"/>
      <c r="RYK123" s="0"/>
      <c r="RYL123" s="0"/>
      <c r="RYM123" s="0"/>
      <c r="RYN123" s="0"/>
      <c r="RYO123" s="0"/>
      <c r="RYP123" s="0"/>
      <c r="RYQ123" s="0"/>
      <c r="RYR123" s="0"/>
      <c r="RYS123" s="0"/>
      <c r="RYT123" s="0"/>
      <c r="RYU123" s="0"/>
      <c r="RYV123" s="0"/>
      <c r="RYW123" s="0"/>
      <c r="RYX123" s="0"/>
      <c r="RYY123" s="0"/>
      <c r="RYZ123" s="0"/>
      <c r="RZA123" s="0"/>
      <c r="RZB123" s="0"/>
      <c r="RZC123" s="0"/>
      <c r="RZD123" s="0"/>
      <c r="RZE123" s="0"/>
      <c r="RZF123" s="0"/>
      <c r="RZG123" s="0"/>
      <c r="RZH123" s="0"/>
      <c r="RZI123" s="0"/>
      <c r="RZJ123" s="0"/>
      <c r="RZK123" s="0"/>
      <c r="RZL123" s="0"/>
      <c r="RZM123" s="0"/>
      <c r="RZN123" s="0"/>
      <c r="RZO123" s="0"/>
      <c r="RZP123" s="0"/>
      <c r="RZQ123" s="0"/>
      <c r="RZR123" s="0"/>
      <c r="RZS123" s="0"/>
      <c r="RZT123" s="0"/>
      <c r="RZU123" s="0"/>
      <c r="RZV123" s="0"/>
      <c r="RZW123" s="0"/>
      <c r="RZX123" s="0"/>
      <c r="RZY123" s="0"/>
      <c r="RZZ123" s="0"/>
      <c r="SAA123" s="0"/>
      <c r="SAB123" s="0"/>
      <c r="SAC123" s="0"/>
      <c r="SAD123" s="0"/>
      <c r="SAE123" s="0"/>
      <c r="SAF123" s="0"/>
      <c r="SAG123" s="0"/>
      <c r="SAH123" s="0"/>
      <c r="SAI123" s="0"/>
      <c r="SAJ123" s="0"/>
      <c r="SAK123" s="0"/>
      <c r="SAL123" s="0"/>
      <c r="SAM123" s="0"/>
      <c r="SAN123" s="0"/>
      <c r="SAO123" s="0"/>
      <c r="SAP123" s="0"/>
      <c r="SAQ123" s="0"/>
      <c r="SAR123" s="0"/>
      <c r="SAS123" s="0"/>
      <c r="SAT123" s="0"/>
      <c r="SAU123" s="0"/>
      <c r="SAV123" s="0"/>
      <c r="SAW123" s="0"/>
      <c r="SAX123" s="0"/>
      <c r="SAY123" s="0"/>
      <c r="SAZ123" s="0"/>
      <c r="SBA123" s="0"/>
      <c r="SBB123" s="0"/>
      <c r="SBC123" s="0"/>
      <c r="SBD123" s="0"/>
      <c r="SBE123" s="0"/>
      <c r="SBF123" s="0"/>
      <c r="SBG123" s="0"/>
      <c r="SBH123" s="0"/>
      <c r="SBI123" s="0"/>
      <c r="SBJ123" s="0"/>
      <c r="SBK123" s="0"/>
      <c r="SBL123" s="0"/>
      <c r="SBM123" s="0"/>
      <c r="SBN123" s="0"/>
      <c r="SBO123" s="0"/>
      <c r="SBP123" s="0"/>
      <c r="SBQ123" s="0"/>
      <c r="SBR123" s="0"/>
      <c r="SBS123" s="0"/>
      <c r="SBT123" s="0"/>
      <c r="SBU123" s="0"/>
      <c r="SBV123" s="0"/>
      <c r="SBW123" s="0"/>
      <c r="SBX123" s="0"/>
      <c r="SBY123" s="0"/>
      <c r="SBZ123" s="0"/>
      <c r="SCA123" s="0"/>
      <c r="SCB123" s="0"/>
      <c r="SCC123" s="0"/>
      <c r="SCD123" s="0"/>
      <c r="SCE123" s="0"/>
      <c r="SCF123" s="0"/>
      <c r="SCG123" s="0"/>
      <c r="SCH123" s="0"/>
      <c r="SCI123" s="0"/>
      <c r="SCJ123" s="0"/>
      <c r="SCK123" s="0"/>
      <c r="SCL123" s="0"/>
      <c r="SCM123" s="0"/>
      <c r="SCN123" s="0"/>
      <c r="SCO123" s="0"/>
      <c r="SCP123" s="0"/>
      <c r="SCQ123" s="0"/>
      <c r="SCR123" s="0"/>
      <c r="SCS123" s="0"/>
      <c r="SCT123" s="0"/>
      <c r="SCU123" s="0"/>
      <c r="SCV123" s="0"/>
      <c r="SCW123" s="0"/>
      <c r="SCX123" s="0"/>
      <c r="SCY123" s="0"/>
      <c r="SCZ123" s="0"/>
      <c r="SDA123" s="0"/>
      <c r="SDB123" s="0"/>
      <c r="SDC123" s="0"/>
      <c r="SDD123" s="0"/>
      <c r="SDE123" s="0"/>
      <c r="SDF123" s="0"/>
      <c r="SDG123" s="0"/>
      <c r="SDH123" s="0"/>
      <c r="SDI123" s="0"/>
      <c r="SDJ123" s="0"/>
      <c r="SDK123" s="0"/>
      <c r="SDL123" s="0"/>
      <c r="SDM123" s="0"/>
      <c r="SDN123" s="0"/>
      <c r="SDO123" s="0"/>
      <c r="SDP123" s="0"/>
      <c r="SDQ123" s="0"/>
      <c r="SDR123" s="0"/>
      <c r="SDS123" s="0"/>
      <c r="SDT123" s="0"/>
      <c r="SDU123" s="0"/>
      <c r="SDV123" s="0"/>
      <c r="SDW123" s="0"/>
      <c r="SDX123" s="0"/>
      <c r="SDY123" s="0"/>
      <c r="SDZ123" s="0"/>
      <c r="SEA123" s="0"/>
      <c r="SEB123" s="0"/>
      <c r="SEC123" s="0"/>
      <c r="SED123" s="0"/>
      <c r="SEE123" s="0"/>
      <c r="SEF123" s="0"/>
      <c r="SEG123" s="0"/>
      <c r="SEH123" s="0"/>
      <c r="SEI123" s="0"/>
      <c r="SEJ123" s="0"/>
      <c r="SEK123" s="0"/>
      <c r="SEL123" s="0"/>
      <c r="SEM123" s="0"/>
      <c r="SEN123" s="0"/>
      <c r="SEO123" s="0"/>
      <c r="SEP123" s="0"/>
      <c r="SEQ123" s="0"/>
      <c r="SER123" s="0"/>
      <c r="SES123" s="0"/>
      <c r="SET123" s="0"/>
      <c r="SEU123" s="0"/>
      <c r="SEV123" s="0"/>
      <c r="SEW123" s="0"/>
      <c r="SEX123" s="0"/>
      <c r="SEY123" s="0"/>
      <c r="SEZ123" s="0"/>
      <c r="SFA123" s="0"/>
      <c r="SFB123" s="0"/>
      <c r="SFC123" s="0"/>
      <c r="SFD123" s="0"/>
      <c r="SFE123" s="0"/>
      <c r="SFF123" s="0"/>
      <c r="SFG123" s="0"/>
      <c r="SFH123" s="0"/>
      <c r="SFI123" s="0"/>
      <c r="SFJ123" s="0"/>
      <c r="SFK123" s="0"/>
      <c r="SFL123" s="0"/>
      <c r="SFM123" s="0"/>
      <c r="SFN123" s="0"/>
      <c r="SFO123" s="0"/>
      <c r="SFP123" s="0"/>
      <c r="SFQ123" s="0"/>
      <c r="SFR123" s="0"/>
      <c r="SFS123" s="0"/>
      <c r="SFT123" s="0"/>
      <c r="SFU123" s="0"/>
      <c r="SFV123" s="0"/>
      <c r="SFW123" s="0"/>
      <c r="SFX123" s="0"/>
      <c r="SFY123" s="0"/>
      <c r="SFZ123" s="0"/>
      <c r="SGA123" s="0"/>
      <c r="SGB123" s="0"/>
      <c r="SGC123" s="0"/>
      <c r="SGD123" s="0"/>
      <c r="SGE123" s="0"/>
      <c r="SGF123" s="0"/>
      <c r="SGG123" s="0"/>
      <c r="SGH123" s="0"/>
      <c r="SGI123" s="0"/>
      <c r="SGJ123" s="0"/>
      <c r="SGK123" s="0"/>
      <c r="SGL123" s="0"/>
      <c r="SGM123" s="0"/>
      <c r="SGN123" s="0"/>
      <c r="SGO123" s="0"/>
      <c r="SGP123" s="0"/>
      <c r="SGQ123" s="0"/>
      <c r="SGR123" s="0"/>
      <c r="SGS123" s="0"/>
      <c r="SGT123" s="0"/>
      <c r="SGU123" s="0"/>
      <c r="SGV123" s="0"/>
      <c r="SGW123" s="0"/>
      <c r="SGX123" s="0"/>
      <c r="SGY123" s="0"/>
      <c r="SGZ123" s="0"/>
      <c r="SHA123" s="0"/>
      <c r="SHB123" s="0"/>
      <c r="SHC123" s="0"/>
      <c r="SHD123" s="0"/>
      <c r="SHE123" s="0"/>
      <c r="SHF123" s="0"/>
      <c r="SHG123" s="0"/>
      <c r="SHH123" s="0"/>
      <c r="SHI123" s="0"/>
      <c r="SHJ123" s="0"/>
      <c r="SHK123" s="0"/>
      <c r="SHL123" s="0"/>
      <c r="SHM123" s="0"/>
      <c r="SHN123" s="0"/>
      <c r="SHO123" s="0"/>
      <c r="SHP123" s="0"/>
      <c r="SHQ123" s="0"/>
      <c r="SHR123" s="0"/>
      <c r="SHS123" s="0"/>
      <c r="SHT123" s="0"/>
      <c r="SHU123" s="0"/>
      <c r="SHV123" s="0"/>
      <c r="SHW123" s="0"/>
      <c r="SHX123" s="0"/>
      <c r="SHY123" s="0"/>
      <c r="SHZ123" s="0"/>
      <c r="SIA123" s="0"/>
      <c r="SIB123" s="0"/>
      <c r="SIC123" s="0"/>
      <c r="SID123" s="0"/>
      <c r="SIE123" s="0"/>
      <c r="SIF123" s="0"/>
      <c r="SIG123" s="0"/>
      <c r="SIH123" s="0"/>
      <c r="SII123" s="0"/>
      <c r="SIJ123" s="0"/>
      <c r="SIK123" s="0"/>
      <c r="SIL123" s="0"/>
      <c r="SIM123" s="0"/>
      <c r="SIN123" s="0"/>
      <c r="SIO123" s="0"/>
      <c r="SIP123" s="0"/>
      <c r="SIQ123" s="0"/>
      <c r="SIR123" s="0"/>
      <c r="SIS123" s="0"/>
      <c r="SIT123" s="0"/>
      <c r="SIU123" s="0"/>
      <c r="SIV123" s="0"/>
      <c r="SIW123" s="0"/>
      <c r="SIX123" s="0"/>
      <c r="SIY123" s="0"/>
      <c r="SIZ123" s="0"/>
      <c r="SJA123" s="0"/>
      <c r="SJB123" s="0"/>
      <c r="SJC123" s="0"/>
      <c r="SJD123" s="0"/>
      <c r="SJE123" s="0"/>
      <c r="SJF123" s="0"/>
      <c r="SJG123" s="0"/>
      <c r="SJH123" s="0"/>
      <c r="SJI123" s="0"/>
      <c r="SJJ123" s="0"/>
      <c r="SJK123" s="0"/>
      <c r="SJL123" s="0"/>
      <c r="SJM123" s="0"/>
      <c r="SJN123" s="0"/>
      <c r="SJO123" s="0"/>
      <c r="SJP123" s="0"/>
      <c r="SJQ123" s="0"/>
      <c r="SJR123" s="0"/>
      <c r="SJS123" s="0"/>
      <c r="SJT123" s="0"/>
      <c r="SJU123" s="0"/>
      <c r="SJV123" s="0"/>
      <c r="SJW123" s="0"/>
      <c r="SJX123" s="0"/>
      <c r="SJY123" s="0"/>
      <c r="SJZ123" s="0"/>
      <c r="SKA123" s="0"/>
      <c r="SKB123" s="0"/>
      <c r="SKC123" s="0"/>
      <c r="SKD123" s="0"/>
      <c r="SKE123" s="0"/>
      <c r="SKF123" s="0"/>
      <c r="SKG123" s="0"/>
      <c r="SKH123" s="0"/>
      <c r="SKI123" s="0"/>
      <c r="SKJ123" s="0"/>
      <c r="SKK123" s="0"/>
      <c r="SKL123" s="0"/>
      <c r="SKM123" s="0"/>
      <c r="SKN123" s="0"/>
      <c r="SKO123" s="0"/>
      <c r="SKP123" s="0"/>
      <c r="SKQ123" s="0"/>
      <c r="SKR123" s="0"/>
      <c r="SKS123" s="0"/>
      <c r="SKT123" s="0"/>
      <c r="SKU123" s="0"/>
      <c r="SKV123" s="0"/>
      <c r="SKW123" s="0"/>
      <c r="SKX123" s="0"/>
      <c r="SKY123" s="0"/>
      <c r="SKZ123" s="0"/>
      <c r="SLA123" s="0"/>
      <c r="SLB123" s="0"/>
      <c r="SLC123" s="0"/>
      <c r="SLD123" s="0"/>
      <c r="SLE123" s="0"/>
      <c r="SLF123" s="0"/>
      <c r="SLG123" s="0"/>
      <c r="SLH123" s="0"/>
      <c r="SLI123" s="0"/>
      <c r="SLJ123" s="0"/>
      <c r="SLK123" s="0"/>
      <c r="SLL123" s="0"/>
      <c r="SLM123" s="0"/>
      <c r="SLN123" s="0"/>
      <c r="SLO123" s="0"/>
      <c r="SLP123" s="0"/>
      <c r="SLQ123" s="0"/>
      <c r="SLR123" s="0"/>
      <c r="SLS123" s="0"/>
      <c r="SLT123" s="0"/>
      <c r="SLU123" s="0"/>
      <c r="SLV123" s="0"/>
      <c r="SLW123" s="0"/>
      <c r="SLX123" s="0"/>
      <c r="SLY123" s="0"/>
      <c r="SLZ123" s="0"/>
      <c r="SMA123" s="0"/>
      <c r="SMB123" s="0"/>
      <c r="SMC123" s="0"/>
      <c r="SMD123" s="0"/>
      <c r="SME123" s="0"/>
      <c r="SMF123" s="0"/>
      <c r="SMG123" s="0"/>
      <c r="SMH123" s="0"/>
      <c r="SMI123" s="0"/>
      <c r="SMJ123" s="0"/>
      <c r="SMK123" s="0"/>
      <c r="SML123" s="0"/>
      <c r="SMM123" s="0"/>
      <c r="SMN123" s="0"/>
      <c r="SMO123" s="0"/>
      <c r="SMP123" s="0"/>
      <c r="SMQ123" s="0"/>
      <c r="SMR123" s="0"/>
      <c r="SMS123" s="0"/>
      <c r="SMT123" s="0"/>
      <c r="SMU123" s="0"/>
      <c r="SMV123" s="0"/>
      <c r="SMW123" s="0"/>
      <c r="SMX123" s="0"/>
      <c r="SMY123" s="0"/>
      <c r="SMZ123" s="0"/>
      <c r="SNA123" s="0"/>
      <c r="SNB123" s="0"/>
      <c r="SNC123" s="0"/>
      <c r="SND123" s="0"/>
      <c r="SNE123" s="0"/>
      <c r="SNF123" s="0"/>
      <c r="SNG123" s="0"/>
      <c r="SNH123" s="0"/>
      <c r="SNI123" s="0"/>
      <c r="SNJ123" s="0"/>
      <c r="SNK123" s="0"/>
      <c r="SNL123" s="0"/>
      <c r="SNM123" s="0"/>
      <c r="SNN123" s="0"/>
      <c r="SNO123" s="0"/>
      <c r="SNP123" s="0"/>
      <c r="SNQ123" s="0"/>
      <c r="SNR123" s="0"/>
      <c r="SNS123" s="0"/>
      <c r="SNT123" s="0"/>
      <c r="SNU123" s="0"/>
      <c r="SNV123" s="0"/>
      <c r="SNW123" s="0"/>
      <c r="SNX123" s="0"/>
      <c r="SNY123" s="0"/>
      <c r="SNZ123" s="0"/>
      <c r="SOA123" s="0"/>
      <c r="SOB123" s="0"/>
      <c r="SOC123" s="0"/>
      <c r="SOD123" s="0"/>
      <c r="SOE123" s="0"/>
      <c r="SOF123" s="0"/>
      <c r="SOG123" s="0"/>
      <c r="SOH123" s="0"/>
      <c r="SOI123" s="0"/>
      <c r="SOJ123" s="0"/>
      <c r="SOK123" s="0"/>
      <c r="SOL123" s="0"/>
      <c r="SOM123" s="0"/>
      <c r="SON123" s="0"/>
      <c r="SOO123" s="0"/>
      <c r="SOP123" s="0"/>
      <c r="SOQ123" s="0"/>
      <c r="SOR123" s="0"/>
      <c r="SOS123" s="0"/>
      <c r="SOT123" s="0"/>
      <c r="SOU123" s="0"/>
      <c r="SOV123" s="0"/>
      <c r="SOW123" s="0"/>
      <c r="SOX123" s="0"/>
      <c r="SOY123" s="0"/>
      <c r="SOZ123" s="0"/>
      <c r="SPA123" s="0"/>
      <c r="SPB123" s="0"/>
      <c r="SPC123" s="0"/>
      <c r="SPD123" s="0"/>
      <c r="SPE123" s="0"/>
      <c r="SPF123" s="0"/>
      <c r="SPG123" s="0"/>
      <c r="SPH123" s="0"/>
      <c r="SPI123" s="0"/>
      <c r="SPJ123" s="0"/>
      <c r="SPK123" s="0"/>
      <c r="SPL123" s="0"/>
      <c r="SPM123" s="0"/>
      <c r="SPN123" s="0"/>
      <c r="SPO123" s="0"/>
      <c r="SPP123" s="0"/>
      <c r="SPQ123" s="0"/>
      <c r="SPR123" s="0"/>
      <c r="SPS123" s="0"/>
      <c r="SPT123" s="0"/>
      <c r="SPU123" s="0"/>
      <c r="SPV123" s="0"/>
      <c r="SPW123" s="0"/>
      <c r="SPX123" s="0"/>
      <c r="SPY123" s="0"/>
      <c r="SPZ123" s="0"/>
      <c r="SQA123" s="0"/>
      <c r="SQB123" s="0"/>
      <c r="SQC123" s="0"/>
      <c r="SQD123" s="0"/>
      <c r="SQE123" s="0"/>
      <c r="SQF123" s="0"/>
      <c r="SQG123" s="0"/>
      <c r="SQH123" s="0"/>
      <c r="SQI123" s="0"/>
      <c r="SQJ123" s="0"/>
      <c r="SQK123" s="0"/>
      <c r="SQL123" s="0"/>
      <c r="SQM123" s="0"/>
      <c r="SQN123" s="0"/>
      <c r="SQO123" s="0"/>
      <c r="SQP123" s="0"/>
      <c r="SQQ123" s="0"/>
      <c r="SQR123" s="0"/>
      <c r="SQS123" s="0"/>
      <c r="SQT123" s="0"/>
      <c r="SQU123" s="0"/>
      <c r="SQV123" s="0"/>
      <c r="SQW123" s="0"/>
      <c r="SQX123" s="0"/>
      <c r="SQY123" s="0"/>
      <c r="SQZ123" s="0"/>
      <c r="SRA123" s="0"/>
      <c r="SRB123" s="0"/>
      <c r="SRC123" s="0"/>
      <c r="SRD123" s="0"/>
      <c r="SRE123" s="0"/>
      <c r="SRF123" s="0"/>
      <c r="SRG123" s="0"/>
      <c r="SRH123" s="0"/>
      <c r="SRI123" s="0"/>
      <c r="SRJ123" s="0"/>
      <c r="SRK123" s="0"/>
      <c r="SRL123" s="0"/>
      <c r="SRM123" s="0"/>
      <c r="SRN123" s="0"/>
      <c r="SRO123" s="0"/>
      <c r="SRP123" s="0"/>
      <c r="SRQ123" s="0"/>
      <c r="SRR123" s="0"/>
      <c r="SRS123" s="0"/>
      <c r="SRT123" s="0"/>
      <c r="SRU123" s="0"/>
      <c r="SRV123" s="0"/>
      <c r="SRW123" s="0"/>
      <c r="SRX123" s="0"/>
      <c r="SRY123" s="0"/>
      <c r="SRZ123" s="0"/>
      <c r="SSA123" s="0"/>
      <c r="SSB123" s="0"/>
      <c r="SSC123" s="0"/>
      <c r="SSD123" s="0"/>
      <c r="SSE123" s="0"/>
      <c r="SSF123" s="0"/>
      <c r="SSG123" s="0"/>
      <c r="SSH123" s="0"/>
      <c r="SSI123" s="0"/>
      <c r="SSJ123" s="0"/>
      <c r="SSK123" s="0"/>
      <c r="SSL123" s="0"/>
      <c r="SSM123" s="0"/>
      <c r="SSN123" s="0"/>
      <c r="SSO123" s="0"/>
      <c r="SSP123" s="0"/>
      <c r="SSQ123" s="0"/>
      <c r="SSR123" s="0"/>
      <c r="SSS123" s="0"/>
      <c r="SST123" s="0"/>
      <c r="SSU123" s="0"/>
      <c r="SSV123" s="0"/>
      <c r="SSW123" s="0"/>
      <c r="SSX123" s="0"/>
      <c r="SSY123" s="0"/>
      <c r="SSZ123" s="0"/>
      <c r="STA123" s="0"/>
      <c r="STB123" s="0"/>
      <c r="STC123" s="0"/>
      <c r="STD123" s="0"/>
      <c r="STE123" s="0"/>
      <c r="STF123" s="0"/>
      <c r="STG123" s="0"/>
      <c r="STH123" s="0"/>
      <c r="STI123" s="0"/>
      <c r="STJ123" s="0"/>
      <c r="STK123" s="0"/>
      <c r="STL123" s="0"/>
      <c r="STM123" s="0"/>
      <c r="STN123" s="0"/>
      <c r="STO123" s="0"/>
      <c r="STP123" s="0"/>
      <c r="STQ123" s="0"/>
      <c r="STR123" s="0"/>
      <c r="STS123" s="0"/>
      <c r="STT123" s="0"/>
      <c r="STU123" s="0"/>
      <c r="STV123" s="0"/>
      <c r="STW123" s="0"/>
      <c r="STX123" s="0"/>
      <c r="STY123" s="0"/>
      <c r="STZ123" s="0"/>
      <c r="SUA123" s="0"/>
      <c r="SUB123" s="0"/>
      <c r="SUC123" s="0"/>
      <c r="SUD123" s="0"/>
      <c r="SUE123" s="0"/>
      <c r="SUF123" s="0"/>
      <c r="SUG123" s="0"/>
      <c r="SUH123" s="0"/>
      <c r="SUI123" s="0"/>
      <c r="SUJ123" s="0"/>
      <c r="SUK123" s="0"/>
      <c r="SUL123" s="0"/>
      <c r="SUM123" s="0"/>
      <c r="SUN123" s="0"/>
      <c r="SUO123" s="0"/>
      <c r="SUP123" s="0"/>
      <c r="SUQ123" s="0"/>
      <c r="SUR123" s="0"/>
      <c r="SUS123" s="0"/>
      <c r="SUT123" s="0"/>
      <c r="SUU123" s="0"/>
      <c r="SUV123" s="0"/>
      <c r="SUW123" s="0"/>
      <c r="SUX123" s="0"/>
      <c r="SUY123" s="0"/>
      <c r="SUZ123" s="0"/>
      <c r="SVA123" s="0"/>
      <c r="SVB123" s="0"/>
      <c r="SVC123" s="0"/>
      <c r="SVD123" s="0"/>
      <c r="SVE123" s="0"/>
      <c r="SVF123" s="0"/>
      <c r="SVG123" s="0"/>
      <c r="SVH123" s="0"/>
      <c r="SVI123" s="0"/>
      <c r="SVJ123" s="0"/>
      <c r="SVK123" s="0"/>
      <c r="SVL123" s="0"/>
      <c r="SVM123" s="0"/>
      <c r="SVN123" s="0"/>
      <c r="SVO123" s="0"/>
      <c r="SVP123" s="0"/>
      <c r="SVQ123" s="0"/>
      <c r="SVR123" s="0"/>
      <c r="SVS123" s="0"/>
      <c r="SVT123" s="0"/>
      <c r="SVU123" s="0"/>
      <c r="SVV123" s="0"/>
      <c r="SVW123" s="0"/>
      <c r="SVX123" s="0"/>
      <c r="SVY123" s="0"/>
      <c r="SVZ123" s="0"/>
      <c r="SWA123" s="0"/>
      <c r="SWB123" s="0"/>
      <c r="SWC123" s="0"/>
      <c r="SWD123" s="0"/>
      <c r="SWE123" s="0"/>
      <c r="SWF123" s="0"/>
      <c r="SWG123" s="0"/>
      <c r="SWH123" s="0"/>
      <c r="SWI123" s="0"/>
      <c r="SWJ123" s="0"/>
      <c r="SWK123" s="0"/>
      <c r="SWL123" s="0"/>
      <c r="SWM123" s="0"/>
      <c r="SWN123" s="0"/>
      <c r="SWO123" s="0"/>
      <c r="SWP123" s="0"/>
      <c r="SWQ123" s="0"/>
      <c r="SWR123" s="0"/>
      <c r="SWS123" s="0"/>
      <c r="SWT123" s="0"/>
      <c r="SWU123" s="0"/>
      <c r="SWV123" s="0"/>
      <c r="SWW123" s="0"/>
      <c r="SWX123" s="0"/>
      <c r="SWY123" s="0"/>
      <c r="SWZ123" s="0"/>
      <c r="SXA123" s="0"/>
      <c r="SXB123" s="0"/>
      <c r="SXC123" s="0"/>
      <c r="SXD123" s="0"/>
      <c r="SXE123" s="0"/>
      <c r="SXF123" s="0"/>
      <c r="SXG123" s="0"/>
      <c r="SXH123" s="0"/>
      <c r="SXI123" s="0"/>
      <c r="SXJ123" s="0"/>
      <c r="SXK123" s="0"/>
      <c r="SXL123" s="0"/>
      <c r="SXM123" s="0"/>
      <c r="SXN123" s="0"/>
      <c r="SXO123" s="0"/>
      <c r="SXP123" s="0"/>
      <c r="SXQ123" s="0"/>
      <c r="SXR123" s="0"/>
      <c r="SXS123" s="0"/>
      <c r="SXT123" s="0"/>
      <c r="SXU123" s="0"/>
      <c r="SXV123" s="0"/>
      <c r="SXW123" s="0"/>
      <c r="SXX123" s="0"/>
      <c r="SXY123" s="0"/>
      <c r="SXZ123" s="0"/>
      <c r="SYA123" s="0"/>
      <c r="SYB123" s="0"/>
      <c r="SYC123" s="0"/>
      <c r="SYD123" s="0"/>
      <c r="SYE123" s="0"/>
      <c r="SYF123" s="0"/>
      <c r="SYG123" s="0"/>
      <c r="SYH123" s="0"/>
      <c r="SYI123" s="0"/>
      <c r="SYJ123" s="0"/>
      <c r="SYK123" s="0"/>
      <c r="SYL123" s="0"/>
      <c r="SYM123" s="0"/>
      <c r="SYN123" s="0"/>
      <c r="SYO123" s="0"/>
      <c r="SYP123" s="0"/>
      <c r="SYQ123" s="0"/>
      <c r="SYR123" s="0"/>
      <c r="SYS123" s="0"/>
      <c r="SYT123" s="0"/>
      <c r="SYU123" s="0"/>
      <c r="SYV123" s="0"/>
      <c r="SYW123" s="0"/>
      <c r="SYX123" s="0"/>
      <c r="SYY123" s="0"/>
      <c r="SYZ123" s="0"/>
      <c r="SZA123" s="0"/>
      <c r="SZB123" s="0"/>
      <c r="SZC123" s="0"/>
      <c r="SZD123" s="0"/>
      <c r="SZE123" s="0"/>
      <c r="SZF123" s="0"/>
      <c r="SZG123" s="0"/>
      <c r="SZH123" s="0"/>
      <c r="SZI123" s="0"/>
      <c r="SZJ123" s="0"/>
      <c r="SZK123" s="0"/>
      <c r="SZL123" s="0"/>
      <c r="SZM123" s="0"/>
      <c r="SZN123" s="0"/>
      <c r="SZO123" s="0"/>
      <c r="SZP123" s="0"/>
      <c r="SZQ123" s="0"/>
      <c r="SZR123" s="0"/>
      <c r="SZS123" s="0"/>
      <c r="SZT123" s="0"/>
      <c r="SZU123" s="0"/>
      <c r="SZV123" s="0"/>
      <c r="SZW123" s="0"/>
      <c r="SZX123" s="0"/>
      <c r="SZY123" s="0"/>
      <c r="SZZ123" s="0"/>
      <c r="TAA123" s="0"/>
      <c r="TAB123" s="0"/>
      <c r="TAC123" s="0"/>
      <c r="TAD123" s="0"/>
      <c r="TAE123" s="0"/>
      <c r="TAF123" s="0"/>
      <c r="TAG123" s="0"/>
      <c r="TAH123" s="0"/>
      <c r="TAI123" s="0"/>
      <c r="TAJ123" s="0"/>
      <c r="TAK123" s="0"/>
      <c r="TAL123" s="0"/>
      <c r="TAM123" s="0"/>
      <c r="TAN123" s="0"/>
      <c r="TAO123" s="0"/>
      <c r="TAP123" s="0"/>
      <c r="TAQ123" s="0"/>
      <c r="TAR123" s="0"/>
      <c r="TAS123" s="0"/>
      <c r="TAT123" s="0"/>
      <c r="TAU123" s="0"/>
      <c r="TAV123" s="0"/>
      <c r="TAW123" s="0"/>
      <c r="TAX123" s="0"/>
      <c r="TAY123" s="0"/>
      <c r="TAZ123" s="0"/>
      <c r="TBA123" s="0"/>
      <c r="TBB123" s="0"/>
      <c r="TBC123" s="0"/>
      <c r="TBD123" s="0"/>
      <c r="TBE123" s="0"/>
      <c r="TBF123" s="0"/>
      <c r="TBG123" s="0"/>
      <c r="TBH123" s="0"/>
      <c r="TBI123" s="0"/>
      <c r="TBJ123" s="0"/>
      <c r="TBK123" s="0"/>
      <c r="TBL123" s="0"/>
      <c r="TBM123" s="0"/>
      <c r="TBN123" s="0"/>
      <c r="TBO123" s="0"/>
      <c r="TBP123" s="0"/>
      <c r="TBQ123" s="0"/>
      <c r="TBR123" s="0"/>
      <c r="TBS123" s="0"/>
      <c r="TBT123" s="0"/>
      <c r="TBU123" s="0"/>
      <c r="TBV123" s="0"/>
      <c r="TBW123" s="0"/>
      <c r="TBX123" s="0"/>
      <c r="TBY123" s="0"/>
      <c r="TBZ123" s="0"/>
      <c r="TCA123" s="0"/>
      <c r="TCB123" s="0"/>
      <c r="TCC123" s="0"/>
      <c r="TCD123" s="0"/>
      <c r="TCE123" s="0"/>
      <c r="TCF123" s="0"/>
      <c r="TCG123" s="0"/>
      <c r="TCH123" s="0"/>
      <c r="TCI123" s="0"/>
      <c r="TCJ123" s="0"/>
      <c r="TCK123" s="0"/>
      <c r="TCL123" s="0"/>
      <c r="TCM123" s="0"/>
      <c r="TCN123" s="0"/>
      <c r="TCO123" s="0"/>
      <c r="TCP123" s="0"/>
      <c r="TCQ123" s="0"/>
      <c r="TCR123" s="0"/>
      <c r="TCS123" s="0"/>
      <c r="TCT123" s="0"/>
      <c r="TCU123" s="0"/>
      <c r="TCV123" s="0"/>
      <c r="TCW123" s="0"/>
      <c r="TCX123" s="0"/>
      <c r="TCY123" s="0"/>
      <c r="TCZ123" s="0"/>
      <c r="TDA123" s="0"/>
      <c r="TDB123" s="0"/>
      <c r="TDC123" s="0"/>
      <c r="TDD123" s="0"/>
      <c r="TDE123" s="0"/>
      <c r="TDF123" s="0"/>
      <c r="TDG123" s="0"/>
      <c r="TDH123" s="0"/>
      <c r="TDI123" s="0"/>
      <c r="TDJ123" s="0"/>
      <c r="TDK123" s="0"/>
      <c r="TDL123" s="0"/>
      <c r="TDM123" s="0"/>
      <c r="TDN123" s="0"/>
      <c r="TDO123" s="0"/>
      <c r="TDP123" s="0"/>
      <c r="TDQ123" s="0"/>
      <c r="TDR123" s="0"/>
      <c r="TDS123" s="0"/>
      <c r="TDT123" s="0"/>
      <c r="TDU123" s="0"/>
      <c r="TDV123" s="0"/>
      <c r="TDW123" s="0"/>
      <c r="TDX123" s="0"/>
      <c r="TDY123" s="0"/>
      <c r="TDZ123" s="0"/>
      <c r="TEA123" s="0"/>
      <c r="TEB123" s="0"/>
      <c r="TEC123" s="0"/>
      <c r="TED123" s="0"/>
      <c r="TEE123" s="0"/>
      <c r="TEF123" s="0"/>
      <c r="TEG123" s="0"/>
      <c r="TEH123" s="0"/>
      <c r="TEI123" s="0"/>
      <c r="TEJ123" s="0"/>
      <c r="TEK123" s="0"/>
      <c r="TEL123" s="0"/>
      <c r="TEM123" s="0"/>
      <c r="TEN123" s="0"/>
      <c r="TEO123" s="0"/>
      <c r="TEP123" s="0"/>
      <c r="TEQ123" s="0"/>
      <c r="TER123" s="0"/>
      <c r="TES123" s="0"/>
      <c r="TET123" s="0"/>
      <c r="TEU123" s="0"/>
      <c r="TEV123" s="0"/>
      <c r="TEW123" s="0"/>
      <c r="TEX123" s="0"/>
      <c r="TEY123" s="0"/>
      <c r="TEZ123" s="0"/>
      <c r="TFA123" s="0"/>
      <c r="TFB123" s="0"/>
      <c r="TFC123" s="0"/>
      <c r="TFD123" s="0"/>
      <c r="TFE123" s="0"/>
      <c r="TFF123" s="0"/>
      <c r="TFG123" s="0"/>
      <c r="TFH123" s="0"/>
      <c r="TFI123" s="0"/>
      <c r="TFJ123" s="0"/>
      <c r="TFK123" s="0"/>
      <c r="TFL123" s="0"/>
      <c r="TFM123" s="0"/>
      <c r="TFN123" s="0"/>
      <c r="TFO123" s="0"/>
      <c r="TFP123" s="0"/>
      <c r="TFQ123" s="0"/>
      <c r="TFR123" s="0"/>
      <c r="TFS123" s="0"/>
      <c r="TFT123" s="0"/>
      <c r="TFU123" s="0"/>
      <c r="TFV123" s="0"/>
      <c r="TFW123" s="0"/>
      <c r="TFX123" s="0"/>
      <c r="TFY123" s="0"/>
      <c r="TFZ123" s="0"/>
      <c r="TGA123" s="0"/>
      <c r="TGB123" s="0"/>
      <c r="TGC123" s="0"/>
      <c r="TGD123" s="0"/>
      <c r="TGE123" s="0"/>
      <c r="TGF123" s="0"/>
      <c r="TGG123" s="0"/>
      <c r="TGH123" s="0"/>
      <c r="TGI123" s="0"/>
      <c r="TGJ123" s="0"/>
      <c r="TGK123" s="0"/>
      <c r="TGL123" s="0"/>
      <c r="TGM123" s="0"/>
      <c r="TGN123" s="0"/>
      <c r="TGO123" s="0"/>
      <c r="TGP123" s="0"/>
      <c r="TGQ123" s="0"/>
      <c r="TGR123" s="0"/>
      <c r="TGS123" s="0"/>
      <c r="TGT123" s="0"/>
      <c r="TGU123" s="0"/>
      <c r="TGV123" s="0"/>
      <c r="TGW123" s="0"/>
      <c r="TGX123" s="0"/>
      <c r="TGY123" s="0"/>
      <c r="TGZ123" s="0"/>
      <c r="THA123" s="0"/>
      <c r="THB123" s="0"/>
      <c r="THC123" s="0"/>
      <c r="THD123" s="0"/>
      <c r="THE123" s="0"/>
      <c r="THF123" s="0"/>
      <c r="THG123" s="0"/>
      <c r="THH123" s="0"/>
      <c r="THI123" s="0"/>
      <c r="THJ123" s="0"/>
      <c r="THK123" s="0"/>
      <c r="THL123" s="0"/>
      <c r="THM123" s="0"/>
      <c r="THN123" s="0"/>
      <c r="THO123" s="0"/>
      <c r="THP123" s="0"/>
      <c r="THQ123" s="0"/>
      <c r="THR123" s="0"/>
      <c r="THS123" s="0"/>
      <c r="THT123" s="0"/>
      <c r="THU123" s="0"/>
      <c r="THV123" s="0"/>
      <c r="THW123" s="0"/>
      <c r="THX123" s="0"/>
      <c r="THY123" s="0"/>
      <c r="THZ123" s="0"/>
      <c r="TIA123" s="0"/>
      <c r="TIB123" s="0"/>
      <c r="TIC123" s="0"/>
      <c r="TID123" s="0"/>
      <c r="TIE123" s="0"/>
      <c r="TIF123" s="0"/>
      <c r="TIG123" s="0"/>
      <c r="TIH123" s="0"/>
      <c r="TII123" s="0"/>
      <c r="TIJ123" s="0"/>
      <c r="TIK123" s="0"/>
      <c r="TIL123" s="0"/>
      <c r="TIM123" s="0"/>
      <c r="TIN123" s="0"/>
      <c r="TIO123" s="0"/>
      <c r="TIP123" s="0"/>
      <c r="TIQ123" s="0"/>
      <c r="TIR123" s="0"/>
      <c r="TIS123" s="0"/>
      <c r="TIT123" s="0"/>
      <c r="TIU123" s="0"/>
      <c r="TIV123" s="0"/>
      <c r="TIW123" s="0"/>
      <c r="TIX123" s="0"/>
      <c r="TIY123" s="0"/>
      <c r="TIZ123" s="0"/>
      <c r="TJA123" s="0"/>
      <c r="TJB123" s="0"/>
      <c r="TJC123" s="0"/>
      <c r="TJD123" s="0"/>
      <c r="TJE123" s="0"/>
      <c r="TJF123" s="0"/>
      <c r="TJG123" s="0"/>
      <c r="TJH123" s="0"/>
      <c r="TJI123" s="0"/>
      <c r="TJJ123" s="0"/>
      <c r="TJK123" s="0"/>
      <c r="TJL123" s="0"/>
      <c r="TJM123" s="0"/>
      <c r="TJN123" s="0"/>
      <c r="TJO123" s="0"/>
      <c r="TJP123" s="0"/>
      <c r="TJQ123" s="0"/>
      <c r="TJR123" s="0"/>
      <c r="TJS123" s="0"/>
      <c r="TJT123" s="0"/>
      <c r="TJU123" s="0"/>
      <c r="TJV123" s="0"/>
      <c r="TJW123" s="0"/>
      <c r="TJX123" s="0"/>
      <c r="TJY123" s="0"/>
      <c r="TJZ123" s="0"/>
      <c r="TKA123" s="0"/>
      <c r="TKB123" s="0"/>
      <c r="TKC123" s="0"/>
      <c r="TKD123" s="0"/>
      <c r="TKE123" s="0"/>
      <c r="TKF123" s="0"/>
      <c r="TKG123" s="0"/>
      <c r="TKH123" s="0"/>
      <c r="TKI123" s="0"/>
      <c r="TKJ123" s="0"/>
      <c r="TKK123" s="0"/>
      <c r="TKL123" s="0"/>
      <c r="TKM123" s="0"/>
      <c r="TKN123" s="0"/>
      <c r="TKO123" s="0"/>
      <c r="TKP123" s="0"/>
      <c r="TKQ123" s="0"/>
      <c r="TKR123" s="0"/>
      <c r="TKS123" s="0"/>
      <c r="TKT123" s="0"/>
      <c r="TKU123" s="0"/>
      <c r="TKV123" s="0"/>
      <c r="TKW123" s="0"/>
      <c r="TKX123" s="0"/>
      <c r="TKY123" s="0"/>
      <c r="TKZ123" s="0"/>
      <c r="TLA123" s="0"/>
      <c r="TLB123" s="0"/>
      <c r="TLC123" s="0"/>
      <c r="TLD123" s="0"/>
      <c r="TLE123" s="0"/>
      <c r="TLF123" s="0"/>
      <c r="TLG123" s="0"/>
      <c r="TLH123" s="0"/>
      <c r="TLI123" s="0"/>
      <c r="TLJ123" s="0"/>
      <c r="TLK123" s="0"/>
      <c r="TLL123" s="0"/>
      <c r="TLM123" s="0"/>
      <c r="TLN123" s="0"/>
      <c r="TLO123" s="0"/>
      <c r="TLP123" s="0"/>
      <c r="TLQ123" s="0"/>
      <c r="TLR123" s="0"/>
      <c r="TLS123" s="0"/>
      <c r="TLT123" s="0"/>
      <c r="TLU123" s="0"/>
      <c r="TLV123" s="0"/>
      <c r="TLW123" s="0"/>
      <c r="TLX123" s="0"/>
      <c r="TLY123" s="0"/>
      <c r="TLZ123" s="0"/>
      <c r="TMA123" s="0"/>
      <c r="TMB123" s="0"/>
      <c r="TMC123" s="0"/>
      <c r="TMD123" s="0"/>
      <c r="TME123" s="0"/>
      <c r="TMF123" s="0"/>
      <c r="TMG123" s="0"/>
      <c r="TMH123" s="0"/>
      <c r="TMI123" s="0"/>
      <c r="TMJ123" s="0"/>
      <c r="TMK123" s="0"/>
      <c r="TML123" s="0"/>
      <c r="TMM123" s="0"/>
      <c r="TMN123" s="0"/>
      <c r="TMO123" s="0"/>
      <c r="TMP123" s="0"/>
      <c r="TMQ123" s="0"/>
      <c r="TMR123" s="0"/>
      <c r="TMS123" s="0"/>
      <c r="TMT123" s="0"/>
      <c r="TMU123" s="0"/>
      <c r="TMV123" s="0"/>
      <c r="TMW123" s="0"/>
      <c r="TMX123" s="0"/>
      <c r="TMY123" s="0"/>
      <c r="TMZ123" s="0"/>
      <c r="TNA123" s="0"/>
      <c r="TNB123" s="0"/>
      <c r="TNC123" s="0"/>
      <c r="TND123" s="0"/>
      <c r="TNE123" s="0"/>
      <c r="TNF123" s="0"/>
      <c r="TNG123" s="0"/>
      <c r="TNH123" s="0"/>
      <c r="TNI123" s="0"/>
      <c r="TNJ123" s="0"/>
      <c r="TNK123" s="0"/>
      <c r="TNL123" s="0"/>
      <c r="TNM123" s="0"/>
      <c r="TNN123" s="0"/>
      <c r="TNO123" s="0"/>
      <c r="TNP123" s="0"/>
      <c r="TNQ123" s="0"/>
      <c r="TNR123" s="0"/>
      <c r="TNS123" s="0"/>
      <c r="TNT123" s="0"/>
      <c r="TNU123" s="0"/>
      <c r="TNV123" s="0"/>
      <c r="TNW123" s="0"/>
      <c r="TNX123" s="0"/>
      <c r="TNY123" s="0"/>
      <c r="TNZ123" s="0"/>
      <c r="TOA123" s="0"/>
      <c r="TOB123" s="0"/>
      <c r="TOC123" s="0"/>
      <c r="TOD123" s="0"/>
      <c r="TOE123" s="0"/>
      <c r="TOF123" s="0"/>
      <c r="TOG123" s="0"/>
      <c r="TOH123" s="0"/>
      <c r="TOI123" s="0"/>
      <c r="TOJ123" s="0"/>
      <c r="TOK123" s="0"/>
      <c r="TOL123" s="0"/>
      <c r="TOM123" s="0"/>
      <c r="TON123" s="0"/>
      <c r="TOO123" s="0"/>
      <c r="TOP123" s="0"/>
      <c r="TOQ123" s="0"/>
      <c r="TOR123" s="0"/>
      <c r="TOS123" s="0"/>
      <c r="TOT123" s="0"/>
      <c r="TOU123" s="0"/>
      <c r="TOV123" s="0"/>
      <c r="TOW123" s="0"/>
      <c r="TOX123" s="0"/>
      <c r="TOY123" s="0"/>
      <c r="TOZ123" s="0"/>
      <c r="TPA123" s="0"/>
      <c r="TPB123" s="0"/>
      <c r="TPC123" s="0"/>
      <c r="TPD123" s="0"/>
      <c r="TPE123" s="0"/>
      <c r="TPF123" s="0"/>
      <c r="TPG123" s="0"/>
      <c r="TPH123" s="0"/>
      <c r="TPI123" s="0"/>
      <c r="TPJ123" s="0"/>
      <c r="TPK123" s="0"/>
      <c r="TPL123" s="0"/>
      <c r="TPM123" s="0"/>
      <c r="TPN123" s="0"/>
      <c r="TPO123" s="0"/>
      <c r="TPP123" s="0"/>
      <c r="TPQ123" s="0"/>
      <c r="TPR123" s="0"/>
      <c r="TPS123" s="0"/>
      <c r="TPT123" s="0"/>
      <c r="TPU123" s="0"/>
      <c r="TPV123" s="0"/>
      <c r="TPW123" s="0"/>
      <c r="TPX123" s="0"/>
      <c r="TPY123" s="0"/>
      <c r="TPZ123" s="0"/>
      <c r="TQA123" s="0"/>
      <c r="TQB123" s="0"/>
      <c r="TQC123" s="0"/>
      <c r="TQD123" s="0"/>
      <c r="TQE123" s="0"/>
      <c r="TQF123" s="0"/>
      <c r="TQG123" s="0"/>
      <c r="TQH123" s="0"/>
      <c r="TQI123" s="0"/>
      <c r="TQJ123" s="0"/>
      <c r="TQK123" s="0"/>
      <c r="TQL123" s="0"/>
      <c r="TQM123" s="0"/>
      <c r="TQN123" s="0"/>
      <c r="TQO123" s="0"/>
      <c r="TQP123" s="0"/>
      <c r="TQQ123" s="0"/>
      <c r="TQR123" s="0"/>
      <c r="TQS123" s="0"/>
      <c r="TQT123" s="0"/>
      <c r="TQU123" s="0"/>
      <c r="TQV123" s="0"/>
      <c r="TQW123" s="0"/>
      <c r="TQX123" s="0"/>
      <c r="TQY123" s="0"/>
      <c r="TQZ123" s="0"/>
      <c r="TRA123" s="0"/>
      <c r="TRB123" s="0"/>
      <c r="TRC123" s="0"/>
      <c r="TRD123" s="0"/>
      <c r="TRE123" s="0"/>
      <c r="TRF123" s="0"/>
      <c r="TRG123" s="0"/>
      <c r="TRH123" s="0"/>
      <c r="TRI123" s="0"/>
      <c r="TRJ123" s="0"/>
      <c r="TRK123" s="0"/>
      <c r="TRL123" s="0"/>
      <c r="TRM123" s="0"/>
      <c r="TRN123" s="0"/>
      <c r="TRO123" s="0"/>
      <c r="TRP123" s="0"/>
      <c r="TRQ123" s="0"/>
      <c r="TRR123" s="0"/>
      <c r="TRS123" s="0"/>
      <c r="TRT123" s="0"/>
      <c r="TRU123" s="0"/>
      <c r="TRV123" s="0"/>
      <c r="TRW123" s="0"/>
      <c r="TRX123" s="0"/>
      <c r="TRY123" s="0"/>
      <c r="TRZ123" s="0"/>
      <c r="TSA123" s="0"/>
      <c r="TSB123" s="0"/>
      <c r="TSC123" s="0"/>
      <c r="TSD123" s="0"/>
      <c r="TSE123" s="0"/>
      <c r="TSF123" s="0"/>
      <c r="TSG123" s="0"/>
      <c r="TSH123" s="0"/>
      <c r="TSI123" s="0"/>
      <c r="TSJ123" s="0"/>
      <c r="TSK123" s="0"/>
      <c r="TSL123" s="0"/>
      <c r="TSM123" s="0"/>
      <c r="TSN123" s="0"/>
      <c r="TSO123" s="0"/>
      <c r="TSP123" s="0"/>
      <c r="TSQ123" s="0"/>
      <c r="TSR123" s="0"/>
      <c r="TSS123" s="0"/>
      <c r="TST123" s="0"/>
      <c r="TSU123" s="0"/>
      <c r="TSV123" s="0"/>
      <c r="TSW123" s="0"/>
      <c r="TSX123" s="0"/>
      <c r="TSY123" s="0"/>
      <c r="TSZ123" s="0"/>
      <c r="TTA123" s="0"/>
      <c r="TTB123" s="0"/>
      <c r="TTC123" s="0"/>
      <c r="TTD123" s="0"/>
      <c r="TTE123" s="0"/>
      <c r="TTF123" s="0"/>
      <c r="TTG123" s="0"/>
      <c r="TTH123" s="0"/>
      <c r="TTI123" s="0"/>
      <c r="TTJ123" s="0"/>
      <c r="TTK123" s="0"/>
      <c r="TTL123" s="0"/>
      <c r="TTM123" s="0"/>
      <c r="TTN123" s="0"/>
      <c r="TTO123" s="0"/>
      <c r="TTP123" s="0"/>
      <c r="TTQ123" s="0"/>
      <c r="TTR123" s="0"/>
      <c r="TTS123" s="0"/>
      <c r="TTT123" s="0"/>
      <c r="TTU123" s="0"/>
      <c r="TTV123" s="0"/>
      <c r="TTW123" s="0"/>
      <c r="TTX123" s="0"/>
      <c r="TTY123" s="0"/>
      <c r="TTZ123" s="0"/>
      <c r="TUA123" s="0"/>
      <c r="TUB123" s="0"/>
      <c r="TUC123" s="0"/>
      <c r="TUD123" s="0"/>
      <c r="TUE123" s="0"/>
      <c r="TUF123" s="0"/>
      <c r="TUG123" s="0"/>
      <c r="TUH123" s="0"/>
      <c r="TUI123" s="0"/>
      <c r="TUJ123" s="0"/>
      <c r="TUK123" s="0"/>
      <c r="TUL123" s="0"/>
      <c r="TUM123" s="0"/>
      <c r="TUN123" s="0"/>
      <c r="TUO123" s="0"/>
      <c r="TUP123" s="0"/>
      <c r="TUQ123" s="0"/>
      <c r="TUR123" s="0"/>
      <c r="TUS123" s="0"/>
      <c r="TUT123" s="0"/>
      <c r="TUU123" s="0"/>
      <c r="TUV123" s="0"/>
      <c r="TUW123" s="0"/>
      <c r="TUX123" s="0"/>
      <c r="TUY123" s="0"/>
      <c r="TUZ123" s="0"/>
      <c r="TVA123" s="0"/>
      <c r="TVB123" s="0"/>
      <c r="TVC123" s="0"/>
      <c r="TVD123" s="0"/>
      <c r="TVE123" s="0"/>
      <c r="TVF123" s="0"/>
      <c r="TVG123" s="0"/>
      <c r="TVH123" s="0"/>
      <c r="TVI123" s="0"/>
      <c r="TVJ123" s="0"/>
      <c r="TVK123" s="0"/>
      <c r="TVL123" s="0"/>
      <c r="TVM123" s="0"/>
      <c r="TVN123" s="0"/>
      <c r="TVO123" s="0"/>
      <c r="TVP123" s="0"/>
      <c r="TVQ123" s="0"/>
      <c r="TVR123" s="0"/>
      <c r="TVS123" s="0"/>
      <c r="TVT123" s="0"/>
      <c r="TVU123" s="0"/>
      <c r="TVV123" s="0"/>
      <c r="TVW123" s="0"/>
      <c r="TVX123" s="0"/>
      <c r="TVY123" s="0"/>
      <c r="TVZ123" s="0"/>
      <c r="TWA123" s="0"/>
      <c r="TWB123" s="0"/>
      <c r="TWC123" s="0"/>
      <c r="TWD123" s="0"/>
      <c r="TWE123" s="0"/>
      <c r="TWF123" s="0"/>
      <c r="TWG123" s="0"/>
      <c r="TWH123" s="0"/>
      <c r="TWI123" s="0"/>
      <c r="TWJ123" s="0"/>
      <c r="TWK123" s="0"/>
      <c r="TWL123" s="0"/>
      <c r="TWM123" s="0"/>
      <c r="TWN123" s="0"/>
      <c r="TWO123" s="0"/>
      <c r="TWP123" s="0"/>
      <c r="TWQ123" s="0"/>
      <c r="TWR123" s="0"/>
      <c r="TWS123" s="0"/>
      <c r="TWT123" s="0"/>
      <c r="TWU123" s="0"/>
      <c r="TWV123" s="0"/>
      <c r="TWW123" s="0"/>
      <c r="TWX123" s="0"/>
      <c r="TWY123" s="0"/>
      <c r="TWZ123" s="0"/>
      <c r="TXA123" s="0"/>
      <c r="TXB123" s="0"/>
      <c r="TXC123" s="0"/>
      <c r="TXD123" s="0"/>
      <c r="TXE123" s="0"/>
      <c r="TXF123" s="0"/>
      <c r="TXG123" s="0"/>
      <c r="TXH123" s="0"/>
      <c r="TXI123" s="0"/>
      <c r="TXJ123" s="0"/>
      <c r="TXK123" s="0"/>
      <c r="TXL123" s="0"/>
      <c r="TXM123" s="0"/>
      <c r="TXN123" s="0"/>
      <c r="TXO123" s="0"/>
      <c r="TXP123" s="0"/>
      <c r="TXQ123" s="0"/>
      <c r="TXR123" s="0"/>
      <c r="TXS123" s="0"/>
      <c r="TXT123" s="0"/>
      <c r="TXU123" s="0"/>
      <c r="TXV123" s="0"/>
      <c r="TXW123" s="0"/>
      <c r="TXX123" s="0"/>
      <c r="TXY123" s="0"/>
      <c r="TXZ123" s="0"/>
      <c r="TYA123" s="0"/>
      <c r="TYB123" s="0"/>
      <c r="TYC123" s="0"/>
      <c r="TYD123" s="0"/>
      <c r="TYE123" s="0"/>
      <c r="TYF123" s="0"/>
      <c r="TYG123" s="0"/>
      <c r="TYH123" s="0"/>
      <c r="TYI123" s="0"/>
      <c r="TYJ123" s="0"/>
      <c r="TYK123" s="0"/>
      <c r="TYL123" s="0"/>
      <c r="TYM123" s="0"/>
      <c r="TYN123" s="0"/>
      <c r="TYO123" s="0"/>
      <c r="TYP123" s="0"/>
      <c r="TYQ123" s="0"/>
      <c r="TYR123" s="0"/>
      <c r="TYS123" s="0"/>
      <c r="TYT123" s="0"/>
      <c r="TYU123" s="0"/>
      <c r="TYV123" s="0"/>
      <c r="TYW123" s="0"/>
      <c r="TYX123" s="0"/>
      <c r="TYY123" s="0"/>
      <c r="TYZ123" s="0"/>
      <c r="TZA123" s="0"/>
      <c r="TZB123" s="0"/>
      <c r="TZC123" s="0"/>
      <c r="TZD123" s="0"/>
      <c r="TZE123" s="0"/>
      <c r="TZF123" s="0"/>
      <c r="TZG123" s="0"/>
      <c r="TZH123" s="0"/>
      <c r="TZI123" s="0"/>
      <c r="TZJ123" s="0"/>
      <c r="TZK123" s="0"/>
      <c r="TZL123" s="0"/>
      <c r="TZM123" s="0"/>
      <c r="TZN123" s="0"/>
      <c r="TZO123" s="0"/>
      <c r="TZP123" s="0"/>
      <c r="TZQ123" s="0"/>
      <c r="TZR123" s="0"/>
      <c r="TZS123" s="0"/>
      <c r="TZT123" s="0"/>
      <c r="TZU123" s="0"/>
      <c r="TZV123" s="0"/>
      <c r="TZW123" s="0"/>
      <c r="TZX123" s="0"/>
      <c r="TZY123" s="0"/>
      <c r="TZZ123" s="0"/>
      <c r="UAA123" s="0"/>
      <c r="UAB123" s="0"/>
      <c r="UAC123" s="0"/>
      <c r="UAD123" s="0"/>
      <c r="UAE123" s="0"/>
      <c r="UAF123" s="0"/>
      <c r="UAG123" s="0"/>
      <c r="UAH123" s="0"/>
      <c r="UAI123" s="0"/>
      <c r="UAJ123" s="0"/>
      <c r="UAK123" s="0"/>
      <c r="UAL123" s="0"/>
      <c r="UAM123" s="0"/>
      <c r="UAN123" s="0"/>
      <c r="UAO123" s="0"/>
      <c r="UAP123" s="0"/>
      <c r="UAQ123" s="0"/>
      <c r="UAR123" s="0"/>
      <c r="UAS123" s="0"/>
      <c r="UAT123" s="0"/>
      <c r="UAU123" s="0"/>
      <c r="UAV123" s="0"/>
      <c r="UAW123" s="0"/>
      <c r="UAX123" s="0"/>
      <c r="UAY123" s="0"/>
      <c r="UAZ123" s="0"/>
      <c r="UBA123" s="0"/>
      <c r="UBB123" s="0"/>
      <c r="UBC123" s="0"/>
      <c r="UBD123" s="0"/>
      <c r="UBE123" s="0"/>
      <c r="UBF123" s="0"/>
      <c r="UBG123" s="0"/>
      <c r="UBH123" s="0"/>
      <c r="UBI123" s="0"/>
      <c r="UBJ123" s="0"/>
      <c r="UBK123" s="0"/>
      <c r="UBL123" s="0"/>
      <c r="UBM123" s="0"/>
      <c r="UBN123" s="0"/>
      <c r="UBO123" s="0"/>
      <c r="UBP123" s="0"/>
      <c r="UBQ123" s="0"/>
      <c r="UBR123" s="0"/>
      <c r="UBS123" s="0"/>
      <c r="UBT123" s="0"/>
      <c r="UBU123" s="0"/>
      <c r="UBV123" s="0"/>
      <c r="UBW123" s="0"/>
      <c r="UBX123" s="0"/>
      <c r="UBY123" s="0"/>
      <c r="UBZ123" s="0"/>
      <c r="UCA123" s="0"/>
      <c r="UCB123" s="0"/>
      <c r="UCC123" s="0"/>
      <c r="UCD123" s="0"/>
      <c r="UCE123" s="0"/>
      <c r="UCF123" s="0"/>
      <c r="UCG123" s="0"/>
      <c r="UCH123" s="0"/>
      <c r="UCI123" s="0"/>
      <c r="UCJ123" s="0"/>
      <c r="UCK123" s="0"/>
      <c r="UCL123" s="0"/>
      <c r="UCM123" s="0"/>
      <c r="UCN123" s="0"/>
      <c r="UCO123" s="0"/>
      <c r="UCP123" s="0"/>
      <c r="UCQ123" s="0"/>
      <c r="UCR123" s="0"/>
      <c r="UCS123" s="0"/>
      <c r="UCT123" s="0"/>
      <c r="UCU123" s="0"/>
      <c r="UCV123" s="0"/>
      <c r="UCW123" s="0"/>
      <c r="UCX123" s="0"/>
      <c r="UCY123" s="0"/>
      <c r="UCZ123" s="0"/>
      <c r="UDA123" s="0"/>
      <c r="UDB123" s="0"/>
      <c r="UDC123" s="0"/>
      <c r="UDD123" s="0"/>
      <c r="UDE123" s="0"/>
      <c r="UDF123" s="0"/>
      <c r="UDG123" s="0"/>
      <c r="UDH123" s="0"/>
      <c r="UDI123" s="0"/>
      <c r="UDJ123" s="0"/>
      <c r="UDK123" s="0"/>
      <c r="UDL123" s="0"/>
      <c r="UDM123" s="0"/>
      <c r="UDN123" s="0"/>
      <c r="UDO123" s="0"/>
      <c r="UDP123" s="0"/>
      <c r="UDQ123" s="0"/>
      <c r="UDR123" s="0"/>
      <c r="UDS123" s="0"/>
      <c r="UDT123" s="0"/>
      <c r="UDU123" s="0"/>
      <c r="UDV123" s="0"/>
      <c r="UDW123" s="0"/>
      <c r="UDX123" s="0"/>
      <c r="UDY123" s="0"/>
      <c r="UDZ123" s="0"/>
      <c r="UEA123" s="0"/>
      <c r="UEB123" s="0"/>
      <c r="UEC123" s="0"/>
      <c r="UED123" s="0"/>
      <c r="UEE123" s="0"/>
      <c r="UEF123" s="0"/>
      <c r="UEG123" s="0"/>
      <c r="UEH123" s="0"/>
      <c r="UEI123" s="0"/>
      <c r="UEJ123" s="0"/>
      <c r="UEK123" s="0"/>
      <c r="UEL123" s="0"/>
      <c r="UEM123" s="0"/>
      <c r="UEN123" s="0"/>
      <c r="UEO123" s="0"/>
      <c r="UEP123" s="0"/>
      <c r="UEQ123" s="0"/>
      <c r="UER123" s="0"/>
      <c r="UES123" s="0"/>
      <c r="UET123" s="0"/>
      <c r="UEU123" s="0"/>
      <c r="UEV123" s="0"/>
      <c r="UEW123" s="0"/>
      <c r="UEX123" s="0"/>
      <c r="UEY123" s="0"/>
      <c r="UEZ123" s="0"/>
      <c r="UFA123" s="0"/>
      <c r="UFB123" s="0"/>
      <c r="UFC123" s="0"/>
      <c r="UFD123" s="0"/>
      <c r="UFE123" s="0"/>
      <c r="UFF123" s="0"/>
      <c r="UFG123" s="0"/>
      <c r="UFH123" s="0"/>
      <c r="UFI123" s="0"/>
      <c r="UFJ123" s="0"/>
      <c r="UFK123" s="0"/>
      <c r="UFL123" s="0"/>
      <c r="UFM123" s="0"/>
      <c r="UFN123" s="0"/>
      <c r="UFO123" s="0"/>
      <c r="UFP123" s="0"/>
      <c r="UFQ123" s="0"/>
      <c r="UFR123" s="0"/>
      <c r="UFS123" s="0"/>
      <c r="UFT123" s="0"/>
      <c r="UFU123" s="0"/>
      <c r="UFV123" s="0"/>
      <c r="UFW123" s="0"/>
      <c r="UFX123" s="0"/>
      <c r="UFY123" s="0"/>
      <c r="UFZ123" s="0"/>
      <c r="UGA123" s="0"/>
      <c r="UGB123" s="0"/>
      <c r="UGC123" s="0"/>
      <c r="UGD123" s="0"/>
      <c r="UGE123" s="0"/>
      <c r="UGF123" s="0"/>
      <c r="UGG123" s="0"/>
      <c r="UGH123" s="0"/>
      <c r="UGI123" s="0"/>
      <c r="UGJ123" s="0"/>
      <c r="UGK123" s="0"/>
      <c r="UGL123" s="0"/>
      <c r="UGM123" s="0"/>
      <c r="UGN123" s="0"/>
      <c r="UGO123" s="0"/>
      <c r="UGP123" s="0"/>
      <c r="UGQ123" s="0"/>
      <c r="UGR123" s="0"/>
      <c r="UGS123" s="0"/>
      <c r="UGT123" s="0"/>
      <c r="UGU123" s="0"/>
      <c r="UGV123" s="0"/>
      <c r="UGW123" s="0"/>
      <c r="UGX123" s="0"/>
      <c r="UGY123" s="0"/>
      <c r="UGZ123" s="0"/>
      <c r="UHA123" s="0"/>
      <c r="UHB123" s="0"/>
      <c r="UHC123" s="0"/>
      <c r="UHD123" s="0"/>
      <c r="UHE123" s="0"/>
      <c r="UHF123" s="0"/>
      <c r="UHG123" s="0"/>
      <c r="UHH123" s="0"/>
      <c r="UHI123" s="0"/>
      <c r="UHJ123" s="0"/>
      <c r="UHK123" s="0"/>
      <c r="UHL123" s="0"/>
      <c r="UHM123" s="0"/>
      <c r="UHN123" s="0"/>
      <c r="UHO123" s="0"/>
      <c r="UHP123" s="0"/>
      <c r="UHQ123" s="0"/>
      <c r="UHR123" s="0"/>
      <c r="UHS123" s="0"/>
      <c r="UHT123" s="0"/>
      <c r="UHU123" s="0"/>
      <c r="UHV123" s="0"/>
      <c r="UHW123" s="0"/>
      <c r="UHX123" s="0"/>
      <c r="UHY123" s="0"/>
      <c r="UHZ123" s="0"/>
      <c r="UIA123" s="0"/>
      <c r="UIB123" s="0"/>
      <c r="UIC123" s="0"/>
      <c r="UID123" s="0"/>
      <c r="UIE123" s="0"/>
      <c r="UIF123" s="0"/>
      <c r="UIG123" s="0"/>
      <c r="UIH123" s="0"/>
      <c r="UII123" s="0"/>
      <c r="UIJ123" s="0"/>
      <c r="UIK123" s="0"/>
      <c r="UIL123" s="0"/>
      <c r="UIM123" s="0"/>
      <c r="UIN123" s="0"/>
      <c r="UIO123" s="0"/>
      <c r="UIP123" s="0"/>
      <c r="UIQ123" s="0"/>
      <c r="UIR123" s="0"/>
      <c r="UIS123" s="0"/>
      <c r="UIT123" s="0"/>
      <c r="UIU123" s="0"/>
      <c r="UIV123" s="0"/>
      <c r="UIW123" s="0"/>
      <c r="UIX123" s="0"/>
      <c r="UIY123" s="0"/>
      <c r="UIZ123" s="0"/>
      <c r="UJA123" s="0"/>
      <c r="UJB123" s="0"/>
      <c r="UJC123" s="0"/>
      <c r="UJD123" s="0"/>
      <c r="UJE123" s="0"/>
      <c r="UJF123" s="0"/>
      <c r="UJG123" s="0"/>
      <c r="UJH123" s="0"/>
      <c r="UJI123" s="0"/>
      <c r="UJJ123" s="0"/>
      <c r="UJK123" s="0"/>
      <c r="UJL123" s="0"/>
      <c r="UJM123" s="0"/>
      <c r="UJN123" s="0"/>
      <c r="UJO123" s="0"/>
      <c r="UJP123" s="0"/>
      <c r="UJQ123" s="0"/>
      <c r="UJR123" s="0"/>
      <c r="UJS123" s="0"/>
      <c r="UJT123" s="0"/>
      <c r="UJU123" s="0"/>
      <c r="UJV123" s="0"/>
      <c r="UJW123" s="0"/>
      <c r="UJX123" s="0"/>
      <c r="UJY123" s="0"/>
      <c r="UJZ123" s="0"/>
      <c r="UKA123" s="0"/>
      <c r="UKB123" s="0"/>
      <c r="UKC123" s="0"/>
      <c r="UKD123" s="0"/>
      <c r="UKE123" s="0"/>
      <c r="UKF123" s="0"/>
      <c r="UKG123" s="0"/>
      <c r="UKH123" s="0"/>
      <c r="UKI123" s="0"/>
      <c r="UKJ123" s="0"/>
      <c r="UKK123" s="0"/>
      <c r="UKL123" s="0"/>
      <c r="UKM123" s="0"/>
      <c r="UKN123" s="0"/>
      <c r="UKO123" s="0"/>
      <c r="UKP123" s="0"/>
      <c r="UKQ123" s="0"/>
      <c r="UKR123" s="0"/>
      <c r="UKS123" s="0"/>
      <c r="UKT123" s="0"/>
      <c r="UKU123" s="0"/>
      <c r="UKV123" s="0"/>
      <c r="UKW123" s="0"/>
      <c r="UKX123" s="0"/>
      <c r="UKY123" s="0"/>
      <c r="UKZ123" s="0"/>
      <c r="ULA123" s="0"/>
      <c r="ULB123" s="0"/>
      <c r="ULC123" s="0"/>
      <c r="ULD123" s="0"/>
      <c r="ULE123" s="0"/>
      <c r="ULF123" s="0"/>
      <c r="ULG123" s="0"/>
      <c r="ULH123" s="0"/>
      <c r="ULI123" s="0"/>
      <c r="ULJ123" s="0"/>
      <c r="ULK123" s="0"/>
      <c r="ULL123" s="0"/>
      <c r="ULM123" s="0"/>
      <c r="ULN123" s="0"/>
      <c r="ULO123" s="0"/>
      <c r="ULP123" s="0"/>
      <c r="ULQ123" s="0"/>
      <c r="ULR123" s="0"/>
      <c r="ULS123" s="0"/>
      <c r="ULT123" s="0"/>
      <c r="ULU123" s="0"/>
      <c r="ULV123" s="0"/>
      <c r="ULW123" s="0"/>
      <c r="ULX123" s="0"/>
      <c r="ULY123" s="0"/>
      <c r="ULZ123" s="0"/>
      <c r="UMA123" s="0"/>
      <c r="UMB123" s="0"/>
      <c r="UMC123" s="0"/>
      <c r="UMD123" s="0"/>
      <c r="UME123" s="0"/>
      <c r="UMF123" s="0"/>
      <c r="UMG123" s="0"/>
      <c r="UMH123" s="0"/>
      <c r="UMI123" s="0"/>
      <c r="UMJ123" s="0"/>
      <c r="UMK123" s="0"/>
      <c r="UML123" s="0"/>
      <c r="UMM123" s="0"/>
      <c r="UMN123" s="0"/>
      <c r="UMO123" s="0"/>
      <c r="UMP123" s="0"/>
      <c r="UMQ123" s="0"/>
      <c r="UMR123" s="0"/>
      <c r="UMS123" s="0"/>
      <c r="UMT123" s="0"/>
      <c r="UMU123" s="0"/>
      <c r="UMV123" s="0"/>
      <c r="UMW123" s="0"/>
      <c r="UMX123" s="0"/>
      <c r="UMY123" s="0"/>
      <c r="UMZ123" s="0"/>
      <c r="UNA123" s="0"/>
      <c r="UNB123" s="0"/>
      <c r="UNC123" s="0"/>
      <c r="UND123" s="0"/>
      <c r="UNE123" s="0"/>
      <c r="UNF123" s="0"/>
      <c r="UNG123" s="0"/>
      <c r="UNH123" s="0"/>
      <c r="UNI123" s="0"/>
      <c r="UNJ123" s="0"/>
      <c r="UNK123" s="0"/>
      <c r="UNL123" s="0"/>
      <c r="UNM123" s="0"/>
      <c r="UNN123" s="0"/>
      <c r="UNO123" s="0"/>
      <c r="UNP123" s="0"/>
      <c r="UNQ123" s="0"/>
      <c r="UNR123" s="0"/>
      <c r="UNS123" s="0"/>
      <c r="UNT123" s="0"/>
      <c r="UNU123" s="0"/>
      <c r="UNV123" s="0"/>
      <c r="UNW123" s="0"/>
      <c r="UNX123" s="0"/>
      <c r="UNY123" s="0"/>
      <c r="UNZ123" s="0"/>
      <c r="UOA123" s="0"/>
      <c r="UOB123" s="0"/>
      <c r="UOC123" s="0"/>
      <c r="UOD123" s="0"/>
      <c r="UOE123" s="0"/>
      <c r="UOF123" s="0"/>
      <c r="UOG123" s="0"/>
      <c r="UOH123" s="0"/>
      <c r="UOI123" s="0"/>
      <c r="UOJ123" s="0"/>
      <c r="UOK123" s="0"/>
      <c r="UOL123" s="0"/>
      <c r="UOM123" s="0"/>
      <c r="UON123" s="0"/>
      <c r="UOO123" s="0"/>
      <c r="UOP123" s="0"/>
      <c r="UOQ123" s="0"/>
      <c r="UOR123" s="0"/>
      <c r="UOS123" s="0"/>
      <c r="UOT123" s="0"/>
      <c r="UOU123" s="0"/>
      <c r="UOV123" s="0"/>
      <c r="UOW123" s="0"/>
      <c r="UOX123" s="0"/>
      <c r="UOY123" s="0"/>
      <c r="UOZ123" s="0"/>
      <c r="UPA123" s="0"/>
      <c r="UPB123" s="0"/>
      <c r="UPC123" s="0"/>
      <c r="UPD123" s="0"/>
      <c r="UPE123" s="0"/>
      <c r="UPF123" s="0"/>
      <c r="UPG123" s="0"/>
      <c r="UPH123" s="0"/>
      <c r="UPI123" s="0"/>
      <c r="UPJ123" s="0"/>
      <c r="UPK123" s="0"/>
      <c r="UPL123" s="0"/>
      <c r="UPM123" s="0"/>
      <c r="UPN123" s="0"/>
      <c r="UPO123" s="0"/>
      <c r="UPP123" s="0"/>
      <c r="UPQ123" s="0"/>
      <c r="UPR123" s="0"/>
      <c r="UPS123" s="0"/>
      <c r="UPT123" s="0"/>
      <c r="UPU123" s="0"/>
      <c r="UPV123" s="0"/>
      <c r="UPW123" s="0"/>
      <c r="UPX123" s="0"/>
      <c r="UPY123" s="0"/>
      <c r="UPZ123" s="0"/>
      <c r="UQA123" s="0"/>
      <c r="UQB123" s="0"/>
      <c r="UQC123" s="0"/>
      <c r="UQD123" s="0"/>
      <c r="UQE123" s="0"/>
      <c r="UQF123" s="0"/>
      <c r="UQG123" s="0"/>
      <c r="UQH123" s="0"/>
      <c r="UQI123" s="0"/>
      <c r="UQJ123" s="0"/>
      <c r="UQK123" s="0"/>
      <c r="UQL123" s="0"/>
      <c r="UQM123" s="0"/>
      <c r="UQN123" s="0"/>
      <c r="UQO123" s="0"/>
      <c r="UQP123" s="0"/>
      <c r="UQQ123" s="0"/>
      <c r="UQR123" s="0"/>
      <c r="UQS123" s="0"/>
      <c r="UQT123" s="0"/>
      <c r="UQU123" s="0"/>
      <c r="UQV123" s="0"/>
      <c r="UQW123" s="0"/>
      <c r="UQX123" s="0"/>
      <c r="UQY123" s="0"/>
      <c r="UQZ123" s="0"/>
      <c r="URA123" s="0"/>
      <c r="URB123" s="0"/>
      <c r="URC123" s="0"/>
      <c r="URD123" s="0"/>
      <c r="URE123" s="0"/>
      <c r="URF123" s="0"/>
      <c r="URG123" s="0"/>
      <c r="URH123" s="0"/>
      <c r="URI123" s="0"/>
      <c r="URJ123" s="0"/>
      <c r="URK123" s="0"/>
      <c r="URL123" s="0"/>
      <c r="URM123" s="0"/>
      <c r="URN123" s="0"/>
      <c r="URO123" s="0"/>
      <c r="URP123" s="0"/>
      <c r="URQ123" s="0"/>
      <c r="URR123" s="0"/>
      <c r="URS123" s="0"/>
      <c r="URT123" s="0"/>
      <c r="URU123" s="0"/>
      <c r="URV123" s="0"/>
      <c r="URW123" s="0"/>
      <c r="URX123" s="0"/>
      <c r="URY123" s="0"/>
      <c r="URZ123" s="0"/>
      <c r="USA123" s="0"/>
      <c r="USB123" s="0"/>
      <c r="USC123" s="0"/>
      <c r="USD123" s="0"/>
      <c r="USE123" s="0"/>
      <c r="USF123" s="0"/>
      <c r="USG123" s="0"/>
      <c r="USH123" s="0"/>
      <c r="USI123" s="0"/>
      <c r="USJ123" s="0"/>
      <c r="USK123" s="0"/>
      <c r="USL123" s="0"/>
      <c r="USM123" s="0"/>
      <c r="USN123" s="0"/>
      <c r="USO123" s="0"/>
      <c r="USP123" s="0"/>
      <c r="USQ123" s="0"/>
      <c r="USR123" s="0"/>
      <c r="USS123" s="0"/>
      <c r="UST123" s="0"/>
      <c r="USU123" s="0"/>
      <c r="USV123" s="0"/>
      <c r="USW123" s="0"/>
      <c r="USX123" s="0"/>
      <c r="USY123" s="0"/>
      <c r="USZ123" s="0"/>
      <c r="UTA123" s="0"/>
      <c r="UTB123" s="0"/>
      <c r="UTC123" s="0"/>
      <c r="UTD123" s="0"/>
      <c r="UTE123" s="0"/>
      <c r="UTF123" s="0"/>
      <c r="UTG123" s="0"/>
      <c r="UTH123" s="0"/>
      <c r="UTI123" s="0"/>
      <c r="UTJ123" s="0"/>
      <c r="UTK123" s="0"/>
      <c r="UTL123" s="0"/>
      <c r="UTM123" s="0"/>
      <c r="UTN123" s="0"/>
      <c r="UTO123" s="0"/>
      <c r="UTP123" s="0"/>
      <c r="UTQ123" s="0"/>
      <c r="UTR123" s="0"/>
      <c r="UTS123" s="0"/>
      <c r="UTT123" s="0"/>
      <c r="UTU123" s="0"/>
      <c r="UTV123" s="0"/>
      <c r="UTW123" s="0"/>
      <c r="UTX123" s="0"/>
      <c r="UTY123" s="0"/>
      <c r="UTZ123" s="0"/>
      <c r="UUA123" s="0"/>
      <c r="UUB123" s="0"/>
      <c r="UUC123" s="0"/>
      <c r="UUD123" s="0"/>
      <c r="UUE123" s="0"/>
      <c r="UUF123" s="0"/>
      <c r="UUG123" s="0"/>
      <c r="UUH123" s="0"/>
      <c r="UUI123" s="0"/>
      <c r="UUJ123" s="0"/>
      <c r="UUK123" s="0"/>
      <c r="UUL123" s="0"/>
      <c r="UUM123" s="0"/>
      <c r="UUN123" s="0"/>
      <c r="UUO123" s="0"/>
      <c r="UUP123" s="0"/>
      <c r="UUQ123" s="0"/>
      <c r="UUR123" s="0"/>
      <c r="UUS123" s="0"/>
      <c r="UUT123" s="0"/>
      <c r="UUU123" s="0"/>
      <c r="UUV123" s="0"/>
      <c r="UUW123" s="0"/>
      <c r="UUX123" s="0"/>
      <c r="UUY123" s="0"/>
      <c r="UUZ123" s="0"/>
      <c r="UVA123" s="0"/>
      <c r="UVB123" s="0"/>
      <c r="UVC123" s="0"/>
      <c r="UVD123" s="0"/>
      <c r="UVE123" s="0"/>
      <c r="UVF123" s="0"/>
      <c r="UVG123" s="0"/>
      <c r="UVH123" s="0"/>
      <c r="UVI123" s="0"/>
      <c r="UVJ123" s="0"/>
      <c r="UVK123" s="0"/>
      <c r="UVL123" s="0"/>
      <c r="UVM123" s="0"/>
      <c r="UVN123" s="0"/>
      <c r="UVO123" s="0"/>
      <c r="UVP123" s="0"/>
      <c r="UVQ123" s="0"/>
      <c r="UVR123" s="0"/>
      <c r="UVS123" s="0"/>
      <c r="UVT123" s="0"/>
      <c r="UVU123" s="0"/>
      <c r="UVV123" s="0"/>
      <c r="UVW123" s="0"/>
      <c r="UVX123" s="0"/>
      <c r="UVY123" s="0"/>
      <c r="UVZ123" s="0"/>
      <c r="UWA123" s="0"/>
      <c r="UWB123" s="0"/>
      <c r="UWC123" s="0"/>
      <c r="UWD123" s="0"/>
      <c r="UWE123" s="0"/>
      <c r="UWF123" s="0"/>
      <c r="UWG123" s="0"/>
      <c r="UWH123" s="0"/>
      <c r="UWI123" s="0"/>
      <c r="UWJ123" s="0"/>
      <c r="UWK123" s="0"/>
      <c r="UWL123" s="0"/>
      <c r="UWM123" s="0"/>
      <c r="UWN123" s="0"/>
      <c r="UWO123" s="0"/>
      <c r="UWP123" s="0"/>
      <c r="UWQ123" s="0"/>
      <c r="UWR123" s="0"/>
      <c r="UWS123" s="0"/>
      <c r="UWT123" s="0"/>
      <c r="UWU123" s="0"/>
      <c r="UWV123" s="0"/>
      <c r="UWW123" s="0"/>
      <c r="UWX123" s="0"/>
      <c r="UWY123" s="0"/>
      <c r="UWZ123" s="0"/>
      <c r="UXA123" s="0"/>
      <c r="UXB123" s="0"/>
      <c r="UXC123" s="0"/>
      <c r="UXD123" s="0"/>
      <c r="UXE123" s="0"/>
      <c r="UXF123" s="0"/>
      <c r="UXG123" s="0"/>
      <c r="UXH123" s="0"/>
      <c r="UXI123" s="0"/>
      <c r="UXJ123" s="0"/>
      <c r="UXK123" s="0"/>
      <c r="UXL123" s="0"/>
      <c r="UXM123" s="0"/>
      <c r="UXN123" s="0"/>
      <c r="UXO123" s="0"/>
      <c r="UXP123" s="0"/>
      <c r="UXQ123" s="0"/>
      <c r="UXR123" s="0"/>
      <c r="UXS123" s="0"/>
      <c r="UXT123" s="0"/>
      <c r="UXU123" s="0"/>
      <c r="UXV123" s="0"/>
      <c r="UXW123" s="0"/>
      <c r="UXX123" s="0"/>
      <c r="UXY123" s="0"/>
      <c r="UXZ123" s="0"/>
      <c r="UYA123" s="0"/>
      <c r="UYB123" s="0"/>
      <c r="UYC123" s="0"/>
      <c r="UYD123" s="0"/>
      <c r="UYE123" s="0"/>
      <c r="UYF123" s="0"/>
      <c r="UYG123" s="0"/>
      <c r="UYH123" s="0"/>
      <c r="UYI123" s="0"/>
      <c r="UYJ123" s="0"/>
      <c r="UYK123" s="0"/>
      <c r="UYL123" s="0"/>
      <c r="UYM123" s="0"/>
      <c r="UYN123" s="0"/>
      <c r="UYO123" s="0"/>
      <c r="UYP123" s="0"/>
      <c r="UYQ123" s="0"/>
      <c r="UYR123" s="0"/>
      <c r="UYS123" s="0"/>
      <c r="UYT123" s="0"/>
      <c r="UYU123" s="0"/>
      <c r="UYV123" s="0"/>
      <c r="UYW123" s="0"/>
      <c r="UYX123" s="0"/>
      <c r="UYY123" s="0"/>
      <c r="UYZ123" s="0"/>
      <c r="UZA123" s="0"/>
      <c r="UZB123" s="0"/>
      <c r="UZC123" s="0"/>
      <c r="UZD123" s="0"/>
      <c r="UZE123" s="0"/>
      <c r="UZF123" s="0"/>
      <c r="UZG123" s="0"/>
      <c r="UZH123" s="0"/>
      <c r="UZI123" s="0"/>
      <c r="UZJ123" s="0"/>
      <c r="UZK123" s="0"/>
      <c r="UZL123" s="0"/>
      <c r="UZM123" s="0"/>
      <c r="UZN123" s="0"/>
      <c r="UZO123" s="0"/>
      <c r="UZP123" s="0"/>
      <c r="UZQ123" s="0"/>
      <c r="UZR123" s="0"/>
      <c r="UZS123" s="0"/>
      <c r="UZT123" s="0"/>
      <c r="UZU123" s="0"/>
      <c r="UZV123" s="0"/>
      <c r="UZW123" s="0"/>
      <c r="UZX123" s="0"/>
      <c r="UZY123" s="0"/>
      <c r="UZZ123" s="0"/>
      <c r="VAA123" s="0"/>
      <c r="VAB123" s="0"/>
      <c r="VAC123" s="0"/>
      <c r="VAD123" s="0"/>
      <c r="VAE123" s="0"/>
      <c r="VAF123" s="0"/>
      <c r="VAG123" s="0"/>
      <c r="VAH123" s="0"/>
      <c r="VAI123" s="0"/>
      <c r="VAJ123" s="0"/>
      <c r="VAK123" s="0"/>
      <c r="VAL123" s="0"/>
      <c r="VAM123" s="0"/>
      <c r="VAN123" s="0"/>
      <c r="VAO123" s="0"/>
      <c r="VAP123" s="0"/>
      <c r="VAQ123" s="0"/>
      <c r="VAR123" s="0"/>
      <c r="VAS123" s="0"/>
      <c r="VAT123" s="0"/>
      <c r="VAU123" s="0"/>
      <c r="VAV123" s="0"/>
      <c r="VAW123" s="0"/>
      <c r="VAX123" s="0"/>
      <c r="VAY123" s="0"/>
      <c r="VAZ123" s="0"/>
      <c r="VBA123" s="0"/>
      <c r="VBB123" s="0"/>
      <c r="VBC123" s="0"/>
      <c r="VBD123" s="0"/>
      <c r="VBE123" s="0"/>
      <c r="VBF123" s="0"/>
      <c r="VBG123" s="0"/>
      <c r="VBH123" s="0"/>
      <c r="VBI123" s="0"/>
      <c r="VBJ123" s="0"/>
      <c r="VBK123" s="0"/>
      <c r="VBL123" s="0"/>
      <c r="VBM123" s="0"/>
      <c r="VBN123" s="0"/>
      <c r="VBO123" s="0"/>
      <c r="VBP123" s="0"/>
      <c r="VBQ123" s="0"/>
      <c r="VBR123" s="0"/>
      <c r="VBS123" s="0"/>
      <c r="VBT123" s="0"/>
      <c r="VBU123" s="0"/>
      <c r="VBV123" s="0"/>
      <c r="VBW123" s="0"/>
      <c r="VBX123" s="0"/>
      <c r="VBY123" s="0"/>
      <c r="VBZ123" s="0"/>
      <c r="VCA123" s="0"/>
      <c r="VCB123" s="0"/>
      <c r="VCC123" s="0"/>
      <c r="VCD123" s="0"/>
      <c r="VCE123" s="0"/>
      <c r="VCF123" s="0"/>
      <c r="VCG123" s="0"/>
      <c r="VCH123" s="0"/>
      <c r="VCI123" s="0"/>
      <c r="VCJ123" s="0"/>
      <c r="VCK123" s="0"/>
      <c r="VCL123" s="0"/>
      <c r="VCM123" s="0"/>
      <c r="VCN123" s="0"/>
      <c r="VCO123" s="0"/>
      <c r="VCP123" s="0"/>
      <c r="VCQ123" s="0"/>
      <c r="VCR123" s="0"/>
      <c r="VCS123" s="0"/>
      <c r="VCT123" s="0"/>
      <c r="VCU123" s="0"/>
      <c r="VCV123" s="0"/>
      <c r="VCW123" s="0"/>
      <c r="VCX123" s="0"/>
      <c r="VCY123" s="0"/>
      <c r="VCZ123" s="0"/>
      <c r="VDA123" s="0"/>
      <c r="VDB123" s="0"/>
      <c r="VDC123" s="0"/>
      <c r="VDD123" s="0"/>
      <c r="VDE123" s="0"/>
      <c r="VDF123" s="0"/>
      <c r="VDG123" s="0"/>
      <c r="VDH123" s="0"/>
      <c r="VDI123" s="0"/>
      <c r="VDJ123" s="0"/>
      <c r="VDK123" s="0"/>
      <c r="VDL123" s="0"/>
      <c r="VDM123" s="0"/>
      <c r="VDN123" s="0"/>
      <c r="VDO123" s="0"/>
      <c r="VDP123" s="0"/>
      <c r="VDQ123" s="0"/>
      <c r="VDR123" s="0"/>
      <c r="VDS123" s="0"/>
      <c r="VDT123" s="0"/>
      <c r="VDU123" s="0"/>
      <c r="VDV123" s="0"/>
      <c r="VDW123" s="0"/>
      <c r="VDX123" s="0"/>
      <c r="VDY123" s="0"/>
      <c r="VDZ123" s="0"/>
      <c r="VEA123" s="0"/>
      <c r="VEB123" s="0"/>
      <c r="VEC123" s="0"/>
      <c r="VED123" s="0"/>
      <c r="VEE123" s="0"/>
      <c r="VEF123" s="0"/>
      <c r="VEG123" s="0"/>
      <c r="VEH123" s="0"/>
      <c r="VEI123" s="0"/>
      <c r="VEJ123" s="0"/>
      <c r="VEK123" s="0"/>
      <c r="VEL123" s="0"/>
      <c r="VEM123" s="0"/>
      <c r="VEN123" s="0"/>
      <c r="VEO123" s="0"/>
      <c r="VEP123" s="0"/>
      <c r="VEQ123" s="0"/>
      <c r="VER123" s="0"/>
      <c r="VES123" s="0"/>
      <c r="VET123" s="0"/>
      <c r="VEU123" s="0"/>
      <c r="VEV123" s="0"/>
      <c r="VEW123" s="0"/>
      <c r="VEX123" s="0"/>
      <c r="VEY123" s="0"/>
      <c r="VEZ123" s="0"/>
      <c r="VFA123" s="0"/>
      <c r="VFB123" s="0"/>
      <c r="VFC123" s="0"/>
      <c r="VFD123" s="0"/>
      <c r="VFE123" s="0"/>
      <c r="VFF123" s="0"/>
      <c r="VFG123" s="0"/>
      <c r="VFH123" s="0"/>
      <c r="VFI123" s="0"/>
      <c r="VFJ123" s="0"/>
      <c r="VFK123" s="0"/>
      <c r="VFL123" s="0"/>
      <c r="VFM123" s="0"/>
      <c r="VFN123" s="0"/>
      <c r="VFO123" s="0"/>
      <c r="VFP123" s="0"/>
      <c r="VFQ123" s="0"/>
      <c r="VFR123" s="0"/>
      <c r="VFS123" s="0"/>
      <c r="VFT123" s="0"/>
      <c r="VFU123" s="0"/>
      <c r="VFV123" s="0"/>
      <c r="VFW123" s="0"/>
      <c r="VFX123" s="0"/>
      <c r="VFY123" s="0"/>
      <c r="VFZ123" s="0"/>
      <c r="VGA123" s="0"/>
      <c r="VGB123" s="0"/>
      <c r="VGC123" s="0"/>
      <c r="VGD123" s="0"/>
      <c r="VGE123" s="0"/>
      <c r="VGF123" s="0"/>
      <c r="VGG123" s="0"/>
      <c r="VGH123" s="0"/>
      <c r="VGI123" s="0"/>
      <c r="VGJ123" s="0"/>
      <c r="VGK123" s="0"/>
      <c r="VGL123" s="0"/>
      <c r="VGM123" s="0"/>
      <c r="VGN123" s="0"/>
      <c r="VGO123" s="0"/>
      <c r="VGP123" s="0"/>
      <c r="VGQ123" s="0"/>
      <c r="VGR123" s="0"/>
      <c r="VGS123" s="0"/>
      <c r="VGT123" s="0"/>
      <c r="VGU123" s="0"/>
      <c r="VGV123" s="0"/>
      <c r="VGW123" s="0"/>
      <c r="VGX123" s="0"/>
      <c r="VGY123" s="0"/>
      <c r="VGZ123" s="0"/>
      <c r="VHA123" s="0"/>
      <c r="VHB123" s="0"/>
      <c r="VHC123" s="0"/>
      <c r="VHD123" s="0"/>
      <c r="VHE123" s="0"/>
      <c r="VHF123" s="0"/>
      <c r="VHG123" s="0"/>
      <c r="VHH123" s="0"/>
      <c r="VHI123" s="0"/>
      <c r="VHJ123" s="0"/>
      <c r="VHK123" s="0"/>
      <c r="VHL123" s="0"/>
      <c r="VHM123" s="0"/>
      <c r="VHN123" s="0"/>
      <c r="VHO123" s="0"/>
      <c r="VHP123" s="0"/>
      <c r="VHQ123" s="0"/>
      <c r="VHR123" s="0"/>
      <c r="VHS123" s="0"/>
      <c r="VHT123" s="0"/>
      <c r="VHU123" s="0"/>
      <c r="VHV123" s="0"/>
      <c r="VHW123" s="0"/>
      <c r="VHX123" s="0"/>
      <c r="VHY123" s="0"/>
      <c r="VHZ123" s="0"/>
      <c r="VIA123" s="0"/>
      <c r="VIB123" s="0"/>
      <c r="VIC123" s="0"/>
      <c r="VID123" s="0"/>
      <c r="VIE123" s="0"/>
      <c r="VIF123" s="0"/>
      <c r="VIG123" s="0"/>
      <c r="VIH123" s="0"/>
      <c r="VII123" s="0"/>
      <c r="VIJ123" s="0"/>
      <c r="VIK123" s="0"/>
      <c r="VIL123" s="0"/>
      <c r="VIM123" s="0"/>
      <c r="VIN123" s="0"/>
      <c r="VIO123" s="0"/>
      <c r="VIP123" s="0"/>
      <c r="VIQ123" s="0"/>
      <c r="VIR123" s="0"/>
      <c r="VIS123" s="0"/>
      <c r="VIT123" s="0"/>
      <c r="VIU123" s="0"/>
      <c r="VIV123" s="0"/>
      <c r="VIW123" s="0"/>
      <c r="VIX123" s="0"/>
      <c r="VIY123" s="0"/>
      <c r="VIZ123" s="0"/>
      <c r="VJA123" s="0"/>
      <c r="VJB123" s="0"/>
      <c r="VJC123" s="0"/>
      <c r="VJD123" s="0"/>
      <c r="VJE123" s="0"/>
      <c r="VJF123" s="0"/>
      <c r="VJG123" s="0"/>
      <c r="VJH123" s="0"/>
      <c r="VJI123" s="0"/>
      <c r="VJJ123" s="0"/>
      <c r="VJK123" s="0"/>
      <c r="VJL123" s="0"/>
      <c r="VJM123" s="0"/>
      <c r="VJN123" s="0"/>
      <c r="VJO123" s="0"/>
      <c r="VJP123" s="0"/>
      <c r="VJQ123" s="0"/>
      <c r="VJR123" s="0"/>
      <c r="VJS123" s="0"/>
      <c r="VJT123" s="0"/>
      <c r="VJU123" s="0"/>
      <c r="VJV123" s="0"/>
      <c r="VJW123" s="0"/>
      <c r="VJX123" s="0"/>
      <c r="VJY123" s="0"/>
      <c r="VJZ123" s="0"/>
      <c r="VKA123" s="0"/>
      <c r="VKB123" s="0"/>
      <c r="VKC123" s="0"/>
      <c r="VKD123" s="0"/>
      <c r="VKE123" s="0"/>
      <c r="VKF123" s="0"/>
      <c r="VKG123" s="0"/>
      <c r="VKH123" s="0"/>
      <c r="VKI123" s="0"/>
      <c r="VKJ123" s="0"/>
      <c r="VKK123" s="0"/>
      <c r="VKL123" s="0"/>
      <c r="VKM123" s="0"/>
      <c r="VKN123" s="0"/>
      <c r="VKO123" s="0"/>
      <c r="VKP123" s="0"/>
      <c r="VKQ123" s="0"/>
      <c r="VKR123" s="0"/>
      <c r="VKS123" s="0"/>
      <c r="VKT123" s="0"/>
      <c r="VKU123" s="0"/>
      <c r="VKV123" s="0"/>
      <c r="VKW123" s="0"/>
      <c r="VKX123" s="0"/>
      <c r="VKY123" s="0"/>
      <c r="VKZ123" s="0"/>
      <c r="VLA123" s="0"/>
      <c r="VLB123" s="0"/>
      <c r="VLC123" s="0"/>
      <c r="VLD123" s="0"/>
      <c r="VLE123" s="0"/>
      <c r="VLF123" s="0"/>
      <c r="VLG123" s="0"/>
      <c r="VLH123" s="0"/>
      <c r="VLI123" s="0"/>
      <c r="VLJ123" s="0"/>
      <c r="VLK123" s="0"/>
      <c r="VLL123" s="0"/>
      <c r="VLM123" s="0"/>
      <c r="VLN123" s="0"/>
      <c r="VLO123" s="0"/>
      <c r="VLP123" s="0"/>
      <c r="VLQ123" s="0"/>
      <c r="VLR123" s="0"/>
      <c r="VLS123" s="0"/>
      <c r="VLT123" s="0"/>
      <c r="VLU123" s="0"/>
      <c r="VLV123" s="0"/>
      <c r="VLW123" s="0"/>
      <c r="VLX123" s="0"/>
      <c r="VLY123" s="0"/>
      <c r="VLZ123" s="0"/>
      <c r="VMA123" s="0"/>
      <c r="VMB123" s="0"/>
      <c r="VMC123" s="0"/>
      <c r="VMD123" s="0"/>
      <c r="VME123" s="0"/>
      <c r="VMF123" s="0"/>
      <c r="VMG123" s="0"/>
      <c r="VMH123" s="0"/>
      <c r="VMI123" s="0"/>
      <c r="VMJ123" s="0"/>
      <c r="VMK123" s="0"/>
      <c r="VML123" s="0"/>
      <c r="VMM123" s="0"/>
      <c r="VMN123" s="0"/>
      <c r="VMO123" s="0"/>
      <c r="VMP123" s="0"/>
      <c r="VMQ123" s="0"/>
      <c r="VMR123" s="0"/>
      <c r="VMS123" s="0"/>
      <c r="VMT123" s="0"/>
      <c r="VMU123" s="0"/>
      <c r="VMV123" s="0"/>
      <c r="VMW123" s="0"/>
      <c r="VMX123" s="0"/>
      <c r="VMY123" s="0"/>
      <c r="VMZ123" s="0"/>
      <c r="VNA123" s="0"/>
      <c r="VNB123" s="0"/>
      <c r="VNC123" s="0"/>
      <c r="VND123" s="0"/>
      <c r="VNE123" s="0"/>
      <c r="VNF123" s="0"/>
      <c r="VNG123" s="0"/>
      <c r="VNH123" s="0"/>
      <c r="VNI123" s="0"/>
      <c r="VNJ123" s="0"/>
      <c r="VNK123" s="0"/>
      <c r="VNL123" s="0"/>
      <c r="VNM123" s="0"/>
      <c r="VNN123" s="0"/>
      <c r="VNO123" s="0"/>
      <c r="VNP123" s="0"/>
      <c r="VNQ123" s="0"/>
      <c r="VNR123" s="0"/>
      <c r="VNS123" s="0"/>
      <c r="VNT123" s="0"/>
      <c r="VNU123" s="0"/>
      <c r="VNV123" s="0"/>
      <c r="VNW123" s="0"/>
      <c r="VNX123" s="0"/>
      <c r="VNY123" s="0"/>
      <c r="VNZ123" s="0"/>
      <c r="VOA123" s="0"/>
      <c r="VOB123" s="0"/>
      <c r="VOC123" s="0"/>
      <c r="VOD123" s="0"/>
      <c r="VOE123" s="0"/>
      <c r="VOF123" s="0"/>
      <c r="VOG123" s="0"/>
      <c r="VOH123" s="0"/>
      <c r="VOI123" s="0"/>
      <c r="VOJ123" s="0"/>
      <c r="VOK123" s="0"/>
      <c r="VOL123" s="0"/>
      <c r="VOM123" s="0"/>
      <c r="VON123" s="0"/>
      <c r="VOO123" s="0"/>
      <c r="VOP123" s="0"/>
      <c r="VOQ123" s="0"/>
      <c r="VOR123" s="0"/>
      <c r="VOS123" s="0"/>
      <c r="VOT123" s="0"/>
      <c r="VOU123" s="0"/>
      <c r="VOV123" s="0"/>
      <c r="VOW123" s="0"/>
      <c r="VOX123" s="0"/>
      <c r="VOY123" s="0"/>
      <c r="VOZ123" s="0"/>
      <c r="VPA123" s="0"/>
      <c r="VPB123" s="0"/>
      <c r="VPC123" s="0"/>
      <c r="VPD123" s="0"/>
      <c r="VPE123" s="0"/>
      <c r="VPF123" s="0"/>
      <c r="VPG123" s="0"/>
      <c r="VPH123" s="0"/>
      <c r="VPI123" s="0"/>
      <c r="VPJ123" s="0"/>
      <c r="VPK123" s="0"/>
      <c r="VPL123" s="0"/>
      <c r="VPM123" s="0"/>
      <c r="VPN123" s="0"/>
      <c r="VPO123" s="0"/>
      <c r="VPP123" s="0"/>
      <c r="VPQ123" s="0"/>
      <c r="VPR123" s="0"/>
      <c r="VPS123" s="0"/>
      <c r="VPT123" s="0"/>
      <c r="VPU123" s="0"/>
      <c r="VPV123" s="0"/>
      <c r="VPW123" s="0"/>
      <c r="VPX123" s="0"/>
      <c r="VPY123" s="0"/>
      <c r="VPZ123" s="0"/>
      <c r="VQA123" s="0"/>
      <c r="VQB123" s="0"/>
      <c r="VQC123" s="0"/>
      <c r="VQD123" s="0"/>
      <c r="VQE123" s="0"/>
      <c r="VQF123" s="0"/>
      <c r="VQG123" s="0"/>
      <c r="VQH123" s="0"/>
      <c r="VQI123" s="0"/>
      <c r="VQJ123" s="0"/>
      <c r="VQK123" s="0"/>
      <c r="VQL123" s="0"/>
      <c r="VQM123" s="0"/>
      <c r="VQN123" s="0"/>
      <c r="VQO123" s="0"/>
      <c r="VQP123" s="0"/>
      <c r="VQQ123" s="0"/>
      <c r="VQR123" s="0"/>
      <c r="VQS123" s="0"/>
      <c r="VQT123" s="0"/>
      <c r="VQU123" s="0"/>
      <c r="VQV123" s="0"/>
      <c r="VQW123" s="0"/>
      <c r="VQX123" s="0"/>
      <c r="VQY123" s="0"/>
      <c r="VQZ123" s="0"/>
      <c r="VRA123" s="0"/>
      <c r="VRB123" s="0"/>
      <c r="VRC123" s="0"/>
      <c r="VRD123" s="0"/>
      <c r="VRE123" s="0"/>
      <c r="VRF123" s="0"/>
      <c r="VRG123" s="0"/>
      <c r="VRH123" s="0"/>
      <c r="VRI123" s="0"/>
      <c r="VRJ123" s="0"/>
      <c r="VRK123" s="0"/>
      <c r="VRL123" s="0"/>
      <c r="VRM123" s="0"/>
      <c r="VRN123" s="0"/>
      <c r="VRO123" s="0"/>
      <c r="VRP123" s="0"/>
      <c r="VRQ123" s="0"/>
      <c r="VRR123" s="0"/>
      <c r="VRS123" s="0"/>
      <c r="VRT123" s="0"/>
      <c r="VRU123" s="0"/>
      <c r="VRV123" s="0"/>
      <c r="VRW123" s="0"/>
      <c r="VRX123" s="0"/>
      <c r="VRY123" s="0"/>
      <c r="VRZ123" s="0"/>
      <c r="VSA123" s="0"/>
      <c r="VSB123" s="0"/>
      <c r="VSC123" s="0"/>
      <c r="VSD123" s="0"/>
      <c r="VSE123" s="0"/>
      <c r="VSF123" s="0"/>
      <c r="VSG123" s="0"/>
      <c r="VSH123" s="0"/>
      <c r="VSI123" s="0"/>
      <c r="VSJ123" s="0"/>
      <c r="VSK123" s="0"/>
      <c r="VSL123" s="0"/>
      <c r="VSM123" s="0"/>
      <c r="VSN123" s="0"/>
      <c r="VSO123" s="0"/>
      <c r="VSP123" s="0"/>
      <c r="VSQ123" s="0"/>
      <c r="VSR123" s="0"/>
      <c r="VSS123" s="0"/>
      <c r="VST123" s="0"/>
      <c r="VSU123" s="0"/>
      <c r="VSV123" s="0"/>
      <c r="VSW123" s="0"/>
      <c r="VSX123" s="0"/>
      <c r="VSY123" s="0"/>
      <c r="VSZ123" s="0"/>
      <c r="VTA123" s="0"/>
      <c r="VTB123" s="0"/>
      <c r="VTC123" s="0"/>
      <c r="VTD123" s="0"/>
      <c r="VTE123" s="0"/>
      <c r="VTF123" s="0"/>
      <c r="VTG123" s="0"/>
      <c r="VTH123" s="0"/>
      <c r="VTI123" s="0"/>
      <c r="VTJ123" s="0"/>
      <c r="VTK123" s="0"/>
      <c r="VTL123" s="0"/>
      <c r="VTM123" s="0"/>
      <c r="VTN123" s="0"/>
      <c r="VTO123" s="0"/>
      <c r="VTP123" s="0"/>
      <c r="VTQ123" s="0"/>
      <c r="VTR123" s="0"/>
      <c r="VTS123" s="0"/>
      <c r="VTT123" s="0"/>
      <c r="VTU123" s="0"/>
      <c r="VTV123" s="0"/>
      <c r="VTW123" s="0"/>
      <c r="VTX123" s="0"/>
      <c r="VTY123" s="0"/>
      <c r="VTZ123" s="0"/>
      <c r="VUA123" s="0"/>
      <c r="VUB123" s="0"/>
      <c r="VUC123" s="0"/>
      <c r="VUD123" s="0"/>
      <c r="VUE123" s="0"/>
      <c r="VUF123" s="0"/>
      <c r="VUG123" s="0"/>
      <c r="VUH123" s="0"/>
      <c r="VUI123" s="0"/>
      <c r="VUJ123" s="0"/>
      <c r="VUK123" s="0"/>
      <c r="VUL123" s="0"/>
      <c r="VUM123" s="0"/>
      <c r="VUN123" s="0"/>
      <c r="VUO123" s="0"/>
      <c r="VUP123" s="0"/>
      <c r="VUQ123" s="0"/>
      <c r="VUR123" s="0"/>
      <c r="VUS123" s="0"/>
      <c r="VUT123" s="0"/>
      <c r="VUU123" s="0"/>
      <c r="VUV123" s="0"/>
      <c r="VUW123" s="0"/>
      <c r="VUX123" s="0"/>
      <c r="VUY123" s="0"/>
      <c r="VUZ123" s="0"/>
      <c r="VVA123" s="0"/>
      <c r="VVB123" s="0"/>
      <c r="VVC123" s="0"/>
      <c r="VVD123" s="0"/>
      <c r="VVE123" s="0"/>
      <c r="VVF123" s="0"/>
      <c r="VVG123" s="0"/>
      <c r="VVH123" s="0"/>
      <c r="VVI123" s="0"/>
      <c r="VVJ123" s="0"/>
      <c r="VVK123" s="0"/>
      <c r="VVL123" s="0"/>
      <c r="VVM123" s="0"/>
      <c r="VVN123" s="0"/>
      <c r="VVO123" s="0"/>
      <c r="VVP123" s="0"/>
      <c r="VVQ123" s="0"/>
      <c r="VVR123" s="0"/>
      <c r="VVS123" s="0"/>
      <c r="VVT123" s="0"/>
      <c r="VVU123" s="0"/>
      <c r="VVV123" s="0"/>
      <c r="VVW123" s="0"/>
      <c r="VVX123" s="0"/>
      <c r="VVY123" s="0"/>
      <c r="VVZ123" s="0"/>
      <c r="VWA123" s="0"/>
      <c r="VWB123" s="0"/>
      <c r="VWC123" s="0"/>
      <c r="VWD123" s="0"/>
      <c r="VWE123" s="0"/>
      <c r="VWF123" s="0"/>
      <c r="VWG123" s="0"/>
      <c r="VWH123" s="0"/>
      <c r="VWI123" s="0"/>
      <c r="VWJ123" s="0"/>
      <c r="VWK123" s="0"/>
      <c r="VWL123" s="0"/>
      <c r="VWM123" s="0"/>
      <c r="VWN123" s="0"/>
      <c r="VWO123" s="0"/>
      <c r="VWP123" s="0"/>
      <c r="VWQ123" s="0"/>
      <c r="VWR123" s="0"/>
      <c r="VWS123" s="0"/>
      <c r="VWT123" s="0"/>
      <c r="VWU123" s="0"/>
      <c r="VWV123" s="0"/>
      <c r="VWW123" s="0"/>
      <c r="VWX123" s="0"/>
      <c r="VWY123" s="0"/>
      <c r="VWZ123" s="0"/>
      <c r="VXA123" s="0"/>
      <c r="VXB123" s="0"/>
      <c r="VXC123" s="0"/>
      <c r="VXD123" s="0"/>
      <c r="VXE123" s="0"/>
      <c r="VXF123" s="0"/>
      <c r="VXG123" s="0"/>
      <c r="VXH123" s="0"/>
      <c r="VXI123" s="0"/>
      <c r="VXJ123" s="0"/>
      <c r="VXK123" s="0"/>
      <c r="VXL123" s="0"/>
      <c r="VXM123" s="0"/>
      <c r="VXN123" s="0"/>
      <c r="VXO123" s="0"/>
      <c r="VXP123" s="0"/>
      <c r="VXQ123" s="0"/>
      <c r="VXR123" s="0"/>
      <c r="VXS123" s="0"/>
      <c r="VXT123" s="0"/>
      <c r="VXU123" s="0"/>
      <c r="VXV123" s="0"/>
      <c r="VXW123" s="0"/>
      <c r="VXX123" s="0"/>
      <c r="VXY123" s="0"/>
      <c r="VXZ123" s="0"/>
      <c r="VYA123" s="0"/>
      <c r="VYB123" s="0"/>
      <c r="VYC123" s="0"/>
      <c r="VYD123" s="0"/>
      <c r="VYE123" s="0"/>
      <c r="VYF123" s="0"/>
      <c r="VYG123" s="0"/>
      <c r="VYH123" s="0"/>
      <c r="VYI123" s="0"/>
      <c r="VYJ123" s="0"/>
      <c r="VYK123" s="0"/>
      <c r="VYL123" s="0"/>
      <c r="VYM123" s="0"/>
      <c r="VYN123" s="0"/>
      <c r="VYO123" s="0"/>
      <c r="VYP123" s="0"/>
      <c r="VYQ123" s="0"/>
      <c r="VYR123" s="0"/>
      <c r="VYS123" s="0"/>
      <c r="VYT123" s="0"/>
      <c r="VYU123" s="0"/>
      <c r="VYV123" s="0"/>
      <c r="VYW123" s="0"/>
      <c r="VYX123" s="0"/>
      <c r="VYY123" s="0"/>
      <c r="VYZ123" s="0"/>
      <c r="VZA123" s="0"/>
      <c r="VZB123" s="0"/>
      <c r="VZC123" s="0"/>
      <c r="VZD123" s="0"/>
      <c r="VZE123" s="0"/>
      <c r="VZF123" s="0"/>
      <c r="VZG123" s="0"/>
      <c r="VZH123" s="0"/>
      <c r="VZI123" s="0"/>
      <c r="VZJ123" s="0"/>
      <c r="VZK123" s="0"/>
      <c r="VZL123" s="0"/>
      <c r="VZM123" s="0"/>
      <c r="VZN123" s="0"/>
      <c r="VZO123" s="0"/>
      <c r="VZP123" s="0"/>
      <c r="VZQ123" s="0"/>
      <c r="VZR123" s="0"/>
      <c r="VZS123" s="0"/>
      <c r="VZT123" s="0"/>
      <c r="VZU123" s="0"/>
      <c r="VZV123" s="0"/>
      <c r="VZW123" s="0"/>
      <c r="VZX123" s="0"/>
      <c r="VZY123" s="0"/>
      <c r="VZZ123" s="0"/>
      <c r="WAA123" s="0"/>
      <c r="WAB123" s="0"/>
      <c r="WAC123" s="0"/>
      <c r="WAD123" s="0"/>
      <c r="WAE123" s="0"/>
      <c r="WAF123" s="0"/>
      <c r="WAG123" s="0"/>
      <c r="WAH123" s="0"/>
      <c r="WAI123" s="0"/>
      <c r="WAJ123" s="0"/>
      <c r="WAK123" s="0"/>
      <c r="WAL123" s="0"/>
      <c r="WAM123" s="0"/>
      <c r="WAN123" s="0"/>
      <c r="WAO123" s="0"/>
      <c r="WAP123" s="0"/>
      <c r="WAQ123" s="0"/>
      <c r="WAR123" s="0"/>
      <c r="WAS123" s="0"/>
      <c r="WAT123" s="0"/>
      <c r="WAU123" s="0"/>
      <c r="WAV123" s="0"/>
      <c r="WAW123" s="0"/>
      <c r="WAX123" s="0"/>
      <c r="WAY123" s="0"/>
      <c r="WAZ123" s="0"/>
      <c r="WBA123" s="0"/>
      <c r="WBB123" s="0"/>
      <c r="WBC123" s="0"/>
      <c r="WBD123" s="0"/>
      <c r="WBE123" s="0"/>
      <c r="WBF123" s="0"/>
      <c r="WBG123" s="0"/>
      <c r="WBH123" s="0"/>
      <c r="WBI123" s="0"/>
      <c r="WBJ123" s="0"/>
      <c r="WBK123" s="0"/>
      <c r="WBL123" s="0"/>
      <c r="WBM123" s="0"/>
      <c r="WBN123" s="0"/>
      <c r="WBO123" s="0"/>
      <c r="WBP123" s="0"/>
      <c r="WBQ123" s="0"/>
      <c r="WBR123" s="0"/>
      <c r="WBS123" s="0"/>
      <c r="WBT123" s="0"/>
      <c r="WBU123" s="0"/>
      <c r="WBV123" s="0"/>
      <c r="WBW123" s="0"/>
      <c r="WBX123" s="0"/>
      <c r="WBY123" s="0"/>
      <c r="WBZ123" s="0"/>
      <c r="WCA123" s="0"/>
      <c r="WCB123" s="0"/>
      <c r="WCC123" s="0"/>
      <c r="WCD123" s="0"/>
      <c r="WCE123" s="0"/>
      <c r="WCF123" s="0"/>
      <c r="WCG123" s="0"/>
      <c r="WCH123" s="0"/>
      <c r="WCI123" s="0"/>
      <c r="WCJ123" s="0"/>
      <c r="WCK123" s="0"/>
      <c r="WCL123" s="0"/>
      <c r="WCM123" s="0"/>
      <c r="WCN123" s="0"/>
      <c r="WCO123" s="0"/>
      <c r="WCP123" s="0"/>
      <c r="WCQ123" s="0"/>
      <c r="WCR123" s="0"/>
      <c r="WCS123" s="0"/>
      <c r="WCT123" s="0"/>
      <c r="WCU123" s="0"/>
      <c r="WCV123" s="0"/>
      <c r="WCW123" s="0"/>
      <c r="WCX123" s="0"/>
      <c r="WCY123" s="0"/>
      <c r="WCZ123" s="0"/>
      <c r="WDA123" s="0"/>
      <c r="WDB123" s="0"/>
      <c r="WDC123" s="0"/>
      <c r="WDD123" s="0"/>
      <c r="WDE123" s="0"/>
      <c r="WDF123" s="0"/>
      <c r="WDG123" s="0"/>
      <c r="WDH123" s="0"/>
      <c r="WDI123" s="0"/>
      <c r="WDJ123" s="0"/>
      <c r="WDK123" s="0"/>
      <c r="WDL123" s="0"/>
      <c r="WDM123" s="0"/>
      <c r="WDN123" s="0"/>
      <c r="WDO123" s="0"/>
      <c r="WDP123" s="0"/>
      <c r="WDQ123" s="0"/>
      <c r="WDR123" s="0"/>
      <c r="WDS123" s="0"/>
      <c r="WDT123" s="0"/>
      <c r="WDU123" s="0"/>
      <c r="WDV123" s="0"/>
      <c r="WDW123" s="0"/>
      <c r="WDX123" s="0"/>
      <c r="WDY123" s="0"/>
      <c r="WDZ123" s="0"/>
      <c r="WEA123" s="0"/>
      <c r="WEB123" s="0"/>
      <c r="WEC123" s="0"/>
      <c r="WED123" s="0"/>
      <c r="WEE123" s="0"/>
      <c r="WEF123" s="0"/>
      <c r="WEG123" s="0"/>
      <c r="WEH123" s="0"/>
      <c r="WEI123" s="0"/>
      <c r="WEJ123" s="0"/>
      <c r="WEK123" s="0"/>
      <c r="WEL123" s="0"/>
      <c r="WEM123" s="0"/>
      <c r="WEN123" s="0"/>
      <c r="WEO123" s="0"/>
      <c r="WEP123" s="0"/>
      <c r="WEQ123" s="0"/>
      <c r="WER123" s="0"/>
      <c r="WES123" s="0"/>
      <c r="WET123" s="0"/>
      <c r="WEU123" s="0"/>
      <c r="WEV123" s="0"/>
      <c r="WEW123" s="0"/>
      <c r="WEX123" s="0"/>
      <c r="WEY123" s="0"/>
      <c r="WEZ123" s="0"/>
      <c r="WFA123" s="0"/>
      <c r="WFB123" s="0"/>
      <c r="WFC123" s="0"/>
      <c r="WFD123" s="0"/>
      <c r="WFE123" s="0"/>
      <c r="WFF123" s="0"/>
      <c r="WFG123" s="0"/>
      <c r="WFH123" s="0"/>
      <c r="WFI123" s="0"/>
      <c r="WFJ123" s="0"/>
      <c r="WFK123" s="0"/>
      <c r="WFL123" s="0"/>
      <c r="WFM123" s="0"/>
      <c r="WFN123" s="0"/>
      <c r="WFO123" s="0"/>
      <c r="WFP123" s="0"/>
      <c r="WFQ123" s="0"/>
      <c r="WFR123" s="0"/>
      <c r="WFS123" s="0"/>
      <c r="WFT123" s="0"/>
      <c r="WFU123" s="0"/>
      <c r="WFV123" s="0"/>
      <c r="WFW123" s="0"/>
      <c r="WFX123" s="0"/>
      <c r="WFY123" s="0"/>
      <c r="WFZ123" s="0"/>
      <c r="WGA123" s="0"/>
      <c r="WGB123" s="0"/>
      <c r="WGC123" s="0"/>
      <c r="WGD123" s="0"/>
      <c r="WGE123" s="0"/>
      <c r="WGF123" s="0"/>
      <c r="WGG123" s="0"/>
      <c r="WGH123" s="0"/>
      <c r="WGI123" s="0"/>
      <c r="WGJ123" s="0"/>
      <c r="WGK123" s="0"/>
      <c r="WGL123" s="0"/>
      <c r="WGM123" s="0"/>
      <c r="WGN123" s="0"/>
      <c r="WGO123" s="0"/>
      <c r="WGP123" s="0"/>
      <c r="WGQ123" s="0"/>
      <c r="WGR123" s="0"/>
      <c r="WGS123" s="0"/>
      <c r="WGT123" s="0"/>
      <c r="WGU123" s="0"/>
      <c r="WGV123" s="0"/>
      <c r="WGW123" s="0"/>
      <c r="WGX123" s="0"/>
      <c r="WGY123" s="0"/>
      <c r="WGZ123" s="0"/>
      <c r="WHA123" s="0"/>
      <c r="WHB123" s="0"/>
      <c r="WHC123" s="0"/>
      <c r="WHD123" s="0"/>
      <c r="WHE123" s="0"/>
      <c r="WHF123" s="0"/>
      <c r="WHG123" s="0"/>
      <c r="WHH123" s="0"/>
      <c r="WHI123" s="0"/>
      <c r="WHJ123" s="0"/>
      <c r="WHK123" s="0"/>
      <c r="WHL123" s="0"/>
      <c r="WHM123" s="0"/>
      <c r="WHN123" s="0"/>
      <c r="WHO123" s="0"/>
      <c r="WHP123" s="0"/>
      <c r="WHQ123" s="0"/>
      <c r="WHR123" s="0"/>
      <c r="WHS123" s="0"/>
      <c r="WHT123" s="0"/>
      <c r="WHU123" s="0"/>
      <c r="WHV123" s="0"/>
      <c r="WHW123" s="0"/>
      <c r="WHX123" s="0"/>
      <c r="WHY123" s="0"/>
      <c r="WHZ123" s="0"/>
      <c r="WIA123" s="0"/>
      <c r="WIB123" s="0"/>
      <c r="WIC123" s="0"/>
      <c r="WID123" s="0"/>
      <c r="WIE123" s="0"/>
      <c r="WIF123" s="0"/>
      <c r="WIG123" s="0"/>
      <c r="WIH123" s="0"/>
      <c r="WII123" s="0"/>
      <c r="WIJ123" s="0"/>
      <c r="WIK123" s="0"/>
      <c r="WIL123" s="0"/>
      <c r="WIM123" s="0"/>
      <c r="WIN123" s="0"/>
      <c r="WIO123" s="0"/>
      <c r="WIP123" s="0"/>
      <c r="WIQ123" s="0"/>
      <c r="WIR123" s="0"/>
      <c r="WIS123" s="0"/>
      <c r="WIT123" s="0"/>
      <c r="WIU123" s="0"/>
      <c r="WIV123" s="0"/>
      <c r="WIW123" s="0"/>
      <c r="WIX123" s="0"/>
      <c r="WIY123" s="0"/>
      <c r="WIZ123" s="0"/>
      <c r="WJA123" s="0"/>
      <c r="WJB123" s="0"/>
      <c r="WJC123" s="0"/>
      <c r="WJD123" s="0"/>
      <c r="WJE123" s="0"/>
      <c r="WJF123" s="0"/>
      <c r="WJG123" s="0"/>
      <c r="WJH123" s="0"/>
      <c r="WJI123" s="0"/>
      <c r="WJJ123" s="0"/>
      <c r="WJK123" s="0"/>
      <c r="WJL123" s="0"/>
      <c r="WJM123" s="0"/>
      <c r="WJN123" s="0"/>
      <c r="WJO123" s="0"/>
      <c r="WJP123" s="0"/>
      <c r="WJQ123" s="0"/>
      <c r="WJR123" s="0"/>
      <c r="WJS123" s="0"/>
      <c r="WJT123" s="0"/>
      <c r="WJU123" s="0"/>
      <c r="WJV123" s="0"/>
      <c r="WJW123" s="0"/>
      <c r="WJX123" s="0"/>
      <c r="WJY123" s="0"/>
      <c r="WJZ123" s="0"/>
      <c r="WKA123" s="0"/>
      <c r="WKB123" s="0"/>
      <c r="WKC123" s="0"/>
      <c r="WKD123" s="0"/>
      <c r="WKE123" s="0"/>
      <c r="WKF123" s="0"/>
      <c r="WKG123" s="0"/>
      <c r="WKH123" s="0"/>
      <c r="WKI123" s="0"/>
      <c r="WKJ123" s="0"/>
      <c r="WKK123" s="0"/>
      <c r="WKL123" s="0"/>
      <c r="WKM123" s="0"/>
      <c r="WKN123" s="0"/>
      <c r="WKO123" s="0"/>
      <c r="WKP123" s="0"/>
      <c r="WKQ123" s="0"/>
      <c r="WKR123" s="0"/>
      <c r="WKS123" s="0"/>
      <c r="WKT123" s="0"/>
      <c r="WKU123" s="0"/>
      <c r="WKV123" s="0"/>
      <c r="WKW123" s="0"/>
      <c r="WKX123" s="0"/>
      <c r="WKY123" s="0"/>
      <c r="WKZ123" s="0"/>
      <c r="WLA123" s="0"/>
      <c r="WLB123" s="0"/>
      <c r="WLC123" s="0"/>
      <c r="WLD123" s="0"/>
      <c r="WLE123" s="0"/>
      <c r="WLF123" s="0"/>
      <c r="WLG123" s="0"/>
      <c r="WLH123" s="0"/>
      <c r="WLI123" s="0"/>
      <c r="WLJ123" s="0"/>
      <c r="WLK123" s="0"/>
      <c r="WLL123" s="0"/>
      <c r="WLM123" s="0"/>
      <c r="WLN123" s="0"/>
      <c r="WLO123" s="0"/>
      <c r="WLP123" s="0"/>
      <c r="WLQ123" s="0"/>
      <c r="WLR123" s="0"/>
      <c r="WLS123" s="0"/>
      <c r="WLT123" s="0"/>
      <c r="WLU123" s="0"/>
      <c r="WLV123" s="0"/>
      <c r="WLW123" s="0"/>
      <c r="WLX123" s="0"/>
      <c r="WLY123" s="0"/>
      <c r="WLZ123" s="0"/>
      <c r="WMA123" s="0"/>
      <c r="WMB123" s="0"/>
      <c r="WMC123" s="0"/>
      <c r="WMD123" s="0"/>
      <c r="WME123" s="0"/>
      <c r="WMF123" s="0"/>
      <c r="WMG123" s="0"/>
      <c r="WMH123" s="0"/>
      <c r="WMI123" s="0"/>
      <c r="WMJ123" s="0"/>
      <c r="WMK123" s="0"/>
      <c r="WML123" s="0"/>
      <c r="WMM123" s="0"/>
      <c r="WMN123" s="0"/>
      <c r="WMO123" s="0"/>
      <c r="WMP123" s="0"/>
      <c r="WMQ123" s="0"/>
      <c r="WMR123" s="0"/>
      <c r="WMS123" s="0"/>
      <c r="WMT123" s="0"/>
      <c r="WMU123" s="0"/>
      <c r="WMV123" s="0"/>
      <c r="WMW123" s="0"/>
      <c r="WMX123" s="0"/>
      <c r="WMY123" s="0"/>
      <c r="WMZ123" s="0"/>
      <c r="WNA123" s="0"/>
      <c r="WNB123" s="0"/>
      <c r="WNC123" s="0"/>
      <c r="WND123" s="0"/>
      <c r="WNE123" s="0"/>
      <c r="WNF123" s="0"/>
      <c r="WNG123" s="0"/>
      <c r="WNH123" s="0"/>
      <c r="WNI123" s="0"/>
      <c r="WNJ123" s="0"/>
      <c r="WNK123" s="0"/>
      <c r="WNL123" s="0"/>
      <c r="WNM123" s="0"/>
      <c r="WNN123" s="0"/>
      <c r="WNO123" s="0"/>
      <c r="WNP123" s="0"/>
      <c r="WNQ123" s="0"/>
      <c r="WNR123" s="0"/>
      <c r="WNS123" s="0"/>
      <c r="WNT123" s="0"/>
      <c r="WNU123" s="0"/>
      <c r="WNV123" s="0"/>
      <c r="WNW123" s="0"/>
      <c r="WNX123" s="0"/>
      <c r="WNY123" s="0"/>
      <c r="WNZ123" s="0"/>
      <c r="WOA123" s="0"/>
      <c r="WOB123" s="0"/>
      <c r="WOC123" s="0"/>
      <c r="WOD123" s="0"/>
      <c r="WOE123" s="0"/>
      <c r="WOF123" s="0"/>
      <c r="WOG123" s="0"/>
      <c r="WOH123" s="0"/>
      <c r="WOI123" s="0"/>
      <c r="WOJ123" s="0"/>
      <c r="WOK123" s="0"/>
      <c r="WOL123" s="0"/>
      <c r="WOM123" s="0"/>
      <c r="WON123" s="0"/>
      <c r="WOO123" s="0"/>
      <c r="WOP123" s="0"/>
      <c r="WOQ123" s="0"/>
      <c r="WOR123" s="0"/>
      <c r="WOS123" s="0"/>
      <c r="WOT123" s="0"/>
      <c r="WOU123" s="0"/>
      <c r="WOV123" s="0"/>
      <c r="WOW123" s="0"/>
      <c r="WOX123" s="0"/>
      <c r="WOY123" s="0"/>
      <c r="WOZ123" s="0"/>
      <c r="WPA123" s="0"/>
      <c r="WPB123" s="0"/>
      <c r="WPC123" s="0"/>
      <c r="WPD123" s="0"/>
      <c r="WPE123" s="0"/>
      <c r="WPF123" s="0"/>
      <c r="WPG123" s="0"/>
      <c r="WPH123" s="0"/>
      <c r="WPI123" s="0"/>
      <c r="WPJ123" s="0"/>
      <c r="WPK123" s="0"/>
      <c r="WPL123" s="0"/>
      <c r="WPM123" s="0"/>
      <c r="WPN123" s="0"/>
      <c r="WPO123" s="0"/>
      <c r="WPP123" s="0"/>
      <c r="WPQ123" s="0"/>
      <c r="WPR123" s="0"/>
      <c r="WPS123" s="0"/>
      <c r="WPT123" s="0"/>
      <c r="WPU123" s="0"/>
      <c r="WPV123" s="0"/>
      <c r="WPW123" s="0"/>
      <c r="WPX123" s="0"/>
      <c r="WPY123" s="0"/>
      <c r="WPZ123" s="0"/>
      <c r="WQA123" s="0"/>
      <c r="WQB123" s="0"/>
      <c r="WQC123" s="0"/>
      <c r="WQD123" s="0"/>
      <c r="WQE123" s="0"/>
      <c r="WQF123" s="0"/>
      <c r="WQG123" s="0"/>
      <c r="WQH123" s="0"/>
      <c r="WQI123" s="0"/>
      <c r="WQJ123" s="0"/>
      <c r="WQK123" s="0"/>
      <c r="WQL123" s="0"/>
      <c r="WQM123" s="0"/>
      <c r="WQN123" s="0"/>
      <c r="WQO123" s="0"/>
      <c r="WQP123" s="0"/>
      <c r="WQQ123" s="0"/>
      <c r="WQR123" s="0"/>
      <c r="WQS123" s="0"/>
      <c r="WQT123" s="0"/>
      <c r="WQU123" s="0"/>
      <c r="WQV123" s="0"/>
      <c r="WQW123" s="0"/>
      <c r="WQX123" s="0"/>
      <c r="WQY123" s="0"/>
      <c r="WQZ123" s="0"/>
      <c r="WRA123" s="0"/>
      <c r="WRB123" s="0"/>
      <c r="WRC123" s="0"/>
      <c r="WRD123" s="0"/>
      <c r="WRE123" s="0"/>
      <c r="WRF123" s="0"/>
      <c r="WRG123" s="0"/>
      <c r="WRH123" s="0"/>
      <c r="WRI123" s="0"/>
      <c r="WRJ123" s="0"/>
      <c r="WRK123" s="0"/>
      <c r="WRL123" s="0"/>
      <c r="WRM123" s="0"/>
      <c r="WRN123" s="0"/>
      <c r="WRO123" s="0"/>
      <c r="WRP123" s="0"/>
      <c r="WRQ123" s="0"/>
      <c r="WRR123" s="0"/>
      <c r="WRS123" s="0"/>
      <c r="WRT123" s="0"/>
      <c r="WRU123" s="0"/>
      <c r="WRV123" s="0"/>
      <c r="WRW123" s="0"/>
      <c r="WRX123" s="0"/>
      <c r="WRY123" s="0"/>
      <c r="WRZ123" s="0"/>
      <c r="WSA123" s="0"/>
      <c r="WSB123" s="0"/>
      <c r="WSC123" s="0"/>
      <c r="WSD123" s="0"/>
      <c r="WSE123" s="0"/>
      <c r="WSF123" s="0"/>
      <c r="WSG123" s="0"/>
      <c r="WSH123" s="0"/>
      <c r="WSI123" s="0"/>
      <c r="WSJ123" s="0"/>
      <c r="WSK123" s="0"/>
      <c r="WSL123" s="0"/>
      <c r="WSM123" s="0"/>
      <c r="WSN123" s="0"/>
      <c r="WSO123" s="0"/>
      <c r="WSP123" s="0"/>
      <c r="WSQ123" s="0"/>
      <c r="WSR123" s="0"/>
      <c r="WSS123" s="0"/>
      <c r="WST123" s="0"/>
      <c r="WSU123" s="0"/>
      <c r="WSV123" s="0"/>
      <c r="WSW123" s="0"/>
      <c r="WSX123" s="0"/>
      <c r="WSY123" s="0"/>
      <c r="WSZ123" s="0"/>
      <c r="WTA123" s="0"/>
      <c r="WTB123" s="0"/>
      <c r="WTC123" s="0"/>
      <c r="WTD123" s="0"/>
      <c r="WTE123" s="0"/>
      <c r="WTF123" s="0"/>
      <c r="WTG123" s="0"/>
      <c r="WTH123" s="0"/>
      <c r="WTI123" s="0"/>
      <c r="WTJ123" s="0"/>
      <c r="WTK123" s="0"/>
      <c r="WTL123" s="0"/>
      <c r="WTM123" s="0"/>
      <c r="WTN123" s="0"/>
      <c r="WTO123" s="0"/>
      <c r="WTP123" s="0"/>
      <c r="WTQ123" s="0"/>
      <c r="WTR123" s="0"/>
      <c r="WTS123" s="0"/>
      <c r="WTT123" s="0"/>
      <c r="WTU123" s="0"/>
      <c r="WTV123" s="0"/>
      <c r="WTW123" s="0"/>
      <c r="WTX123" s="0"/>
      <c r="WTY123" s="0"/>
      <c r="WTZ123" s="0"/>
      <c r="WUA123" s="0"/>
      <c r="WUB123" s="0"/>
      <c r="WUC123" s="0"/>
      <c r="WUD123" s="0"/>
      <c r="WUE123" s="0"/>
      <c r="WUF123" s="0"/>
      <c r="WUG123" s="0"/>
      <c r="WUH123" s="0"/>
      <c r="WUI123" s="0"/>
      <c r="WUJ123" s="0"/>
      <c r="WUK123" s="0"/>
      <c r="WUL123" s="0"/>
      <c r="WUM123" s="0"/>
      <c r="WUN123" s="0"/>
      <c r="WUO123" s="0"/>
      <c r="WUP123" s="0"/>
      <c r="WUQ123" s="0"/>
      <c r="WUR123" s="0"/>
      <c r="WUS123" s="0"/>
      <c r="WUT123" s="0"/>
      <c r="WUU123" s="0"/>
      <c r="WUV123" s="0"/>
      <c r="WUW123" s="0"/>
      <c r="WUX123" s="0"/>
      <c r="WUY123" s="0"/>
      <c r="WUZ123" s="0"/>
      <c r="WVA123" s="0"/>
      <c r="WVB123" s="0"/>
      <c r="WVC123" s="0"/>
      <c r="WVD123" s="0"/>
      <c r="WVE123" s="0"/>
      <c r="WVF123" s="0"/>
      <c r="WVG123" s="0"/>
      <c r="WVH123" s="0"/>
      <c r="WVI123" s="0"/>
      <c r="WVJ123" s="0"/>
      <c r="WVK123" s="0"/>
      <c r="WVL123" s="0"/>
      <c r="WVM123" s="0"/>
      <c r="WVN123" s="0"/>
      <c r="WVO123" s="0"/>
      <c r="WVP123" s="0"/>
      <c r="WVQ123" s="0"/>
      <c r="WVR123" s="0"/>
      <c r="WVS123" s="0"/>
      <c r="WVT123" s="0"/>
      <c r="WVU123" s="0"/>
      <c r="WVV123" s="0"/>
      <c r="WVW123" s="0"/>
      <c r="WVX123" s="0"/>
      <c r="WVY123" s="0"/>
      <c r="WVZ123" s="0"/>
      <c r="WWA123" s="0"/>
      <c r="WWB123" s="0"/>
      <c r="WWC123" s="0"/>
      <c r="WWD123" s="0"/>
      <c r="WWE123" s="0"/>
      <c r="WWF123" s="0"/>
      <c r="WWG123" s="0"/>
      <c r="WWH123" s="0"/>
      <c r="WWI123" s="0"/>
      <c r="WWJ123" s="0"/>
      <c r="WWK123" s="0"/>
      <c r="WWL123" s="0"/>
      <c r="WWM123" s="0"/>
      <c r="WWN123" s="0"/>
      <c r="WWO123" s="0"/>
      <c r="WWP123" s="0"/>
      <c r="WWQ123" s="0"/>
      <c r="WWR123" s="0"/>
      <c r="WWS123" s="0"/>
      <c r="WWT123" s="0"/>
      <c r="WWU123" s="0"/>
      <c r="WWV123" s="0"/>
      <c r="WWW123" s="0"/>
      <c r="WWX123" s="0"/>
      <c r="WWY123" s="0"/>
      <c r="WWZ123" s="0"/>
      <c r="WXA123" s="0"/>
      <c r="WXB123" s="0"/>
      <c r="WXC123" s="0"/>
      <c r="WXD123" s="0"/>
      <c r="WXE123" s="0"/>
      <c r="WXF123" s="0"/>
      <c r="WXG123" s="0"/>
      <c r="WXH123" s="0"/>
      <c r="WXI123" s="0"/>
      <c r="WXJ123" s="0"/>
      <c r="WXK123" s="0"/>
      <c r="WXL123" s="0"/>
      <c r="WXM123" s="0"/>
      <c r="WXN123" s="0"/>
      <c r="WXO123" s="0"/>
      <c r="WXP123" s="0"/>
      <c r="WXQ123" s="0"/>
      <c r="WXR123" s="0"/>
      <c r="WXS123" s="0"/>
      <c r="WXT123" s="0"/>
      <c r="WXU123" s="0"/>
      <c r="WXV123" s="0"/>
      <c r="WXW123" s="0"/>
      <c r="WXX123" s="0"/>
      <c r="WXY123" s="0"/>
      <c r="WXZ123" s="0"/>
      <c r="WYA123" s="0"/>
      <c r="WYB123" s="0"/>
      <c r="WYC123" s="0"/>
      <c r="WYD123" s="0"/>
      <c r="WYE123" s="0"/>
      <c r="WYF123" s="0"/>
      <c r="WYG123" s="0"/>
      <c r="WYH123" s="0"/>
      <c r="WYI123" s="0"/>
      <c r="WYJ123" s="0"/>
      <c r="WYK123" s="0"/>
      <c r="WYL123" s="0"/>
      <c r="WYM123" s="0"/>
      <c r="WYN123" s="0"/>
      <c r="WYO123" s="0"/>
      <c r="WYP123" s="0"/>
      <c r="WYQ123" s="0"/>
      <c r="WYR123" s="0"/>
      <c r="WYS123" s="0"/>
      <c r="WYT123" s="0"/>
      <c r="WYU123" s="0"/>
      <c r="WYV123" s="0"/>
      <c r="WYW123" s="0"/>
      <c r="WYX123" s="0"/>
      <c r="WYY123" s="0"/>
      <c r="WYZ123" s="0"/>
      <c r="WZA123" s="0"/>
      <c r="WZB123" s="0"/>
      <c r="WZC123" s="0"/>
      <c r="WZD123" s="0"/>
      <c r="WZE123" s="0"/>
      <c r="WZF123" s="0"/>
      <c r="WZG123" s="0"/>
      <c r="WZH123" s="0"/>
      <c r="WZI123" s="0"/>
      <c r="WZJ123" s="0"/>
      <c r="WZK123" s="0"/>
      <c r="WZL123" s="0"/>
      <c r="WZM123" s="0"/>
      <c r="WZN123" s="0"/>
      <c r="WZO123" s="0"/>
      <c r="WZP123" s="0"/>
      <c r="WZQ123" s="0"/>
      <c r="WZR123" s="0"/>
      <c r="WZS123" s="0"/>
      <c r="WZT123" s="0"/>
      <c r="WZU123" s="0"/>
      <c r="WZV123" s="0"/>
      <c r="WZW123" s="0"/>
      <c r="WZX123" s="0"/>
      <c r="WZY123" s="0"/>
      <c r="WZZ123" s="0"/>
      <c r="XAA123" s="0"/>
      <c r="XAB123" s="0"/>
      <c r="XAC123" s="0"/>
      <c r="XAD123" s="0"/>
      <c r="XAE123" s="0"/>
      <c r="XAF123" s="0"/>
      <c r="XAG123" s="0"/>
      <c r="XAH123" s="0"/>
      <c r="XAI123" s="0"/>
      <c r="XAJ123" s="0"/>
      <c r="XAK123" s="0"/>
      <c r="XAL123" s="0"/>
      <c r="XAM123" s="0"/>
      <c r="XAN123" s="0"/>
      <c r="XAO123" s="0"/>
      <c r="XAP123" s="0"/>
      <c r="XAQ123" s="0"/>
      <c r="XAR123" s="0"/>
      <c r="XAS123" s="0"/>
      <c r="XAT123" s="0"/>
      <c r="XAU123" s="0"/>
      <c r="XAV123" s="0"/>
      <c r="XAW123" s="0"/>
      <c r="XAX123" s="0"/>
      <c r="XAY123" s="0"/>
      <c r="XAZ123" s="0"/>
      <c r="XBA123" s="0"/>
      <c r="XBB123" s="0"/>
      <c r="XBC123" s="0"/>
      <c r="XBD123" s="0"/>
      <c r="XBE123" s="0"/>
      <c r="XBF123" s="0"/>
      <c r="XBG123" s="0"/>
      <c r="XBH123" s="0"/>
      <c r="XBI123" s="0"/>
      <c r="XBJ123" s="0"/>
      <c r="XBK123" s="0"/>
      <c r="XBL123" s="0"/>
      <c r="XBM123" s="0"/>
      <c r="XBN123" s="0"/>
      <c r="XBO123" s="0"/>
      <c r="XBP123" s="0"/>
      <c r="XBQ123" s="0"/>
      <c r="XBR123" s="0"/>
      <c r="XBS123" s="0"/>
      <c r="XBT123" s="0"/>
      <c r="XBU123" s="0"/>
      <c r="XBV123" s="0"/>
      <c r="XBW123" s="0"/>
      <c r="XBX123" s="0"/>
      <c r="XBY123" s="0"/>
      <c r="XBZ123" s="0"/>
      <c r="XCA123" s="0"/>
      <c r="XCB123" s="0"/>
      <c r="XCC123" s="0"/>
      <c r="XCD123" s="0"/>
      <c r="XCE123" s="0"/>
      <c r="XCF123" s="0"/>
      <c r="XCG123" s="0"/>
      <c r="XCH123" s="0"/>
      <c r="XCI123" s="0"/>
      <c r="XCJ123" s="0"/>
      <c r="XCK123" s="0"/>
      <c r="XCL123" s="0"/>
      <c r="XCM123" s="0"/>
      <c r="XCN123" s="0"/>
      <c r="XCO123" s="0"/>
      <c r="XCP123" s="0"/>
      <c r="XCQ123" s="0"/>
      <c r="XCR123" s="0"/>
      <c r="XCS123" s="0"/>
      <c r="XCT123" s="0"/>
      <c r="XCU123" s="0"/>
      <c r="XCV123" s="0"/>
      <c r="XCW123" s="0"/>
      <c r="XCX123" s="0"/>
      <c r="XCY123" s="0"/>
      <c r="XCZ123" s="0"/>
      <c r="XDA123" s="0"/>
      <c r="XDB123" s="0"/>
      <c r="XDC123" s="0"/>
      <c r="XDD123" s="0"/>
      <c r="XDE123" s="0"/>
      <c r="XDF123" s="0"/>
      <c r="XDG123" s="0"/>
      <c r="XDH123" s="0"/>
      <c r="XDI123" s="0"/>
      <c r="XDJ123" s="0"/>
      <c r="XDK123" s="0"/>
      <c r="XDL123" s="0"/>
      <c r="XDM123" s="0"/>
      <c r="XDN123" s="0"/>
      <c r="XDO123" s="0"/>
      <c r="XDP123" s="0"/>
      <c r="XDQ123" s="0"/>
      <c r="XDR123" s="0"/>
      <c r="XDS123" s="0"/>
      <c r="XDT123" s="0"/>
      <c r="XDU123" s="0"/>
      <c r="XDV123" s="0"/>
      <c r="XDW123" s="0"/>
      <c r="XDX123" s="0"/>
      <c r="XDY123" s="0"/>
      <c r="XDZ123" s="0"/>
      <c r="XEA123" s="0"/>
      <c r="XEB123" s="0"/>
      <c r="XEC123" s="0"/>
      <c r="XED123" s="0"/>
      <c r="XEE123" s="0"/>
      <c r="XEF123" s="0"/>
      <c r="XEG123" s="0"/>
      <c r="XEH123" s="0"/>
      <c r="XEI123" s="0"/>
      <c r="XEJ123" s="0"/>
      <c r="XEK123" s="0"/>
      <c r="XEL123" s="0"/>
      <c r="XEM123" s="0"/>
      <c r="XEN123" s="0"/>
      <c r="XEO123" s="0"/>
      <c r="XEP123" s="0"/>
      <c r="XEQ123" s="0"/>
      <c r="XER123" s="0"/>
      <c r="XES123" s="0"/>
      <c r="XET123" s="0"/>
      <c r="XEU123" s="0"/>
      <c r="XEV123" s="0"/>
      <c r="XEW123" s="0"/>
      <c r="XEX123" s="0"/>
      <c r="XEY123" s="0"/>
      <c r="XEZ123" s="0"/>
      <c r="XFA123" s="0"/>
      <c r="XFB123" s="0"/>
      <c r="XFC123" s="0"/>
      <c r="XFD123" s="0"/>
    </row>
    <row r="124" customFormat="false" ht="19.5" hidden="false" customHeight="true" outlineLevel="0" collapsed="false">
      <c r="A124" s="972"/>
      <c r="B124" s="973"/>
      <c r="C124" s="973"/>
      <c r="D124" s="973"/>
      <c r="E124" s="973"/>
      <c r="F124" s="973"/>
      <c r="G124" s="973"/>
      <c r="H124" s="973"/>
      <c r="I124" s="973"/>
      <c r="J124" s="973"/>
      <c r="K124" s="973"/>
      <c r="L124" s="973"/>
      <c r="M124" s="973"/>
      <c r="N124" s="973"/>
      <c r="O124" s="973"/>
      <c r="P124" s="973"/>
      <c r="Q124" s="973"/>
      <c r="R124" s="973"/>
      <c r="S124" s="973"/>
      <c r="T124" s="973"/>
      <c r="U124" s="973"/>
      <c r="V124" s="973"/>
      <c r="W124" s="984"/>
      <c r="Z124" s="0"/>
      <c r="AA124" s="0"/>
      <c r="AB124" s="0"/>
      <c r="AC124" s="0"/>
      <c r="AD124" s="0"/>
      <c r="AE124" s="0"/>
      <c r="AF124" s="0"/>
      <c r="AG124" s="0"/>
      <c r="AH124" s="0"/>
      <c r="AI124" s="0"/>
      <c r="AJ124" s="0"/>
      <c r="AK124" s="0"/>
      <c r="AL124" s="0"/>
      <c r="AM124" s="0"/>
      <c r="AN124" s="0"/>
      <c r="AO124" s="0"/>
      <c r="AP124" s="0"/>
      <c r="AQ124" s="0"/>
      <c r="AR124" s="0"/>
      <c r="AS124" s="0"/>
      <c r="AT124" s="0"/>
      <c r="AU124" s="0"/>
      <c r="AV124" s="0"/>
      <c r="AW124" s="0"/>
      <c r="AX124" s="0"/>
      <c r="AY124" s="0"/>
      <c r="AZ124" s="0"/>
      <c r="BA124" s="0"/>
      <c r="BB124" s="0"/>
      <c r="BC124" s="0"/>
      <c r="BD124" s="0"/>
      <c r="BE124" s="0"/>
      <c r="BF124" s="0"/>
      <c r="BG124" s="0"/>
      <c r="BH124" s="0"/>
      <c r="BI124" s="0"/>
      <c r="BJ124" s="0"/>
      <c r="BK124" s="0"/>
      <c r="BL124" s="0"/>
      <c r="BM124" s="0"/>
      <c r="BN124" s="0"/>
      <c r="BO124" s="0"/>
      <c r="BP124" s="0"/>
      <c r="BQ124" s="0"/>
      <c r="BR124" s="0"/>
      <c r="BS124" s="0"/>
      <c r="BT124" s="0"/>
      <c r="BU124" s="0"/>
      <c r="BV124" s="0"/>
      <c r="BW124" s="0"/>
      <c r="BX124" s="0"/>
      <c r="BY124" s="0"/>
      <c r="BZ124" s="0"/>
      <c r="CA124" s="0"/>
      <c r="CB124" s="0"/>
      <c r="CC124" s="0"/>
      <c r="CD124" s="0"/>
      <c r="CE124" s="0"/>
      <c r="CF124" s="0"/>
      <c r="CG124" s="0"/>
      <c r="CH124" s="0"/>
      <c r="CI124" s="0"/>
      <c r="CJ124" s="0"/>
      <c r="CK124" s="0"/>
      <c r="CL124" s="0"/>
      <c r="CM124" s="0"/>
      <c r="CN124" s="0"/>
      <c r="CO124" s="0"/>
      <c r="CP124" s="0"/>
      <c r="CQ124" s="0"/>
      <c r="CR124" s="0"/>
      <c r="CS124" s="0"/>
      <c r="CT124" s="0"/>
      <c r="CU124" s="0"/>
      <c r="CV124" s="0"/>
      <c r="CW124" s="0"/>
      <c r="CX124" s="0"/>
      <c r="CY124" s="0"/>
      <c r="CZ124" s="0"/>
      <c r="DA124" s="0"/>
      <c r="DB124" s="0"/>
      <c r="DC124" s="0"/>
      <c r="DD124" s="0"/>
      <c r="DE124" s="0"/>
      <c r="DF124" s="0"/>
      <c r="DG124" s="0"/>
      <c r="DH124" s="0"/>
      <c r="DI124" s="0"/>
      <c r="DJ124" s="0"/>
      <c r="DK124" s="0"/>
      <c r="DL124" s="0"/>
      <c r="DM124" s="0"/>
      <c r="DN124" s="0"/>
      <c r="DO124" s="0"/>
      <c r="DP124" s="0"/>
      <c r="DQ124" s="0"/>
      <c r="DR124" s="0"/>
      <c r="DS124" s="0"/>
      <c r="DT124" s="0"/>
      <c r="DU124" s="0"/>
      <c r="DV124" s="0"/>
      <c r="DW124" s="0"/>
      <c r="DX124" s="0"/>
      <c r="DY124" s="0"/>
      <c r="DZ124" s="0"/>
      <c r="EA124" s="0"/>
      <c r="EB124" s="0"/>
      <c r="EC124" s="0"/>
      <c r="ED124" s="0"/>
      <c r="EE124" s="0"/>
      <c r="EF124" s="0"/>
      <c r="EG124" s="0"/>
      <c r="EH124" s="0"/>
      <c r="EI124" s="0"/>
      <c r="EJ124" s="0"/>
      <c r="EK124" s="0"/>
      <c r="EL124" s="0"/>
      <c r="EM124" s="0"/>
      <c r="EN124" s="0"/>
      <c r="EO124" s="0"/>
      <c r="EP124" s="0"/>
      <c r="EQ124" s="0"/>
      <c r="ER124" s="0"/>
      <c r="ES124" s="0"/>
      <c r="ET124" s="0"/>
      <c r="EU124" s="0"/>
      <c r="EV124" s="0"/>
      <c r="EW124" s="0"/>
      <c r="EX124" s="0"/>
      <c r="EY124" s="0"/>
      <c r="EZ124" s="0"/>
      <c r="FA124" s="0"/>
      <c r="FB124" s="0"/>
      <c r="FC124" s="0"/>
      <c r="FD124" s="0"/>
      <c r="FE124" s="0"/>
      <c r="FF124" s="0"/>
      <c r="FG124" s="0"/>
      <c r="FH124" s="0"/>
      <c r="FI124" s="0"/>
      <c r="FJ124" s="0"/>
      <c r="FK124" s="0"/>
      <c r="FL124" s="0"/>
      <c r="FM124" s="0"/>
      <c r="FN124" s="0"/>
      <c r="FO124" s="0"/>
      <c r="FP124" s="0"/>
      <c r="FQ124" s="0"/>
      <c r="FR124" s="0"/>
      <c r="FS124" s="0"/>
      <c r="HX124" s="0"/>
      <c r="HY124" s="0"/>
      <c r="HZ124" s="0"/>
      <c r="IA124" s="0"/>
      <c r="IB124" s="0"/>
      <c r="IC124" s="0"/>
      <c r="ID124" s="0"/>
      <c r="IE124" s="0"/>
      <c r="IF124" s="0"/>
      <c r="IG124" s="0"/>
      <c r="IH124" s="0"/>
      <c r="II124" s="0"/>
      <c r="IJ124" s="0"/>
      <c r="IK124" s="0"/>
      <c r="IL124" s="0"/>
      <c r="IM124" s="0"/>
      <c r="IN124" s="0"/>
      <c r="IO124" s="0"/>
      <c r="IP124" s="0"/>
      <c r="IQ124" s="0"/>
      <c r="IR124" s="0"/>
      <c r="IS124" s="0"/>
      <c r="IT124" s="0"/>
      <c r="IU124" s="0"/>
      <c r="IV124" s="0"/>
      <c r="IW124" s="0"/>
      <c r="IX124" s="0"/>
      <c r="IY124" s="0"/>
      <c r="IZ124" s="0"/>
      <c r="JA124" s="0"/>
      <c r="JB124" s="0"/>
      <c r="JC124" s="0"/>
      <c r="JD124" s="0"/>
      <c r="JE124" s="0"/>
      <c r="JF124" s="0"/>
      <c r="JG124" s="0"/>
      <c r="JH124" s="0"/>
      <c r="JI124" s="0"/>
      <c r="JJ124" s="0"/>
      <c r="JK124" s="0"/>
      <c r="JL124" s="0"/>
      <c r="JM124" s="0"/>
      <c r="JN124" s="0"/>
      <c r="JO124" s="0"/>
      <c r="JP124" s="0"/>
      <c r="JQ124" s="0"/>
      <c r="JR124" s="0"/>
      <c r="JS124" s="0"/>
      <c r="JT124" s="0"/>
      <c r="JU124" s="0"/>
      <c r="JV124" s="0"/>
      <c r="JW124" s="0"/>
      <c r="JX124" s="0"/>
      <c r="JY124" s="0"/>
      <c r="JZ124" s="0"/>
      <c r="KA124" s="0"/>
      <c r="KB124" s="0"/>
      <c r="KC124" s="0"/>
      <c r="KD124" s="0"/>
      <c r="KE124" s="0"/>
      <c r="KF124" s="0"/>
      <c r="KG124" s="0"/>
      <c r="KH124" s="0"/>
      <c r="KI124" s="0"/>
      <c r="KJ124" s="0"/>
      <c r="KK124" s="0"/>
      <c r="KL124" s="0"/>
      <c r="KM124" s="0"/>
      <c r="KN124" s="0"/>
      <c r="KO124" s="0"/>
      <c r="KP124" s="0"/>
      <c r="KQ124" s="0"/>
      <c r="KR124" s="0"/>
      <c r="KS124" s="0"/>
      <c r="KT124" s="0"/>
      <c r="KU124" s="0"/>
      <c r="KV124" s="0"/>
      <c r="KW124" s="0"/>
      <c r="KX124" s="0"/>
      <c r="KY124" s="0"/>
      <c r="KZ124" s="0"/>
      <c r="LA124" s="0"/>
      <c r="LB124" s="0"/>
      <c r="LC124" s="0"/>
      <c r="LD124" s="0"/>
      <c r="LE124" s="0"/>
      <c r="LF124" s="0"/>
      <c r="LG124" s="0"/>
      <c r="LH124" s="0"/>
      <c r="LI124" s="0"/>
      <c r="LJ124" s="0"/>
      <c r="LK124" s="0"/>
      <c r="LL124" s="0"/>
      <c r="LM124" s="0"/>
      <c r="LN124" s="0"/>
      <c r="LO124" s="0"/>
      <c r="LP124" s="0"/>
      <c r="LQ124" s="0"/>
      <c r="LR124" s="0"/>
      <c r="LS124" s="0"/>
      <c r="LT124" s="0"/>
      <c r="LU124" s="0"/>
      <c r="LV124" s="0"/>
      <c r="LW124" s="0"/>
      <c r="LX124" s="0"/>
      <c r="LY124" s="0"/>
      <c r="LZ124" s="0"/>
      <c r="MA124" s="0"/>
      <c r="MB124" s="0"/>
      <c r="MC124" s="0"/>
      <c r="MD124" s="0"/>
      <c r="ME124" s="0"/>
      <c r="MF124" s="0"/>
      <c r="MG124" s="0"/>
      <c r="MH124" s="0"/>
      <c r="MI124" s="0"/>
      <c r="MJ124" s="0"/>
      <c r="MK124" s="0"/>
      <c r="ML124" s="0"/>
      <c r="MM124" s="0"/>
      <c r="MN124" s="0"/>
      <c r="MO124" s="0"/>
      <c r="MP124" s="0"/>
      <c r="MQ124" s="0"/>
      <c r="MR124" s="0"/>
      <c r="MS124" s="0"/>
      <c r="MT124" s="0"/>
      <c r="MU124" s="0"/>
      <c r="MV124" s="0"/>
      <c r="MW124" s="0"/>
      <c r="MX124" s="0"/>
      <c r="MY124" s="0"/>
      <c r="MZ124" s="0"/>
      <c r="NA124" s="0"/>
      <c r="NB124" s="0"/>
      <c r="NC124" s="0"/>
      <c r="ND124" s="0"/>
      <c r="NE124" s="0"/>
      <c r="NF124" s="0"/>
      <c r="NG124" s="0"/>
      <c r="NH124" s="0"/>
      <c r="NI124" s="0"/>
      <c r="NJ124" s="0"/>
      <c r="NK124" s="0"/>
      <c r="NL124" s="0"/>
      <c r="NM124" s="0"/>
      <c r="NN124" s="0"/>
      <c r="NO124" s="0"/>
      <c r="NP124" s="0"/>
      <c r="NQ124" s="0"/>
      <c r="NR124" s="0"/>
      <c r="NS124" s="0"/>
      <c r="NT124" s="0"/>
      <c r="NU124" s="0"/>
      <c r="NV124" s="0"/>
      <c r="NW124" s="0"/>
      <c r="NX124" s="0"/>
      <c r="NY124" s="0"/>
      <c r="NZ124" s="0"/>
      <c r="OA124" s="0"/>
      <c r="OB124" s="0"/>
      <c r="OC124" s="0"/>
      <c r="OD124" s="0"/>
      <c r="OE124" s="0"/>
      <c r="OF124" s="0"/>
      <c r="OG124" s="0"/>
      <c r="OH124" s="0"/>
      <c r="OI124" s="0"/>
      <c r="OJ124" s="0"/>
      <c r="OK124" s="0"/>
      <c r="OL124" s="0"/>
      <c r="OM124" s="0"/>
      <c r="ON124" s="0"/>
      <c r="OO124" s="0"/>
      <c r="OP124" s="0"/>
      <c r="OQ124" s="0"/>
      <c r="OR124" s="0"/>
      <c r="OS124" s="0"/>
      <c r="OT124" s="0"/>
      <c r="OU124" s="0"/>
      <c r="OV124" s="0"/>
      <c r="OW124" s="0"/>
      <c r="OX124" s="0"/>
      <c r="OY124" s="0"/>
      <c r="OZ124" s="0"/>
      <c r="PA124" s="0"/>
      <c r="PB124" s="0"/>
      <c r="PC124" s="0"/>
      <c r="PD124" s="0"/>
      <c r="PE124" s="0"/>
      <c r="PF124" s="0"/>
      <c r="PG124" s="0"/>
      <c r="PH124" s="0"/>
      <c r="PI124" s="0"/>
      <c r="PJ124" s="0"/>
      <c r="PK124" s="0"/>
      <c r="PL124" s="0"/>
      <c r="PM124" s="0"/>
      <c r="PN124" s="0"/>
      <c r="PO124" s="0"/>
      <c r="PP124" s="0"/>
      <c r="PQ124" s="0"/>
      <c r="PR124" s="0"/>
      <c r="PS124" s="0"/>
      <c r="PT124" s="0"/>
      <c r="PU124" s="0"/>
      <c r="PV124" s="0"/>
      <c r="PW124" s="0"/>
      <c r="PX124" s="0"/>
      <c r="PY124" s="0"/>
      <c r="PZ124" s="0"/>
      <c r="QA124" s="0"/>
      <c r="QB124" s="0"/>
      <c r="QC124" s="0"/>
      <c r="QD124" s="0"/>
      <c r="QE124" s="0"/>
      <c r="QF124" s="0"/>
      <c r="QG124" s="0"/>
      <c r="QH124" s="0"/>
      <c r="QI124" s="0"/>
      <c r="QJ124" s="0"/>
      <c r="QK124" s="0"/>
      <c r="QL124" s="0"/>
      <c r="QM124" s="0"/>
      <c r="QN124" s="0"/>
      <c r="QO124" s="0"/>
      <c r="QP124" s="0"/>
      <c r="QQ124" s="0"/>
      <c r="QR124" s="0"/>
      <c r="QS124" s="0"/>
      <c r="QT124" s="0"/>
      <c r="QU124" s="0"/>
      <c r="QV124" s="0"/>
      <c r="QW124" s="0"/>
      <c r="QX124" s="0"/>
      <c r="QY124" s="0"/>
      <c r="QZ124" s="0"/>
      <c r="RA124" s="0"/>
      <c r="RB124" s="0"/>
      <c r="RC124" s="0"/>
      <c r="RD124" s="0"/>
      <c r="RE124" s="0"/>
      <c r="RF124" s="0"/>
      <c r="RG124" s="0"/>
      <c r="RH124" s="0"/>
      <c r="RI124" s="0"/>
      <c r="RJ124" s="0"/>
      <c r="RK124" s="0"/>
      <c r="RL124" s="0"/>
      <c r="RM124" s="0"/>
      <c r="RN124" s="0"/>
      <c r="RO124" s="0"/>
      <c r="RP124" s="0"/>
      <c r="RQ124" s="0"/>
      <c r="RR124" s="0"/>
      <c r="RS124" s="0"/>
      <c r="RT124" s="0"/>
      <c r="RU124" s="0"/>
      <c r="RV124" s="0"/>
      <c r="RW124" s="0"/>
      <c r="RX124" s="0"/>
      <c r="RY124" s="0"/>
      <c r="RZ124" s="0"/>
      <c r="SA124" s="0"/>
      <c r="SB124" s="0"/>
      <c r="SC124" s="0"/>
      <c r="SD124" s="0"/>
      <c r="SE124" s="0"/>
      <c r="SF124" s="0"/>
      <c r="SG124" s="0"/>
      <c r="SH124" s="0"/>
      <c r="SI124" s="0"/>
      <c r="SJ124" s="0"/>
      <c r="SK124" s="0"/>
      <c r="SL124" s="0"/>
      <c r="SM124" s="0"/>
      <c r="SN124" s="0"/>
      <c r="SO124" s="0"/>
      <c r="SP124" s="0"/>
      <c r="SQ124" s="0"/>
      <c r="SR124" s="0"/>
      <c r="SS124" s="0"/>
      <c r="ST124" s="0"/>
      <c r="SU124" s="0"/>
      <c r="SV124" s="0"/>
      <c r="SW124" s="0"/>
      <c r="SX124" s="0"/>
      <c r="SY124" s="0"/>
      <c r="SZ124" s="0"/>
      <c r="TA124" s="0"/>
      <c r="TB124" s="0"/>
      <c r="TC124" s="0"/>
      <c r="TD124" s="0"/>
      <c r="TE124" s="0"/>
      <c r="TF124" s="0"/>
      <c r="TG124" s="0"/>
      <c r="TH124" s="0"/>
      <c r="TI124" s="0"/>
      <c r="TJ124" s="0"/>
      <c r="TK124" s="0"/>
      <c r="TL124" s="0"/>
      <c r="TM124" s="0"/>
      <c r="TN124" s="0"/>
      <c r="TO124" s="0"/>
      <c r="TP124" s="0"/>
      <c r="TQ124" s="0"/>
      <c r="TR124" s="0"/>
      <c r="TS124" s="0"/>
      <c r="TT124" s="0"/>
      <c r="TU124" s="0"/>
      <c r="TV124" s="0"/>
      <c r="TW124" s="0"/>
      <c r="TX124" s="0"/>
      <c r="TY124" s="0"/>
      <c r="TZ124" s="0"/>
      <c r="UA124" s="0"/>
      <c r="UB124" s="0"/>
      <c r="UC124" s="0"/>
      <c r="UD124" s="0"/>
      <c r="UE124" s="0"/>
      <c r="UF124" s="0"/>
      <c r="UG124" s="0"/>
      <c r="UH124" s="0"/>
      <c r="UI124" s="0"/>
      <c r="UJ124" s="0"/>
      <c r="UK124" s="0"/>
      <c r="UL124" s="0"/>
      <c r="UM124" s="0"/>
      <c r="UN124" s="0"/>
      <c r="UO124" s="0"/>
      <c r="UP124" s="0"/>
      <c r="UQ124" s="0"/>
      <c r="UR124" s="0"/>
      <c r="US124" s="0"/>
      <c r="UT124" s="0"/>
      <c r="UU124" s="0"/>
      <c r="UV124" s="0"/>
      <c r="UW124" s="0"/>
      <c r="UX124" s="0"/>
      <c r="UY124" s="0"/>
      <c r="UZ124" s="0"/>
      <c r="VA124" s="0"/>
      <c r="VB124" s="0"/>
      <c r="VC124" s="0"/>
      <c r="VD124" s="0"/>
      <c r="VE124" s="0"/>
      <c r="VF124" s="0"/>
      <c r="VG124" s="0"/>
      <c r="VH124" s="0"/>
      <c r="VI124" s="0"/>
      <c r="VJ124" s="0"/>
      <c r="VK124" s="0"/>
      <c r="VL124" s="0"/>
      <c r="VM124" s="0"/>
      <c r="VN124" s="0"/>
      <c r="VO124" s="0"/>
      <c r="VP124" s="0"/>
      <c r="VQ124" s="0"/>
      <c r="VR124" s="0"/>
      <c r="VS124" s="0"/>
      <c r="VT124" s="0"/>
      <c r="VU124" s="0"/>
      <c r="VV124" s="0"/>
      <c r="VW124" s="0"/>
      <c r="VX124" s="0"/>
      <c r="VY124" s="0"/>
      <c r="VZ124" s="0"/>
      <c r="WA124" s="0"/>
      <c r="WB124" s="0"/>
      <c r="WC124" s="0"/>
      <c r="WD124" s="0"/>
      <c r="WE124" s="0"/>
      <c r="WF124" s="0"/>
      <c r="WG124" s="0"/>
      <c r="WH124" s="0"/>
      <c r="WI124" s="0"/>
      <c r="WJ124" s="0"/>
      <c r="WK124" s="0"/>
      <c r="WL124" s="0"/>
      <c r="WM124" s="0"/>
      <c r="WN124" s="0"/>
      <c r="WO124" s="0"/>
      <c r="WP124" s="0"/>
      <c r="WQ124" s="0"/>
      <c r="WR124" s="0"/>
      <c r="WS124" s="0"/>
      <c r="WT124" s="0"/>
      <c r="WU124" s="0"/>
      <c r="WV124" s="0"/>
      <c r="WW124" s="0"/>
      <c r="WX124" s="0"/>
      <c r="WY124" s="0"/>
      <c r="WZ124" s="0"/>
      <c r="XA124" s="0"/>
      <c r="XB124" s="0"/>
      <c r="XC124" s="0"/>
      <c r="XD124" s="0"/>
      <c r="XE124" s="0"/>
      <c r="XF124" s="0"/>
      <c r="XG124" s="0"/>
      <c r="XH124" s="0"/>
      <c r="XI124" s="0"/>
      <c r="XJ124" s="0"/>
      <c r="XK124" s="0"/>
      <c r="XL124" s="0"/>
      <c r="XM124" s="0"/>
      <c r="XN124" s="0"/>
      <c r="XO124" s="0"/>
      <c r="XP124" s="0"/>
      <c r="XQ124" s="0"/>
      <c r="XR124" s="0"/>
      <c r="XS124" s="0"/>
      <c r="XT124" s="0"/>
      <c r="XU124" s="0"/>
      <c r="XV124" s="0"/>
      <c r="XW124" s="0"/>
      <c r="XX124" s="0"/>
      <c r="XY124" s="0"/>
      <c r="XZ124" s="0"/>
      <c r="YA124" s="0"/>
      <c r="YB124" s="0"/>
      <c r="YC124" s="0"/>
      <c r="YD124" s="0"/>
      <c r="YE124" s="0"/>
      <c r="YF124" s="0"/>
      <c r="YG124" s="0"/>
      <c r="YH124" s="0"/>
      <c r="YI124" s="0"/>
      <c r="YJ124" s="0"/>
      <c r="YK124" s="0"/>
      <c r="YL124" s="0"/>
      <c r="YM124" s="0"/>
      <c r="YN124" s="0"/>
      <c r="YO124" s="0"/>
      <c r="YP124" s="0"/>
      <c r="YQ124" s="0"/>
      <c r="YR124" s="0"/>
      <c r="YS124" s="0"/>
      <c r="YT124" s="0"/>
      <c r="YU124" s="0"/>
      <c r="YV124" s="0"/>
      <c r="YW124" s="0"/>
      <c r="YX124" s="0"/>
      <c r="YY124" s="0"/>
      <c r="YZ124" s="0"/>
      <c r="ZA124" s="0"/>
      <c r="ZB124" s="0"/>
      <c r="ZC124" s="0"/>
      <c r="ZD124" s="0"/>
      <c r="ZE124" s="0"/>
      <c r="ZF124" s="0"/>
      <c r="ZG124" s="0"/>
      <c r="ZH124" s="0"/>
      <c r="ZI124" s="0"/>
      <c r="ZJ124" s="0"/>
      <c r="ZK124" s="0"/>
      <c r="ZL124" s="0"/>
      <c r="ZM124" s="0"/>
      <c r="ZN124" s="0"/>
      <c r="ZO124" s="0"/>
      <c r="ZP124" s="0"/>
      <c r="ZQ124" s="0"/>
      <c r="ZR124" s="0"/>
      <c r="ZS124" s="0"/>
      <c r="ZT124" s="0"/>
      <c r="ZU124" s="0"/>
      <c r="ZV124" s="0"/>
      <c r="ZW124" s="0"/>
      <c r="ZX124" s="0"/>
      <c r="ZY124" s="0"/>
      <c r="ZZ124" s="0"/>
      <c r="AAA124" s="0"/>
      <c r="AAB124" s="0"/>
      <c r="AAC124" s="0"/>
      <c r="AAD124" s="0"/>
      <c r="AAE124" s="0"/>
      <c r="AAF124" s="0"/>
      <c r="AAG124" s="0"/>
      <c r="AAH124" s="0"/>
      <c r="AAI124" s="0"/>
      <c r="AAJ124" s="0"/>
      <c r="AAK124" s="0"/>
      <c r="AAL124" s="0"/>
      <c r="AAM124" s="0"/>
      <c r="AAN124" s="0"/>
      <c r="AAO124" s="0"/>
      <c r="AAP124" s="0"/>
      <c r="AAQ124" s="0"/>
      <c r="AAR124" s="0"/>
      <c r="AAS124" s="0"/>
      <c r="AAT124" s="0"/>
      <c r="AAU124" s="0"/>
      <c r="AAV124" s="0"/>
      <c r="AAW124" s="0"/>
      <c r="AAX124" s="0"/>
      <c r="AAY124" s="0"/>
      <c r="AAZ124" s="0"/>
      <c r="ABA124" s="0"/>
      <c r="ABB124" s="0"/>
      <c r="ABC124" s="0"/>
      <c r="ABD124" s="0"/>
      <c r="ABE124" s="0"/>
      <c r="ABF124" s="0"/>
      <c r="ABG124" s="0"/>
      <c r="ABH124" s="0"/>
      <c r="ABI124" s="0"/>
      <c r="ABJ124" s="0"/>
      <c r="ABK124" s="0"/>
      <c r="ABL124" s="0"/>
      <c r="ABM124" s="0"/>
      <c r="ABN124" s="0"/>
      <c r="ABO124" s="0"/>
      <c r="ABP124" s="0"/>
      <c r="ABQ124" s="0"/>
      <c r="ABR124" s="0"/>
      <c r="ABS124" s="0"/>
      <c r="ABT124" s="0"/>
      <c r="ABU124" s="0"/>
      <c r="ABV124" s="0"/>
      <c r="ABW124" s="0"/>
      <c r="ABX124" s="0"/>
      <c r="ABY124" s="0"/>
      <c r="ABZ124" s="0"/>
      <c r="ACA124" s="0"/>
      <c r="ACB124" s="0"/>
      <c r="ACC124" s="0"/>
      <c r="ACD124" s="0"/>
      <c r="ACE124" s="0"/>
      <c r="ACF124" s="0"/>
      <c r="ACG124" s="0"/>
      <c r="ACH124" s="0"/>
      <c r="ACI124" s="0"/>
      <c r="ACJ124" s="0"/>
      <c r="ACK124" s="0"/>
      <c r="ACL124" s="0"/>
      <c r="ACM124" s="0"/>
      <c r="ACN124" s="0"/>
      <c r="ACO124" s="0"/>
      <c r="ACP124" s="0"/>
      <c r="ACQ124" s="0"/>
      <c r="ACR124" s="0"/>
      <c r="ACS124" s="0"/>
      <c r="ACT124" s="0"/>
      <c r="ACU124" s="0"/>
      <c r="ACV124" s="0"/>
      <c r="ACW124" s="0"/>
      <c r="ACX124" s="0"/>
      <c r="ACY124" s="0"/>
      <c r="ACZ124" s="0"/>
      <c r="ADA124" s="0"/>
      <c r="ADB124" s="0"/>
      <c r="ADC124" s="0"/>
      <c r="ADD124" s="0"/>
      <c r="ADE124" s="0"/>
      <c r="ADF124" s="0"/>
      <c r="ADG124" s="0"/>
      <c r="ADH124" s="0"/>
      <c r="ADI124" s="0"/>
      <c r="ADJ124" s="0"/>
      <c r="ADK124" s="0"/>
      <c r="ADL124" s="0"/>
      <c r="ADM124" s="0"/>
      <c r="ADN124" s="0"/>
      <c r="ADO124" s="0"/>
      <c r="ADP124" s="0"/>
      <c r="ADQ124" s="0"/>
      <c r="ADR124" s="0"/>
      <c r="ADS124" s="0"/>
      <c r="ADT124" s="0"/>
      <c r="ADU124" s="0"/>
      <c r="ADV124" s="0"/>
      <c r="ADW124" s="0"/>
      <c r="ADX124" s="0"/>
      <c r="ADY124" s="0"/>
      <c r="ADZ124" s="0"/>
      <c r="AEA124" s="0"/>
      <c r="AEB124" s="0"/>
      <c r="AEC124" s="0"/>
      <c r="AED124" s="0"/>
      <c r="AEE124" s="0"/>
      <c r="AEF124" s="0"/>
      <c r="AEG124" s="0"/>
      <c r="AEH124" s="0"/>
      <c r="AEI124" s="0"/>
      <c r="AEJ124" s="0"/>
      <c r="AEK124" s="0"/>
      <c r="AEL124" s="0"/>
      <c r="AEM124" s="0"/>
      <c r="AEN124" s="0"/>
      <c r="AEO124" s="0"/>
      <c r="AEP124" s="0"/>
      <c r="AEQ124" s="0"/>
      <c r="AER124" s="0"/>
      <c r="AES124" s="0"/>
      <c r="AET124" s="0"/>
      <c r="AEU124" s="0"/>
      <c r="AEV124" s="0"/>
      <c r="AEW124" s="0"/>
      <c r="AEX124" s="0"/>
      <c r="AEY124" s="0"/>
      <c r="AEZ124" s="0"/>
      <c r="AFA124" s="0"/>
      <c r="AFB124" s="0"/>
      <c r="AFC124" s="0"/>
      <c r="AFD124" s="0"/>
      <c r="AFE124" s="0"/>
      <c r="AFF124" s="0"/>
      <c r="AFG124" s="0"/>
      <c r="AFH124" s="0"/>
      <c r="AFI124" s="0"/>
      <c r="AFJ124" s="0"/>
      <c r="AFK124" s="0"/>
      <c r="AFL124" s="0"/>
      <c r="AFM124" s="0"/>
      <c r="AFN124" s="0"/>
      <c r="AFO124" s="0"/>
      <c r="AFP124" s="0"/>
      <c r="AFQ124" s="0"/>
      <c r="AFR124" s="0"/>
      <c r="AFS124" s="0"/>
      <c r="AFT124" s="0"/>
      <c r="AFU124" s="0"/>
      <c r="AFV124" s="0"/>
      <c r="AFW124" s="0"/>
      <c r="AFX124" s="0"/>
      <c r="AFY124" s="0"/>
      <c r="AFZ124" s="0"/>
      <c r="AGA124" s="0"/>
      <c r="AGB124" s="0"/>
      <c r="AGC124" s="0"/>
      <c r="AGD124" s="0"/>
      <c r="AGE124" s="0"/>
      <c r="AGF124" s="0"/>
      <c r="AGG124" s="0"/>
      <c r="AGH124" s="0"/>
      <c r="AGI124" s="0"/>
      <c r="AGJ124" s="0"/>
      <c r="AGK124" s="0"/>
      <c r="AGL124" s="0"/>
      <c r="AGM124" s="0"/>
      <c r="AGN124" s="0"/>
      <c r="AGO124" s="0"/>
      <c r="AGP124" s="0"/>
      <c r="AGQ124" s="0"/>
      <c r="AGR124" s="0"/>
      <c r="AGS124" s="0"/>
      <c r="AGT124" s="0"/>
      <c r="AGU124" s="0"/>
      <c r="AGV124" s="0"/>
      <c r="AGW124" s="0"/>
      <c r="AGX124" s="0"/>
      <c r="AGY124" s="0"/>
      <c r="AGZ124" s="0"/>
      <c r="AHA124" s="0"/>
      <c r="AHB124" s="0"/>
      <c r="AHC124" s="0"/>
      <c r="AHD124" s="0"/>
      <c r="AHE124" s="0"/>
      <c r="AHF124" s="0"/>
      <c r="AHG124" s="0"/>
      <c r="AHH124" s="0"/>
      <c r="AHI124" s="0"/>
      <c r="AHJ124" s="0"/>
      <c r="AHK124" s="0"/>
      <c r="AHL124" s="0"/>
      <c r="AHM124" s="0"/>
      <c r="AHN124" s="0"/>
      <c r="AHO124" s="0"/>
      <c r="AHP124" s="0"/>
      <c r="AHQ124" s="0"/>
      <c r="AHR124" s="0"/>
      <c r="AHS124" s="0"/>
      <c r="AHT124" s="0"/>
      <c r="AHU124" s="0"/>
      <c r="AHV124" s="0"/>
      <c r="AHW124" s="0"/>
      <c r="AHX124" s="0"/>
      <c r="AHY124" s="0"/>
      <c r="AHZ124" s="0"/>
      <c r="AIA124" s="0"/>
      <c r="AIB124" s="0"/>
      <c r="AIC124" s="0"/>
      <c r="AID124" s="0"/>
      <c r="AIE124" s="0"/>
      <c r="AIF124" s="0"/>
      <c r="AIG124" s="0"/>
      <c r="AIH124" s="0"/>
      <c r="AII124" s="0"/>
      <c r="AIJ124" s="0"/>
      <c r="AIK124" s="0"/>
      <c r="AIL124" s="0"/>
      <c r="AIM124" s="0"/>
      <c r="AIN124" s="0"/>
      <c r="AIO124" s="0"/>
      <c r="AIP124" s="0"/>
      <c r="AIQ124" s="0"/>
      <c r="AIR124" s="0"/>
      <c r="AIS124" s="0"/>
      <c r="AIT124" s="0"/>
      <c r="AIU124" s="0"/>
      <c r="AIV124" s="0"/>
      <c r="AIW124" s="0"/>
      <c r="AIX124" s="0"/>
      <c r="AIY124" s="0"/>
      <c r="AIZ124" s="0"/>
      <c r="AJA124" s="0"/>
      <c r="AJB124" s="0"/>
      <c r="AJC124" s="0"/>
      <c r="AJD124" s="0"/>
      <c r="AJE124" s="0"/>
      <c r="AJF124" s="0"/>
      <c r="AJG124" s="0"/>
      <c r="AJH124" s="0"/>
      <c r="AJI124" s="0"/>
      <c r="AJJ124" s="0"/>
      <c r="AJK124" s="0"/>
      <c r="AJL124" s="0"/>
      <c r="AJM124" s="0"/>
      <c r="AJN124" s="0"/>
      <c r="AJO124" s="0"/>
      <c r="AJP124" s="0"/>
      <c r="AJQ124" s="0"/>
      <c r="AJR124" s="0"/>
      <c r="AJS124" s="0"/>
      <c r="AJT124" s="0"/>
      <c r="AJU124" s="0"/>
      <c r="AJV124" s="0"/>
      <c r="AJW124" s="0"/>
      <c r="AJX124" s="0"/>
      <c r="AJY124" s="0"/>
      <c r="AJZ124" s="0"/>
      <c r="AKA124" s="0"/>
      <c r="AKB124" s="0"/>
      <c r="AKC124" s="0"/>
      <c r="AKD124" s="0"/>
      <c r="AKE124" s="0"/>
      <c r="AKF124" s="0"/>
      <c r="AKG124" s="0"/>
      <c r="AKH124" s="0"/>
      <c r="AKI124" s="0"/>
      <c r="AKJ124" s="0"/>
      <c r="AKK124" s="0"/>
      <c r="AKL124" s="0"/>
      <c r="AKM124" s="0"/>
      <c r="AKN124" s="0"/>
      <c r="AKO124" s="0"/>
      <c r="AKP124" s="0"/>
      <c r="AKQ124" s="0"/>
      <c r="AKR124" s="0"/>
      <c r="AKS124" s="0"/>
      <c r="AKT124" s="0"/>
      <c r="AKU124" s="0"/>
      <c r="AKV124" s="0"/>
      <c r="AKW124" s="0"/>
      <c r="AKX124" s="0"/>
      <c r="AKY124" s="0"/>
      <c r="AKZ124" s="0"/>
      <c r="ALA124" s="0"/>
      <c r="ALB124" s="0"/>
      <c r="ALC124" s="0"/>
      <c r="ALD124" s="0"/>
      <c r="ALE124" s="0"/>
      <c r="ALF124" s="0"/>
      <c r="ALG124" s="0"/>
      <c r="ALH124" s="0"/>
      <c r="ALI124" s="0"/>
      <c r="ALJ124" s="0"/>
      <c r="ALK124" s="0"/>
      <c r="ALL124" s="0"/>
      <c r="ALM124" s="0"/>
      <c r="ALN124" s="0"/>
      <c r="ALO124" s="0"/>
      <c r="ALP124" s="0"/>
      <c r="ALQ124" s="0"/>
      <c r="ALR124" s="0"/>
      <c r="ALS124" s="0"/>
      <c r="ALT124" s="0"/>
      <c r="ALU124" s="0"/>
      <c r="ALV124" s="0"/>
      <c r="ALW124" s="0"/>
      <c r="ALX124" s="0"/>
      <c r="ALY124" s="0"/>
      <c r="ALZ124" s="0"/>
      <c r="AMA124" s="0"/>
      <c r="AMB124" s="0"/>
      <c r="AMC124" s="0"/>
      <c r="AMD124" s="0"/>
      <c r="AME124" s="0"/>
      <c r="AMF124" s="0"/>
      <c r="AMG124" s="0"/>
      <c r="AMH124" s="0"/>
      <c r="AMI124" s="0"/>
      <c r="AMJ124" s="0"/>
      <c r="AMK124" s="0"/>
      <c r="AML124" s="0"/>
      <c r="AMM124" s="0"/>
      <c r="AMN124" s="0"/>
      <c r="AMO124" s="0"/>
      <c r="AMP124" s="0"/>
      <c r="AMQ124" s="0"/>
      <c r="AMR124" s="0"/>
      <c r="AMS124" s="0"/>
      <c r="AMT124" s="0"/>
      <c r="AMU124" s="0"/>
      <c r="AMV124" s="0"/>
      <c r="AMW124" s="0"/>
      <c r="AMX124" s="0"/>
      <c r="AMY124" s="0"/>
      <c r="AMZ124" s="0"/>
      <c r="ANA124" s="0"/>
      <c r="ANB124" s="0"/>
      <c r="ANC124" s="0"/>
      <c r="AND124" s="0"/>
      <c r="ANE124" s="0"/>
      <c r="ANF124" s="0"/>
      <c r="ANG124" s="0"/>
      <c r="ANH124" s="0"/>
      <c r="ANI124" s="0"/>
      <c r="ANJ124" s="0"/>
      <c r="ANK124" s="0"/>
      <c r="ANL124" s="0"/>
      <c r="ANM124" s="0"/>
      <c r="ANN124" s="0"/>
      <c r="ANO124" s="0"/>
      <c r="ANP124" s="0"/>
      <c r="ANQ124" s="0"/>
      <c r="ANR124" s="0"/>
      <c r="ANS124" s="0"/>
      <c r="ANT124" s="0"/>
      <c r="ANU124" s="0"/>
      <c r="ANV124" s="0"/>
      <c r="ANW124" s="0"/>
      <c r="ANX124" s="0"/>
      <c r="ANY124" s="0"/>
      <c r="ANZ124" s="0"/>
      <c r="AOA124" s="0"/>
      <c r="AOB124" s="0"/>
      <c r="AOC124" s="0"/>
      <c r="AOD124" s="0"/>
      <c r="AOE124" s="0"/>
      <c r="AOF124" s="0"/>
      <c r="AOG124" s="0"/>
      <c r="AOH124" s="0"/>
      <c r="AOI124" s="0"/>
      <c r="AOJ124" s="0"/>
      <c r="AOK124" s="0"/>
      <c r="AOL124" s="0"/>
      <c r="AOM124" s="0"/>
      <c r="AON124" s="0"/>
      <c r="AOO124" s="0"/>
      <c r="AOP124" s="0"/>
      <c r="AOQ124" s="0"/>
      <c r="AOR124" s="0"/>
      <c r="AOS124" s="0"/>
      <c r="AOT124" s="0"/>
      <c r="AOU124" s="0"/>
      <c r="AOV124" s="0"/>
      <c r="AOW124" s="0"/>
      <c r="AOX124" s="0"/>
      <c r="AOY124" s="0"/>
      <c r="AOZ124" s="0"/>
      <c r="APA124" s="0"/>
      <c r="APB124" s="0"/>
      <c r="APC124" s="0"/>
      <c r="APD124" s="0"/>
      <c r="APE124" s="0"/>
      <c r="APF124" s="0"/>
      <c r="APG124" s="0"/>
      <c r="APH124" s="0"/>
      <c r="API124" s="0"/>
      <c r="APJ124" s="0"/>
      <c r="APK124" s="0"/>
      <c r="APL124" s="0"/>
      <c r="APM124" s="0"/>
      <c r="APN124" s="0"/>
      <c r="APO124" s="0"/>
      <c r="APP124" s="0"/>
      <c r="APQ124" s="0"/>
      <c r="APR124" s="0"/>
      <c r="APS124" s="0"/>
      <c r="APT124" s="0"/>
      <c r="APU124" s="0"/>
      <c r="APV124" s="0"/>
      <c r="APW124" s="0"/>
      <c r="APX124" s="0"/>
      <c r="APY124" s="0"/>
      <c r="APZ124" s="0"/>
      <c r="AQA124" s="0"/>
      <c r="AQB124" s="0"/>
      <c r="AQC124" s="0"/>
      <c r="AQD124" s="0"/>
      <c r="AQE124" s="0"/>
      <c r="AQF124" s="0"/>
      <c r="AQG124" s="0"/>
      <c r="AQH124" s="0"/>
      <c r="AQI124" s="0"/>
      <c r="AQJ124" s="0"/>
      <c r="AQK124" s="0"/>
      <c r="AQL124" s="0"/>
      <c r="AQM124" s="0"/>
      <c r="AQN124" s="0"/>
      <c r="AQO124" s="0"/>
      <c r="AQP124" s="0"/>
      <c r="AQQ124" s="0"/>
      <c r="AQR124" s="0"/>
      <c r="AQS124" s="0"/>
      <c r="AQT124" s="0"/>
      <c r="AQU124" s="0"/>
      <c r="AQV124" s="0"/>
      <c r="AQW124" s="0"/>
      <c r="AQX124" s="0"/>
      <c r="AQY124" s="0"/>
      <c r="AQZ124" s="0"/>
      <c r="ARA124" s="0"/>
      <c r="ARB124" s="0"/>
      <c r="ARC124" s="0"/>
      <c r="ARD124" s="0"/>
      <c r="ARE124" s="0"/>
      <c r="ARF124" s="0"/>
      <c r="ARG124" s="0"/>
      <c r="ARH124" s="0"/>
      <c r="ARI124" s="0"/>
      <c r="ARJ124" s="0"/>
      <c r="ARK124" s="0"/>
      <c r="ARL124" s="0"/>
      <c r="ARM124" s="0"/>
      <c r="ARN124" s="0"/>
      <c r="ARO124" s="0"/>
      <c r="ARP124" s="0"/>
      <c r="ARQ124" s="0"/>
      <c r="ARR124" s="0"/>
      <c r="ARS124" s="0"/>
      <c r="ART124" s="0"/>
      <c r="ARU124" s="0"/>
      <c r="ARV124" s="0"/>
      <c r="ARW124" s="0"/>
      <c r="ARX124" s="0"/>
      <c r="ARY124" s="0"/>
      <c r="ARZ124" s="0"/>
      <c r="ASA124" s="0"/>
      <c r="ASB124" s="0"/>
      <c r="ASC124" s="0"/>
      <c r="ASD124" s="0"/>
      <c r="ASE124" s="0"/>
      <c r="ASF124" s="0"/>
      <c r="ASG124" s="0"/>
      <c r="ASH124" s="0"/>
      <c r="ASI124" s="0"/>
      <c r="ASJ124" s="0"/>
      <c r="ASK124" s="0"/>
      <c r="ASL124" s="0"/>
      <c r="ASM124" s="0"/>
      <c r="ASN124" s="0"/>
      <c r="ASO124" s="0"/>
      <c r="ASP124" s="0"/>
      <c r="ASQ124" s="0"/>
      <c r="ASR124" s="0"/>
      <c r="ASS124" s="0"/>
      <c r="AST124" s="0"/>
      <c r="ASU124" s="0"/>
      <c r="ASV124" s="0"/>
      <c r="ASW124" s="0"/>
      <c r="ASX124" s="0"/>
      <c r="ASY124" s="0"/>
      <c r="ASZ124" s="0"/>
      <c r="ATA124" s="0"/>
      <c r="ATB124" s="0"/>
      <c r="ATC124" s="0"/>
      <c r="ATD124" s="0"/>
      <c r="ATE124" s="0"/>
      <c r="ATF124" s="0"/>
      <c r="ATG124" s="0"/>
      <c r="ATH124" s="0"/>
      <c r="ATI124" s="0"/>
      <c r="ATJ124" s="0"/>
      <c r="ATK124" s="0"/>
      <c r="ATL124" s="0"/>
      <c r="ATM124" s="0"/>
      <c r="ATN124" s="0"/>
      <c r="ATO124" s="0"/>
      <c r="ATP124" s="0"/>
      <c r="ATQ124" s="0"/>
      <c r="ATR124" s="0"/>
      <c r="ATS124" s="0"/>
      <c r="ATT124" s="0"/>
      <c r="ATU124" s="0"/>
      <c r="ATV124" s="0"/>
      <c r="ATW124" s="0"/>
      <c r="ATX124" s="0"/>
      <c r="ATY124" s="0"/>
      <c r="ATZ124" s="0"/>
      <c r="AUA124" s="0"/>
      <c r="AUB124" s="0"/>
      <c r="AUC124" s="0"/>
      <c r="AUD124" s="0"/>
      <c r="AUE124" s="0"/>
      <c r="AUF124" s="0"/>
      <c r="AUG124" s="0"/>
      <c r="AUH124" s="0"/>
      <c r="AUI124" s="0"/>
      <c r="AUJ124" s="0"/>
      <c r="AUK124" s="0"/>
      <c r="AUL124" s="0"/>
      <c r="AUM124" s="0"/>
      <c r="AUN124" s="0"/>
      <c r="AUO124" s="0"/>
      <c r="AUP124" s="0"/>
      <c r="AUQ124" s="0"/>
      <c r="AUR124" s="0"/>
      <c r="AUS124" s="0"/>
      <c r="AUT124" s="0"/>
      <c r="AUU124" s="0"/>
      <c r="AUV124" s="0"/>
      <c r="AUW124" s="0"/>
      <c r="AUX124" s="0"/>
      <c r="AUY124" s="0"/>
      <c r="AUZ124" s="0"/>
      <c r="AVA124" s="0"/>
      <c r="AVB124" s="0"/>
      <c r="AVC124" s="0"/>
      <c r="AVD124" s="0"/>
      <c r="AVE124" s="0"/>
      <c r="AVF124" s="0"/>
      <c r="AVG124" s="0"/>
      <c r="AVH124" s="0"/>
      <c r="AVI124" s="0"/>
      <c r="AVJ124" s="0"/>
      <c r="AVK124" s="0"/>
      <c r="AVL124" s="0"/>
      <c r="AVM124" s="0"/>
      <c r="AVN124" s="0"/>
      <c r="AVO124" s="0"/>
      <c r="AVP124" s="0"/>
      <c r="AVQ124" s="0"/>
      <c r="AVR124" s="0"/>
      <c r="AVS124" s="0"/>
      <c r="AVT124" s="0"/>
      <c r="AVU124" s="0"/>
      <c r="AVV124" s="0"/>
      <c r="AVW124" s="0"/>
      <c r="AVX124" s="0"/>
      <c r="AVY124" s="0"/>
      <c r="AVZ124" s="0"/>
      <c r="AWA124" s="0"/>
      <c r="AWB124" s="0"/>
      <c r="AWC124" s="0"/>
      <c r="AWD124" s="0"/>
      <c r="AWE124" s="0"/>
      <c r="AWF124" s="0"/>
      <c r="AWG124" s="0"/>
      <c r="AWH124" s="0"/>
      <c r="AWI124" s="0"/>
      <c r="AWJ124" s="0"/>
      <c r="AWK124" s="0"/>
      <c r="AWL124" s="0"/>
      <c r="AWM124" s="0"/>
      <c r="AWN124" s="0"/>
      <c r="AWO124" s="0"/>
      <c r="AWP124" s="0"/>
      <c r="AWQ124" s="0"/>
      <c r="AWR124" s="0"/>
      <c r="AWS124" s="0"/>
      <c r="AWT124" s="0"/>
      <c r="AWU124" s="0"/>
      <c r="AWV124" s="0"/>
      <c r="AWW124" s="0"/>
      <c r="AWX124" s="0"/>
      <c r="AWY124" s="0"/>
      <c r="AWZ124" s="0"/>
      <c r="AXA124" s="0"/>
      <c r="AXB124" s="0"/>
      <c r="AXC124" s="0"/>
      <c r="AXD124" s="0"/>
      <c r="AXE124" s="0"/>
      <c r="AXF124" s="0"/>
      <c r="AXG124" s="0"/>
      <c r="AXH124" s="0"/>
      <c r="AXI124" s="0"/>
      <c r="AXJ124" s="0"/>
      <c r="AXK124" s="0"/>
      <c r="AXL124" s="0"/>
      <c r="AXM124" s="0"/>
      <c r="AXN124" s="0"/>
      <c r="AXO124" s="0"/>
      <c r="AXP124" s="0"/>
      <c r="AXQ124" s="0"/>
      <c r="AXR124" s="0"/>
      <c r="AXS124" s="0"/>
      <c r="AXT124" s="0"/>
      <c r="AXU124" s="0"/>
      <c r="AXV124" s="0"/>
      <c r="AXW124" s="0"/>
      <c r="AXX124" s="0"/>
      <c r="AXY124" s="0"/>
      <c r="AXZ124" s="0"/>
      <c r="AYA124" s="0"/>
      <c r="AYB124" s="0"/>
      <c r="AYC124" s="0"/>
      <c r="AYD124" s="0"/>
      <c r="AYE124" s="0"/>
      <c r="AYF124" s="0"/>
      <c r="AYG124" s="0"/>
      <c r="AYH124" s="0"/>
      <c r="AYI124" s="0"/>
      <c r="AYJ124" s="0"/>
      <c r="AYK124" s="0"/>
      <c r="AYL124" s="0"/>
      <c r="AYM124" s="0"/>
      <c r="AYN124" s="0"/>
      <c r="AYO124" s="0"/>
      <c r="AYP124" s="0"/>
      <c r="AYQ124" s="0"/>
      <c r="AYR124" s="0"/>
      <c r="AYS124" s="0"/>
      <c r="AYT124" s="0"/>
      <c r="AYU124" s="0"/>
      <c r="AYV124" s="0"/>
      <c r="AYW124" s="0"/>
      <c r="AYX124" s="0"/>
      <c r="AYY124" s="0"/>
      <c r="AYZ124" s="0"/>
      <c r="AZA124" s="0"/>
      <c r="AZB124" s="0"/>
      <c r="AZC124" s="0"/>
      <c r="AZD124" s="0"/>
      <c r="AZE124" s="0"/>
      <c r="AZF124" s="0"/>
      <c r="AZG124" s="0"/>
      <c r="AZH124" s="0"/>
      <c r="AZI124" s="0"/>
      <c r="AZJ124" s="0"/>
      <c r="AZK124" s="0"/>
      <c r="AZL124" s="0"/>
      <c r="AZM124" s="0"/>
      <c r="AZN124" s="0"/>
      <c r="AZO124" s="0"/>
      <c r="AZP124" s="0"/>
      <c r="AZQ124" s="0"/>
      <c r="AZR124" s="0"/>
      <c r="AZS124" s="0"/>
      <c r="AZT124" s="0"/>
      <c r="AZU124" s="0"/>
      <c r="AZV124" s="0"/>
      <c r="AZW124" s="0"/>
      <c r="AZX124" s="0"/>
      <c r="AZY124" s="0"/>
      <c r="AZZ124" s="0"/>
      <c r="BAA124" s="0"/>
      <c r="BAB124" s="0"/>
      <c r="BAC124" s="0"/>
      <c r="BAD124" s="0"/>
      <c r="BAE124" s="0"/>
      <c r="BAF124" s="0"/>
      <c r="BAG124" s="0"/>
      <c r="BAH124" s="0"/>
      <c r="BAI124" s="0"/>
      <c r="BAJ124" s="0"/>
      <c r="BAK124" s="0"/>
      <c r="BAL124" s="0"/>
      <c r="BAM124" s="0"/>
      <c r="BAN124" s="0"/>
      <c r="BAO124" s="0"/>
      <c r="BAP124" s="0"/>
      <c r="BAQ124" s="0"/>
      <c r="BAR124" s="0"/>
      <c r="BAS124" s="0"/>
      <c r="BAT124" s="0"/>
      <c r="BAU124" s="0"/>
      <c r="BAV124" s="0"/>
      <c r="BAW124" s="0"/>
      <c r="BAX124" s="0"/>
      <c r="BAY124" s="0"/>
      <c r="BAZ124" s="0"/>
      <c r="BBA124" s="0"/>
      <c r="BBB124" s="0"/>
      <c r="BBC124" s="0"/>
      <c r="BBD124" s="0"/>
      <c r="BBE124" s="0"/>
      <c r="BBF124" s="0"/>
      <c r="BBG124" s="0"/>
      <c r="BBH124" s="0"/>
      <c r="BBI124" s="0"/>
      <c r="BBJ124" s="0"/>
      <c r="BBK124" s="0"/>
      <c r="BBL124" s="0"/>
      <c r="BBM124" s="0"/>
      <c r="BBN124" s="0"/>
      <c r="BBO124" s="0"/>
      <c r="BBP124" s="0"/>
      <c r="BBQ124" s="0"/>
      <c r="BBR124" s="0"/>
      <c r="BBS124" s="0"/>
      <c r="BBT124" s="0"/>
      <c r="BBU124" s="0"/>
      <c r="BBV124" s="0"/>
      <c r="BBW124" s="0"/>
      <c r="BBX124" s="0"/>
      <c r="BBY124" s="0"/>
      <c r="BBZ124" s="0"/>
      <c r="BCA124" s="0"/>
      <c r="BCB124" s="0"/>
      <c r="BCC124" s="0"/>
      <c r="BCD124" s="0"/>
      <c r="BCE124" s="0"/>
      <c r="BCF124" s="0"/>
      <c r="BCG124" s="0"/>
      <c r="BCH124" s="0"/>
      <c r="BCI124" s="0"/>
      <c r="BCJ124" s="0"/>
      <c r="BCK124" s="0"/>
      <c r="BCL124" s="0"/>
      <c r="BCM124" s="0"/>
      <c r="BCN124" s="0"/>
      <c r="BCO124" s="0"/>
      <c r="BCP124" s="0"/>
      <c r="BCQ124" s="0"/>
      <c r="BCR124" s="0"/>
      <c r="BCS124" s="0"/>
      <c r="BCT124" s="0"/>
      <c r="BCU124" s="0"/>
      <c r="BCV124" s="0"/>
      <c r="BCW124" s="0"/>
      <c r="BCX124" s="0"/>
      <c r="BCY124" s="0"/>
      <c r="BCZ124" s="0"/>
      <c r="BDA124" s="0"/>
      <c r="BDB124" s="0"/>
      <c r="BDC124" s="0"/>
      <c r="BDD124" s="0"/>
      <c r="BDE124" s="0"/>
      <c r="BDF124" s="0"/>
      <c r="BDG124" s="0"/>
      <c r="BDH124" s="0"/>
      <c r="BDI124" s="0"/>
      <c r="BDJ124" s="0"/>
      <c r="BDK124" s="0"/>
      <c r="BDL124" s="0"/>
      <c r="BDM124" s="0"/>
      <c r="BDN124" s="0"/>
      <c r="BDO124" s="0"/>
      <c r="BDP124" s="0"/>
      <c r="BDQ124" s="0"/>
      <c r="BDR124" s="0"/>
      <c r="BDS124" s="0"/>
      <c r="BDT124" s="0"/>
      <c r="BDU124" s="0"/>
      <c r="BDV124" s="0"/>
      <c r="BDW124" s="0"/>
      <c r="BDX124" s="0"/>
      <c r="BDY124" s="0"/>
      <c r="BDZ124" s="0"/>
      <c r="BEA124" s="0"/>
      <c r="BEB124" s="0"/>
      <c r="BEC124" s="0"/>
      <c r="BED124" s="0"/>
      <c r="BEE124" s="0"/>
      <c r="BEF124" s="0"/>
      <c r="BEG124" s="0"/>
      <c r="BEH124" s="0"/>
      <c r="BEI124" s="0"/>
      <c r="BEJ124" s="0"/>
      <c r="BEK124" s="0"/>
      <c r="BEL124" s="0"/>
      <c r="BEM124" s="0"/>
      <c r="BEN124" s="0"/>
      <c r="BEO124" s="0"/>
      <c r="BEP124" s="0"/>
      <c r="BEQ124" s="0"/>
      <c r="BER124" s="0"/>
      <c r="BES124" s="0"/>
      <c r="BET124" s="0"/>
      <c r="BEU124" s="0"/>
      <c r="BEV124" s="0"/>
      <c r="BEW124" s="0"/>
      <c r="BEX124" s="0"/>
      <c r="BEY124" s="0"/>
      <c r="BEZ124" s="0"/>
      <c r="BFA124" s="0"/>
      <c r="BFB124" s="0"/>
      <c r="BFC124" s="0"/>
      <c r="BFD124" s="0"/>
      <c r="BFE124" s="0"/>
      <c r="BFF124" s="0"/>
      <c r="BFG124" s="0"/>
      <c r="BFH124" s="0"/>
      <c r="BFI124" s="0"/>
      <c r="BFJ124" s="0"/>
      <c r="BFK124" s="0"/>
      <c r="BFL124" s="0"/>
      <c r="BFM124" s="0"/>
      <c r="BFN124" s="0"/>
      <c r="BFO124" s="0"/>
      <c r="BFP124" s="0"/>
      <c r="BFQ124" s="0"/>
      <c r="BFR124" s="0"/>
      <c r="BFS124" s="0"/>
      <c r="BFT124" s="0"/>
      <c r="BFU124" s="0"/>
      <c r="BFV124" s="0"/>
      <c r="BFW124" s="0"/>
      <c r="BFX124" s="0"/>
      <c r="BFY124" s="0"/>
      <c r="BFZ124" s="0"/>
      <c r="BGA124" s="0"/>
      <c r="BGB124" s="0"/>
      <c r="BGC124" s="0"/>
      <c r="BGD124" s="0"/>
      <c r="BGE124" s="0"/>
      <c r="BGF124" s="0"/>
      <c r="BGG124" s="0"/>
      <c r="BGH124" s="0"/>
      <c r="BGI124" s="0"/>
      <c r="BGJ124" s="0"/>
      <c r="BGK124" s="0"/>
      <c r="BGL124" s="0"/>
      <c r="BGM124" s="0"/>
      <c r="BGN124" s="0"/>
      <c r="BGO124" s="0"/>
      <c r="BGP124" s="0"/>
      <c r="BGQ124" s="0"/>
      <c r="BGR124" s="0"/>
      <c r="BGS124" s="0"/>
      <c r="BGT124" s="0"/>
      <c r="BGU124" s="0"/>
      <c r="BGV124" s="0"/>
      <c r="BGW124" s="0"/>
      <c r="BGX124" s="0"/>
      <c r="BGY124" s="0"/>
      <c r="BGZ124" s="0"/>
      <c r="BHA124" s="0"/>
      <c r="BHB124" s="0"/>
      <c r="BHC124" s="0"/>
      <c r="BHD124" s="0"/>
      <c r="BHE124" s="0"/>
      <c r="BHF124" s="0"/>
      <c r="BHG124" s="0"/>
      <c r="BHH124" s="0"/>
      <c r="BHI124" s="0"/>
      <c r="BHJ124" s="0"/>
      <c r="BHK124" s="0"/>
      <c r="BHL124" s="0"/>
      <c r="BHM124" s="0"/>
      <c r="BHN124" s="0"/>
      <c r="BHO124" s="0"/>
      <c r="BHP124" s="0"/>
      <c r="BHQ124" s="0"/>
      <c r="BHR124" s="0"/>
      <c r="BHS124" s="0"/>
      <c r="BHT124" s="0"/>
      <c r="BHU124" s="0"/>
      <c r="BHV124" s="0"/>
      <c r="BHW124" s="0"/>
      <c r="BHX124" s="0"/>
      <c r="BHY124" s="0"/>
      <c r="BHZ124" s="0"/>
      <c r="BIA124" s="0"/>
      <c r="BIB124" s="0"/>
      <c r="BIC124" s="0"/>
      <c r="BID124" s="0"/>
      <c r="BIE124" s="0"/>
      <c r="BIF124" s="0"/>
      <c r="BIG124" s="0"/>
      <c r="BIH124" s="0"/>
      <c r="BII124" s="0"/>
      <c r="BIJ124" s="0"/>
      <c r="BIK124" s="0"/>
      <c r="BIL124" s="0"/>
      <c r="BIM124" s="0"/>
      <c r="BIN124" s="0"/>
      <c r="BIO124" s="0"/>
      <c r="BIP124" s="0"/>
      <c r="BIQ124" s="0"/>
      <c r="BIR124" s="0"/>
      <c r="BIS124" s="0"/>
      <c r="BIT124" s="0"/>
      <c r="BIU124" s="0"/>
      <c r="BIV124" s="0"/>
      <c r="BIW124" s="0"/>
      <c r="BIX124" s="0"/>
      <c r="BIY124" s="0"/>
      <c r="BIZ124" s="0"/>
      <c r="BJA124" s="0"/>
      <c r="BJB124" s="0"/>
      <c r="BJC124" s="0"/>
      <c r="BJD124" s="0"/>
      <c r="BJE124" s="0"/>
      <c r="BJF124" s="0"/>
      <c r="BJG124" s="0"/>
      <c r="BJH124" s="0"/>
      <c r="BJI124" s="0"/>
      <c r="BJJ124" s="0"/>
      <c r="BJK124" s="0"/>
      <c r="BJL124" s="0"/>
      <c r="BJM124" s="0"/>
      <c r="BJN124" s="0"/>
      <c r="BJO124" s="0"/>
      <c r="BJP124" s="0"/>
      <c r="BJQ124" s="0"/>
      <c r="BJR124" s="0"/>
      <c r="BJS124" s="0"/>
      <c r="BJT124" s="0"/>
      <c r="BJU124" s="0"/>
      <c r="BJV124" s="0"/>
      <c r="BJW124" s="0"/>
      <c r="BJX124" s="0"/>
      <c r="BJY124" s="0"/>
      <c r="BJZ124" s="0"/>
      <c r="BKA124" s="0"/>
      <c r="BKB124" s="0"/>
      <c r="BKC124" s="0"/>
      <c r="BKD124" s="0"/>
      <c r="BKE124" s="0"/>
      <c r="BKF124" s="0"/>
      <c r="BKG124" s="0"/>
      <c r="BKH124" s="0"/>
      <c r="BKI124" s="0"/>
      <c r="BKJ124" s="0"/>
      <c r="BKK124" s="0"/>
      <c r="BKL124" s="0"/>
      <c r="BKM124" s="0"/>
      <c r="BKN124" s="0"/>
      <c r="BKO124" s="0"/>
      <c r="BKP124" s="0"/>
      <c r="BKQ124" s="0"/>
      <c r="BKR124" s="0"/>
      <c r="BKS124" s="0"/>
      <c r="BKT124" s="0"/>
      <c r="BKU124" s="0"/>
      <c r="BKV124" s="0"/>
      <c r="BKW124" s="0"/>
      <c r="BKX124" s="0"/>
      <c r="BKY124" s="0"/>
      <c r="BKZ124" s="0"/>
      <c r="BLA124" s="0"/>
      <c r="BLB124" s="0"/>
      <c r="BLC124" s="0"/>
      <c r="BLD124" s="0"/>
      <c r="BLE124" s="0"/>
      <c r="BLF124" s="0"/>
      <c r="BLG124" s="0"/>
      <c r="BLH124" s="0"/>
      <c r="BLI124" s="0"/>
      <c r="BLJ124" s="0"/>
      <c r="BLK124" s="0"/>
      <c r="BLL124" s="0"/>
      <c r="BLM124" s="0"/>
      <c r="BLN124" s="0"/>
      <c r="BLO124" s="0"/>
      <c r="BLP124" s="0"/>
      <c r="BLQ124" s="0"/>
      <c r="BLR124" s="0"/>
      <c r="BLS124" s="0"/>
      <c r="BLT124" s="0"/>
      <c r="BLU124" s="0"/>
      <c r="BLV124" s="0"/>
      <c r="BLW124" s="0"/>
      <c r="BLX124" s="0"/>
      <c r="BLY124" s="0"/>
      <c r="BLZ124" s="0"/>
      <c r="BMA124" s="0"/>
      <c r="BMB124" s="0"/>
      <c r="BMC124" s="0"/>
      <c r="BMD124" s="0"/>
      <c r="BME124" s="0"/>
      <c r="BMF124" s="0"/>
      <c r="BMG124" s="0"/>
      <c r="BMH124" s="0"/>
      <c r="BMI124" s="0"/>
      <c r="BMJ124" s="0"/>
      <c r="BMK124" s="0"/>
      <c r="BML124" s="0"/>
      <c r="BMM124" s="0"/>
      <c r="BMN124" s="0"/>
      <c r="BMO124" s="0"/>
      <c r="BMP124" s="0"/>
      <c r="BMQ124" s="0"/>
      <c r="BMR124" s="0"/>
      <c r="BMS124" s="0"/>
      <c r="BMT124" s="0"/>
      <c r="BMU124" s="0"/>
      <c r="BMV124" s="0"/>
      <c r="BMW124" s="0"/>
      <c r="BMX124" s="0"/>
      <c r="BMY124" s="0"/>
      <c r="BMZ124" s="0"/>
      <c r="BNA124" s="0"/>
      <c r="BNB124" s="0"/>
      <c r="BNC124" s="0"/>
      <c r="BND124" s="0"/>
      <c r="BNE124" s="0"/>
      <c r="BNF124" s="0"/>
      <c r="BNG124" s="0"/>
      <c r="BNH124" s="0"/>
      <c r="BNI124" s="0"/>
      <c r="BNJ124" s="0"/>
      <c r="BNK124" s="0"/>
      <c r="BNL124" s="0"/>
      <c r="BNM124" s="0"/>
      <c r="BNN124" s="0"/>
      <c r="BNO124" s="0"/>
      <c r="BNP124" s="0"/>
      <c r="BNQ124" s="0"/>
      <c r="BNR124" s="0"/>
      <c r="BNS124" s="0"/>
      <c r="BNT124" s="0"/>
      <c r="BNU124" s="0"/>
      <c r="BNV124" s="0"/>
      <c r="BNW124" s="0"/>
      <c r="BNX124" s="0"/>
      <c r="BNY124" s="0"/>
      <c r="BNZ124" s="0"/>
      <c r="BOA124" s="0"/>
      <c r="BOB124" s="0"/>
      <c r="BOC124" s="0"/>
      <c r="BOD124" s="0"/>
      <c r="BOE124" s="0"/>
      <c r="BOF124" s="0"/>
      <c r="BOG124" s="0"/>
      <c r="BOH124" s="0"/>
      <c r="BOI124" s="0"/>
      <c r="BOJ124" s="0"/>
      <c r="BOK124" s="0"/>
      <c r="BOL124" s="0"/>
      <c r="BOM124" s="0"/>
      <c r="BON124" s="0"/>
      <c r="BOO124" s="0"/>
      <c r="BOP124" s="0"/>
      <c r="BOQ124" s="0"/>
      <c r="BOR124" s="0"/>
      <c r="BOS124" s="0"/>
      <c r="BOT124" s="0"/>
      <c r="BOU124" s="0"/>
      <c r="BOV124" s="0"/>
      <c r="BOW124" s="0"/>
      <c r="BOX124" s="0"/>
      <c r="BOY124" s="0"/>
      <c r="BOZ124" s="0"/>
      <c r="BPA124" s="0"/>
      <c r="BPB124" s="0"/>
      <c r="BPC124" s="0"/>
      <c r="BPD124" s="0"/>
      <c r="BPE124" s="0"/>
      <c r="BPF124" s="0"/>
      <c r="BPG124" s="0"/>
      <c r="BPH124" s="0"/>
      <c r="BPI124" s="0"/>
      <c r="BPJ124" s="0"/>
      <c r="BPK124" s="0"/>
      <c r="BPL124" s="0"/>
      <c r="BPM124" s="0"/>
      <c r="BPN124" s="0"/>
      <c r="BPO124" s="0"/>
      <c r="BPP124" s="0"/>
      <c r="BPQ124" s="0"/>
      <c r="BPR124" s="0"/>
      <c r="BPS124" s="0"/>
      <c r="BPT124" s="0"/>
      <c r="BPU124" s="0"/>
      <c r="BPV124" s="0"/>
      <c r="BPW124" s="0"/>
      <c r="BPX124" s="0"/>
      <c r="BPY124" s="0"/>
      <c r="BPZ124" s="0"/>
      <c r="BQA124" s="0"/>
      <c r="BQB124" s="0"/>
      <c r="BQC124" s="0"/>
      <c r="BQD124" s="0"/>
      <c r="BQE124" s="0"/>
      <c r="BQF124" s="0"/>
      <c r="BQG124" s="0"/>
      <c r="BQH124" s="0"/>
      <c r="BQI124" s="0"/>
      <c r="BQJ124" s="0"/>
      <c r="BQK124" s="0"/>
      <c r="BQL124" s="0"/>
      <c r="BQM124" s="0"/>
      <c r="BQN124" s="0"/>
      <c r="BQO124" s="0"/>
      <c r="BQP124" s="0"/>
      <c r="BQQ124" s="0"/>
      <c r="BQR124" s="0"/>
      <c r="BQS124" s="0"/>
      <c r="BQT124" s="0"/>
      <c r="BQU124" s="0"/>
      <c r="BQV124" s="0"/>
      <c r="BQW124" s="0"/>
      <c r="BQX124" s="0"/>
      <c r="BQY124" s="0"/>
      <c r="BQZ124" s="0"/>
      <c r="BRA124" s="0"/>
      <c r="BRB124" s="0"/>
      <c r="BRC124" s="0"/>
      <c r="BRD124" s="0"/>
      <c r="BRE124" s="0"/>
      <c r="BRF124" s="0"/>
      <c r="BRG124" s="0"/>
      <c r="BRH124" s="0"/>
      <c r="BRI124" s="0"/>
      <c r="BRJ124" s="0"/>
      <c r="BRK124" s="0"/>
      <c r="BRL124" s="0"/>
      <c r="BRM124" s="0"/>
      <c r="BRN124" s="0"/>
      <c r="BRO124" s="0"/>
      <c r="BRP124" s="0"/>
      <c r="BRQ124" s="0"/>
      <c r="BRR124" s="0"/>
      <c r="BRS124" s="0"/>
      <c r="BRT124" s="0"/>
      <c r="BRU124" s="0"/>
      <c r="BRV124" s="0"/>
      <c r="BRW124" s="0"/>
      <c r="BRX124" s="0"/>
      <c r="BRY124" s="0"/>
      <c r="BRZ124" s="0"/>
      <c r="BSA124" s="0"/>
      <c r="BSB124" s="0"/>
      <c r="BSC124" s="0"/>
      <c r="BSD124" s="0"/>
      <c r="BSE124" s="0"/>
      <c r="BSF124" s="0"/>
      <c r="BSG124" s="0"/>
      <c r="BSH124" s="0"/>
      <c r="BSI124" s="0"/>
      <c r="BSJ124" s="0"/>
      <c r="BSK124" s="0"/>
      <c r="BSL124" s="0"/>
      <c r="BSM124" s="0"/>
      <c r="BSN124" s="0"/>
      <c r="BSO124" s="0"/>
      <c r="BSP124" s="0"/>
      <c r="BSQ124" s="0"/>
      <c r="BSR124" s="0"/>
      <c r="BSS124" s="0"/>
      <c r="BST124" s="0"/>
      <c r="BSU124" s="0"/>
      <c r="BSV124" s="0"/>
      <c r="BSW124" s="0"/>
      <c r="BSX124" s="0"/>
      <c r="BSY124" s="0"/>
      <c r="BSZ124" s="0"/>
      <c r="BTA124" s="0"/>
      <c r="BTB124" s="0"/>
      <c r="BTC124" s="0"/>
      <c r="BTD124" s="0"/>
      <c r="BTE124" s="0"/>
      <c r="BTF124" s="0"/>
      <c r="BTG124" s="0"/>
      <c r="BTH124" s="0"/>
      <c r="BTI124" s="0"/>
      <c r="BTJ124" s="0"/>
      <c r="BTK124" s="0"/>
      <c r="BTL124" s="0"/>
      <c r="BTM124" s="0"/>
      <c r="BTN124" s="0"/>
      <c r="BTO124" s="0"/>
      <c r="BTP124" s="0"/>
      <c r="BTQ124" s="0"/>
      <c r="BTR124" s="0"/>
      <c r="BTS124" s="0"/>
      <c r="BTT124" s="0"/>
      <c r="BTU124" s="0"/>
      <c r="BTV124" s="0"/>
      <c r="BTW124" s="0"/>
      <c r="BTX124" s="0"/>
      <c r="BTY124" s="0"/>
      <c r="BTZ124" s="0"/>
      <c r="BUA124" s="0"/>
      <c r="BUB124" s="0"/>
      <c r="BUC124" s="0"/>
      <c r="BUD124" s="0"/>
      <c r="BUE124" s="0"/>
      <c r="BUF124" s="0"/>
      <c r="BUG124" s="0"/>
      <c r="BUH124" s="0"/>
      <c r="BUI124" s="0"/>
      <c r="BUJ124" s="0"/>
      <c r="BUK124" s="0"/>
      <c r="BUL124" s="0"/>
      <c r="BUM124" s="0"/>
      <c r="BUN124" s="0"/>
      <c r="BUO124" s="0"/>
      <c r="BUP124" s="0"/>
      <c r="BUQ124" s="0"/>
      <c r="BUR124" s="0"/>
      <c r="BUS124" s="0"/>
      <c r="BUT124" s="0"/>
      <c r="BUU124" s="0"/>
      <c r="BUV124" s="0"/>
      <c r="BUW124" s="0"/>
      <c r="BUX124" s="0"/>
      <c r="BUY124" s="0"/>
      <c r="BUZ124" s="0"/>
      <c r="BVA124" s="0"/>
      <c r="BVB124" s="0"/>
      <c r="BVC124" s="0"/>
      <c r="BVD124" s="0"/>
      <c r="BVE124" s="0"/>
      <c r="BVF124" s="0"/>
      <c r="BVG124" s="0"/>
      <c r="BVH124" s="0"/>
      <c r="BVI124" s="0"/>
      <c r="BVJ124" s="0"/>
      <c r="BVK124" s="0"/>
      <c r="BVL124" s="0"/>
      <c r="BVM124" s="0"/>
      <c r="BVN124" s="0"/>
      <c r="BVO124" s="0"/>
      <c r="BVP124" s="0"/>
      <c r="BVQ124" s="0"/>
      <c r="BVR124" s="0"/>
      <c r="BVS124" s="0"/>
      <c r="BVT124" s="0"/>
      <c r="BVU124" s="0"/>
      <c r="BVV124" s="0"/>
      <c r="BVW124" s="0"/>
      <c r="BVX124" s="0"/>
      <c r="BVY124" s="0"/>
      <c r="BVZ124" s="0"/>
      <c r="BWA124" s="0"/>
      <c r="BWB124" s="0"/>
      <c r="BWC124" s="0"/>
      <c r="BWD124" s="0"/>
      <c r="BWE124" s="0"/>
      <c r="BWF124" s="0"/>
      <c r="BWG124" s="0"/>
      <c r="BWH124" s="0"/>
      <c r="BWI124" s="0"/>
      <c r="BWJ124" s="0"/>
      <c r="BWK124" s="0"/>
      <c r="BWL124" s="0"/>
      <c r="BWM124" s="0"/>
      <c r="BWN124" s="0"/>
      <c r="BWO124" s="0"/>
      <c r="BWP124" s="0"/>
      <c r="BWQ124" s="0"/>
      <c r="BWR124" s="0"/>
      <c r="BWS124" s="0"/>
      <c r="BWT124" s="0"/>
      <c r="BWU124" s="0"/>
      <c r="BWV124" s="0"/>
      <c r="BWW124" s="0"/>
      <c r="BWX124" s="0"/>
      <c r="BWY124" s="0"/>
      <c r="BWZ124" s="0"/>
      <c r="BXA124" s="0"/>
      <c r="BXB124" s="0"/>
      <c r="BXC124" s="0"/>
      <c r="BXD124" s="0"/>
      <c r="BXE124" s="0"/>
      <c r="BXF124" s="0"/>
      <c r="BXG124" s="0"/>
      <c r="BXH124" s="0"/>
      <c r="BXI124" s="0"/>
      <c r="BXJ124" s="0"/>
      <c r="BXK124" s="0"/>
      <c r="BXL124" s="0"/>
      <c r="BXM124" s="0"/>
      <c r="BXN124" s="0"/>
      <c r="BXO124" s="0"/>
      <c r="BXP124" s="0"/>
      <c r="BXQ124" s="0"/>
      <c r="BXR124" s="0"/>
      <c r="BXS124" s="0"/>
      <c r="BXT124" s="0"/>
      <c r="BXU124" s="0"/>
      <c r="BXV124" s="0"/>
      <c r="BXW124" s="0"/>
      <c r="BXX124" s="0"/>
      <c r="BXY124" s="0"/>
      <c r="BXZ124" s="0"/>
      <c r="BYA124" s="0"/>
      <c r="BYB124" s="0"/>
      <c r="BYC124" s="0"/>
      <c r="BYD124" s="0"/>
      <c r="BYE124" s="0"/>
      <c r="BYF124" s="0"/>
      <c r="BYG124" s="0"/>
      <c r="BYH124" s="0"/>
      <c r="BYI124" s="0"/>
      <c r="BYJ124" s="0"/>
      <c r="BYK124" s="0"/>
      <c r="BYL124" s="0"/>
      <c r="BYM124" s="0"/>
      <c r="BYN124" s="0"/>
      <c r="BYO124" s="0"/>
      <c r="BYP124" s="0"/>
      <c r="BYQ124" s="0"/>
      <c r="BYR124" s="0"/>
      <c r="BYS124" s="0"/>
      <c r="BYT124" s="0"/>
      <c r="BYU124" s="0"/>
      <c r="BYV124" s="0"/>
      <c r="BYW124" s="0"/>
      <c r="BYX124" s="0"/>
      <c r="BYY124" s="0"/>
      <c r="BYZ124" s="0"/>
      <c r="BZA124" s="0"/>
      <c r="BZB124" s="0"/>
      <c r="BZC124" s="0"/>
      <c r="BZD124" s="0"/>
      <c r="BZE124" s="0"/>
      <c r="BZF124" s="0"/>
      <c r="BZG124" s="0"/>
      <c r="BZH124" s="0"/>
      <c r="BZI124" s="0"/>
      <c r="BZJ124" s="0"/>
      <c r="BZK124" s="0"/>
      <c r="BZL124" s="0"/>
      <c r="BZM124" s="0"/>
      <c r="BZN124" s="0"/>
      <c r="BZO124" s="0"/>
      <c r="BZP124" s="0"/>
      <c r="BZQ124" s="0"/>
      <c r="BZR124" s="0"/>
      <c r="BZS124" s="0"/>
      <c r="BZT124" s="0"/>
      <c r="BZU124" s="0"/>
      <c r="BZV124" s="0"/>
      <c r="BZW124" s="0"/>
      <c r="BZX124" s="0"/>
      <c r="BZY124" s="0"/>
      <c r="BZZ124" s="0"/>
      <c r="CAA124" s="0"/>
      <c r="CAB124" s="0"/>
      <c r="CAC124" s="0"/>
      <c r="CAD124" s="0"/>
      <c r="CAE124" s="0"/>
      <c r="CAF124" s="0"/>
      <c r="CAG124" s="0"/>
      <c r="CAH124" s="0"/>
      <c r="CAI124" s="0"/>
      <c r="CAJ124" s="0"/>
      <c r="CAK124" s="0"/>
      <c r="CAL124" s="0"/>
      <c r="CAM124" s="0"/>
      <c r="CAN124" s="0"/>
      <c r="CAO124" s="0"/>
      <c r="CAP124" s="0"/>
      <c r="CAQ124" s="0"/>
      <c r="CAR124" s="0"/>
      <c r="CAS124" s="0"/>
      <c r="CAT124" s="0"/>
      <c r="CAU124" s="0"/>
      <c r="CAV124" s="0"/>
      <c r="CAW124" s="0"/>
      <c r="CAX124" s="0"/>
      <c r="CAY124" s="0"/>
      <c r="CAZ124" s="0"/>
      <c r="CBA124" s="0"/>
      <c r="CBB124" s="0"/>
      <c r="CBC124" s="0"/>
      <c r="CBD124" s="0"/>
      <c r="CBE124" s="0"/>
      <c r="CBF124" s="0"/>
      <c r="CBG124" s="0"/>
      <c r="CBH124" s="0"/>
      <c r="CBI124" s="0"/>
      <c r="CBJ124" s="0"/>
      <c r="CBK124" s="0"/>
      <c r="CBL124" s="0"/>
      <c r="CBM124" s="0"/>
      <c r="CBN124" s="0"/>
      <c r="CBO124" s="0"/>
      <c r="CBP124" s="0"/>
      <c r="CBQ124" s="0"/>
      <c r="CBR124" s="0"/>
      <c r="CBS124" s="0"/>
      <c r="CBT124" s="0"/>
      <c r="CBU124" s="0"/>
      <c r="CBV124" s="0"/>
      <c r="CBW124" s="0"/>
      <c r="CBX124" s="0"/>
      <c r="CBY124" s="0"/>
      <c r="CBZ124" s="0"/>
      <c r="CCA124" s="0"/>
      <c r="CCB124" s="0"/>
      <c r="CCC124" s="0"/>
      <c r="CCD124" s="0"/>
      <c r="CCE124" s="0"/>
      <c r="CCF124" s="0"/>
      <c r="CCG124" s="0"/>
      <c r="CCH124" s="0"/>
      <c r="CCI124" s="0"/>
      <c r="CCJ124" s="0"/>
      <c r="CCK124" s="0"/>
      <c r="CCL124" s="0"/>
      <c r="CCM124" s="0"/>
      <c r="CCN124" s="0"/>
      <c r="CCO124" s="0"/>
      <c r="CCP124" s="0"/>
      <c r="CCQ124" s="0"/>
      <c r="CCR124" s="0"/>
      <c r="CCS124" s="0"/>
      <c r="CCT124" s="0"/>
      <c r="CCU124" s="0"/>
      <c r="CCV124" s="0"/>
      <c r="CCW124" s="0"/>
      <c r="CCX124" s="0"/>
      <c r="CCY124" s="0"/>
      <c r="CCZ124" s="0"/>
      <c r="CDA124" s="0"/>
      <c r="CDB124" s="0"/>
      <c r="CDC124" s="0"/>
      <c r="CDD124" s="0"/>
      <c r="CDE124" s="0"/>
      <c r="CDF124" s="0"/>
      <c r="CDG124" s="0"/>
      <c r="CDH124" s="0"/>
      <c r="CDI124" s="0"/>
      <c r="CDJ124" s="0"/>
      <c r="CDK124" s="0"/>
      <c r="CDL124" s="0"/>
      <c r="CDM124" s="0"/>
      <c r="CDN124" s="0"/>
      <c r="CDO124" s="0"/>
      <c r="CDP124" s="0"/>
      <c r="CDQ124" s="0"/>
      <c r="CDR124" s="0"/>
      <c r="CDS124" s="0"/>
      <c r="CDT124" s="0"/>
      <c r="CDU124" s="0"/>
      <c r="CDV124" s="0"/>
      <c r="CDW124" s="0"/>
      <c r="CDX124" s="0"/>
      <c r="CDY124" s="0"/>
      <c r="CDZ124" s="0"/>
      <c r="CEA124" s="0"/>
      <c r="CEB124" s="0"/>
      <c r="CEC124" s="0"/>
      <c r="CED124" s="0"/>
      <c r="CEE124" s="0"/>
      <c r="CEF124" s="0"/>
      <c r="CEG124" s="0"/>
      <c r="CEH124" s="0"/>
      <c r="CEI124" s="0"/>
      <c r="CEJ124" s="0"/>
      <c r="CEK124" s="0"/>
      <c r="CEL124" s="0"/>
      <c r="CEM124" s="0"/>
      <c r="CEN124" s="0"/>
      <c r="CEO124" s="0"/>
      <c r="CEP124" s="0"/>
      <c r="CEQ124" s="0"/>
      <c r="CER124" s="0"/>
      <c r="CES124" s="0"/>
      <c r="CET124" s="0"/>
      <c r="CEU124" s="0"/>
      <c r="CEV124" s="0"/>
      <c r="CEW124" s="0"/>
      <c r="CEX124" s="0"/>
      <c r="CEY124" s="0"/>
      <c r="CEZ124" s="0"/>
      <c r="CFA124" s="0"/>
      <c r="CFB124" s="0"/>
      <c r="CFC124" s="0"/>
      <c r="CFD124" s="0"/>
      <c r="CFE124" s="0"/>
      <c r="CFF124" s="0"/>
      <c r="CFG124" s="0"/>
      <c r="CFH124" s="0"/>
      <c r="CFI124" s="0"/>
      <c r="CFJ124" s="0"/>
      <c r="CFK124" s="0"/>
      <c r="CFL124" s="0"/>
      <c r="CFM124" s="0"/>
      <c r="CFN124" s="0"/>
      <c r="CFO124" s="0"/>
      <c r="CFP124" s="0"/>
      <c r="CFQ124" s="0"/>
      <c r="CFR124" s="0"/>
      <c r="CFS124" s="0"/>
      <c r="CFT124" s="0"/>
      <c r="CFU124" s="0"/>
      <c r="CFV124" s="0"/>
      <c r="CFW124" s="0"/>
      <c r="CFX124" s="0"/>
      <c r="CFY124" s="0"/>
      <c r="CFZ124" s="0"/>
      <c r="CGA124" s="0"/>
      <c r="CGB124" s="0"/>
      <c r="CGC124" s="0"/>
      <c r="CGD124" s="0"/>
      <c r="CGE124" s="0"/>
      <c r="CGF124" s="0"/>
      <c r="CGG124" s="0"/>
      <c r="CGH124" s="0"/>
      <c r="CGI124" s="0"/>
      <c r="CGJ124" s="0"/>
      <c r="CGK124" s="0"/>
      <c r="CGL124" s="0"/>
      <c r="CGM124" s="0"/>
      <c r="CGN124" s="0"/>
      <c r="CGO124" s="0"/>
      <c r="CGP124" s="0"/>
      <c r="CGQ124" s="0"/>
      <c r="CGR124" s="0"/>
      <c r="CGS124" s="0"/>
      <c r="CGT124" s="0"/>
      <c r="CGU124" s="0"/>
      <c r="CGV124" s="0"/>
      <c r="CGW124" s="0"/>
      <c r="CGX124" s="0"/>
      <c r="CGY124" s="0"/>
      <c r="CGZ124" s="0"/>
      <c r="CHA124" s="0"/>
      <c r="CHB124" s="0"/>
      <c r="CHC124" s="0"/>
      <c r="CHD124" s="0"/>
      <c r="CHE124" s="0"/>
      <c r="CHF124" s="0"/>
      <c r="CHG124" s="0"/>
      <c r="CHH124" s="0"/>
      <c r="CHI124" s="0"/>
      <c r="CHJ124" s="0"/>
      <c r="CHK124" s="0"/>
      <c r="CHL124" s="0"/>
      <c r="CHM124" s="0"/>
      <c r="CHN124" s="0"/>
      <c r="CHO124" s="0"/>
      <c r="CHP124" s="0"/>
      <c r="CHQ124" s="0"/>
      <c r="CHR124" s="0"/>
      <c r="CHS124" s="0"/>
      <c r="CHT124" s="0"/>
      <c r="CHU124" s="0"/>
      <c r="CHV124" s="0"/>
      <c r="CHW124" s="0"/>
      <c r="CHX124" s="0"/>
      <c r="CHY124" s="0"/>
      <c r="CHZ124" s="0"/>
      <c r="CIA124" s="0"/>
      <c r="CIB124" s="0"/>
      <c r="CIC124" s="0"/>
      <c r="CID124" s="0"/>
      <c r="CIE124" s="0"/>
      <c r="CIF124" s="0"/>
      <c r="CIG124" s="0"/>
      <c r="CIH124" s="0"/>
      <c r="CII124" s="0"/>
      <c r="CIJ124" s="0"/>
      <c r="CIK124" s="0"/>
      <c r="CIL124" s="0"/>
      <c r="CIM124" s="0"/>
      <c r="CIN124" s="0"/>
      <c r="CIO124" s="0"/>
      <c r="CIP124" s="0"/>
      <c r="CIQ124" s="0"/>
      <c r="CIR124" s="0"/>
      <c r="CIS124" s="0"/>
      <c r="CIT124" s="0"/>
      <c r="CIU124" s="0"/>
      <c r="CIV124" s="0"/>
      <c r="CIW124" s="0"/>
      <c r="CIX124" s="0"/>
      <c r="CIY124" s="0"/>
      <c r="CIZ124" s="0"/>
      <c r="CJA124" s="0"/>
      <c r="CJB124" s="0"/>
      <c r="CJC124" s="0"/>
      <c r="CJD124" s="0"/>
      <c r="CJE124" s="0"/>
      <c r="CJF124" s="0"/>
      <c r="CJG124" s="0"/>
      <c r="CJH124" s="0"/>
      <c r="CJI124" s="0"/>
      <c r="CJJ124" s="0"/>
      <c r="CJK124" s="0"/>
      <c r="CJL124" s="0"/>
      <c r="CJM124" s="0"/>
      <c r="CJN124" s="0"/>
      <c r="CJO124" s="0"/>
      <c r="CJP124" s="0"/>
      <c r="CJQ124" s="0"/>
      <c r="CJR124" s="0"/>
      <c r="CJS124" s="0"/>
      <c r="CJT124" s="0"/>
      <c r="CJU124" s="0"/>
      <c r="CJV124" s="0"/>
      <c r="CJW124" s="0"/>
      <c r="CJX124" s="0"/>
      <c r="CJY124" s="0"/>
      <c r="CJZ124" s="0"/>
      <c r="CKA124" s="0"/>
      <c r="CKB124" s="0"/>
      <c r="CKC124" s="0"/>
      <c r="CKD124" s="0"/>
      <c r="CKE124" s="0"/>
      <c r="CKF124" s="0"/>
      <c r="CKG124" s="0"/>
      <c r="CKH124" s="0"/>
      <c r="CKI124" s="0"/>
      <c r="CKJ124" s="0"/>
      <c r="CKK124" s="0"/>
      <c r="CKL124" s="0"/>
      <c r="CKM124" s="0"/>
      <c r="CKN124" s="0"/>
      <c r="CKO124" s="0"/>
      <c r="CKP124" s="0"/>
      <c r="CKQ124" s="0"/>
      <c r="CKR124" s="0"/>
      <c r="CKS124" s="0"/>
      <c r="CKT124" s="0"/>
      <c r="CKU124" s="0"/>
      <c r="CKV124" s="0"/>
      <c r="CKW124" s="0"/>
      <c r="CKX124" s="0"/>
      <c r="CKY124" s="0"/>
      <c r="CKZ124" s="0"/>
      <c r="CLA124" s="0"/>
      <c r="CLB124" s="0"/>
      <c r="CLC124" s="0"/>
      <c r="CLD124" s="0"/>
      <c r="CLE124" s="0"/>
      <c r="CLF124" s="0"/>
      <c r="CLG124" s="0"/>
      <c r="CLH124" s="0"/>
      <c r="CLI124" s="0"/>
      <c r="CLJ124" s="0"/>
      <c r="CLK124" s="0"/>
      <c r="CLL124" s="0"/>
      <c r="CLM124" s="0"/>
      <c r="CLN124" s="0"/>
      <c r="CLO124" s="0"/>
      <c r="CLP124" s="0"/>
      <c r="CLQ124" s="0"/>
      <c r="CLR124" s="0"/>
      <c r="CLS124" s="0"/>
      <c r="CLT124" s="0"/>
      <c r="CLU124" s="0"/>
      <c r="CLV124" s="0"/>
      <c r="CLW124" s="0"/>
      <c r="CLX124" s="0"/>
      <c r="CLY124" s="0"/>
      <c r="CLZ124" s="0"/>
      <c r="CMA124" s="0"/>
      <c r="CMB124" s="0"/>
      <c r="CMC124" s="0"/>
      <c r="CMD124" s="0"/>
      <c r="CME124" s="0"/>
      <c r="CMF124" s="0"/>
      <c r="CMG124" s="0"/>
      <c r="CMH124" s="0"/>
      <c r="CMI124" s="0"/>
      <c r="CMJ124" s="0"/>
      <c r="CMK124" s="0"/>
      <c r="CML124" s="0"/>
      <c r="CMM124" s="0"/>
      <c r="CMN124" s="0"/>
      <c r="CMO124" s="0"/>
      <c r="CMP124" s="0"/>
      <c r="CMQ124" s="0"/>
      <c r="CMR124" s="0"/>
      <c r="CMS124" s="0"/>
      <c r="CMT124" s="0"/>
      <c r="CMU124" s="0"/>
      <c r="CMV124" s="0"/>
      <c r="CMW124" s="0"/>
      <c r="CMX124" s="0"/>
      <c r="CMY124" s="0"/>
      <c r="CMZ124" s="0"/>
      <c r="CNA124" s="0"/>
      <c r="CNB124" s="0"/>
      <c r="CNC124" s="0"/>
      <c r="CND124" s="0"/>
      <c r="CNE124" s="0"/>
      <c r="CNF124" s="0"/>
      <c r="CNG124" s="0"/>
      <c r="CNH124" s="0"/>
      <c r="CNI124" s="0"/>
      <c r="CNJ124" s="0"/>
      <c r="CNK124" s="0"/>
      <c r="CNL124" s="0"/>
      <c r="CNM124" s="0"/>
      <c r="CNN124" s="0"/>
      <c r="CNO124" s="0"/>
      <c r="CNP124" s="0"/>
      <c r="CNQ124" s="0"/>
      <c r="CNR124" s="0"/>
      <c r="CNS124" s="0"/>
      <c r="CNT124" s="0"/>
      <c r="CNU124" s="0"/>
      <c r="CNV124" s="0"/>
      <c r="CNW124" s="0"/>
      <c r="CNX124" s="0"/>
      <c r="CNY124" s="0"/>
      <c r="CNZ124" s="0"/>
      <c r="COA124" s="0"/>
      <c r="COB124" s="0"/>
      <c r="COC124" s="0"/>
      <c r="COD124" s="0"/>
      <c r="COE124" s="0"/>
      <c r="COF124" s="0"/>
      <c r="COG124" s="0"/>
      <c r="COH124" s="0"/>
      <c r="COI124" s="0"/>
      <c r="COJ124" s="0"/>
      <c r="COK124" s="0"/>
      <c r="COL124" s="0"/>
      <c r="COM124" s="0"/>
      <c r="CON124" s="0"/>
      <c r="COO124" s="0"/>
      <c r="COP124" s="0"/>
      <c r="COQ124" s="0"/>
      <c r="COR124" s="0"/>
      <c r="COS124" s="0"/>
      <c r="COT124" s="0"/>
      <c r="COU124" s="0"/>
      <c r="COV124" s="0"/>
      <c r="COW124" s="0"/>
      <c r="COX124" s="0"/>
      <c r="COY124" s="0"/>
      <c r="COZ124" s="0"/>
      <c r="CPA124" s="0"/>
      <c r="CPB124" s="0"/>
      <c r="CPC124" s="0"/>
      <c r="CPD124" s="0"/>
      <c r="CPE124" s="0"/>
      <c r="CPF124" s="0"/>
      <c r="CPG124" s="0"/>
      <c r="CPH124" s="0"/>
      <c r="CPI124" s="0"/>
      <c r="CPJ124" s="0"/>
      <c r="CPK124" s="0"/>
      <c r="CPL124" s="0"/>
      <c r="CPM124" s="0"/>
      <c r="CPN124" s="0"/>
      <c r="CPO124" s="0"/>
      <c r="CPP124" s="0"/>
      <c r="CPQ124" s="0"/>
      <c r="CPR124" s="0"/>
      <c r="CPS124" s="0"/>
      <c r="CPT124" s="0"/>
      <c r="CPU124" s="0"/>
      <c r="CPV124" s="0"/>
      <c r="CPW124" s="0"/>
      <c r="CPX124" s="0"/>
      <c r="CPY124" s="0"/>
      <c r="CPZ124" s="0"/>
      <c r="CQA124" s="0"/>
      <c r="CQB124" s="0"/>
      <c r="CQC124" s="0"/>
      <c r="CQD124" s="0"/>
      <c r="CQE124" s="0"/>
      <c r="CQF124" s="0"/>
      <c r="CQG124" s="0"/>
      <c r="CQH124" s="0"/>
      <c r="CQI124" s="0"/>
      <c r="CQJ124" s="0"/>
      <c r="CQK124" s="0"/>
      <c r="CQL124" s="0"/>
      <c r="CQM124" s="0"/>
      <c r="CQN124" s="0"/>
      <c r="CQO124" s="0"/>
      <c r="CQP124" s="0"/>
      <c r="CQQ124" s="0"/>
      <c r="CQR124" s="0"/>
      <c r="CQS124" s="0"/>
      <c r="CQT124" s="0"/>
      <c r="CQU124" s="0"/>
      <c r="CQV124" s="0"/>
      <c r="CQW124" s="0"/>
      <c r="CQX124" s="0"/>
      <c r="CQY124" s="0"/>
      <c r="CQZ124" s="0"/>
      <c r="CRA124" s="0"/>
      <c r="CRB124" s="0"/>
      <c r="CRC124" s="0"/>
      <c r="CRD124" s="0"/>
      <c r="CRE124" s="0"/>
      <c r="CRF124" s="0"/>
      <c r="CRG124" s="0"/>
      <c r="CRH124" s="0"/>
      <c r="CRI124" s="0"/>
      <c r="CRJ124" s="0"/>
      <c r="CRK124" s="0"/>
      <c r="CRL124" s="0"/>
      <c r="CRM124" s="0"/>
      <c r="CRN124" s="0"/>
      <c r="CRO124" s="0"/>
      <c r="CRP124" s="0"/>
      <c r="CRQ124" s="0"/>
      <c r="CRR124" s="0"/>
      <c r="CRS124" s="0"/>
      <c r="CRT124" s="0"/>
      <c r="CRU124" s="0"/>
      <c r="CRV124" s="0"/>
      <c r="CRW124" s="0"/>
      <c r="CRX124" s="0"/>
      <c r="CRY124" s="0"/>
      <c r="CRZ124" s="0"/>
      <c r="CSA124" s="0"/>
      <c r="CSB124" s="0"/>
      <c r="CSC124" s="0"/>
      <c r="CSD124" s="0"/>
      <c r="CSE124" s="0"/>
      <c r="CSF124" s="0"/>
      <c r="CSG124" s="0"/>
      <c r="CSH124" s="0"/>
      <c r="CSI124" s="0"/>
      <c r="CSJ124" s="0"/>
      <c r="CSK124" s="0"/>
      <c r="CSL124" s="0"/>
      <c r="CSM124" s="0"/>
      <c r="CSN124" s="0"/>
      <c r="CSO124" s="0"/>
      <c r="CSP124" s="0"/>
      <c r="CSQ124" s="0"/>
      <c r="CSR124" s="0"/>
      <c r="CSS124" s="0"/>
      <c r="CST124" s="0"/>
      <c r="CSU124" s="0"/>
      <c r="CSV124" s="0"/>
      <c r="CSW124" s="0"/>
      <c r="CSX124" s="0"/>
      <c r="CSY124" s="0"/>
      <c r="CSZ124" s="0"/>
      <c r="CTA124" s="0"/>
      <c r="CTB124" s="0"/>
      <c r="CTC124" s="0"/>
      <c r="CTD124" s="0"/>
      <c r="CTE124" s="0"/>
      <c r="CTF124" s="0"/>
      <c r="CTG124" s="0"/>
      <c r="CTH124" s="0"/>
      <c r="CTI124" s="0"/>
      <c r="CTJ124" s="0"/>
      <c r="CTK124" s="0"/>
      <c r="CTL124" s="0"/>
      <c r="CTM124" s="0"/>
      <c r="CTN124" s="0"/>
      <c r="CTO124" s="0"/>
      <c r="CTP124" s="0"/>
      <c r="CTQ124" s="0"/>
      <c r="CTR124" s="0"/>
      <c r="CTS124" s="0"/>
      <c r="CTT124" s="0"/>
      <c r="CTU124" s="0"/>
      <c r="CTV124" s="0"/>
      <c r="CTW124" s="0"/>
      <c r="CTX124" s="0"/>
      <c r="CTY124" s="0"/>
      <c r="CTZ124" s="0"/>
      <c r="CUA124" s="0"/>
      <c r="CUB124" s="0"/>
      <c r="CUC124" s="0"/>
      <c r="CUD124" s="0"/>
      <c r="CUE124" s="0"/>
      <c r="CUF124" s="0"/>
      <c r="CUG124" s="0"/>
      <c r="CUH124" s="0"/>
      <c r="CUI124" s="0"/>
      <c r="CUJ124" s="0"/>
      <c r="CUK124" s="0"/>
      <c r="CUL124" s="0"/>
      <c r="CUM124" s="0"/>
      <c r="CUN124" s="0"/>
      <c r="CUO124" s="0"/>
      <c r="CUP124" s="0"/>
      <c r="CUQ124" s="0"/>
      <c r="CUR124" s="0"/>
      <c r="CUS124" s="0"/>
      <c r="CUT124" s="0"/>
      <c r="CUU124" s="0"/>
      <c r="CUV124" s="0"/>
      <c r="CUW124" s="0"/>
      <c r="CUX124" s="0"/>
      <c r="CUY124" s="0"/>
      <c r="CUZ124" s="0"/>
      <c r="CVA124" s="0"/>
      <c r="CVB124" s="0"/>
      <c r="CVC124" s="0"/>
      <c r="CVD124" s="0"/>
      <c r="CVE124" s="0"/>
      <c r="CVF124" s="0"/>
      <c r="CVG124" s="0"/>
      <c r="CVH124" s="0"/>
      <c r="CVI124" s="0"/>
      <c r="CVJ124" s="0"/>
      <c r="CVK124" s="0"/>
      <c r="CVL124" s="0"/>
      <c r="CVM124" s="0"/>
      <c r="CVN124" s="0"/>
      <c r="CVO124" s="0"/>
      <c r="CVP124" s="0"/>
      <c r="CVQ124" s="0"/>
      <c r="CVR124" s="0"/>
      <c r="CVS124" s="0"/>
      <c r="CVT124" s="0"/>
      <c r="CVU124" s="0"/>
      <c r="CVV124" s="0"/>
      <c r="CVW124" s="0"/>
      <c r="CVX124" s="0"/>
      <c r="CVY124" s="0"/>
      <c r="CVZ124" s="0"/>
      <c r="CWA124" s="0"/>
      <c r="CWB124" s="0"/>
      <c r="CWC124" s="0"/>
      <c r="CWD124" s="0"/>
      <c r="CWE124" s="0"/>
      <c r="CWF124" s="0"/>
      <c r="CWG124" s="0"/>
      <c r="CWH124" s="0"/>
      <c r="CWI124" s="0"/>
      <c r="CWJ124" s="0"/>
      <c r="CWK124" s="0"/>
      <c r="CWL124" s="0"/>
      <c r="CWM124" s="0"/>
      <c r="CWN124" s="0"/>
      <c r="CWO124" s="0"/>
      <c r="CWP124" s="0"/>
      <c r="CWQ124" s="0"/>
      <c r="CWR124" s="0"/>
      <c r="CWS124" s="0"/>
      <c r="CWT124" s="0"/>
      <c r="CWU124" s="0"/>
      <c r="CWV124" s="0"/>
      <c r="CWW124" s="0"/>
      <c r="CWX124" s="0"/>
      <c r="CWY124" s="0"/>
      <c r="CWZ124" s="0"/>
      <c r="CXA124" s="0"/>
      <c r="CXB124" s="0"/>
      <c r="CXC124" s="0"/>
      <c r="CXD124" s="0"/>
      <c r="CXE124" s="0"/>
      <c r="CXF124" s="0"/>
      <c r="CXG124" s="0"/>
      <c r="CXH124" s="0"/>
      <c r="CXI124" s="0"/>
      <c r="CXJ124" s="0"/>
      <c r="CXK124" s="0"/>
      <c r="CXL124" s="0"/>
      <c r="CXM124" s="0"/>
      <c r="CXN124" s="0"/>
      <c r="CXO124" s="0"/>
      <c r="CXP124" s="0"/>
      <c r="CXQ124" s="0"/>
      <c r="CXR124" s="0"/>
      <c r="CXS124" s="0"/>
      <c r="CXT124" s="0"/>
      <c r="CXU124" s="0"/>
      <c r="CXV124" s="0"/>
      <c r="CXW124" s="0"/>
      <c r="CXX124" s="0"/>
      <c r="CXY124" s="0"/>
      <c r="CXZ124" s="0"/>
      <c r="CYA124" s="0"/>
      <c r="CYB124" s="0"/>
      <c r="CYC124" s="0"/>
      <c r="CYD124" s="0"/>
      <c r="CYE124" s="0"/>
      <c r="CYF124" s="0"/>
      <c r="CYG124" s="0"/>
      <c r="CYH124" s="0"/>
      <c r="CYI124" s="0"/>
      <c r="CYJ124" s="0"/>
      <c r="CYK124" s="0"/>
      <c r="CYL124" s="0"/>
      <c r="CYM124" s="0"/>
      <c r="CYN124" s="0"/>
      <c r="CYO124" s="0"/>
      <c r="CYP124" s="0"/>
      <c r="CYQ124" s="0"/>
      <c r="CYR124" s="0"/>
      <c r="CYS124" s="0"/>
      <c r="CYT124" s="0"/>
      <c r="CYU124" s="0"/>
      <c r="CYV124" s="0"/>
      <c r="CYW124" s="0"/>
      <c r="CYX124" s="0"/>
      <c r="CYY124" s="0"/>
      <c r="CYZ124" s="0"/>
      <c r="CZA124" s="0"/>
      <c r="CZB124" s="0"/>
      <c r="CZC124" s="0"/>
      <c r="CZD124" s="0"/>
      <c r="CZE124" s="0"/>
      <c r="CZF124" s="0"/>
      <c r="CZG124" s="0"/>
      <c r="CZH124" s="0"/>
      <c r="CZI124" s="0"/>
      <c r="CZJ124" s="0"/>
      <c r="CZK124" s="0"/>
      <c r="CZL124" s="0"/>
      <c r="CZM124" s="0"/>
      <c r="CZN124" s="0"/>
      <c r="CZO124" s="0"/>
      <c r="CZP124" s="0"/>
      <c r="CZQ124" s="0"/>
      <c r="CZR124" s="0"/>
      <c r="CZS124" s="0"/>
      <c r="CZT124" s="0"/>
      <c r="CZU124" s="0"/>
      <c r="CZV124" s="0"/>
      <c r="CZW124" s="0"/>
      <c r="CZX124" s="0"/>
      <c r="CZY124" s="0"/>
      <c r="CZZ124" s="0"/>
      <c r="DAA124" s="0"/>
      <c r="DAB124" s="0"/>
      <c r="DAC124" s="0"/>
      <c r="DAD124" s="0"/>
      <c r="DAE124" s="0"/>
      <c r="DAF124" s="0"/>
      <c r="DAG124" s="0"/>
      <c r="DAH124" s="0"/>
      <c r="DAI124" s="0"/>
      <c r="DAJ124" s="0"/>
      <c r="DAK124" s="0"/>
      <c r="DAL124" s="0"/>
      <c r="DAM124" s="0"/>
      <c r="DAN124" s="0"/>
      <c r="DAO124" s="0"/>
      <c r="DAP124" s="0"/>
      <c r="DAQ124" s="0"/>
      <c r="DAR124" s="0"/>
      <c r="DAS124" s="0"/>
      <c r="DAT124" s="0"/>
      <c r="DAU124" s="0"/>
      <c r="DAV124" s="0"/>
      <c r="DAW124" s="0"/>
      <c r="DAX124" s="0"/>
      <c r="DAY124" s="0"/>
      <c r="DAZ124" s="0"/>
      <c r="DBA124" s="0"/>
      <c r="DBB124" s="0"/>
      <c r="DBC124" s="0"/>
      <c r="DBD124" s="0"/>
      <c r="DBE124" s="0"/>
      <c r="DBF124" s="0"/>
      <c r="DBG124" s="0"/>
      <c r="DBH124" s="0"/>
      <c r="DBI124" s="0"/>
      <c r="DBJ124" s="0"/>
      <c r="DBK124" s="0"/>
      <c r="DBL124" s="0"/>
      <c r="DBM124" s="0"/>
      <c r="DBN124" s="0"/>
      <c r="DBO124" s="0"/>
      <c r="DBP124" s="0"/>
      <c r="DBQ124" s="0"/>
      <c r="DBR124" s="0"/>
      <c r="DBS124" s="0"/>
      <c r="DBT124" s="0"/>
      <c r="DBU124" s="0"/>
      <c r="DBV124" s="0"/>
      <c r="DBW124" s="0"/>
      <c r="DBX124" s="0"/>
      <c r="DBY124" s="0"/>
      <c r="DBZ124" s="0"/>
      <c r="DCA124" s="0"/>
      <c r="DCB124" s="0"/>
      <c r="DCC124" s="0"/>
      <c r="DCD124" s="0"/>
      <c r="DCE124" s="0"/>
      <c r="DCF124" s="0"/>
      <c r="DCG124" s="0"/>
      <c r="DCH124" s="0"/>
      <c r="DCI124" s="0"/>
      <c r="DCJ124" s="0"/>
      <c r="DCK124" s="0"/>
      <c r="DCL124" s="0"/>
      <c r="DCM124" s="0"/>
      <c r="DCN124" s="0"/>
      <c r="DCO124" s="0"/>
      <c r="DCP124" s="0"/>
      <c r="DCQ124" s="0"/>
      <c r="DCR124" s="0"/>
      <c r="DCS124" s="0"/>
      <c r="DCT124" s="0"/>
      <c r="DCU124" s="0"/>
      <c r="DCV124" s="0"/>
      <c r="DCW124" s="0"/>
      <c r="DCX124" s="0"/>
      <c r="DCY124" s="0"/>
      <c r="DCZ124" s="0"/>
      <c r="DDA124" s="0"/>
      <c r="DDB124" s="0"/>
      <c r="DDC124" s="0"/>
      <c r="DDD124" s="0"/>
      <c r="DDE124" s="0"/>
      <c r="DDF124" s="0"/>
      <c r="DDG124" s="0"/>
      <c r="DDH124" s="0"/>
      <c r="DDI124" s="0"/>
      <c r="DDJ124" s="0"/>
      <c r="DDK124" s="0"/>
      <c r="DDL124" s="0"/>
      <c r="DDM124" s="0"/>
      <c r="DDN124" s="0"/>
      <c r="DDO124" s="0"/>
      <c r="DDP124" s="0"/>
      <c r="DDQ124" s="0"/>
      <c r="DDR124" s="0"/>
      <c r="DDS124" s="0"/>
      <c r="DDT124" s="0"/>
      <c r="DDU124" s="0"/>
      <c r="DDV124" s="0"/>
      <c r="DDW124" s="0"/>
      <c r="DDX124" s="0"/>
      <c r="DDY124" s="0"/>
      <c r="DDZ124" s="0"/>
      <c r="DEA124" s="0"/>
      <c r="DEB124" s="0"/>
      <c r="DEC124" s="0"/>
      <c r="DED124" s="0"/>
      <c r="DEE124" s="0"/>
      <c r="DEF124" s="0"/>
      <c r="DEG124" s="0"/>
      <c r="DEH124" s="0"/>
      <c r="DEI124" s="0"/>
      <c r="DEJ124" s="0"/>
      <c r="DEK124" s="0"/>
      <c r="DEL124" s="0"/>
      <c r="DEM124" s="0"/>
      <c r="DEN124" s="0"/>
      <c r="DEO124" s="0"/>
      <c r="DEP124" s="0"/>
      <c r="DEQ124" s="0"/>
      <c r="DER124" s="0"/>
      <c r="DES124" s="0"/>
      <c r="DET124" s="0"/>
      <c r="DEU124" s="0"/>
      <c r="DEV124" s="0"/>
      <c r="DEW124" s="0"/>
      <c r="DEX124" s="0"/>
      <c r="DEY124" s="0"/>
      <c r="DEZ124" s="0"/>
      <c r="DFA124" s="0"/>
      <c r="DFB124" s="0"/>
      <c r="DFC124" s="0"/>
      <c r="DFD124" s="0"/>
      <c r="DFE124" s="0"/>
      <c r="DFF124" s="0"/>
      <c r="DFG124" s="0"/>
      <c r="DFH124" s="0"/>
      <c r="DFI124" s="0"/>
      <c r="DFJ124" s="0"/>
      <c r="DFK124" s="0"/>
      <c r="DFL124" s="0"/>
      <c r="DFM124" s="0"/>
      <c r="DFN124" s="0"/>
      <c r="DFO124" s="0"/>
      <c r="DFP124" s="0"/>
      <c r="DFQ124" s="0"/>
      <c r="DFR124" s="0"/>
      <c r="DFS124" s="0"/>
      <c r="DFT124" s="0"/>
      <c r="DFU124" s="0"/>
      <c r="DFV124" s="0"/>
      <c r="DFW124" s="0"/>
      <c r="DFX124" s="0"/>
      <c r="DFY124" s="0"/>
      <c r="DFZ124" s="0"/>
      <c r="DGA124" s="0"/>
      <c r="DGB124" s="0"/>
      <c r="DGC124" s="0"/>
      <c r="DGD124" s="0"/>
      <c r="DGE124" s="0"/>
      <c r="DGF124" s="0"/>
      <c r="DGG124" s="0"/>
      <c r="DGH124" s="0"/>
      <c r="DGI124" s="0"/>
      <c r="DGJ124" s="0"/>
      <c r="DGK124" s="0"/>
      <c r="DGL124" s="0"/>
      <c r="DGM124" s="0"/>
      <c r="DGN124" s="0"/>
      <c r="DGO124" s="0"/>
      <c r="DGP124" s="0"/>
      <c r="DGQ124" s="0"/>
      <c r="DGR124" s="0"/>
      <c r="DGS124" s="0"/>
      <c r="DGT124" s="0"/>
      <c r="DGU124" s="0"/>
      <c r="DGV124" s="0"/>
      <c r="DGW124" s="0"/>
      <c r="DGX124" s="0"/>
      <c r="DGY124" s="0"/>
      <c r="DGZ124" s="0"/>
      <c r="DHA124" s="0"/>
      <c r="DHB124" s="0"/>
      <c r="DHC124" s="0"/>
      <c r="DHD124" s="0"/>
      <c r="DHE124" s="0"/>
      <c r="DHF124" s="0"/>
      <c r="DHG124" s="0"/>
      <c r="DHH124" s="0"/>
      <c r="DHI124" s="0"/>
      <c r="DHJ124" s="0"/>
      <c r="DHK124" s="0"/>
      <c r="DHL124" s="0"/>
      <c r="DHM124" s="0"/>
      <c r="DHN124" s="0"/>
      <c r="DHO124" s="0"/>
      <c r="DHP124" s="0"/>
      <c r="DHQ124" s="0"/>
      <c r="DHR124" s="0"/>
      <c r="DHS124" s="0"/>
      <c r="DHT124" s="0"/>
      <c r="DHU124" s="0"/>
      <c r="DHV124" s="0"/>
      <c r="DHW124" s="0"/>
      <c r="DHX124" s="0"/>
      <c r="DHY124" s="0"/>
      <c r="DHZ124" s="0"/>
      <c r="DIA124" s="0"/>
      <c r="DIB124" s="0"/>
      <c r="DIC124" s="0"/>
      <c r="DID124" s="0"/>
      <c r="DIE124" s="0"/>
      <c r="DIF124" s="0"/>
      <c r="DIG124" s="0"/>
      <c r="DIH124" s="0"/>
      <c r="DII124" s="0"/>
      <c r="DIJ124" s="0"/>
      <c r="DIK124" s="0"/>
      <c r="DIL124" s="0"/>
      <c r="DIM124" s="0"/>
      <c r="DIN124" s="0"/>
      <c r="DIO124" s="0"/>
      <c r="DIP124" s="0"/>
      <c r="DIQ124" s="0"/>
      <c r="DIR124" s="0"/>
      <c r="DIS124" s="0"/>
      <c r="DIT124" s="0"/>
      <c r="DIU124" s="0"/>
      <c r="DIV124" s="0"/>
      <c r="DIW124" s="0"/>
      <c r="DIX124" s="0"/>
      <c r="DIY124" s="0"/>
      <c r="DIZ124" s="0"/>
      <c r="DJA124" s="0"/>
      <c r="DJB124" s="0"/>
      <c r="DJC124" s="0"/>
      <c r="DJD124" s="0"/>
      <c r="DJE124" s="0"/>
      <c r="DJF124" s="0"/>
      <c r="DJG124" s="0"/>
      <c r="DJH124" s="0"/>
      <c r="DJI124" s="0"/>
      <c r="DJJ124" s="0"/>
      <c r="DJK124" s="0"/>
      <c r="DJL124" s="0"/>
      <c r="DJM124" s="0"/>
      <c r="DJN124" s="0"/>
      <c r="DJO124" s="0"/>
      <c r="DJP124" s="0"/>
      <c r="DJQ124" s="0"/>
      <c r="DJR124" s="0"/>
      <c r="DJS124" s="0"/>
      <c r="DJT124" s="0"/>
      <c r="DJU124" s="0"/>
      <c r="DJV124" s="0"/>
      <c r="DJW124" s="0"/>
      <c r="DJX124" s="0"/>
      <c r="DJY124" s="0"/>
      <c r="DJZ124" s="0"/>
      <c r="DKA124" s="0"/>
      <c r="DKB124" s="0"/>
      <c r="DKC124" s="0"/>
      <c r="DKD124" s="0"/>
      <c r="DKE124" s="0"/>
      <c r="DKF124" s="0"/>
      <c r="DKG124" s="0"/>
      <c r="DKH124" s="0"/>
      <c r="DKI124" s="0"/>
      <c r="DKJ124" s="0"/>
      <c r="DKK124" s="0"/>
      <c r="DKL124" s="0"/>
      <c r="DKM124" s="0"/>
      <c r="DKN124" s="0"/>
      <c r="DKO124" s="0"/>
      <c r="DKP124" s="0"/>
      <c r="DKQ124" s="0"/>
      <c r="DKR124" s="0"/>
      <c r="DKS124" s="0"/>
      <c r="DKT124" s="0"/>
      <c r="DKU124" s="0"/>
      <c r="DKV124" s="0"/>
      <c r="DKW124" s="0"/>
      <c r="DKX124" s="0"/>
      <c r="DKY124" s="0"/>
      <c r="DKZ124" s="0"/>
      <c r="DLA124" s="0"/>
      <c r="DLB124" s="0"/>
      <c r="DLC124" s="0"/>
      <c r="DLD124" s="0"/>
      <c r="DLE124" s="0"/>
      <c r="DLF124" s="0"/>
      <c r="DLG124" s="0"/>
      <c r="DLH124" s="0"/>
      <c r="DLI124" s="0"/>
      <c r="DLJ124" s="0"/>
      <c r="DLK124" s="0"/>
      <c r="DLL124" s="0"/>
      <c r="DLM124" s="0"/>
      <c r="DLN124" s="0"/>
      <c r="DLO124" s="0"/>
      <c r="DLP124" s="0"/>
      <c r="DLQ124" s="0"/>
      <c r="DLR124" s="0"/>
      <c r="DLS124" s="0"/>
      <c r="DLT124" s="0"/>
      <c r="DLU124" s="0"/>
      <c r="DLV124" s="0"/>
      <c r="DLW124" s="0"/>
      <c r="DLX124" s="0"/>
      <c r="DLY124" s="0"/>
      <c r="DLZ124" s="0"/>
      <c r="DMA124" s="0"/>
      <c r="DMB124" s="0"/>
      <c r="DMC124" s="0"/>
      <c r="DMD124" s="0"/>
      <c r="DME124" s="0"/>
      <c r="DMF124" s="0"/>
      <c r="DMG124" s="0"/>
      <c r="DMH124" s="0"/>
      <c r="DMI124" s="0"/>
      <c r="DMJ124" s="0"/>
      <c r="DMK124" s="0"/>
      <c r="DML124" s="0"/>
      <c r="DMM124" s="0"/>
      <c r="DMN124" s="0"/>
      <c r="DMO124" s="0"/>
      <c r="DMP124" s="0"/>
      <c r="DMQ124" s="0"/>
      <c r="DMR124" s="0"/>
      <c r="DMS124" s="0"/>
      <c r="DMT124" s="0"/>
      <c r="DMU124" s="0"/>
      <c r="DMV124" s="0"/>
      <c r="DMW124" s="0"/>
      <c r="DMX124" s="0"/>
      <c r="DMY124" s="0"/>
      <c r="DMZ124" s="0"/>
      <c r="DNA124" s="0"/>
      <c r="DNB124" s="0"/>
      <c r="DNC124" s="0"/>
      <c r="DND124" s="0"/>
      <c r="DNE124" s="0"/>
      <c r="DNF124" s="0"/>
      <c r="DNG124" s="0"/>
      <c r="DNH124" s="0"/>
      <c r="DNI124" s="0"/>
      <c r="DNJ124" s="0"/>
      <c r="DNK124" s="0"/>
      <c r="DNL124" s="0"/>
      <c r="DNM124" s="0"/>
      <c r="DNN124" s="0"/>
      <c r="DNO124" s="0"/>
      <c r="DNP124" s="0"/>
      <c r="DNQ124" s="0"/>
      <c r="DNR124" s="0"/>
      <c r="DNS124" s="0"/>
      <c r="DNT124" s="0"/>
      <c r="DNU124" s="0"/>
      <c r="DNV124" s="0"/>
      <c r="DNW124" s="0"/>
      <c r="DNX124" s="0"/>
      <c r="DNY124" s="0"/>
      <c r="DNZ124" s="0"/>
      <c r="DOA124" s="0"/>
      <c r="DOB124" s="0"/>
      <c r="DOC124" s="0"/>
      <c r="DOD124" s="0"/>
      <c r="DOE124" s="0"/>
      <c r="DOF124" s="0"/>
      <c r="DOG124" s="0"/>
      <c r="DOH124" s="0"/>
      <c r="DOI124" s="0"/>
      <c r="DOJ124" s="0"/>
      <c r="DOK124" s="0"/>
      <c r="DOL124" s="0"/>
      <c r="DOM124" s="0"/>
      <c r="DON124" s="0"/>
      <c r="DOO124" s="0"/>
      <c r="DOP124" s="0"/>
      <c r="DOQ124" s="0"/>
      <c r="DOR124" s="0"/>
      <c r="DOS124" s="0"/>
      <c r="DOT124" s="0"/>
      <c r="DOU124" s="0"/>
      <c r="DOV124" s="0"/>
      <c r="DOW124" s="0"/>
      <c r="DOX124" s="0"/>
      <c r="DOY124" s="0"/>
      <c r="DOZ124" s="0"/>
      <c r="DPA124" s="0"/>
      <c r="DPB124" s="0"/>
      <c r="DPC124" s="0"/>
      <c r="DPD124" s="0"/>
      <c r="DPE124" s="0"/>
      <c r="DPF124" s="0"/>
      <c r="DPG124" s="0"/>
      <c r="DPH124" s="0"/>
      <c r="DPI124" s="0"/>
      <c r="DPJ124" s="0"/>
      <c r="DPK124" s="0"/>
      <c r="DPL124" s="0"/>
      <c r="DPM124" s="0"/>
      <c r="DPN124" s="0"/>
      <c r="DPO124" s="0"/>
      <c r="DPP124" s="0"/>
      <c r="DPQ124" s="0"/>
      <c r="DPR124" s="0"/>
      <c r="DPS124" s="0"/>
      <c r="DPT124" s="0"/>
      <c r="DPU124" s="0"/>
      <c r="DPV124" s="0"/>
      <c r="DPW124" s="0"/>
      <c r="DPX124" s="0"/>
      <c r="DPY124" s="0"/>
      <c r="DPZ124" s="0"/>
      <c r="DQA124" s="0"/>
      <c r="DQB124" s="0"/>
      <c r="DQC124" s="0"/>
      <c r="DQD124" s="0"/>
      <c r="DQE124" s="0"/>
      <c r="DQF124" s="0"/>
      <c r="DQG124" s="0"/>
      <c r="DQH124" s="0"/>
      <c r="DQI124" s="0"/>
      <c r="DQJ124" s="0"/>
      <c r="DQK124" s="0"/>
      <c r="DQL124" s="0"/>
      <c r="DQM124" s="0"/>
      <c r="DQN124" s="0"/>
      <c r="DQO124" s="0"/>
      <c r="DQP124" s="0"/>
      <c r="DQQ124" s="0"/>
      <c r="DQR124" s="0"/>
      <c r="DQS124" s="0"/>
      <c r="DQT124" s="0"/>
      <c r="DQU124" s="0"/>
      <c r="DQV124" s="0"/>
      <c r="DQW124" s="0"/>
      <c r="DQX124" s="0"/>
      <c r="DQY124" s="0"/>
      <c r="DQZ124" s="0"/>
      <c r="DRA124" s="0"/>
      <c r="DRB124" s="0"/>
      <c r="DRC124" s="0"/>
      <c r="DRD124" s="0"/>
      <c r="DRE124" s="0"/>
      <c r="DRF124" s="0"/>
      <c r="DRG124" s="0"/>
      <c r="DRH124" s="0"/>
      <c r="DRI124" s="0"/>
      <c r="DRJ124" s="0"/>
      <c r="DRK124" s="0"/>
      <c r="DRL124" s="0"/>
      <c r="DRM124" s="0"/>
      <c r="DRN124" s="0"/>
      <c r="DRO124" s="0"/>
      <c r="DRP124" s="0"/>
      <c r="DRQ124" s="0"/>
      <c r="DRR124" s="0"/>
      <c r="DRS124" s="0"/>
      <c r="DRT124" s="0"/>
      <c r="DRU124" s="0"/>
      <c r="DRV124" s="0"/>
      <c r="DRW124" s="0"/>
      <c r="DRX124" s="0"/>
      <c r="DRY124" s="0"/>
      <c r="DRZ124" s="0"/>
      <c r="DSA124" s="0"/>
      <c r="DSB124" s="0"/>
      <c r="DSC124" s="0"/>
      <c r="DSD124" s="0"/>
      <c r="DSE124" s="0"/>
      <c r="DSF124" s="0"/>
      <c r="DSG124" s="0"/>
      <c r="DSH124" s="0"/>
      <c r="DSI124" s="0"/>
      <c r="DSJ124" s="0"/>
      <c r="DSK124" s="0"/>
      <c r="DSL124" s="0"/>
      <c r="DSM124" s="0"/>
      <c r="DSN124" s="0"/>
      <c r="DSO124" s="0"/>
      <c r="DSP124" s="0"/>
      <c r="DSQ124" s="0"/>
      <c r="DSR124" s="0"/>
      <c r="DSS124" s="0"/>
      <c r="DST124" s="0"/>
      <c r="DSU124" s="0"/>
      <c r="DSV124" s="0"/>
      <c r="DSW124" s="0"/>
      <c r="DSX124" s="0"/>
      <c r="DSY124" s="0"/>
      <c r="DSZ124" s="0"/>
      <c r="DTA124" s="0"/>
      <c r="DTB124" s="0"/>
      <c r="DTC124" s="0"/>
      <c r="DTD124" s="0"/>
      <c r="DTE124" s="0"/>
      <c r="DTF124" s="0"/>
      <c r="DTG124" s="0"/>
      <c r="DTH124" s="0"/>
      <c r="DTI124" s="0"/>
      <c r="DTJ124" s="0"/>
      <c r="DTK124" s="0"/>
      <c r="DTL124" s="0"/>
      <c r="DTM124" s="0"/>
      <c r="DTN124" s="0"/>
      <c r="DTO124" s="0"/>
      <c r="DTP124" s="0"/>
      <c r="DTQ124" s="0"/>
      <c r="DTR124" s="0"/>
      <c r="DTS124" s="0"/>
      <c r="DTT124" s="0"/>
      <c r="DTU124" s="0"/>
      <c r="DTV124" s="0"/>
      <c r="DTW124" s="0"/>
      <c r="DTX124" s="0"/>
      <c r="DTY124" s="0"/>
      <c r="DTZ124" s="0"/>
      <c r="DUA124" s="0"/>
      <c r="DUB124" s="0"/>
      <c r="DUC124" s="0"/>
      <c r="DUD124" s="0"/>
      <c r="DUE124" s="0"/>
      <c r="DUF124" s="0"/>
      <c r="DUG124" s="0"/>
      <c r="DUH124" s="0"/>
      <c r="DUI124" s="0"/>
      <c r="DUJ124" s="0"/>
      <c r="DUK124" s="0"/>
      <c r="DUL124" s="0"/>
      <c r="DUM124" s="0"/>
      <c r="DUN124" s="0"/>
      <c r="DUO124" s="0"/>
      <c r="DUP124" s="0"/>
      <c r="DUQ124" s="0"/>
      <c r="DUR124" s="0"/>
      <c r="DUS124" s="0"/>
      <c r="DUT124" s="0"/>
      <c r="DUU124" s="0"/>
      <c r="DUV124" s="0"/>
      <c r="DUW124" s="0"/>
      <c r="DUX124" s="0"/>
      <c r="DUY124" s="0"/>
      <c r="DUZ124" s="0"/>
      <c r="DVA124" s="0"/>
      <c r="DVB124" s="0"/>
      <c r="DVC124" s="0"/>
      <c r="DVD124" s="0"/>
      <c r="DVE124" s="0"/>
      <c r="DVF124" s="0"/>
      <c r="DVG124" s="0"/>
      <c r="DVH124" s="0"/>
      <c r="DVI124" s="0"/>
      <c r="DVJ124" s="0"/>
      <c r="DVK124" s="0"/>
      <c r="DVL124" s="0"/>
      <c r="DVM124" s="0"/>
      <c r="DVN124" s="0"/>
      <c r="DVO124" s="0"/>
      <c r="DVP124" s="0"/>
      <c r="DVQ124" s="0"/>
      <c r="DVR124" s="0"/>
      <c r="DVS124" s="0"/>
      <c r="DVT124" s="0"/>
      <c r="DVU124" s="0"/>
      <c r="DVV124" s="0"/>
      <c r="DVW124" s="0"/>
      <c r="DVX124" s="0"/>
      <c r="DVY124" s="0"/>
      <c r="DVZ124" s="0"/>
      <c r="DWA124" s="0"/>
      <c r="DWB124" s="0"/>
      <c r="DWC124" s="0"/>
      <c r="DWD124" s="0"/>
      <c r="DWE124" s="0"/>
      <c r="DWF124" s="0"/>
      <c r="DWG124" s="0"/>
      <c r="DWH124" s="0"/>
      <c r="DWI124" s="0"/>
      <c r="DWJ124" s="0"/>
      <c r="DWK124" s="0"/>
      <c r="DWL124" s="0"/>
      <c r="DWM124" s="0"/>
      <c r="DWN124" s="0"/>
      <c r="DWO124" s="0"/>
      <c r="DWP124" s="0"/>
      <c r="DWQ124" s="0"/>
      <c r="DWR124" s="0"/>
      <c r="DWS124" s="0"/>
      <c r="DWT124" s="0"/>
      <c r="DWU124" s="0"/>
      <c r="DWV124" s="0"/>
      <c r="DWW124" s="0"/>
      <c r="DWX124" s="0"/>
      <c r="DWY124" s="0"/>
      <c r="DWZ124" s="0"/>
      <c r="DXA124" s="0"/>
      <c r="DXB124" s="0"/>
      <c r="DXC124" s="0"/>
      <c r="DXD124" s="0"/>
      <c r="DXE124" s="0"/>
      <c r="DXF124" s="0"/>
      <c r="DXG124" s="0"/>
      <c r="DXH124" s="0"/>
      <c r="DXI124" s="0"/>
      <c r="DXJ124" s="0"/>
      <c r="DXK124" s="0"/>
      <c r="DXL124" s="0"/>
      <c r="DXM124" s="0"/>
      <c r="DXN124" s="0"/>
      <c r="DXO124" s="0"/>
      <c r="DXP124" s="0"/>
      <c r="DXQ124" s="0"/>
      <c r="DXR124" s="0"/>
      <c r="DXS124" s="0"/>
      <c r="DXT124" s="0"/>
      <c r="DXU124" s="0"/>
      <c r="DXV124" s="0"/>
      <c r="DXW124" s="0"/>
      <c r="DXX124" s="0"/>
      <c r="DXY124" s="0"/>
      <c r="DXZ124" s="0"/>
      <c r="DYA124" s="0"/>
      <c r="DYB124" s="0"/>
      <c r="DYC124" s="0"/>
      <c r="DYD124" s="0"/>
      <c r="DYE124" s="0"/>
      <c r="DYF124" s="0"/>
      <c r="DYG124" s="0"/>
      <c r="DYH124" s="0"/>
      <c r="DYI124" s="0"/>
      <c r="DYJ124" s="0"/>
      <c r="DYK124" s="0"/>
      <c r="DYL124" s="0"/>
      <c r="DYM124" s="0"/>
      <c r="DYN124" s="0"/>
      <c r="DYO124" s="0"/>
      <c r="DYP124" s="0"/>
      <c r="DYQ124" s="0"/>
      <c r="DYR124" s="0"/>
      <c r="DYS124" s="0"/>
      <c r="DYT124" s="0"/>
      <c r="DYU124" s="0"/>
      <c r="DYV124" s="0"/>
      <c r="DYW124" s="0"/>
      <c r="DYX124" s="0"/>
      <c r="DYY124" s="0"/>
      <c r="DYZ124" s="0"/>
      <c r="DZA124" s="0"/>
      <c r="DZB124" s="0"/>
      <c r="DZC124" s="0"/>
      <c r="DZD124" s="0"/>
      <c r="DZE124" s="0"/>
      <c r="DZF124" s="0"/>
      <c r="DZG124" s="0"/>
      <c r="DZH124" s="0"/>
      <c r="DZI124" s="0"/>
      <c r="DZJ124" s="0"/>
      <c r="DZK124" s="0"/>
      <c r="DZL124" s="0"/>
      <c r="DZM124" s="0"/>
      <c r="DZN124" s="0"/>
      <c r="DZO124" s="0"/>
      <c r="DZP124" s="0"/>
      <c r="DZQ124" s="0"/>
      <c r="DZR124" s="0"/>
      <c r="DZS124" s="0"/>
      <c r="DZT124" s="0"/>
      <c r="DZU124" s="0"/>
      <c r="DZV124" s="0"/>
      <c r="DZW124" s="0"/>
      <c r="DZX124" s="0"/>
      <c r="DZY124" s="0"/>
      <c r="DZZ124" s="0"/>
      <c r="EAA124" s="0"/>
      <c r="EAB124" s="0"/>
      <c r="EAC124" s="0"/>
      <c r="EAD124" s="0"/>
      <c r="EAE124" s="0"/>
      <c r="EAF124" s="0"/>
      <c r="EAG124" s="0"/>
      <c r="EAH124" s="0"/>
      <c r="EAI124" s="0"/>
      <c r="EAJ124" s="0"/>
      <c r="EAK124" s="0"/>
      <c r="EAL124" s="0"/>
      <c r="EAM124" s="0"/>
      <c r="EAN124" s="0"/>
      <c r="EAO124" s="0"/>
      <c r="EAP124" s="0"/>
      <c r="EAQ124" s="0"/>
      <c r="EAR124" s="0"/>
      <c r="EAS124" s="0"/>
      <c r="EAT124" s="0"/>
      <c r="EAU124" s="0"/>
      <c r="EAV124" s="0"/>
      <c r="EAW124" s="0"/>
      <c r="EAX124" s="0"/>
      <c r="EAY124" s="0"/>
      <c r="EAZ124" s="0"/>
      <c r="EBA124" s="0"/>
      <c r="EBB124" s="0"/>
      <c r="EBC124" s="0"/>
      <c r="EBD124" s="0"/>
      <c r="EBE124" s="0"/>
      <c r="EBF124" s="0"/>
      <c r="EBG124" s="0"/>
      <c r="EBH124" s="0"/>
      <c r="EBI124" s="0"/>
      <c r="EBJ124" s="0"/>
      <c r="EBK124" s="0"/>
      <c r="EBL124" s="0"/>
      <c r="EBM124" s="0"/>
      <c r="EBN124" s="0"/>
      <c r="EBO124" s="0"/>
      <c r="EBP124" s="0"/>
      <c r="EBQ124" s="0"/>
      <c r="EBR124" s="0"/>
      <c r="EBS124" s="0"/>
      <c r="EBT124" s="0"/>
      <c r="EBU124" s="0"/>
      <c r="EBV124" s="0"/>
      <c r="EBW124" s="0"/>
      <c r="EBX124" s="0"/>
      <c r="EBY124" s="0"/>
      <c r="EBZ124" s="0"/>
      <c r="ECA124" s="0"/>
      <c r="ECB124" s="0"/>
      <c r="ECC124" s="0"/>
      <c r="ECD124" s="0"/>
      <c r="ECE124" s="0"/>
      <c r="ECF124" s="0"/>
      <c r="ECG124" s="0"/>
      <c r="ECH124" s="0"/>
      <c r="ECI124" s="0"/>
      <c r="ECJ124" s="0"/>
      <c r="ECK124" s="0"/>
      <c r="ECL124" s="0"/>
      <c r="ECM124" s="0"/>
      <c r="ECN124" s="0"/>
      <c r="ECO124" s="0"/>
      <c r="ECP124" s="0"/>
      <c r="ECQ124" s="0"/>
      <c r="ECR124" s="0"/>
      <c r="ECS124" s="0"/>
      <c r="ECT124" s="0"/>
      <c r="ECU124" s="0"/>
      <c r="ECV124" s="0"/>
      <c r="ECW124" s="0"/>
      <c r="ECX124" s="0"/>
      <c r="ECY124" s="0"/>
      <c r="ECZ124" s="0"/>
      <c r="EDA124" s="0"/>
      <c r="EDB124" s="0"/>
      <c r="EDC124" s="0"/>
      <c r="EDD124" s="0"/>
      <c r="EDE124" s="0"/>
      <c r="EDF124" s="0"/>
      <c r="EDG124" s="0"/>
      <c r="EDH124" s="0"/>
      <c r="EDI124" s="0"/>
      <c r="EDJ124" s="0"/>
      <c r="EDK124" s="0"/>
      <c r="EDL124" s="0"/>
      <c r="EDM124" s="0"/>
      <c r="EDN124" s="0"/>
      <c r="EDO124" s="0"/>
      <c r="EDP124" s="0"/>
      <c r="EDQ124" s="0"/>
      <c r="EDR124" s="0"/>
      <c r="EDS124" s="0"/>
      <c r="EDT124" s="0"/>
      <c r="EDU124" s="0"/>
      <c r="EDV124" s="0"/>
      <c r="EDW124" s="0"/>
      <c r="EDX124" s="0"/>
      <c r="EDY124" s="0"/>
      <c r="EDZ124" s="0"/>
      <c r="EEA124" s="0"/>
      <c r="EEB124" s="0"/>
      <c r="EEC124" s="0"/>
      <c r="EED124" s="0"/>
      <c r="EEE124" s="0"/>
      <c r="EEF124" s="0"/>
      <c r="EEG124" s="0"/>
      <c r="EEH124" s="0"/>
      <c r="EEI124" s="0"/>
      <c r="EEJ124" s="0"/>
      <c r="EEK124" s="0"/>
      <c r="EEL124" s="0"/>
      <c r="EEM124" s="0"/>
      <c r="EEN124" s="0"/>
      <c r="EEO124" s="0"/>
      <c r="EEP124" s="0"/>
      <c r="EEQ124" s="0"/>
      <c r="EER124" s="0"/>
      <c r="EES124" s="0"/>
      <c r="EET124" s="0"/>
      <c r="EEU124" s="0"/>
      <c r="EEV124" s="0"/>
      <c r="EEW124" s="0"/>
      <c r="EEX124" s="0"/>
      <c r="EEY124" s="0"/>
      <c r="EEZ124" s="0"/>
      <c r="EFA124" s="0"/>
      <c r="EFB124" s="0"/>
      <c r="EFC124" s="0"/>
      <c r="EFD124" s="0"/>
      <c r="EFE124" s="0"/>
      <c r="EFF124" s="0"/>
      <c r="EFG124" s="0"/>
      <c r="EFH124" s="0"/>
      <c r="EFI124" s="0"/>
      <c r="EFJ124" s="0"/>
      <c r="EFK124" s="0"/>
      <c r="EFL124" s="0"/>
      <c r="EFM124" s="0"/>
      <c r="EFN124" s="0"/>
      <c r="EFO124" s="0"/>
      <c r="EFP124" s="0"/>
      <c r="EFQ124" s="0"/>
      <c r="EFR124" s="0"/>
      <c r="EFS124" s="0"/>
      <c r="EFT124" s="0"/>
      <c r="EFU124" s="0"/>
      <c r="EFV124" s="0"/>
      <c r="EFW124" s="0"/>
      <c r="EFX124" s="0"/>
      <c r="EFY124" s="0"/>
      <c r="EFZ124" s="0"/>
      <c r="EGA124" s="0"/>
      <c r="EGB124" s="0"/>
      <c r="EGC124" s="0"/>
      <c r="EGD124" s="0"/>
      <c r="EGE124" s="0"/>
      <c r="EGF124" s="0"/>
      <c r="EGG124" s="0"/>
      <c r="EGH124" s="0"/>
      <c r="EGI124" s="0"/>
      <c r="EGJ124" s="0"/>
      <c r="EGK124" s="0"/>
      <c r="EGL124" s="0"/>
      <c r="EGM124" s="0"/>
      <c r="EGN124" s="0"/>
      <c r="EGO124" s="0"/>
      <c r="EGP124" s="0"/>
      <c r="EGQ124" s="0"/>
      <c r="EGR124" s="0"/>
      <c r="EGS124" s="0"/>
      <c r="EGT124" s="0"/>
      <c r="EGU124" s="0"/>
      <c r="EGV124" s="0"/>
      <c r="EGW124" s="0"/>
      <c r="EGX124" s="0"/>
      <c r="EGY124" s="0"/>
      <c r="EGZ124" s="0"/>
      <c r="EHA124" s="0"/>
      <c r="EHB124" s="0"/>
      <c r="EHC124" s="0"/>
      <c r="EHD124" s="0"/>
      <c r="EHE124" s="0"/>
      <c r="EHF124" s="0"/>
      <c r="EHG124" s="0"/>
      <c r="EHH124" s="0"/>
      <c r="EHI124" s="0"/>
      <c r="EHJ124" s="0"/>
      <c r="EHK124" s="0"/>
      <c r="EHL124" s="0"/>
      <c r="EHM124" s="0"/>
      <c r="EHN124" s="0"/>
      <c r="EHO124" s="0"/>
      <c r="EHP124" s="0"/>
      <c r="EHQ124" s="0"/>
      <c r="EHR124" s="0"/>
      <c r="EHS124" s="0"/>
      <c r="EHT124" s="0"/>
      <c r="EHU124" s="0"/>
      <c r="EHV124" s="0"/>
      <c r="EHW124" s="0"/>
      <c r="EHX124" s="0"/>
      <c r="EHY124" s="0"/>
      <c r="EHZ124" s="0"/>
      <c r="EIA124" s="0"/>
      <c r="EIB124" s="0"/>
      <c r="EIC124" s="0"/>
      <c r="EID124" s="0"/>
      <c r="EIE124" s="0"/>
      <c r="EIF124" s="0"/>
      <c r="EIG124" s="0"/>
      <c r="EIH124" s="0"/>
      <c r="EII124" s="0"/>
      <c r="EIJ124" s="0"/>
      <c r="EIK124" s="0"/>
      <c r="EIL124" s="0"/>
      <c r="EIM124" s="0"/>
      <c r="EIN124" s="0"/>
      <c r="EIO124" s="0"/>
      <c r="EIP124" s="0"/>
      <c r="EIQ124" s="0"/>
      <c r="EIR124" s="0"/>
      <c r="EIS124" s="0"/>
      <c r="EIT124" s="0"/>
      <c r="EIU124" s="0"/>
      <c r="EIV124" s="0"/>
      <c r="EIW124" s="0"/>
      <c r="EIX124" s="0"/>
      <c r="EIY124" s="0"/>
      <c r="EIZ124" s="0"/>
      <c r="EJA124" s="0"/>
      <c r="EJB124" s="0"/>
      <c r="EJC124" s="0"/>
      <c r="EJD124" s="0"/>
      <c r="EJE124" s="0"/>
      <c r="EJF124" s="0"/>
      <c r="EJG124" s="0"/>
      <c r="EJH124" s="0"/>
      <c r="EJI124" s="0"/>
      <c r="EJJ124" s="0"/>
      <c r="EJK124" s="0"/>
      <c r="EJL124" s="0"/>
      <c r="EJM124" s="0"/>
      <c r="EJN124" s="0"/>
      <c r="EJO124" s="0"/>
      <c r="EJP124" s="0"/>
      <c r="EJQ124" s="0"/>
      <c r="EJR124" s="0"/>
      <c r="EJS124" s="0"/>
      <c r="EJT124" s="0"/>
      <c r="EJU124" s="0"/>
      <c r="EJV124" s="0"/>
      <c r="EJW124" s="0"/>
      <c r="EJX124" s="0"/>
      <c r="EJY124" s="0"/>
      <c r="EJZ124" s="0"/>
      <c r="EKA124" s="0"/>
      <c r="EKB124" s="0"/>
      <c r="EKC124" s="0"/>
      <c r="EKD124" s="0"/>
      <c r="EKE124" s="0"/>
      <c r="EKF124" s="0"/>
      <c r="EKG124" s="0"/>
      <c r="EKH124" s="0"/>
      <c r="EKI124" s="0"/>
      <c r="EKJ124" s="0"/>
      <c r="EKK124" s="0"/>
      <c r="EKL124" s="0"/>
      <c r="EKM124" s="0"/>
      <c r="EKN124" s="0"/>
      <c r="EKO124" s="0"/>
      <c r="EKP124" s="0"/>
      <c r="EKQ124" s="0"/>
      <c r="EKR124" s="0"/>
      <c r="EKS124" s="0"/>
      <c r="EKT124" s="0"/>
      <c r="EKU124" s="0"/>
      <c r="EKV124" s="0"/>
      <c r="EKW124" s="0"/>
      <c r="EKX124" s="0"/>
      <c r="EKY124" s="0"/>
      <c r="EKZ124" s="0"/>
      <c r="ELA124" s="0"/>
      <c r="ELB124" s="0"/>
      <c r="ELC124" s="0"/>
      <c r="ELD124" s="0"/>
      <c r="ELE124" s="0"/>
      <c r="ELF124" s="0"/>
      <c r="ELG124" s="0"/>
      <c r="ELH124" s="0"/>
      <c r="ELI124" s="0"/>
      <c r="ELJ124" s="0"/>
      <c r="ELK124" s="0"/>
      <c r="ELL124" s="0"/>
      <c r="ELM124" s="0"/>
      <c r="ELN124" s="0"/>
      <c r="ELO124" s="0"/>
      <c r="ELP124" s="0"/>
      <c r="ELQ124" s="0"/>
      <c r="ELR124" s="0"/>
      <c r="ELS124" s="0"/>
      <c r="ELT124" s="0"/>
      <c r="ELU124" s="0"/>
      <c r="ELV124" s="0"/>
      <c r="ELW124" s="0"/>
      <c r="ELX124" s="0"/>
      <c r="ELY124" s="0"/>
      <c r="ELZ124" s="0"/>
      <c r="EMA124" s="0"/>
      <c r="EMB124" s="0"/>
      <c r="EMC124" s="0"/>
      <c r="EMD124" s="0"/>
      <c r="EME124" s="0"/>
      <c r="EMF124" s="0"/>
      <c r="EMG124" s="0"/>
      <c r="EMH124" s="0"/>
      <c r="EMI124" s="0"/>
      <c r="EMJ124" s="0"/>
      <c r="EMK124" s="0"/>
      <c r="EML124" s="0"/>
      <c r="EMM124" s="0"/>
      <c r="EMN124" s="0"/>
      <c r="EMO124" s="0"/>
      <c r="EMP124" s="0"/>
      <c r="EMQ124" s="0"/>
      <c r="EMR124" s="0"/>
      <c r="EMS124" s="0"/>
      <c r="EMT124" s="0"/>
      <c r="EMU124" s="0"/>
      <c r="EMV124" s="0"/>
      <c r="EMW124" s="0"/>
      <c r="EMX124" s="0"/>
      <c r="EMY124" s="0"/>
      <c r="EMZ124" s="0"/>
      <c r="ENA124" s="0"/>
      <c r="ENB124" s="0"/>
      <c r="ENC124" s="0"/>
      <c r="END124" s="0"/>
      <c r="ENE124" s="0"/>
      <c r="ENF124" s="0"/>
      <c r="ENG124" s="0"/>
      <c r="ENH124" s="0"/>
      <c r="ENI124" s="0"/>
      <c r="ENJ124" s="0"/>
      <c r="ENK124" s="0"/>
      <c r="ENL124" s="0"/>
      <c r="ENM124" s="0"/>
      <c r="ENN124" s="0"/>
      <c r="ENO124" s="0"/>
      <c r="ENP124" s="0"/>
      <c r="ENQ124" s="0"/>
      <c r="ENR124" s="0"/>
      <c r="ENS124" s="0"/>
      <c r="ENT124" s="0"/>
      <c r="ENU124" s="0"/>
      <c r="ENV124" s="0"/>
      <c r="ENW124" s="0"/>
      <c r="ENX124" s="0"/>
      <c r="ENY124" s="0"/>
      <c r="ENZ124" s="0"/>
      <c r="EOA124" s="0"/>
      <c r="EOB124" s="0"/>
      <c r="EOC124" s="0"/>
      <c r="EOD124" s="0"/>
      <c r="EOE124" s="0"/>
      <c r="EOF124" s="0"/>
      <c r="EOG124" s="0"/>
      <c r="EOH124" s="0"/>
      <c r="EOI124" s="0"/>
      <c r="EOJ124" s="0"/>
      <c r="EOK124" s="0"/>
      <c r="EOL124" s="0"/>
      <c r="EOM124" s="0"/>
      <c r="EON124" s="0"/>
      <c r="EOO124" s="0"/>
      <c r="EOP124" s="0"/>
      <c r="EOQ124" s="0"/>
      <c r="EOR124" s="0"/>
      <c r="EOS124" s="0"/>
      <c r="EOT124" s="0"/>
      <c r="EOU124" s="0"/>
      <c r="EOV124" s="0"/>
      <c r="EOW124" s="0"/>
      <c r="EOX124" s="0"/>
      <c r="EOY124" s="0"/>
      <c r="EOZ124" s="0"/>
      <c r="EPA124" s="0"/>
      <c r="EPB124" s="0"/>
      <c r="EPC124" s="0"/>
      <c r="EPD124" s="0"/>
      <c r="EPE124" s="0"/>
      <c r="EPF124" s="0"/>
      <c r="EPG124" s="0"/>
      <c r="EPH124" s="0"/>
      <c r="EPI124" s="0"/>
      <c r="EPJ124" s="0"/>
      <c r="EPK124" s="0"/>
      <c r="EPL124" s="0"/>
      <c r="EPM124" s="0"/>
      <c r="EPN124" s="0"/>
      <c r="EPO124" s="0"/>
      <c r="EPP124" s="0"/>
      <c r="EPQ124" s="0"/>
      <c r="EPR124" s="0"/>
      <c r="EPS124" s="0"/>
      <c r="EPT124" s="0"/>
      <c r="EPU124" s="0"/>
      <c r="EPV124" s="0"/>
      <c r="EPW124" s="0"/>
      <c r="EPX124" s="0"/>
      <c r="EPY124" s="0"/>
      <c r="EPZ124" s="0"/>
      <c r="EQA124" s="0"/>
      <c r="EQB124" s="0"/>
      <c r="EQC124" s="0"/>
      <c r="EQD124" s="0"/>
      <c r="EQE124" s="0"/>
      <c r="EQF124" s="0"/>
      <c r="EQG124" s="0"/>
      <c r="EQH124" s="0"/>
      <c r="EQI124" s="0"/>
      <c r="EQJ124" s="0"/>
      <c r="EQK124" s="0"/>
      <c r="EQL124" s="0"/>
      <c r="EQM124" s="0"/>
      <c r="EQN124" s="0"/>
      <c r="EQO124" s="0"/>
      <c r="EQP124" s="0"/>
      <c r="EQQ124" s="0"/>
      <c r="EQR124" s="0"/>
      <c r="EQS124" s="0"/>
      <c r="EQT124" s="0"/>
      <c r="EQU124" s="0"/>
      <c r="EQV124" s="0"/>
      <c r="EQW124" s="0"/>
      <c r="EQX124" s="0"/>
      <c r="EQY124" s="0"/>
      <c r="EQZ124" s="0"/>
      <c r="ERA124" s="0"/>
      <c r="ERB124" s="0"/>
      <c r="ERC124" s="0"/>
      <c r="ERD124" s="0"/>
      <c r="ERE124" s="0"/>
      <c r="ERF124" s="0"/>
      <c r="ERG124" s="0"/>
      <c r="ERH124" s="0"/>
      <c r="ERI124" s="0"/>
      <c r="ERJ124" s="0"/>
      <c r="ERK124" s="0"/>
      <c r="ERL124" s="0"/>
      <c r="ERM124" s="0"/>
      <c r="ERN124" s="0"/>
      <c r="ERO124" s="0"/>
      <c r="ERP124" s="0"/>
      <c r="ERQ124" s="0"/>
      <c r="ERR124" s="0"/>
      <c r="ERS124" s="0"/>
      <c r="ERT124" s="0"/>
      <c r="ERU124" s="0"/>
      <c r="ERV124" s="0"/>
      <c r="ERW124" s="0"/>
      <c r="ERX124" s="0"/>
      <c r="ERY124" s="0"/>
      <c r="ERZ124" s="0"/>
      <c r="ESA124" s="0"/>
      <c r="ESB124" s="0"/>
      <c r="ESC124" s="0"/>
      <c r="ESD124" s="0"/>
      <c r="ESE124" s="0"/>
      <c r="ESF124" s="0"/>
      <c r="ESG124" s="0"/>
      <c r="ESH124" s="0"/>
      <c r="ESI124" s="0"/>
      <c r="ESJ124" s="0"/>
      <c r="ESK124" s="0"/>
      <c r="ESL124" s="0"/>
      <c r="ESM124" s="0"/>
      <c r="ESN124" s="0"/>
      <c r="ESO124" s="0"/>
      <c r="ESP124" s="0"/>
      <c r="ESQ124" s="0"/>
      <c r="ESR124" s="0"/>
      <c r="ESS124" s="0"/>
      <c r="EST124" s="0"/>
      <c r="ESU124" s="0"/>
      <c r="ESV124" s="0"/>
      <c r="ESW124" s="0"/>
      <c r="ESX124" s="0"/>
      <c r="ESY124" s="0"/>
      <c r="ESZ124" s="0"/>
      <c r="ETA124" s="0"/>
      <c r="ETB124" s="0"/>
      <c r="ETC124" s="0"/>
      <c r="ETD124" s="0"/>
      <c r="ETE124" s="0"/>
      <c r="ETF124" s="0"/>
      <c r="ETG124" s="0"/>
      <c r="ETH124" s="0"/>
      <c r="ETI124" s="0"/>
      <c r="ETJ124" s="0"/>
      <c r="ETK124" s="0"/>
      <c r="ETL124" s="0"/>
      <c r="ETM124" s="0"/>
      <c r="ETN124" s="0"/>
      <c r="ETO124" s="0"/>
      <c r="ETP124" s="0"/>
      <c r="ETQ124" s="0"/>
      <c r="ETR124" s="0"/>
      <c r="ETS124" s="0"/>
      <c r="ETT124" s="0"/>
      <c r="ETU124" s="0"/>
      <c r="ETV124" s="0"/>
      <c r="ETW124" s="0"/>
      <c r="ETX124" s="0"/>
      <c r="ETY124" s="0"/>
      <c r="ETZ124" s="0"/>
      <c r="EUA124" s="0"/>
      <c r="EUB124" s="0"/>
      <c r="EUC124" s="0"/>
      <c r="EUD124" s="0"/>
      <c r="EUE124" s="0"/>
      <c r="EUF124" s="0"/>
      <c r="EUG124" s="0"/>
      <c r="EUH124" s="0"/>
      <c r="EUI124" s="0"/>
      <c r="EUJ124" s="0"/>
      <c r="EUK124" s="0"/>
      <c r="EUL124" s="0"/>
      <c r="EUM124" s="0"/>
      <c r="EUN124" s="0"/>
      <c r="EUO124" s="0"/>
      <c r="EUP124" s="0"/>
      <c r="EUQ124" s="0"/>
      <c r="EUR124" s="0"/>
      <c r="EUS124" s="0"/>
      <c r="EUT124" s="0"/>
      <c r="EUU124" s="0"/>
      <c r="EUV124" s="0"/>
      <c r="EUW124" s="0"/>
      <c r="EUX124" s="0"/>
      <c r="EUY124" s="0"/>
      <c r="EUZ124" s="0"/>
      <c r="EVA124" s="0"/>
      <c r="EVB124" s="0"/>
      <c r="EVC124" s="0"/>
      <c r="EVD124" s="0"/>
      <c r="EVE124" s="0"/>
      <c r="EVF124" s="0"/>
      <c r="EVG124" s="0"/>
      <c r="EVH124" s="0"/>
      <c r="EVI124" s="0"/>
      <c r="EVJ124" s="0"/>
      <c r="EVK124" s="0"/>
      <c r="EVL124" s="0"/>
      <c r="EVM124" s="0"/>
      <c r="EVN124" s="0"/>
      <c r="EVO124" s="0"/>
      <c r="EVP124" s="0"/>
      <c r="EVQ124" s="0"/>
      <c r="EVR124" s="0"/>
      <c r="EVS124" s="0"/>
      <c r="EVT124" s="0"/>
      <c r="EVU124" s="0"/>
      <c r="EVV124" s="0"/>
      <c r="EVW124" s="0"/>
      <c r="EVX124" s="0"/>
      <c r="EVY124" s="0"/>
      <c r="EVZ124" s="0"/>
      <c r="EWA124" s="0"/>
      <c r="EWB124" s="0"/>
      <c r="EWC124" s="0"/>
      <c r="EWD124" s="0"/>
      <c r="EWE124" s="0"/>
      <c r="EWF124" s="0"/>
      <c r="EWG124" s="0"/>
      <c r="EWH124" s="0"/>
      <c r="EWI124" s="0"/>
      <c r="EWJ124" s="0"/>
      <c r="EWK124" s="0"/>
      <c r="EWL124" s="0"/>
      <c r="EWM124" s="0"/>
      <c r="EWN124" s="0"/>
      <c r="EWO124" s="0"/>
      <c r="EWP124" s="0"/>
      <c r="EWQ124" s="0"/>
      <c r="EWR124" s="0"/>
      <c r="EWS124" s="0"/>
      <c r="EWT124" s="0"/>
      <c r="EWU124" s="0"/>
      <c r="EWV124" s="0"/>
      <c r="EWW124" s="0"/>
      <c r="EWX124" s="0"/>
      <c r="EWY124" s="0"/>
      <c r="EWZ124" s="0"/>
      <c r="EXA124" s="0"/>
      <c r="EXB124" s="0"/>
      <c r="EXC124" s="0"/>
      <c r="EXD124" s="0"/>
      <c r="EXE124" s="0"/>
      <c r="EXF124" s="0"/>
      <c r="EXG124" s="0"/>
      <c r="EXH124" s="0"/>
      <c r="EXI124" s="0"/>
      <c r="EXJ124" s="0"/>
      <c r="EXK124" s="0"/>
      <c r="EXL124" s="0"/>
      <c r="EXM124" s="0"/>
      <c r="EXN124" s="0"/>
      <c r="EXO124" s="0"/>
      <c r="EXP124" s="0"/>
      <c r="EXQ124" s="0"/>
      <c r="EXR124" s="0"/>
      <c r="EXS124" s="0"/>
      <c r="EXT124" s="0"/>
      <c r="EXU124" s="0"/>
      <c r="EXV124" s="0"/>
      <c r="EXW124" s="0"/>
      <c r="EXX124" s="0"/>
      <c r="EXY124" s="0"/>
      <c r="EXZ124" s="0"/>
      <c r="EYA124" s="0"/>
      <c r="EYB124" s="0"/>
      <c r="EYC124" s="0"/>
      <c r="EYD124" s="0"/>
      <c r="EYE124" s="0"/>
      <c r="EYF124" s="0"/>
      <c r="EYG124" s="0"/>
      <c r="EYH124" s="0"/>
      <c r="EYI124" s="0"/>
      <c r="EYJ124" s="0"/>
      <c r="EYK124" s="0"/>
      <c r="EYL124" s="0"/>
      <c r="EYM124" s="0"/>
      <c r="EYN124" s="0"/>
      <c r="EYO124" s="0"/>
      <c r="EYP124" s="0"/>
      <c r="EYQ124" s="0"/>
      <c r="EYR124" s="0"/>
      <c r="EYS124" s="0"/>
      <c r="EYT124" s="0"/>
      <c r="EYU124" s="0"/>
      <c r="EYV124" s="0"/>
      <c r="EYW124" s="0"/>
      <c r="EYX124" s="0"/>
      <c r="EYY124" s="0"/>
      <c r="EYZ124" s="0"/>
      <c r="EZA124" s="0"/>
      <c r="EZB124" s="0"/>
      <c r="EZC124" s="0"/>
      <c r="EZD124" s="0"/>
      <c r="EZE124" s="0"/>
      <c r="EZF124" s="0"/>
      <c r="EZG124" s="0"/>
      <c r="EZH124" s="0"/>
      <c r="EZI124" s="0"/>
      <c r="EZJ124" s="0"/>
      <c r="EZK124" s="0"/>
      <c r="EZL124" s="0"/>
      <c r="EZM124" s="0"/>
      <c r="EZN124" s="0"/>
      <c r="EZO124" s="0"/>
      <c r="EZP124" s="0"/>
      <c r="EZQ124" s="0"/>
      <c r="EZR124" s="0"/>
      <c r="EZS124" s="0"/>
      <c r="EZT124" s="0"/>
      <c r="EZU124" s="0"/>
      <c r="EZV124" s="0"/>
      <c r="EZW124" s="0"/>
      <c r="EZX124" s="0"/>
      <c r="EZY124" s="0"/>
      <c r="EZZ124" s="0"/>
      <c r="FAA124" s="0"/>
      <c r="FAB124" s="0"/>
      <c r="FAC124" s="0"/>
      <c r="FAD124" s="0"/>
      <c r="FAE124" s="0"/>
      <c r="FAF124" s="0"/>
      <c r="FAG124" s="0"/>
      <c r="FAH124" s="0"/>
      <c r="FAI124" s="0"/>
      <c r="FAJ124" s="0"/>
      <c r="FAK124" s="0"/>
      <c r="FAL124" s="0"/>
      <c r="FAM124" s="0"/>
      <c r="FAN124" s="0"/>
      <c r="FAO124" s="0"/>
      <c r="FAP124" s="0"/>
      <c r="FAQ124" s="0"/>
      <c r="FAR124" s="0"/>
      <c r="FAS124" s="0"/>
      <c r="FAT124" s="0"/>
      <c r="FAU124" s="0"/>
      <c r="FAV124" s="0"/>
      <c r="FAW124" s="0"/>
      <c r="FAX124" s="0"/>
      <c r="FAY124" s="0"/>
      <c r="FAZ124" s="0"/>
      <c r="FBA124" s="0"/>
      <c r="FBB124" s="0"/>
      <c r="FBC124" s="0"/>
      <c r="FBD124" s="0"/>
      <c r="FBE124" s="0"/>
      <c r="FBF124" s="0"/>
      <c r="FBG124" s="0"/>
      <c r="FBH124" s="0"/>
      <c r="FBI124" s="0"/>
      <c r="FBJ124" s="0"/>
      <c r="FBK124" s="0"/>
      <c r="FBL124" s="0"/>
      <c r="FBM124" s="0"/>
      <c r="FBN124" s="0"/>
      <c r="FBO124" s="0"/>
      <c r="FBP124" s="0"/>
      <c r="FBQ124" s="0"/>
      <c r="FBR124" s="0"/>
      <c r="FBS124" s="0"/>
      <c r="FBT124" s="0"/>
      <c r="FBU124" s="0"/>
      <c r="FBV124" s="0"/>
      <c r="FBW124" s="0"/>
      <c r="FBX124" s="0"/>
      <c r="FBY124" s="0"/>
      <c r="FBZ124" s="0"/>
      <c r="FCA124" s="0"/>
      <c r="FCB124" s="0"/>
      <c r="FCC124" s="0"/>
      <c r="FCD124" s="0"/>
      <c r="FCE124" s="0"/>
      <c r="FCF124" s="0"/>
      <c r="FCG124" s="0"/>
      <c r="FCH124" s="0"/>
      <c r="FCI124" s="0"/>
      <c r="FCJ124" s="0"/>
      <c r="FCK124" s="0"/>
      <c r="FCL124" s="0"/>
      <c r="FCM124" s="0"/>
      <c r="FCN124" s="0"/>
      <c r="FCO124" s="0"/>
      <c r="FCP124" s="0"/>
      <c r="FCQ124" s="0"/>
      <c r="FCR124" s="0"/>
      <c r="FCS124" s="0"/>
      <c r="FCT124" s="0"/>
      <c r="FCU124" s="0"/>
      <c r="FCV124" s="0"/>
      <c r="FCW124" s="0"/>
      <c r="FCX124" s="0"/>
      <c r="FCY124" s="0"/>
      <c r="FCZ124" s="0"/>
      <c r="FDA124" s="0"/>
      <c r="FDB124" s="0"/>
      <c r="FDC124" s="0"/>
      <c r="FDD124" s="0"/>
      <c r="FDE124" s="0"/>
      <c r="FDF124" s="0"/>
      <c r="FDG124" s="0"/>
      <c r="FDH124" s="0"/>
      <c r="FDI124" s="0"/>
      <c r="FDJ124" s="0"/>
      <c r="FDK124" s="0"/>
      <c r="FDL124" s="0"/>
      <c r="FDM124" s="0"/>
      <c r="FDN124" s="0"/>
      <c r="FDO124" s="0"/>
      <c r="FDP124" s="0"/>
      <c r="FDQ124" s="0"/>
      <c r="FDR124" s="0"/>
      <c r="FDS124" s="0"/>
      <c r="FDT124" s="0"/>
      <c r="FDU124" s="0"/>
      <c r="FDV124" s="0"/>
      <c r="FDW124" s="0"/>
      <c r="FDX124" s="0"/>
      <c r="FDY124" s="0"/>
      <c r="FDZ124" s="0"/>
      <c r="FEA124" s="0"/>
      <c r="FEB124" s="0"/>
      <c r="FEC124" s="0"/>
      <c r="FED124" s="0"/>
      <c r="FEE124" s="0"/>
      <c r="FEF124" s="0"/>
      <c r="FEG124" s="0"/>
      <c r="FEH124" s="0"/>
      <c r="FEI124" s="0"/>
      <c r="FEJ124" s="0"/>
      <c r="FEK124" s="0"/>
      <c r="FEL124" s="0"/>
      <c r="FEM124" s="0"/>
      <c r="FEN124" s="0"/>
      <c r="FEO124" s="0"/>
      <c r="FEP124" s="0"/>
      <c r="FEQ124" s="0"/>
      <c r="FER124" s="0"/>
      <c r="FES124" s="0"/>
      <c r="FET124" s="0"/>
      <c r="FEU124" s="0"/>
      <c r="FEV124" s="0"/>
      <c r="FEW124" s="0"/>
      <c r="FEX124" s="0"/>
      <c r="FEY124" s="0"/>
      <c r="FEZ124" s="0"/>
      <c r="FFA124" s="0"/>
      <c r="FFB124" s="0"/>
      <c r="FFC124" s="0"/>
      <c r="FFD124" s="0"/>
      <c r="FFE124" s="0"/>
      <c r="FFF124" s="0"/>
      <c r="FFG124" s="0"/>
      <c r="FFH124" s="0"/>
      <c r="FFI124" s="0"/>
      <c r="FFJ124" s="0"/>
      <c r="FFK124" s="0"/>
      <c r="FFL124" s="0"/>
      <c r="FFM124" s="0"/>
      <c r="FFN124" s="0"/>
      <c r="FFO124" s="0"/>
      <c r="FFP124" s="0"/>
      <c r="FFQ124" s="0"/>
      <c r="FFR124" s="0"/>
      <c r="FFS124" s="0"/>
      <c r="FFT124" s="0"/>
      <c r="FFU124" s="0"/>
      <c r="FFV124" s="0"/>
      <c r="FFW124" s="0"/>
      <c r="FFX124" s="0"/>
      <c r="FFY124" s="0"/>
      <c r="FFZ124" s="0"/>
      <c r="FGA124" s="0"/>
      <c r="FGB124" s="0"/>
      <c r="FGC124" s="0"/>
      <c r="FGD124" s="0"/>
      <c r="FGE124" s="0"/>
      <c r="FGF124" s="0"/>
      <c r="FGG124" s="0"/>
      <c r="FGH124" s="0"/>
      <c r="FGI124" s="0"/>
      <c r="FGJ124" s="0"/>
      <c r="FGK124" s="0"/>
      <c r="FGL124" s="0"/>
      <c r="FGM124" s="0"/>
      <c r="FGN124" s="0"/>
      <c r="FGO124" s="0"/>
      <c r="FGP124" s="0"/>
      <c r="FGQ124" s="0"/>
      <c r="FGR124" s="0"/>
      <c r="FGS124" s="0"/>
      <c r="FGT124" s="0"/>
      <c r="FGU124" s="0"/>
      <c r="FGV124" s="0"/>
      <c r="FGW124" s="0"/>
      <c r="FGX124" s="0"/>
      <c r="FGY124" s="0"/>
      <c r="FGZ124" s="0"/>
      <c r="FHA124" s="0"/>
      <c r="FHB124" s="0"/>
      <c r="FHC124" s="0"/>
      <c r="FHD124" s="0"/>
      <c r="FHE124" s="0"/>
      <c r="FHF124" s="0"/>
      <c r="FHG124" s="0"/>
      <c r="FHH124" s="0"/>
      <c r="FHI124" s="0"/>
      <c r="FHJ124" s="0"/>
      <c r="FHK124" s="0"/>
      <c r="FHL124" s="0"/>
      <c r="FHM124" s="0"/>
      <c r="FHN124" s="0"/>
      <c r="FHO124" s="0"/>
      <c r="FHP124" s="0"/>
      <c r="FHQ124" s="0"/>
      <c r="FHR124" s="0"/>
      <c r="FHS124" s="0"/>
      <c r="FHT124" s="0"/>
      <c r="FHU124" s="0"/>
      <c r="FHV124" s="0"/>
      <c r="FHW124" s="0"/>
      <c r="FHX124" s="0"/>
      <c r="FHY124" s="0"/>
      <c r="FHZ124" s="0"/>
      <c r="FIA124" s="0"/>
      <c r="FIB124" s="0"/>
      <c r="FIC124" s="0"/>
      <c r="FID124" s="0"/>
      <c r="FIE124" s="0"/>
      <c r="FIF124" s="0"/>
      <c r="FIG124" s="0"/>
      <c r="FIH124" s="0"/>
      <c r="FII124" s="0"/>
      <c r="FIJ124" s="0"/>
      <c r="FIK124" s="0"/>
      <c r="FIL124" s="0"/>
      <c r="FIM124" s="0"/>
      <c r="FIN124" s="0"/>
      <c r="FIO124" s="0"/>
      <c r="FIP124" s="0"/>
      <c r="FIQ124" s="0"/>
      <c r="FIR124" s="0"/>
      <c r="FIS124" s="0"/>
      <c r="FIT124" s="0"/>
      <c r="FIU124" s="0"/>
      <c r="FIV124" s="0"/>
      <c r="FIW124" s="0"/>
      <c r="FIX124" s="0"/>
      <c r="FIY124" s="0"/>
      <c r="FIZ124" s="0"/>
      <c r="FJA124" s="0"/>
      <c r="FJB124" s="0"/>
      <c r="FJC124" s="0"/>
      <c r="FJD124" s="0"/>
      <c r="FJE124" s="0"/>
      <c r="FJF124" s="0"/>
      <c r="FJG124" s="0"/>
      <c r="FJH124" s="0"/>
      <c r="FJI124" s="0"/>
      <c r="FJJ124" s="0"/>
      <c r="FJK124" s="0"/>
      <c r="FJL124" s="0"/>
      <c r="FJM124" s="0"/>
      <c r="FJN124" s="0"/>
      <c r="FJO124" s="0"/>
      <c r="FJP124" s="0"/>
      <c r="FJQ124" s="0"/>
      <c r="FJR124" s="0"/>
      <c r="FJS124" s="0"/>
      <c r="FJT124" s="0"/>
      <c r="FJU124" s="0"/>
      <c r="FJV124" s="0"/>
      <c r="FJW124" s="0"/>
      <c r="FJX124" s="0"/>
      <c r="FJY124" s="0"/>
      <c r="FJZ124" s="0"/>
      <c r="FKA124" s="0"/>
      <c r="FKB124" s="0"/>
      <c r="FKC124" s="0"/>
      <c r="FKD124" s="0"/>
      <c r="FKE124" s="0"/>
      <c r="FKF124" s="0"/>
      <c r="FKG124" s="0"/>
      <c r="FKH124" s="0"/>
      <c r="FKI124" s="0"/>
      <c r="FKJ124" s="0"/>
      <c r="FKK124" s="0"/>
      <c r="FKL124" s="0"/>
      <c r="FKM124" s="0"/>
      <c r="FKN124" s="0"/>
      <c r="FKO124" s="0"/>
      <c r="FKP124" s="0"/>
      <c r="FKQ124" s="0"/>
      <c r="FKR124" s="0"/>
      <c r="FKS124" s="0"/>
      <c r="FKT124" s="0"/>
      <c r="FKU124" s="0"/>
      <c r="FKV124" s="0"/>
      <c r="FKW124" s="0"/>
      <c r="FKX124" s="0"/>
      <c r="FKY124" s="0"/>
      <c r="FKZ124" s="0"/>
      <c r="FLA124" s="0"/>
      <c r="FLB124" s="0"/>
      <c r="FLC124" s="0"/>
      <c r="FLD124" s="0"/>
      <c r="FLE124" s="0"/>
      <c r="FLF124" s="0"/>
      <c r="FLG124" s="0"/>
      <c r="FLH124" s="0"/>
      <c r="FLI124" s="0"/>
      <c r="FLJ124" s="0"/>
      <c r="FLK124" s="0"/>
      <c r="FLL124" s="0"/>
      <c r="FLM124" s="0"/>
      <c r="FLN124" s="0"/>
      <c r="FLO124" s="0"/>
      <c r="FLP124" s="0"/>
      <c r="FLQ124" s="0"/>
      <c r="FLR124" s="0"/>
      <c r="FLS124" s="0"/>
      <c r="FLT124" s="0"/>
      <c r="FLU124" s="0"/>
      <c r="FLV124" s="0"/>
      <c r="FLW124" s="0"/>
      <c r="FLX124" s="0"/>
      <c r="FLY124" s="0"/>
      <c r="FLZ124" s="0"/>
      <c r="FMA124" s="0"/>
      <c r="FMB124" s="0"/>
      <c r="FMC124" s="0"/>
      <c r="FMD124" s="0"/>
      <c r="FME124" s="0"/>
      <c r="FMF124" s="0"/>
      <c r="FMG124" s="0"/>
      <c r="FMH124" s="0"/>
      <c r="FMI124" s="0"/>
      <c r="FMJ124" s="0"/>
      <c r="FMK124" s="0"/>
      <c r="FML124" s="0"/>
      <c r="FMM124" s="0"/>
      <c r="FMN124" s="0"/>
      <c r="FMO124" s="0"/>
      <c r="FMP124" s="0"/>
      <c r="FMQ124" s="0"/>
      <c r="FMR124" s="0"/>
      <c r="FMS124" s="0"/>
      <c r="FMT124" s="0"/>
      <c r="FMU124" s="0"/>
      <c r="FMV124" s="0"/>
      <c r="FMW124" s="0"/>
      <c r="FMX124" s="0"/>
      <c r="FMY124" s="0"/>
      <c r="FMZ124" s="0"/>
      <c r="FNA124" s="0"/>
      <c r="FNB124" s="0"/>
      <c r="FNC124" s="0"/>
      <c r="FND124" s="0"/>
      <c r="FNE124" s="0"/>
      <c r="FNF124" s="0"/>
      <c r="FNG124" s="0"/>
      <c r="FNH124" s="0"/>
      <c r="FNI124" s="0"/>
      <c r="FNJ124" s="0"/>
      <c r="FNK124" s="0"/>
      <c r="FNL124" s="0"/>
      <c r="FNM124" s="0"/>
      <c r="FNN124" s="0"/>
      <c r="FNO124" s="0"/>
      <c r="FNP124" s="0"/>
      <c r="FNQ124" s="0"/>
      <c r="FNR124" s="0"/>
      <c r="FNS124" s="0"/>
      <c r="FNT124" s="0"/>
      <c r="FNU124" s="0"/>
      <c r="FNV124" s="0"/>
      <c r="FNW124" s="0"/>
      <c r="FNX124" s="0"/>
      <c r="FNY124" s="0"/>
      <c r="FNZ124" s="0"/>
      <c r="FOA124" s="0"/>
      <c r="FOB124" s="0"/>
      <c r="FOC124" s="0"/>
      <c r="FOD124" s="0"/>
      <c r="FOE124" s="0"/>
      <c r="FOF124" s="0"/>
      <c r="FOG124" s="0"/>
      <c r="FOH124" s="0"/>
      <c r="FOI124" s="0"/>
      <c r="FOJ124" s="0"/>
      <c r="FOK124" s="0"/>
      <c r="FOL124" s="0"/>
      <c r="FOM124" s="0"/>
      <c r="FON124" s="0"/>
      <c r="FOO124" s="0"/>
      <c r="FOP124" s="0"/>
      <c r="FOQ124" s="0"/>
      <c r="FOR124" s="0"/>
      <c r="FOS124" s="0"/>
      <c r="FOT124" s="0"/>
      <c r="FOU124" s="0"/>
      <c r="FOV124" s="0"/>
      <c r="FOW124" s="0"/>
      <c r="FOX124" s="0"/>
      <c r="FOY124" s="0"/>
      <c r="FOZ124" s="0"/>
      <c r="FPA124" s="0"/>
      <c r="FPB124" s="0"/>
      <c r="FPC124" s="0"/>
      <c r="FPD124" s="0"/>
      <c r="FPE124" s="0"/>
      <c r="FPF124" s="0"/>
      <c r="FPG124" s="0"/>
      <c r="FPH124" s="0"/>
      <c r="FPI124" s="0"/>
      <c r="FPJ124" s="0"/>
      <c r="FPK124" s="0"/>
      <c r="FPL124" s="0"/>
      <c r="FPM124" s="0"/>
      <c r="FPN124" s="0"/>
      <c r="FPO124" s="0"/>
      <c r="FPP124" s="0"/>
      <c r="FPQ124" s="0"/>
      <c r="FPR124" s="0"/>
      <c r="FPS124" s="0"/>
      <c r="FPT124" s="0"/>
      <c r="FPU124" s="0"/>
      <c r="FPV124" s="0"/>
      <c r="FPW124" s="0"/>
      <c r="FPX124" s="0"/>
      <c r="FPY124" s="0"/>
      <c r="FPZ124" s="0"/>
      <c r="FQA124" s="0"/>
      <c r="FQB124" s="0"/>
      <c r="FQC124" s="0"/>
      <c r="FQD124" s="0"/>
      <c r="FQE124" s="0"/>
      <c r="FQF124" s="0"/>
      <c r="FQG124" s="0"/>
      <c r="FQH124" s="0"/>
      <c r="FQI124" s="0"/>
      <c r="FQJ124" s="0"/>
      <c r="FQK124" s="0"/>
      <c r="FQL124" s="0"/>
      <c r="FQM124" s="0"/>
      <c r="FQN124" s="0"/>
      <c r="FQO124" s="0"/>
      <c r="FQP124" s="0"/>
      <c r="FQQ124" s="0"/>
      <c r="FQR124" s="0"/>
      <c r="FQS124" s="0"/>
      <c r="FQT124" s="0"/>
      <c r="FQU124" s="0"/>
      <c r="FQV124" s="0"/>
      <c r="FQW124" s="0"/>
      <c r="FQX124" s="0"/>
      <c r="FQY124" s="0"/>
      <c r="FQZ124" s="0"/>
      <c r="FRA124" s="0"/>
      <c r="FRB124" s="0"/>
      <c r="FRC124" s="0"/>
      <c r="FRD124" s="0"/>
      <c r="FRE124" s="0"/>
      <c r="FRF124" s="0"/>
      <c r="FRG124" s="0"/>
      <c r="FRH124" s="0"/>
      <c r="FRI124" s="0"/>
      <c r="FRJ124" s="0"/>
      <c r="FRK124" s="0"/>
      <c r="FRL124" s="0"/>
      <c r="FRM124" s="0"/>
      <c r="FRN124" s="0"/>
      <c r="FRO124" s="0"/>
      <c r="FRP124" s="0"/>
      <c r="FRQ124" s="0"/>
      <c r="FRR124" s="0"/>
      <c r="FRS124" s="0"/>
      <c r="FRT124" s="0"/>
      <c r="FRU124" s="0"/>
      <c r="FRV124" s="0"/>
      <c r="FRW124" s="0"/>
      <c r="FRX124" s="0"/>
      <c r="FRY124" s="0"/>
      <c r="FRZ124" s="0"/>
      <c r="FSA124" s="0"/>
      <c r="FSB124" s="0"/>
      <c r="FSC124" s="0"/>
      <c r="FSD124" s="0"/>
      <c r="FSE124" s="0"/>
      <c r="FSF124" s="0"/>
      <c r="FSG124" s="0"/>
      <c r="FSH124" s="0"/>
      <c r="FSI124" s="0"/>
      <c r="FSJ124" s="0"/>
      <c r="FSK124" s="0"/>
      <c r="FSL124" s="0"/>
      <c r="FSM124" s="0"/>
      <c r="FSN124" s="0"/>
      <c r="FSO124" s="0"/>
      <c r="FSP124" s="0"/>
      <c r="FSQ124" s="0"/>
      <c r="FSR124" s="0"/>
      <c r="FSS124" s="0"/>
      <c r="FST124" s="0"/>
      <c r="FSU124" s="0"/>
      <c r="FSV124" s="0"/>
      <c r="FSW124" s="0"/>
      <c r="FSX124" s="0"/>
      <c r="FSY124" s="0"/>
      <c r="FSZ124" s="0"/>
      <c r="FTA124" s="0"/>
      <c r="FTB124" s="0"/>
      <c r="FTC124" s="0"/>
      <c r="FTD124" s="0"/>
      <c r="FTE124" s="0"/>
      <c r="FTF124" s="0"/>
      <c r="FTG124" s="0"/>
      <c r="FTH124" s="0"/>
      <c r="FTI124" s="0"/>
      <c r="FTJ124" s="0"/>
      <c r="FTK124" s="0"/>
      <c r="FTL124" s="0"/>
      <c r="FTM124" s="0"/>
      <c r="FTN124" s="0"/>
      <c r="FTO124" s="0"/>
      <c r="FTP124" s="0"/>
      <c r="FTQ124" s="0"/>
      <c r="FTR124" s="0"/>
      <c r="FTS124" s="0"/>
      <c r="FTT124" s="0"/>
      <c r="FTU124" s="0"/>
      <c r="FTV124" s="0"/>
      <c r="FTW124" s="0"/>
      <c r="FTX124" s="0"/>
      <c r="FTY124" s="0"/>
      <c r="FTZ124" s="0"/>
      <c r="FUA124" s="0"/>
      <c r="FUB124" s="0"/>
      <c r="FUC124" s="0"/>
      <c r="FUD124" s="0"/>
      <c r="FUE124" s="0"/>
      <c r="FUF124" s="0"/>
      <c r="FUG124" s="0"/>
      <c r="FUH124" s="0"/>
      <c r="FUI124" s="0"/>
      <c r="FUJ124" s="0"/>
      <c r="FUK124" s="0"/>
      <c r="FUL124" s="0"/>
      <c r="FUM124" s="0"/>
      <c r="FUN124" s="0"/>
      <c r="FUO124" s="0"/>
      <c r="FUP124" s="0"/>
      <c r="FUQ124" s="0"/>
      <c r="FUR124" s="0"/>
      <c r="FUS124" s="0"/>
      <c r="FUT124" s="0"/>
      <c r="FUU124" s="0"/>
      <c r="FUV124" s="0"/>
      <c r="FUW124" s="0"/>
      <c r="FUX124" s="0"/>
      <c r="FUY124" s="0"/>
      <c r="FUZ124" s="0"/>
      <c r="FVA124" s="0"/>
      <c r="FVB124" s="0"/>
      <c r="FVC124" s="0"/>
      <c r="FVD124" s="0"/>
      <c r="FVE124" s="0"/>
      <c r="FVF124" s="0"/>
      <c r="FVG124" s="0"/>
      <c r="FVH124" s="0"/>
      <c r="FVI124" s="0"/>
      <c r="FVJ124" s="0"/>
      <c r="FVK124" s="0"/>
      <c r="FVL124" s="0"/>
      <c r="FVM124" s="0"/>
      <c r="FVN124" s="0"/>
      <c r="FVO124" s="0"/>
      <c r="FVP124" s="0"/>
      <c r="FVQ124" s="0"/>
      <c r="FVR124" s="0"/>
      <c r="FVS124" s="0"/>
      <c r="FVT124" s="0"/>
      <c r="FVU124" s="0"/>
      <c r="FVV124" s="0"/>
      <c r="FVW124" s="0"/>
      <c r="FVX124" s="0"/>
      <c r="FVY124" s="0"/>
      <c r="FVZ124" s="0"/>
      <c r="FWA124" s="0"/>
      <c r="FWB124" s="0"/>
      <c r="FWC124" s="0"/>
      <c r="FWD124" s="0"/>
      <c r="FWE124" s="0"/>
      <c r="FWF124" s="0"/>
      <c r="FWG124" s="0"/>
      <c r="FWH124" s="0"/>
      <c r="FWI124" s="0"/>
      <c r="FWJ124" s="0"/>
      <c r="FWK124" s="0"/>
      <c r="FWL124" s="0"/>
      <c r="FWM124" s="0"/>
      <c r="FWN124" s="0"/>
      <c r="FWO124" s="0"/>
      <c r="FWP124" s="0"/>
      <c r="FWQ124" s="0"/>
      <c r="FWR124" s="0"/>
      <c r="FWS124" s="0"/>
      <c r="FWT124" s="0"/>
      <c r="FWU124" s="0"/>
      <c r="FWV124" s="0"/>
      <c r="FWW124" s="0"/>
      <c r="FWX124" s="0"/>
      <c r="FWY124" s="0"/>
      <c r="FWZ124" s="0"/>
      <c r="FXA124" s="0"/>
      <c r="FXB124" s="0"/>
      <c r="FXC124" s="0"/>
      <c r="FXD124" s="0"/>
      <c r="FXE124" s="0"/>
      <c r="FXF124" s="0"/>
      <c r="FXG124" s="0"/>
      <c r="FXH124" s="0"/>
      <c r="FXI124" s="0"/>
      <c r="FXJ124" s="0"/>
      <c r="FXK124" s="0"/>
      <c r="FXL124" s="0"/>
      <c r="FXM124" s="0"/>
      <c r="FXN124" s="0"/>
      <c r="FXO124" s="0"/>
      <c r="FXP124" s="0"/>
      <c r="FXQ124" s="0"/>
      <c r="FXR124" s="0"/>
      <c r="FXS124" s="0"/>
      <c r="FXT124" s="0"/>
      <c r="FXU124" s="0"/>
      <c r="FXV124" s="0"/>
      <c r="FXW124" s="0"/>
      <c r="FXX124" s="0"/>
      <c r="FXY124" s="0"/>
      <c r="FXZ124" s="0"/>
      <c r="FYA124" s="0"/>
      <c r="FYB124" s="0"/>
      <c r="FYC124" s="0"/>
      <c r="FYD124" s="0"/>
      <c r="FYE124" s="0"/>
      <c r="FYF124" s="0"/>
      <c r="FYG124" s="0"/>
      <c r="FYH124" s="0"/>
      <c r="FYI124" s="0"/>
      <c r="FYJ124" s="0"/>
      <c r="FYK124" s="0"/>
      <c r="FYL124" s="0"/>
      <c r="FYM124" s="0"/>
      <c r="FYN124" s="0"/>
      <c r="FYO124" s="0"/>
      <c r="FYP124" s="0"/>
      <c r="FYQ124" s="0"/>
      <c r="FYR124" s="0"/>
      <c r="FYS124" s="0"/>
      <c r="FYT124" s="0"/>
      <c r="FYU124" s="0"/>
      <c r="FYV124" s="0"/>
      <c r="FYW124" s="0"/>
      <c r="FYX124" s="0"/>
      <c r="FYY124" s="0"/>
      <c r="FYZ124" s="0"/>
      <c r="FZA124" s="0"/>
      <c r="FZB124" s="0"/>
      <c r="FZC124" s="0"/>
      <c r="FZD124" s="0"/>
      <c r="FZE124" s="0"/>
      <c r="FZF124" s="0"/>
      <c r="FZG124" s="0"/>
      <c r="FZH124" s="0"/>
      <c r="FZI124" s="0"/>
      <c r="FZJ124" s="0"/>
      <c r="FZK124" s="0"/>
      <c r="FZL124" s="0"/>
      <c r="FZM124" s="0"/>
      <c r="FZN124" s="0"/>
      <c r="FZO124" s="0"/>
      <c r="FZP124" s="0"/>
      <c r="FZQ124" s="0"/>
      <c r="FZR124" s="0"/>
      <c r="FZS124" s="0"/>
      <c r="FZT124" s="0"/>
      <c r="FZU124" s="0"/>
      <c r="FZV124" s="0"/>
      <c r="FZW124" s="0"/>
      <c r="FZX124" s="0"/>
      <c r="FZY124" s="0"/>
      <c r="FZZ124" s="0"/>
      <c r="GAA124" s="0"/>
      <c r="GAB124" s="0"/>
      <c r="GAC124" s="0"/>
      <c r="GAD124" s="0"/>
      <c r="GAE124" s="0"/>
      <c r="GAF124" s="0"/>
      <c r="GAG124" s="0"/>
      <c r="GAH124" s="0"/>
      <c r="GAI124" s="0"/>
      <c r="GAJ124" s="0"/>
      <c r="GAK124" s="0"/>
      <c r="GAL124" s="0"/>
      <c r="GAM124" s="0"/>
      <c r="GAN124" s="0"/>
      <c r="GAO124" s="0"/>
      <c r="GAP124" s="0"/>
      <c r="GAQ124" s="0"/>
      <c r="GAR124" s="0"/>
      <c r="GAS124" s="0"/>
      <c r="GAT124" s="0"/>
      <c r="GAU124" s="0"/>
      <c r="GAV124" s="0"/>
      <c r="GAW124" s="0"/>
      <c r="GAX124" s="0"/>
      <c r="GAY124" s="0"/>
      <c r="GAZ124" s="0"/>
      <c r="GBA124" s="0"/>
      <c r="GBB124" s="0"/>
      <c r="GBC124" s="0"/>
      <c r="GBD124" s="0"/>
      <c r="GBE124" s="0"/>
      <c r="GBF124" s="0"/>
      <c r="GBG124" s="0"/>
      <c r="GBH124" s="0"/>
      <c r="GBI124" s="0"/>
      <c r="GBJ124" s="0"/>
      <c r="GBK124" s="0"/>
      <c r="GBL124" s="0"/>
      <c r="GBM124" s="0"/>
      <c r="GBN124" s="0"/>
      <c r="GBO124" s="0"/>
      <c r="GBP124" s="0"/>
      <c r="GBQ124" s="0"/>
      <c r="GBR124" s="0"/>
      <c r="GBS124" s="0"/>
      <c r="GBT124" s="0"/>
      <c r="GBU124" s="0"/>
      <c r="GBV124" s="0"/>
      <c r="GBW124" s="0"/>
      <c r="GBX124" s="0"/>
      <c r="GBY124" s="0"/>
      <c r="GBZ124" s="0"/>
      <c r="GCA124" s="0"/>
      <c r="GCB124" s="0"/>
      <c r="GCC124" s="0"/>
      <c r="GCD124" s="0"/>
      <c r="GCE124" s="0"/>
      <c r="GCF124" s="0"/>
      <c r="GCG124" s="0"/>
      <c r="GCH124" s="0"/>
      <c r="GCI124" s="0"/>
      <c r="GCJ124" s="0"/>
      <c r="GCK124" s="0"/>
      <c r="GCL124" s="0"/>
      <c r="GCM124" s="0"/>
      <c r="GCN124" s="0"/>
      <c r="GCO124" s="0"/>
      <c r="GCP124" s="0"/>
      <c r="GCQ124" s="0"/>
      <c r="GCR124" s="0"/>
      <c r="GCS124" s="0"/>
      <c r="GCT124" s="0"/>
      <c r="GCU124" s="0"/>
      <c r="GCV124" s="0"/>
      <c r="GCW124" s="0"/>
      <c r="GCX124" s="0"/>
      <c r="GCY124" s="0"/>
      <c r="GCZ124" s="0"/>
      <c r="GDA124" s="0"/>
      <c r="GDB124" s="0"/>
      <c r="GDC124" s="0"/>
      <c r="GDD124" s="0"/>
      <c r="GDE124" s="0"/>
      <c r="GDF124" s="0"/>
      <c r="GDG124" s="0"/>
      <c r="GDH124" s="0"/>
      <c r="GDI124" s="0"/>
      <c r="GDJ124" s="0"/>
      <c r="GDK124" s="0"/>
      <c r="GDL124" s="0"/>
      <c r="GDM124" s="0"/>
      <c r="GDN124" s="0"/>
      <c r="GDO124" s="0"/>
      <c r="GDP124" s="0"/>
      <c r="GDQ124" s="0"/>
      <c r="GDR124" s="0"/>
      <c r="GDS124" s="0"/>
      <c r="GDT124" s="0"/>
      <c r="GDU124" s="0"/>
      <c r="GDV124" s="0"/>
      <c r="GDW124" s="0"/>
      <c r="GDX124" s="0"/>
      <c r="GDY124" s="0"/>
      <c r="GDZ124" s="0"/>
      <c r="GEA124" s="0"/>
      <c r="GEB124" s="0"/>
      <c r="GEC124" s="0"/>
      <c r="GED124" s="0"/>
      <c r="GEE124" s="0"/>
      <c r="GEF124" s="0"/>
      <c r="GEG124" s="0"/>
      <c r="GEH124" s="0"/>
      <c r="GEI124" s="0"/>
      <c r="GEJ124" s="0"/>
      <c r="GEK124" s="0"/>
      <c r="GEL124" s="0"/>
      <c r="GEM124" s="0"/>
      <c r="GEN124" s="0"/>
      <c r="GEO124" s="0"/>
      <c r="GEP124" s="0"/>
      <c r="GEQ124" s="0"/>
      <c r="GER124" s="0"/>
      <c r="GES124" s="0"/>
      <c r="GET124" s="0"/>
      <c r="GEU124" s="0"/>
      <c r="GEV124" s="0"/>
      <c r="GEW124" s="0"/>
      <c r="GEX124" s="0"/>
      <c r="GEY124" s="0"/>
      <c r="GEZ124" s="0"/>
      <c r="GFA124" s="0"/>
      <c r="GFB124" s="0"/>
      <c r="GFC124" s="0"/>
      <c r="GFD124" s="0"/>
      <c r="GFE124" s="0"/>
      <c r="GFF124" s="0"/>
      <c r="GFG124" s="0"/>
      <c r="GFH124" s="0"/>
      <c r="GFI124" s="0"/>
      <c r="GFJ124" s="0"/>
      <c r="GFK124" s="0"/>
      <c r="GFL124" s="0"/>
      <c r="GFM124" s="0"/>
      <c r="GFN124" s="0"/>
      <c r="GFO124" s="0"/>
      <c r="GFP124" s="0"/>
      <c r="GFQ124" s="0"/>
      <c r="GFR124" s="0"/>
      <c r="GFS124" s="0"/>
      <c r="GFT124" s="0"/>
      <c r="GFU124" s="0"/>
      <c r="GFV124" s="0"/>
      <c r="GFW124" s="0"/>
      <c r="GFX124" s="0"/>
      <c r="GFY124" s="0"/>
      <c r="GFZ124" s="0"/>
      <c r="GGA124" s="0"/>
      <c r="GGB124" s="0"/>
      <c r="GGC124" s="0"/>
      <c r="GGD124" s="0"/>
      <c r="GGE124" s="0"/>
      <c r="GGF124" s="0"/>
      <c r="GGG124" s="0"/>
      <c r="GGH124" s="0"/>
      <c r="GGI124" s="0"/>
      <c r="GGJ124" s="0"/>
      <c r="GGK124" s="0"/>
      <c r="GGL124" s="0"/>
      <c r="GGM124" s="0"/>
      <c r="GGN124" s="0"/>
      <c r="GGO124" s="0"/>
      <c r="GGP124" s="0"/>
      <c r="GGQ124" s="0"/>
      <c r="GGR124" s="0"/>
      <c r="GGS124" s="0"/>
      <c r="GGT124" s="0"/>
      <c r="GGU124" s="0"/>
      <c r="GGV124" s="0"/>
      <c r="GGW124" s="0"/>
      <c r="GGX124" s="0"/>
      <c r="GGY124" s="0"/>
      <c r="GGZ124" s="0"/>
      <c r="GHA124" s="0"/>
      <c r="GHB124" s="0"/>
      <c r="GHC124" s="0"/>
      <c r="GHD124" s="0"/>
      <c r="GHE124" s="0"/>
      <c r="GHF124" s="0"/>
      <c r="GHG124" s="0"/>
      <c r="GHH124" s="0"/>
      <c r="GHI124" s="0"/>
      <c r="GHJ124" s="0"/>
      <c r="GHK124" s="0"/>
      <c r="GHL124" s="0"/>
      <c r="GHM124" s="0"/>
      <c r="GHN124" s="0"/>
      <c r="GHO124" s="0"/>
      <c r="GHP124" s="0"/>
      <c r="GHQ124" s="0"/>
      <c r="GHR124" s="0"/>
      <c r="GHS124" s="0"/>
      <c r="GHT124" s="0"/>
      <c r="GHU124" s="0"/>
      <c r="GHV124" s="0"/>
      <c r="GHW124" s="0"/>
      <c r="GHX124" s="0"/>
      <c r="GHY124" s="0"/>
      <c r="GHZ124" s="0"/>
      <c r="GIA124" s="0"/>
      <c r="GIB124" s="0"/>
      <c r="GIC124" s="0"/>
      <c r="GID124" s="0"/>
      <c r="GIE124" s="0"/>
      <c r="GIF124" s="0"/>
      <c r="GIG124" s="0"/>
      <c r="GIH124" s="0"/>
      <c r="GII124" s="0"/>
      <c r="GIJ124" s="0"/>
      <c r="GIK124" s="0"/>
      <c r="GIL124" s="0"/>
      <c r="GIM124" s="0"/>
      <c r="GIN124" s="0"/>
      <c r="GIO124" s="0"/>
      <c r="GIP124" s="0"/>
      <c r="GIQ124" s="0"/>
      <c r="GIR124" s="0"/>
      <c r="GIS124" s="0"/>
      <c r="GIT124" s="0"/>
      <c r="GIU124" s="0"/>
      <c r="GIV124" s="0"/>
      <c r="GIW124" s="0"/>
      <c r="GIX124" s="0"/>
      <c r="GIY124" s="0"/>
      <c r="GIZ124" s="0"/>
      <c r="GJA124" s="0"/>
      <c r="GJB124" s="0"/>
      <c r="GJC124" s="0"/>
      <c r="GJD124" s="0"/>
      <c r="GJE124" s="0"/>
      <c r="GJF124" s="0"/>
      <c r="GJG124" s="0"/>
      <c r="GJH124" s="0"/>
      <c r="GJI124" s="0"/>
      <c r="GJJ124" s="0"/>
      <c r="GJK124" s="0"/>
      <c r="GJL124" s="0"/>
      <c r="GJM124" s="0"/>
      <c r="GJN124" s="0"/>
      <c r="GJO124" s="0"/>
      <c r="GJP124" s="0"/>
      <c r="GJQ124" s="0"/>
      <c r="GJR124" s="0"/>
      <c r="GJS124" s="0"/>
      <c r="GJT124" s="0"/>
      <c r="GJU124" s="0"/>
      <c r="GJV124" s="0"/>
      <c r="GJW124" s="0"/>
      <c r="GJX124" s="0"/>
      <c r="GJY124" s="0"/>
      <c r="GJZ124" s="0"/>
      <c r="GKA124" s="0"/>
      <c r="GKB124" s="0"/>
      <c r="GKC124" s="0"/>
      <c r="GKD124" s="0"/>
      <c r="GKE124" s="0"/>
      <c r="GKF124" s="0"/>
      <c r="GKG124" s="0"/>
      <c r="GKH124" s="0"/>
      <c r="GKI124" s="0"/>
      <c r="GKJ124" s="0"/>
      <c r="GKK124" s="0"/>
      <c r="GKL124" s="0"/>
      <c r="GKM124" s="0"/>
      <c r="GKN124" s="0"/>
      <c r="GKO124" s="0"/>
      <c r="GKP124" s="0"/>
      <c r="GKQ124" s="0"/>
      <c r="GKR124" s="0"/>
      <c r="GKS124" s="0"/>
      <c r="GKT124" s="0"/>
      <c r="GKU124" s="0"/>
      <c r="GKV124" s="0"/>
      <c r="GKW124" s="0"/>
      <c r="GKX124" s="0"/>
      <c r="GKY124" s="0"/>
      <c r="GKZ124" s="0"/>
      <c r="GLA124" s="0"/>
      <c r="GLB124" s="0"/>
      <c r="GLC124" s="0"/>
      <c r="GLD124" s="0"/>
      <c r="GLE124" s="0"/>
      <c r="GLF124" s="0"/>
      <c r="GLG124" s="0"/>
      <c r="GLH124" s="0"/>
      <c r="GLI124" s="0"/>
      <c r="GLJ124" s="0"/>
      <c r="GLK124" s="0"/>
      <c r="GLL124" s="0"/>
      <c r="GLM124" s="0"/>
      <c r="GLN124" s="0"/>
      <c r="GLO124" s="0"/>
      <c r="GLP124" s="0"/>
      <c r="GLQ124" s="0"/>
      <c r="GLR124" s="0"/>
      <c r="GLS124" s="0"/>
      <c r="GLT124" s="0"/>
      <c r="GLU124" s="0"/>
      <c r="GLV124" s="0"/>
      <c r="GLW124" s="0"/>
      <c r="GLX124" s="0"/>
      <c r="GLY124" s="0"/>
      <c r="GLZ124" s="0"/>
      <c r="GMA124" s="0"/>
      <c r="GMB124" s="0"/>
      <c r="GMC124" s="0"/>
      <c r="GMD124" s="0"/>
      <c r="GME124" s="0"/>
      <c r="GMF124" s="0"/>
      <c r="GMG124" s="0"/>
      <c r="GMH124" s="0"/>
      <c r="GMI124" s="0"/>
      <c r="GMJ124" s="0"/>
      <c r="GMK124" s="0"/>
      <c r="GML124" s="0"/>
      <c r="GMM124" s="0"/>
      <c r="GMN124" s="0"/>
      <c r="GMO124" s="0"/>
      <c r="GMP124" s="0"/>
      <c r="GMQ124" s="0"/>
      <c r="GMR124" s="0"/>
      <c r="GMS124" s="0"/>
      <c r="GMT124" s="0"/>
      <c r="GMU124" s="0"/>
      <c r="GMV124" s="0"/>
      <c r="GMW124" s="0"/>
      <c r="GMX124" s="0"/>
      <c r="GMY124" s="0"/>
      <c r="GMZ124" s="0"/>
      <c r="GNA124" s="0"/>
      <c r="GNB124" s="0"/>
      <c r="GNC124" s="0"/>
      <c r="GND124" s="0"/>
      <c r="GNE124" s="0"/>
      <c r="GNF124" s="0"/>
      <c r="GNG124" s="0"/>
      <c r="GNH124" s="0"/>
      <c r="GNI124" s="0"/>
      <c r="GNJ124" s="0"/>
      <c r="GNK124" s="0"/>
      <c r="GNL124" s="0"/>
      <c r="GNM124" s="0"/>
      <c r="GNN124" s="0"/>
      <c r="GNO124" s="0"/>
      <c r="GNP124" s="0"/>
      <c r="GNQ124" s="0"/>
      <c r="GNR124" s="0"/>
      <c r="GNS124" s="0"/>
      <c r="GNT124" s="0"/>
      <c r="GNU124" s="0"/>
      <c r="GNV124" s="0"/>
      <c r="GNW124" s="0"/>
      <c r="GNX124" s="0"/>
      <c r="GNY124" s="0"/>
      <c r="GNZ124" s="0"/>
      <c r="GOA124" s="0"/>
      <c r="GOB124" s="0"/>
      <c r="GOC124" s="0"/>
      <c r="GOD124" s="0"/>
      <c r="GOE124" s="0"/>
      <c r="GOF124" s="0"/>
      <c r="GOG124" s="0"/>
      <c r="GOH124" s="0"/>
      <c r="GOI124" s="0"/>
      <c r="GOJ124" s="0"/>
      <c r="GOK124" s="0"/>
      <c r="GOL124" s="0"/>
      <c r="GOM124" s="0"/>
      <c r="GON124" s="0"/>
      <c r="GOO124" s="0"/>
      <c r="GOP124" s="0"/>
      <c r="GOQ124" s="0"/>
      <c r="GOR124" s="0"/>
      <c r="GOS124" s="0"/>
      <c r="GOT124" s="0"/>
      <c r="GOU124" s="0"/>
      <c r="GOV124" s="0"/>
      <c r="GOW124" s="0"/>
      <c r="GOX124" s="0"/>
      <c r="GOY124" s="0"/>
      <c r="GOZ124" s="0"/>
      <c r="GPA124" s="0"/>
      <c r="GPB124" s="0"/>
      <c r="GPC124" s="0"/>
      <c r="GPD124" s="0"/>
      <c r="GPE124" s="0"/>
      <c r="GPF124" s="0"/>
      <c r="GPG124" s="0"/>
      <c r="GPH124" s="0"/>
      <c r="GPI124" s="0"/>
      <c r="GPJ124" s="0"/>
      <c r="GPK124" s="0"/>
      <c r="GPL124" s="0"/>
      <c r="GPM124" s="0"/>
      <c r="GPN124" s="0"/>
      <c r="GPO124" s="0"/>
      <c r="GPP124" s="0"/>
      <c r="GPQ124" s="0"/>
      <c r="GPR124" s="0"/>
      <c r="GPS124" s="0"/>
      <c r="GPT124" s="0"/>
      <c r="GPU124" s="0"/>
      <c r="GPV124" s="0"/>
      <c r="GPW124" s="0"/>
      <c r="GPX124" s="0"/>
      <c r="GPY124" s="0"/>
      <c r="GPZ124" s="0"/>
      <c r="GQA124" s="0"/>
      <c r="GQB124" s="0"/>
      <c r="GQC124" s="0"/>
      <c r="GQD124" s="0"/>
      <c r="GQE124" s="0"/>
      <c r="GQF124" s="0"/>
      <c r="GQG124" s="0"/>
      <c r="GQH124" s="0"/>
      <c r="GQI124" s="0"/>
      <c r="GQJ124" s="0"/>
      <c r="GQK124" s="0"/>
      <c r="GQL124" s="0"/>
      <c r="GQM124" s="0"/>
      <c r="GQN124" s="0"/>
      <c r="GQO124" s="0"/>
      <c r="GQP124" s="0"/>
      <c r="GQQ124" s="0"/>
      <c r="GQR124" s="0"/>
      <c r="GQS124" s="0"/>
      <c r="GQT124" s="0"/>
      <c r="GQU124" s="0"/>
      <c r="GQV124" s="0"/>
      <c r="GQW124" s="0"/>
      <c r="GQX124" s="0"/>
      <c r="GQY124" s="0"/>
      <c r="GQZ124" s="0"/>
      <c r="GRA124" s="0"/>
      <c r="GRB124" s="0"/>
      <c r="GRC124" s="0"/>
      <c r="GRD124" s="0"/>
      <c r="GRE124" s="0"/>
      <c r="GRF124" s="0"/>
      <c r="GRG124" s="0"/>
      <c r="GRH124" s="0"/>
      <c r="GRI124" s="0"/>
      <c r="GRJ124" s="0"/>
      <c r="GRK124" s="0"/>
      <c r="GRL124" s="0"/>
      <c r="GRM124" s="0"/>
      <c r="GRN124" s="0"/>
      <c r="GRO124" s="0"/>
      <c r="GRP124" s="0"/>
      <c r="GRQ124" s="0"/>
      <c r="GRR124" s="0"/>
      <c r="GRS124" s="0"/>
      <c r="GRT124" s="0"/>
      <c r="GRU124" s="0"/>
      <c r="GRV124" s="0"/>
      <c r="GRW124" s="0"/>
      <c r="GRX124" s="0"/>
      <c r="GRY124" s="0"/>
      <c r="GRZ124" s="0"/>
      <c r="GSA124" s="0"/>
      <c r="GSB124" s="0"/>
      <c r="GSC124" s="0"/>
      <c r="GSD124" s="0"/>
      <c r="GSE124" s="0"/>
      <c r="GSF124" s="0"/>
      <c r="GSG124" s="0"/>
      <c r="GSH124" s="0"/>
      <c r="GSI124" s="0"/>
      <c r="GSJ124" s="0"/>
      <c r="GSK124" s="0"/>
      <c r="GSL124" s="0"/>
      <c r="GSM124" s="0"/>
      <c r="GSN124" s="0"/>
      <c r="GSO124" s="0"/>
      <c r="GSP124" s="0"/>
      <c r="GSQ124" s="0"/>
      <c r="GSR124" s="0"/>
      <c r="GSS124" s="0"/>
      <c r="GST124" s="0"/>
      <c r="GSU124" s="0"/>
      <c r="GSV124" s="0"/>
      <c r="GSW124" s="0"/>
      <c r="GSX124" s="0"/>
      <c r="GSY124" s="0"/>
      <c r="GSZ124" s="0"/>
      <c r="GTA124" s="0"/>
      <c r="GTB124" s="0"/>
      <c r="GTC124" s="0"/>
      <c r="GTD124" s="0"/>
      <c r="GTE124" s="0"/>
      <c r="GTF124" s="0"/>
      <c r="GTG124" s="0"/>
      <c r="GTH124" s="0"/>
      <c r="GTI124" s="0"/>
      <c r="GTJ124" s="0"/>
      <c r="GTK124" s="0"/>
      <c r="GTL124" s="0"/>
      <c r="GTM124" s="0"/>
      <c r="GTN124" s="0"/>
      <c r="GTO124" s="0"/>
      <c r="GTP124" s="0"/>
      <c r="GTQ124" s="0"/>
      <c r="GTR124" s="0"/>
      <c r="GTS124" s="0"/>
      <c r="GTT124" s="0"/>
      <c r="GTU124" s="0"/>
      <c r="GTV124" s="0"/>
      <c r="GTW124" s="0"/>
      <c r="GTX124" s="0"/>
      <c r="GTY124" s="0"/>
      <c r="GTZ124" s="0"/>
      <c r="GUA124" s="0"/>
      <c r="GUB124" s="0"/>
      <c r="GUC124" s="0"/>
      <c r="GUD124" s="0"/>
      <c r="GUE124" s="0"/>
      <c r="GUF124" s="0"/>
      <c r="GUG124" s="0"/>
      <c r="GUH124" s="0"/>
      <c r="GUI124" s="0"/>
      <c r="GUJ124" s="0"/>
      <c r="GUK124" s="0"/>
      <c r="GUL124" s="0"/>
      <c r="GUM124" s="0"/>
      <c r="GUN124" s="0"/>
      <c r="GUO124" s="0"/>
      <c r="GUP124" s="0"/>
      <c r="GUQ124" s="0"/>
      <c r="GUR124" s="0"/>
      <c r="GUS124" s="0"/>
      <c r="GUT124" s="0"/>
      <c r="GUU124" s="0"/>
      <c r="GUV124" s="0"/>
      <c r="GUW124" s="0"/>
      <c r="GUX124" s="0"/>
      <c r="GUY124" s="0"/>
      <c r="GUZ124" s="0"/>
      <c r="GVA124" s="0"/>
      <c r="GVB124" s="0"/>
      <c r="GVC124" s="0"/>
      <c r="GVD124" s="0"/>
      <c r="GVE124" s="0"/>
      <c r="GVF124" s="0"/>
      <c r="GVG124" s="0"/>
      <c r="GVH124" s="0"/>
      <c r="GVI124" s="0"/>
      <c r="GVJ124" s="0"/>
      <c r="GVK124" s="0"/>
      <c r="GVL124" s="0"/>
      <c r="GVM124" s="0"/>
      <c r="GVN124" s="0"/>
      <c r="GVO124" s="0"/>
      <c r="GVP124" s="0"/>
      <c r="GVQ124" s="0"/>
      <c r="GVR124" s="0"/>
      <c r="GVS124" s="0"/>
      <c r="GVT124" s="0"/>
      <c r="GVU124" s="0"/>
      <c r="GVV124" s="0"/>
      <c r="GVW124" s="0"/>
      <c r="GVX124" s="0"/>
      <c r="GVY124" s="0"/>
      <c r="GVZ124" s="0"/>
      <c r="GWA124" s="0"/>
      <c r="GWB124" s="0"/>
      <c r="GWC124" s="0"/>
      <c r="GWD124" s="0"/>
      <c r="GWE124" s="0"/>
      <c r="GWF124" s="0"/>
      <c r="GWG124" s="0"/>
      <c r="GWH124" s="0"/>
      <c r="GWI124" s="0"/>
      <c r="GWJ124" s="0"/>
      <c r="GWK124" s="0"/>
      <c r="GWL124" s="0"/>
      <c r="GWM124" s="0"/>
      <c r="GWN124" s="0"/>
      <c r="GWO124" s="0"/>
      <c r="GWP124" s="0"/>
      <c r="GWQ124" s="0"/>
      <c r="GWR124" s="0"/>
      <c r="GWS124" s="0"/>
      <c r="GWT124" s="0"/>
      <c r="GWU124" s="0"/>
      <c r="GWV124" s="0"/>
      <c r="GWW124" s="0"/>
      <c r="GWX124" s="0"/>
      <c r="GWY124" s="0"/>
      <c r="GWZ124" s="0"/>
      <c r="GXA124" s="0"/>
      <c r="GXB124" s="0"/>
      <c r="GXC124" s="0"/>
      <c r="GXD124" s="0"/>
      <c r="GXE124" s="0"/>
      <c r="GXF124" s="0"/>
      <c r="GXG124" s="0"/>
      <c r="GXH124" s="0"/>
      <c r="GXI124" s="0"/>
      <c r="GXJ124" s="0"/>
      <c r="GXK124" s="0"/>
      <c r="GXL124" s="0"/>
      <c r="GXM124" s="0"/>
      <c r="GXN124" s="0"/>
      <c r="GXO124" s="0"/>
      <c r="GXP124" s="0"/>
      <c r="GXQ124" s="0"/>
      <c r="GXR124" s="0"/>
      <c r="GXS124" s="0"/>
      <c r="GXT124" s="0"/>
      <c r="GXU124" s="0"/>
      <c r="GXV124" s="0"/>
      <c r="GXW124" s="0"/>
      <c r="GXX124" s="0"/>
      <c r="GXY124" s="0"/>
      <c r="GXZ124" s="0"/>
      <c r="GYA124" s="0"/>
      <c r="GYB124" s="0"/>
      <c r="GYC124" s="0"/>
      <c r="GYD124" s="0"/>
      <c r="GYE124" s="0"/>
      <c r="GYF124" s="0"/>
      <c r="GYG124" s="0"/>
      <c r="GYH124" s="0"/>
      <c r="GYI124" s="0"/>
      <c r="GYJ124" s="0"/>
      <c r="GYK124" s="0"/>
      <c r="GYL124" s="0"/>
      <c r="GYM124" s="0"/>
      <c r="GYN124" s="0"/>
      <c r="GYO124" s="0"/>
      <c r="GYP124" s="0"/>
      <c r="GYQ124" s="0"/>
      <c r="GYR124" s="0"/>
      <c r="GYS124" s="0"/>
      <c r="GYT124" s="0"/>
      <c r="GYU124" s="0"/>
      <c r="GYV124" s="0"/>
      <c r="GYW124" s="0"/>
      <c r="GYX124" s="0"/>
      <c r="GYY124" s="0"/>
      <c r="GYZ124" s="0"/>
      <c r="GZA124" s="0"/>
      <c r="GZB124" s="0"/>
      <c r="GZC124" s="0"/>
      <c r="GZD124" s="0"/>
      <c r="GZE124" s="0"/>
      <c r="GZF124" s="0"/>
      <c r="GZG124" s="0"/>
      <c r="GZH124" s="0"/>
      <c r="GZI124" s="0"/>
      <c r="GZJ124" s="0"/>
      <c r="GZK124" s="0"/>
      <c r="GZL124" s="0"/>
      <c r="GZM124" s="0"/>
      <c r="GZN124" s="0"/>
      <c r="GZO124" s="0"/>
      <c r="GZP124" s="0"/>
      <c r="GZQ124" s="0"/>
      <c r="GZR124" s="0"/>
      <c r="GZS124" s="0"/>
      <c r="GZT124" s="0"/>
      <c r="GZU124" s="0"/>
      <c r="GZV124" s="0"/>
      <c r="GZW124" s="0"/>
      <c r="GZX124" s="0"/>
      <c r="GZY124" s="0"/>
      <c r="GZZ124" s="0"/>
      <c r="HAA124" s="0"/>
      <c r="HAB124" s="0"/>
      <c r="HAC124" s="0"/>
      <c r="HAD124" s="0"/>
      <c r="HAE124" s="0"/>
      <c r="HAF124" s="0"/>
      <c r="HAG124" s="0"/>
      <c r="HAH124" s="0"/>
      <c r="HAI124" s="0"/>
      <c r="HAJ124" s="0"/>
      <c r="HAK124" s="0"/>
      <c r="HAL124" s="0"/>
      <c r="HAM124" s="0"/>
      <c r="HAN124" s="0"/>
      <c r="HAO124" s="0"/>
      <c r="HAP124" s="0"/>
      <c r="HAQ124" s="0"/>
      <c r="HAR124" s="0"/>
      <c r="HAS124" s="0"/>
      <c r="HAT124" s="0"/>
      <c r="HAU124" s="0"/>
      <c r="HAV124" s="0"/>
      <c r="HAW124" s="0"/>
      <c r="HAX124" s="0"/>
      <c r="HAY124" s="0"/>
      <c r="HAZ124" s="0"/>
      <c r="HBA124" s="0"/>
      <c r="HBB124" s="0"/>
      <c r="HBC124" s="0"/>
      <c r="HBD124" s="0"/>
      <c r="HBE124" s="0"/>
      <c r="HBF124" s="0"/>
      <c r="HBG124" s="0"/>
      <c r="HBH124" s="0"/>
      <c r="HBI124" s="0"/>
      <c r="HBJ124" s="0"/>
      <c r="HBK124" s="0"/>
      <c r="HBL124" s="0"/>
      <c r="HBM124" s="0"/>
      <c r="HBN124" s="0"/>
      <c r="HBO124" s="0"/>
      <c r="HBP124" s="0"/>
      <c r="HBQ124" s="0"/>
      <c r="HBR124" s="0"/>
      <c r="HBS124" s="0"/>
      <c r="HBT124" s="0"/>
      <c r="HBU124" s="0"/>
      <c r="HBV124" s="0"/>
      <c r="HBW124" s="0"/>
      <c r="HBX124" s="0"/>
      <c r="HBY124" s="0"/>
      <c r="HBZ124" s="0"/>
      <c r="HCA124" s="0"/>
      <c r="HCB124" s="0"/>
      <c r="HCC124" s="0"/>
      <c r="HCD124" s="0"/>
      <c r="HCE124" s="0"/>
      <c r="HCF124" s="0"/>
      <c r="HCG124" s="0"/>
      <c r="HCH124" s="0"/>
      <c r="HCI124" s="0"/>
      <c r="HCJ124" s="0"/>
      <c r="HCK124" s="0"/>
      <c r="HCL124" s="0"/>
      <c r="HCM124" s="0"/>
      <c r="HCN124" s="0"/>
      <c r="HCO124" s="0"/>
      <c r="HCP124" s="0"/>
      <c r="HCQ124" s="0"/>
      <c r="HCR124" s="0"/>
      <c r="HCS124" s="0"/>
      <c r="HCT124" s="0"/>
      <c r="HCU124" s="0"/>
      <c r="HCV124" s="0"/>
      <c r="HCW124" s="0"/>
      <c r="HCX124" s="0"/>
      <c r="HCY124" s="0"/>
      <c r="HCZ124" s="0"/>
      <c r="HDA124" s="0"/>
      <c r="HDB124" s="0"/>
      <c r="HDC124" s="0"/>
      <c r="HDD124" s="0"/>
      <c r="HDE124" s="0"/>
      <c r="HDF124" s="0"/>
      <c r="HDG124" s="0"/>
      <c r="HDH124" s="0"/>
      <c r="HDI124" s="0"/>
      <c r="HDJ124" s="0"/>
      <c r="HDK124" s="0"/>
      <c r="HDL124" s="0"/>
      <c r="HDM124" s="0"/>
      <c r="HDN124" s="0"/>
      <c r="HDO124" s="0"/>
      <c r="HDP124" s="0"/>
      <c r="HDQ124" s="0"/>
      <c r="HDR124" s="0"/>
      <c r="HDS124" s="0"/>
      <c r="HDT124" s="0"/>
      <c r="HDU124" s="0"/>
      <c r="HDV124" s="0"/>
      <c r="HDW124" s="0"/>
      <c r="HDX124" s="0"/>
      <c r="HDY124" s="0"/>
      <c r="HDZ124" s="0"/>
      <c r="HEA124" s="0"/>
      <c r="HEB124" s="0"/>
      <c r="HEC124" s="0"/>
      <c r="HED124" s="0"/>
      <c r="HEE124" s="0"/>
      <c r="HEF124" s="0"/>
      <c r="HEG124" s="0"/>
      <c r="HEH124" s="0"/>
      <c r="HEI124" s="0"/>
      <c r="HEJ124" s="0"/>
      <c r="HEK124" s="0"/>
      <c r="HEL124" s="0"/>
      <c r="HEM124" s="0"/>
      <c r="HEN124" s="0"/>
      <c r="HEO124" s="0"/>
      <c r="HEP124" s="0"/>
      <c r="HEQ124" s="0"/>
      <c r="HER124" s="0"/>
      <c r="HES124" s="0"/>
      <c r="HET124" s="0"/>
      <c r="HEU124" s="0"/>
      <c r="HEV124" s="0"/>
      <c r="HEW124" s="0"/>
      <c r="HEX124" s="0"/>
      <c r="HEY124" s="0"/>
      <c r="HEZ124" s="0"/>
      <c r="HFA124" s="0"/>
      <c r="HFB124" s="0"/>
      <c r="HFC124" s="0"/>
      <c r="HFD124" s="0"/>
      <c r="HFE124" s="0"/>
      <c r="HFF124" s="0"/>
      <c r="HFG124" s="0"/>
      <c r="HFH124" s="0"/>
      <c r="HFI124" s="0"/>
      <c r="HFJ124" s="0"/>
      <c r="HFK124" s="0"/>
      <c r="HFL124" s="0"/>
      <c r="HFM124" s="0"/>
      <c r="HFN124" s="0"/>
      <c r="HFO124" s="0"/>
      <c r="HFP124" s="0"/>
      <c r="HFQ124" s="0"/>
      <c r="HFR124" s="0"/>
      <c r="HFS124" s="0"/>
      <c r="HFT124" s="0"/>
      <c r="HFU124" s="0"/>
      <c r="HFV124" s="0"/>
      <c r="HFW124" s="0"/>
      <c r="HFX124" s="0"/>
      <c r="HFY124" s="0"/>
      <c r="HFZ124" s="0"/>
      <c r="HGA124" s="0"/>
      <c r="HGB124" s="0"/>
      <c r="HGC124" s="0"/>
      <c r="HGD124" s="0"/>
      <c r="HGE124" s="0"/>
      <c r="HGF124" s="0"/>
      <c r="HGG124" s="0"/>
      <c r="HGH124" s="0"/>
      <c r="HGI124" s="0"/>
      <c r="HGJ124" s="0"/>
      <c r="HGK124" s="0"/>
      <c r="HGL124" s="0"/>
      <c r="HGM124" s="0"/>
      <c r="HGN124" s="0"/>
      <c r="HGO124" s="0"/>
      <c r="HGP124" s="0"/>
      <c r="HGQ124" s="0"/>
      <c r="HGR124" s="0"/>
      <c r="HGS124" s="0"/>
      <c r="HGT124" s="0"/>
      <c r="HGU124" s="0"/>
      <c r="HGV124" s="0"/>
      <c r="HGW124" s="0"/>
      <c r="HGX124" s="0"/>
      <c r="HGY124" s="0"/>
      <c r="HGZ124" s="0"/>
      <c r="HHA124" s="0"/>
      <c r="HHB124" s="0"/>
      <c r="HHC124" s="0"/>
      <c r="HHD124" s="0"/>
      <c r="HHE124" s="0"/>
      <c r="HHF124" s="0"/>
      <c r="HHG124" s="0"/>
      <c r="HHH124" s="0"/>
      <c r="HHI124" s="0"/>
      <c r="HHJ124" s="0"/>
      <c r="HHK124" s="0"/>
      <c r="HHL124" s="0"/>
      <c r="HHM124" s="0"/>
      <c r="HHN124" s="0"/>
      <c r="HHO124" s="0"/>
      <c r="HHP124" s="0"/>
      <c r="HHQ124" s="0"/>
      <c r="HHR124" s="0"/>
      <c r="HHS124" s="0"/>
      <c r="HHT124" s="0"/>
      <c r="HHU124" s="0"/>
      <c r="HHV124" s="0"/>
      <c r="HHW124" s="0"/>
      <c r="HHX124" s="0"/>
      <c r="HHY124" s="0"/>
      <c r="HHZ124" s="0"/>
      <c r="HIA124" s="0"/>
      <c r="HIB124" s="0"/>
      <c r="HIC124" s="0"/>
      <c r="HID124" s="0"/>
      <c r="HIE124" s="0"/>
      <c r="HIF124" s="0"/>
      <c r="HIG124" s="0"/>
      <c r="HIH124" s="0"/>
      <c r="HII124" s="0"/>
      <c r="HIJ124" s="0"/>
      <c r="HIK124" s="0"/>
      <c r="HIL124" s="0"/>
      <c r="HIM124" s="0"/>
      <c r="HIN124" s="0"/>
      <c r="HIO124" s="0"/>
      <c r="HIP124" s="0"/>
      <c r="HIQ124" s="0"/>
      <c r="HIR124" s="0"/>
      <c r="HIS124" s="0"/>
      <c r="HIT124" s="0"/>
      <c r="HIU124" s="0"/>
      <c r="HIV124" s="0"/>
      <c r="HIW124" s="0"/>
      <c r="HIX124" s="0"/>
      <c r="HIY124" s="0"/>
      <c r="HIZ124" s="0"/>
      <c r="HJA124" s="0"/>
      <c r="HJB124" s="0"/>
      <c r="HJC124" s="0"/>
      <c r="HJD124" s="0"/>
      <c r="HJE124" s="0"/>
      <c r="HJF124" s="0"/>
      <c r="HJG124" s="0"/>
      <c r="HJH124" s="0"/>
      <c r="HJI124" s="0"/>
      <c r="HJJ124" s="0"/>
      <c r="HJK124" s="0"/>
      <c r="HJL124" s="0"/>
      <c r="HJM124" s="0"/>
      <c r="HJN124" s="0"/>
      <c r="HJO124" s="0"/>
      <c r="HJP124" s="0"/>
      <c r="HJQ124" s="0"/>
      <c r="HJR124" s="0"/>
      <c r="HJS124" s="0"/>
      <c r="HJT124" s="0"/>
      <c r="HJU124" s="0"/>
      <c r="HJV124" s="0"/>
      <c r="HJW124" s="0"/>
      <c r="HJX124" s="0"/>
      <c r="HJY124" s="0"/>
      <c r="HJZ124" s="0"/>
      <c r="HKA124" s="0"/>
      <c r="HKB124" s="0"/>
      <c r="HKC124" s="0"/>
      <c r="HKD124" s="0"/>
      <c r="HKE124" s="0"/>
      <c r="HKF124" s="0"/>
      <c r="HKG124" s="0"/>
      <c r="HKH124" s="0"/>
      <c r="HKI124" s="0"/>
      <c r="HKJ124" s="0"/>
      <c r="HKK124" s="0"/>
      <c r="HKL124" s="0"/>
      <c r="HKM124" s="0"/>
      <c r="HKN124" s="0"/>
      <c r="HKO124" s="0"/>
      <c r="HKP124" s="0"/>
      <c r="HKQ124" s="0"/>
      <c r="HKR124" s="0"/>
      <c r="HKS124" s="0"/>
      <c r="HKT124" s="0"/>
      <c r="HKU124" s="0"/>
      <c r="HKV124" s="0"/>
      <c r="HKW124" s="0"/>
      <c r="HKX124" s="0"/>
      <c r="HKY124" s="0"/>
      <c r="HKZ124" s="0"/>
      <c r="HLA124" s="0"/>
      <c r="HLB124" s="0"/>
      <c r="HLC124" s="0"/>
      <c r="HLD124" s="0"/>
      <c r="HLE124" s="0"/>
      <c r="HLF124" s="0"/>
      <c r="HLG124" s="0"/>
      <c r="HLH124" s="0"/>
      <c r="HLI124" s="0"/>
      <c r="HLJ124" s="0"/>
      <c r="HLK124" s="0"/>
      <c r="HLL124" s="0"/>
      <c r="HLM124" s="0"/>
      <c r="HLN124" s="0"/>
      <c r="HLO124" s="0"/>
      <c r="HLP124" s="0"/>
      <c r="HLQ124" s="0"/>
      <c r="HLR124" s="0"/>
      <c r="HLS124" s="0"/>
      <c r="HLT124" s="0"/>
      <c r="HLU124" s="0"/>
      <c r="HLV124" s="0"/>
      <c r="HLW124" s="0"/>
      <c r="HLX124" s="0"/>
      <c r="HLY124" s="0"/>
      <c r="HLZ124" s="0"/>
      <c r="HMA124" s="0"/>
      <c r="HMB124" s="0"/>
      <c r="HMC124" s="0"/>
      <c r="HMD124" s="0"/>
      <c r="HME124" s="0"/>
      <c r="HMF124" s="0"/>
      <c r="HMG124" s="0"/>
      <c r="HMH124" s="0"/>
      <c r="HMI124" s="0"/>
      <c r="HMJ124" s="0"/>
      <c r="HMK124" s="0"/>
      <c r="HML124" s="0"/>
      <c r="HMM124" s="0"/>
      <c r="HMN124" s="0"/>
      <c r="HMO124" s="0"/>
      <c r="HMP124" s="0"/>
      <c r="HMQ124" s="0"/>
      <c r="HMR124" s="0"/>
      <c r="HMS124" s="0"/>
      <c r="HMT124" s="0"/>
      <c r="HMU124" s="0"/>
      <c r="HMV124" s="0"/>
      <c r="HMW124" s="0"/>
      <c r="HMX124" s="0"/>
      <c r="HMY124" s="0"/>
      <c r="HMZ124" s="0"/>
      <c r="HNA124" s="0"/>
      <c r="HNB124" s="0"/>
      <c r="HNC124" s="0"/>
      <c r="HND124" s="0"/>
      <c r="HNE124" s="0"/>
      <c r="HNF124" s="0"/>
      <c r="HNG124" s="0"/>
      <c r="HNH124" s="0"/>
      <c r="HNI124" s="0"/>
      <c r="HNJ124" s="0"/>
      <c r="HNK124" s="0"/>
      <c r="HNL124" s="0"/>
      <c r="HNM124" s="0"/>
      <c r="HNN124" s="0"/>
      <c r="HNO124" s="0"/>
      <c r="HNP124" s="0"/>
      <c r="HNQ124" s="0"/>
      <c r="HNR124" s="0"/>
      <c r="HNS124" s="0"/>
      <c r="HNT124" s="0"/>
      <c r="HNU124" s="0"/>
      <c r="HNV124" s="0"/>
      <c r="HNW124" s="0"/>
      <c r="HNX124" s="0"/>
      <c r="HNY124" s="0"/>
      <c r="HNZ124" s="0"/>
      <c r="HOA124" s="0"/>
      <c r="HOB124" s="0"/>
      <c r="HOC124" s="0"/>
      <c r="HOD124" s="0"/>
      <c r="HOE124" s="0"/>
      <c r="HOF124" s="0"/>
      <c r="HOG124" s="0"/>
      <c r="HOH124" s="0"/>
      <c r="HOI124" s="0"/>
      <c r="HOJ124" s="0"/>
      <c r="HOK124" s="0"/>
      <c r="HOL124" s="0"/>
      <c r="HOM124" s="0"/>
      <c r="HON124" s="0"/>
      <c r="HOO124" s="0"/>
      <c r="HOP124" s="0"/>
      <c r="HOQ124" s="0"/>
      <c r="HOR124" s="0"/>
      <c r="HOS124" s="0"/>
      <c r="HOT124" s="0"/>
      <c r="HOU124" s="0"/>
      <c r="HOV124" s="0"/>
      <c r="HOW124" s="0"/>
      <c r="HOX124" s="0"/>
      <c r="HOY124" s="0"/>
      <c r="HOZ124" s="0"/>
      <c r="HPA124" s="0"/>
      <c r="HPB124" s="0"/>
      <c r="HPC124" s="0"/>
      <c r="HPD124" s="0"/>
      <c r="HPE124" s="0"/>
      <c r="HPF124" s="0"/>
      <c r="HPG124" s="0"/>
      <c r="HPH124" s="0"/>
      <c r="HPI124" s="0"/>
      <c r="HPJ124" s="0"/>
      <c r="HPK124" s="0"/>
      <c r="HPL124" s="0"/>
      <c r="HPM124" s="0"/>
      <c r="HPN124" s="0"/>
      <c r="HPO124" s="0"/>
      <c r="HPP124" s="0"/>
      <c r="HPQ124" s="0"/>
      <c r="HPR124" s="0"/>
      <c r="HPS124" s="0"/>
      <c r="HPT124" s="0"/>
      <c r="HPU124" s="0"/>
      <c r="HPV124" s="0"/>
      <c r="HPW124" s="0"/>
      <c r="HPX124" s="0"/>
      <c r="HPY124" s="0"/>
      <c r="HPZ124" s="0"/>
      <c r="HQA124" s="0"/>
      <c r="HQB124" s="0"/>
      <c r="HQC124" s="0"/>
      <c r="HQD124" s="0"/>
      <c r="HQE124" s="0"/>
      <c r="HQF124" s="0"/>
      <c r="HQG124" s="0"/>
      <c r="HQH124" s="0"/>
      <c r="HQI124" s="0"/>
      <c r="HQJ124" s="0"/>
      <c r="HQK124" s="0"/>
      <c r="HQL124" s="0"/>
      <c r="HQM124" s="0"/>
      <c r="HQN124" s="0"/>
      <c r="HQO124" s="0"/>
      <c r="HQP124" s="0"/>
      <c r="HQQ124" s="0"/>
      <c r="HQR124" s="0"/>
      <c r="HQS124" s="0"/>
      <c r="HQT124" s="0"/>
      <c r="HQU124" s="0"/>
      <c r="HQV124" s="0"/>
      <c r="HQW124" s="0"/>
      <c r="HQX124" s="0"/>
      <c r="HQY124" s="0"/>
      <c r="HQZ124" s="0"/>
      <c r="HRA124" s="0"/>
      <c r="HRB124" s="0"/>
      <c r="HRC124" s="0"/>
      <c r="HRD124" s="0"/>
      <c r="HRE124" s="0"/>
      <c r="HRF124" s="0"/>
      <c r="HRG124" s="0"/>
      <c r="HRH124" s="0"/>
      <c r="HRI124" s="0"/>
      <c r="HRJ124" s="0"/>
      <c r="HRK124" s="0"/>
      <c r="HRL124" s="0"/>
      <c r="HRM124" s="0"/>
      <c r="HRN124" s="0"/>
      <c r="HRO124" s="0"/>
      <c r="HRP124" s="0"/>
      <c r="HRQ124" s="0"/>
      <c r="HRR124" s="0"/>
      <c r="HRS124" s="0"/>
      <c r="HRT124" s="0"/>
      <c r="HRU124" s="0"/>
      <c r="HRV124" s="0"/>
      <c r="HRW124" s="0"/>
      <c r="HRX124" s="0"/>
      <c r="HRY124" s="0"/>
      <c r="HRZ124" s="0"/>
      <c r="HSA124" s="0"/>
      <c r="HSB124" s="0"/>
      <c r="HSC124" s="0"/>
      <c r="HSD124" s="0"/>
      <c r="HSE124" s="0"/>
      <c r="HSF124" s="0"/>
      <c r="HSG124" s="0"/>
      <c r="HSH124" s="0"/>
      <c r="HSI124" s="0"/>
      <c r="HSJ124" s="0"/>
      <c r="HSK124" s="0"/>
      <c r="HSL124" s="0"/>
      <c r="HSM124" s="0"/>
      <c r="HSN124" s="0"/>
      <c r="HSO124" s="0"/>
      <c r="HSP124" s="0"/>
      <c r="HSQ124" s="0"/>
      <c r="HSR124" s="0"/>
      <c r="HSS124" s="0"/>
      <c r="HST124" s="0"/>
      <c r="HSU124" s="0"/>
      <c r="HSV124" s="0"/>
      <c r="HSW124" s="0"/>
      <c r="HSX124" s="0"/>
      <c r="HSY124" s="0"/>
      <c r="HSZ124" s="0"/>
      <c r="HTA124" s="0"/>
      <c r="HTB124" s="0"/>
      <c r="HTC124" s="0"/>
      <c r="HTD124" s="0"/>
      <c r="HTE124" s="0"/>
      <c r="HTF124" s="0"/>
      <c r="HTG124" s="0"/>
      <c r="HTH124" s="0"/>
      <c r="HTI124" s="0"/>
      <c r="HTJ124" s="0"/>
      <c r="HTK124" s="0"/>
      <c r="HTL124" s="0"/>
      <c r="HTM124" s="0"/>
      <c r="HTN124" s="0"/>
      <c r="HTO124" s="0"/>
      <c r="HTP124" s="0"/>
      <c r="HTQ124" s="0"/>
      <c r="HTR124" s="0"/>
      <c r="HTS124" s="0"/>
      <c r="HTT124" s="0"/>
      <c r="HTU124" s="0"/>
      <c r="HTV124" s="0"/>
      <c r="HTW124" s="0"/>
      <c r="HTX124" s="0"/>
      <c r="HTY124" s="0"/>
      <c r="HTZ124" s="0"/>
      <c r="HUA124" s="0"/>
      <c r="HUB124" s="0"/>
      <c r="HUC124" s="0"/>
      <c r="HUD124" s="0"/>
      <c r="HUE124" s="0"/>
      <c r="HUF124" s="0"/>
      <c r="HUG124" s="0"/>
      <c r="HUH124" s="0"/>
      <c r="HUI124" s="0"/>
      <c r="HUJ124" s="0"/>
      <c r="HUK124" s="0"/>
      <c r="HUL124" s="0"/>
      <c r="HUM124" s="0"/>
      <c r="HUN124" s="0"/>
      <c r="HUO124" s="0"/>
      <c r="HUP124" s="0"/>
      <c r="HUQ124" s="0"/>
      <c r="HUR124" s="0"/>
      <c r="HUS124" s="0"/>
      <c r="HUT124" s="0"/>
      <c r="HUU124" s="0"/>
      <c r="HUV124" s="0"/>
      <c r="HUW124" s="0"/>
      <c r="HUX124" s="0"/>
      <c r="HUY124" s="0"/>
      <c r="HUZ124" s="0"/>
      <c r="HVA124" s="0"/>
      <c r="HVB124" s="0"/>
      <c r="HVC124" s="0"/>
      <c r="HVD124" s="0"/>
      <c r="HVE124" s="0"/>
      <c r="HVF124" s="0"/>
      <c r="HVG124" s="0"/>
      <c r="HVH124" s="0"/>
      <c r="HVI124" s="0"/>
      <c r="HVJ124" s="0"/>
      <c r="HVK124" s="0"/>
      <c r="HVL124" s="0"/>
      <c r="HVM124" s="0"/>
      <c r="HVN124" s="0"/>
      <c r="HVO124" s="0"/>
      <c r="HVP124" s="0"/>
      <c r="HVQ124" s="0"/>
      <c r="HVR124" s="0"/>
      <c r="HVS124" s="0"/>
      <c r="HVT124" s="0"/>
      <c r="HVU124" s="0"/>
      <c r="HVV124" s="0"/>
      <c r="HVW124" s="0"/>
      <c r="HVX124" s="0"/>
      <c r="HVY124" s="0"/>
      <c r="HVZ124" s="0"/>
      <c r="HWA124" s="0"/>
      <c r="HWB124" s="0"/>
      <c r="HWC124" s="0"/>
      <c r="HWD124" s="0"/>
      <c r="HWE124" s="0"/>
      <c r="HWF124" s="0"/>
      <c r="HWG124" s="0"/>
      <c r="HWH124" s="0"/>
      <c r="HWI124" s="0"/>
      <c r="HWJ124" s="0"/>
      <c r="HWK124" s="0"/>
      <c r="HWL124" s="0"/>
      <c r="HWM124" s="0"/>
      <c r="HWN124" s="0"/>
      <c r="HWO124" s="0"/>
      <c r="HWP124" s="0"/>
      <c r="HWQ124" s="0"/>
      <c r="HWR124" s="0"/>
      <c r="HWS124" s="0"/>
      <c r="HWT124" s="0"/>
      <c r="HWU124" s="0"/>
      <c r="HWV124" s="0"/>
      <c r="HWW124" s="0"/>
      <c r="HWX124" s="0"/>
      <c r="HWY124" s="0"/>
      <c r="HWZ124" s="0"/>
      <c r="HXA124" s="0"/>
      <c r="HXB124" s="0"/>
      <c r="HXC124" s="0"/>
      <c r="HXD124" s="0"/>
      <c r="HXE124" s="0"/>
      <c r="HXF124" s="0"/>
      <c r="HXG124" s="0"/>
      <c r="HXH124" s="0"/>
      <c r="HXI124" s="0"/>
      <c r="HXJ124" s="0"/>
      <c r="HXK124" s="0"/>
      <c r="HXL124" s="0"/>
      <c r="HXM124" s="0"/>
      <c r="HXN124" s="0"/>
      <c r="HXO124" s="0"/>
      <c r="HXP124" s="0"/>
      <c r="HXQ124" s="0"/>
      <c r="HXR124" s="0"/>
      <c r="HXS124" s="0"/>
      <c r="HXT124" s="0"/>
      <c r="HXU124" s="0"/>
      <c r="HXV124" s="0"/>
      <c r="HXW124" s="0"/>
      <c r="HXX124" s="0"/>
      <c r="HXY124" s="0"/>
      <c r="HXZ124" s="0"/>
      <c r="HYA124" s="0"/>
      <c r="HYB124" s="0"/>
      <c r="HYC124" s="0"/>
      <c r="HYD124" s="0"/>
      <c r="HYE124" s="0"/>
      <c r="HYF124" s="0"/>
      <c r="HYG124" s="0"/>
      <c r="HYH124" s="0"/>
      <c r="HYI124" s="0"/>
      <c r="HYJ124" s="0"/>
      <c r="HYK124" s="0"/>
      <c r="HYL124" s="0"/>
      <c r="HYM124" s="0"/>
      <c r="HYN124" s="0"/>
      <c r="HYO124" s="0"/>
      <c r="HYP124" s="0"/>
      <c r="HYQ124" s="0"/>
      <c r="HYR124" s="0"/>
      <c r="HYS124" s="0"/>
      <c r="HYT124" s="0"/>
      <c r="HYU124" s="0"/>
      <c r="HYV124" s="0"/>
      <c r="HYW124" s="0"/>
      <c r="HYX124" s="0"/>
      <c r="HYY124" s="0"/>
      <c r="HYZ124" s="0"/>
      <c r="HZA124" s="0"/>
      <c r="HZB124" s="0"/>
      <c r="HZC124" s="0"/>
      <c r="HZD124" s="0"/>
      <c r="HZE124" s="0"/>
      <c r="HZF124" s="0"/>
      <c r="HZG124" s="0"/>
      <c r="HZH124" s="0"/>
      <c r="HZI124" s="0"/>
      <c r="HZJ124" s="0"/>
      <c r="HZK124" s="0"/>
      <c r="HZL124" s="0"/>
      <c r="HZM124" s="0"/>
      <c r="HZN124" s="0"/>
      <c r="HZO124" s="0"/>
      <c r="HZP124" s="0"/>
      <c r="HZQ124" s="0"/>
      <c r="HZR124" s="0"/>
      <c r="HZS124" s="0"/>
      <c r="HZT124" s="0"/>
      <c r="HZU124" s="0"/>
      <c r="HZV124" s="0"/>
      <c r="HZW124" s="0"/>
      <c r="HZX124" s="0"/>
      <c r="HZY124" s="0"/>
      <c r="HZZ124" s="0"/>
      <c r="IAA124" s="0"/>
      <c r="IAB124" s="0"/>
      <c r="IAC124" s="0"/>
      <c r="IAD124" s="0"/>
      <c r="IAE124" s="0"/>
      <c r="IAF124" s="0"/>
      <c r="IAG124" s="0"/>
      <c r="IAH124" s="0"/>
      <c r="IAI124" s="0"/>
      <c r="IAJ124" s="0"/>
      <c r="IAK124" s="0"/>
      <c r="IAL124" s="0"/>
      <c r="IAM124" s="0"/>
      <c r="IAN124" s="0"/>
      <c r="IAO124" s="0"/>
      <c r="IAP124" s="0"/>
      <c r="IAQ124" s="0"/>
      <c r="IAR124" s="0"/>
      <c r="IAS124" s="0"/>
      <c r="IAT124" s="0"/>
      <c r="IAU124" s="0"/>
      <c r="IAV124" s="0"/>
      <c r="IAW124" s="0"/>
      <c r="IAX124" s="0"/>
      <c r="IAY124" s="0"/>
      <c r="IAZ124" s="0"/>
      <c r="IBA124" s="0"/>
      <c r="IBB124" s="0"/>
      <c r="IBC124" s="0"/>
      <c r="IBD124" s="0"/>
      <c r="IBE124" s="0"/>
      <c r="IBF124" s="0"/>
      <c r="IBG124" s="0"/>
      <c r="IBH124" s="0"/>
      <c r="IBI124" s="0"/>
      <c r="IBJ124" s="0"/>
      <c r="IBK124" s="0"/>
      <c r="IBL124" s="0"/>
      <c r="IBM124" s="0"/>
      <c r="IBN124" s="0"/>
      <c r="IBO124" s="0"/>
      <c r="IBP124" s="0"/>
      <c r="IBQ124" s="0"/>
      <c r="IBR124" s="0"/>
      <c r="IBS124" s="0"/>
      <c r="IBT124" s="0"/>
      <c r="IBU124" s="0"/>
      <c r="IBV124" s="0"/>
      <c r="IBW124" s="0"/>
      <c r="IBX124" s="0"/>
      <c r="IBY124" s="0"/>
      <c r="IBZ124" s="0"/>
      <c r="ICA124" s="0"/>
      <c r="ICB124" s="0"/>
      <c r="ICC124" s="0"/>
      <c r="ICD124" s="0"/>
      <c r="ICE124" s="0"/>
      <c r="ICF124" s="0"/>
      <c r="ICG124" s="0"/>
      <c r="ICH124" s="0"/>
      <c r="ICI124" s="0"/>
      <c r="ICJ124" s="0"/>
      <c r="ICK124" s="0"/>
      <c r="ICL124" s="0"/>
      <c r="ICM124" s="0"/>
      <c r="ICN124" s="0"/>
      <c r="ICO124" s="0"/>
      <c r="ICP124" s="0"/>
      <c r="ICQ124" s="0"/>
      <c r="ICR124" s="0"/>
      <c r="ICS124" s="0"/>
      <c r="ICT124" s="0"/>
      <c r="ICU124" s="0"/>
      <c r="ICV124" s="0"/>
      <c r="ICW124" s="0"/>
      <c r="ICX124" s="0"/>
      <c r="ICY124" s="0"/>
      <c r="ICZ124" s="0"/>
      <c r="IDA124" s="0"/>
      <c r="IDB124" s="0"/>
      <c r="IDC124" s="0"/>
      <c r="IDD124" s="0"/>
      <c r="IDE124" s="0"/>
      <c r="IDF124" s="0"/>
      <c r="IDG124" s="0"/>
      <c r="IDH124" s="0"/>
      <c r="IDI124" s="0"/>
      <c r="IDJ124" s="0"/>
      <c r="IDK124" s="0"/>
      <c r="IDL124" s="0"/>
      <c r="IDM124" s="0"/>
      <c r="IDN124" s="0"/>
      <c r="IDO124" s="0"/>
      <c r="IDP124" s="0"/>
      <c r="IDQ124" s="0"/>
      <c r="IDR124" s="0"/>
      <c r="IDS124" s="0"/>
      <c r="IDT124" s="0"/>
      <c r="IDU124" s="0"/>
      <c r="IDV124" s="0"/>
      <c r="IDW124" s="0"/>
      <c r="IDX124" s="0"/>
      <c r="IDY124" s="0"/>
      <c r="IDZ124" s="0"/>
      <c r="IEA124" s="0"/>
      <c r="IEB124" s="0"/>
      <c r="IEC124" s="0"/>
      <c r="IED124" s="0"/>
      <c r="IEE124" s="0"/>
      <c r="IEF124" s="0"/>
      <c r="IEG124" s="0"/>
      <c r="IEH124" s="0"/>
      <c r="IEI124" s="0"/>
      <c r="IEJ124" s="0"/>
      <c r="IEK124" s="0"/>
      <c r="IEL124" s="0"/>
      <c r="IEM124" s="0"/>
      <c r="IEN124" s="0"/>
      <c r="IEO124" s="0"/>
      <c r="IEP124" s="0"/>
      <c r="IEQ124" s="0"/>
      <c r="IER124" s="0"/>
      <c r="IES124" s="0"/>
      <c r="IET124" s="0"/>
      <c r="IEU124" s="0"/>
      <c r="IEV124" s="0"/>
      <c r="IEW124" s="0"/>
      <c r="IEX124" s="0"/>
      <c r="IEY124" s="0"/>
      <c r="IEZ124" s="0"/>
      <c r="IFA124" s="0"/>
      <c r="IFB124" s="0"/>
      <c r="IFC124" s="0"/>
      <c r="IFD124" s="0"/>
      <c r="IFE124" s="0"/>
      <c r="IFF124" s="0"/>
      <c r="IFG124" s="0"/>
      <c r="IFH124" s="0"/>
      <c r="IFI124" s="0"/>
      <c r="IFJ124" s="0"/>
      <c r="IFK124" s="0"/>
      <c r="IFL124" s="0"/>
      <c r="IFM124" s="0"/>
      <c r="IFN124" s="0"/>
      <c r="IFO124" s="0"/>
      <c r="IFP124" s="0"/>
      <c r="IFQ124" s="0"/>
      <c r="IFR124" s="0"/>
      <c r="IFS124" s="0"/>
      <c r="IFT124" s="0"/>
      <c r="IFU124" s="0"/>
      <c r="IFV124" s="0"/>
      <c r="IFW124" s="0"/>
      <c r="IFX124" s="0"/>
      <c r="IFY124" s="0"/>
      <c r="IFZ124" s="0"/>
      <c r="IGA124" s="0"/>
      <c r="IGB124" s="0"/>
      <c r="IGC124" s="0"/>
      <c r="IGD124" s="0"/>
      <c r="IGE124" s="0"/>
      <c r="IGF124" s="0"/>
      <c r="IGG124" s="0"/>
      <c r="IGH124" s="0"/>
      <c r="IGI124" s="0"/>
      <c r="IGJ124" s="0"/>
      <c r="IGK124" s="0"/>
      <c r="IGL124" s="0"/>
      <c r="IGM124" s="0"/>
      <c r="IGN124" s="0"/>
      <c r="IGO124" s="0"/>
      <c r="IGP124" s="0"/>
      <c r="IGQ124" s="0"/>
      <c r="IGR124" s="0"/>
      <c r="IGS124" s="0"/>
      <c r="IGT124" s="0"/>
      <c r="IGU124" s="0"/>
      <c r="IGV124" s="0"/>
      <c r="IGW124" s="0"/>
      <c r="IGX124" s="0"/>
      <c r="IGY124" s="0"/>
      <c r="IGZ124" s="0"/>
      <c r="IHA124" s="0"/>
      <c r="IHB124" s="0"/>
      <c r="IHC124" s="0"/>
      <c r="IHD124" s="0"/>
      <c r="IHE124" s="0"/>
      <c r="IHF124" s="0"/>
      <c r="IHG124" s="0"/>
      <c r="IHH124" s="0"/>
      <c r="IHI124" s="0"/>
      <c r="IHJ124" s="0"/>
      <c r="IHK124" s="0"/>
      <c r="IHL124" s="0"/>
      <c r="IHM124" s="0"/>
      <c r="IHN124" s="0"/>
      <c r="IHO124" s="0"/>
      <c r="IHP124" s="0"/>
      <c r="IHQ124" s="0"/>
      <c r="IHR124" s="0"/>
      <c r="IHS124" s="0"/>
      <c r="IHT124" s="0"/>
      <c r="IHU124" s="0"/>
      <c r="IHV124" s="0"/>
      <c r="IHW124" s="0"/>
      <c r="IHX124" s="0"/>
      <c r="IHY124" s="0"/>
      <c r="IHZ124" s="0"/>
      <c r="IIA124" s="0"/>
      <c r="IIB124" s="0"/>
      <c r="IIC124" s="0"/>
      <c r="IID124" s="0"/>
      <c r="IIE124" s="0"/>
      <c r="IIF124" s="0"/>
      <c r="IIG124" s="0"/>
      <c r="IIH124" s="0"/>
      <c r="III124" s="0"/>
      <c r="IIJ124" s="0"/>
      <c r="IIK124" s="0"/>
      <c r="IIL124" s="0"/>
      <c r="IIM124" s="0"/>
      <c r="IIN124" s="0"/>
      <c r="IIO124" s="0"/>
      <c r="IIP124" s="0"/>
      <c r="IIQ124" s="0"/>
      <c r="IIR124" s="0"/>
      <c r="IIS124" s="0"/>
      <c r="IIT124" s="0"/>
      <c r="IIU124" s="0"/>
      <c r="IIV124" s="0"/>
      <c r="IIW124" s="0"/>
      <c r="IIX124" s="0"/>
      <c r="IIY124" s="0"/>
      <c r="IIZ124" s="0"/>
      <c r="IJA124" s="0"/>
      <c r="IJB124" s="0"/>
      <c r="IJC124" s="0"/>
      <c r="IJD124" s="0"/>
      <c r="IJE124" s="0"/>
      <c r="IJF124" s="0"/>
      <c r="IJG124" s="0"/>
      <c r="IJH124" s="0"/>
      <c r="IJI124" s="0"/>
      <c r="IJJ124" s="0"/>
      <c r="IJK124" s="0"/>
      <c r="IJL124" s="0"/>
      <c r="IJM124" s="0"/>
      <c r="IJN124" s="0"/>
      <c r="IJO124" s="0"/>
      <c r="IJP124" s="0"/>
      <c r="IJQ124" s="0"/>
      <c r="IJR124" s="0"/>
      <c r="IJS124" s="0"/>
      <c r="IJT124" s="0"/>
      <c r="IJU124" s="0"/>
      <c r="IJV124" s="0"/>
      <c r="IJW124" s="0"/>
      <c r="IJX124" s="0"/>
      <c r="IJY124" s="0"/>
      <c r="IJZ124" s="0"/>
      <c r="IKA124" s="0"/>
      <c r="IKB124" s="0"/>
      <c r="IKC124" s="0"/>
      <c r="IKD124" s="0"/>
      <c r="IKE124" s="0"/>
      <c r="IKF124" s="0"/>
      <c r="IKG124" s="0"/>
      <c r="IKH124" s="0"/>
      <c r="IKI124" s="0"/>
      <c r="IKJ124" s="0"/>
      <c r="IKK124" s="0"/>
      <c r="IKL124" s="0"/>
      <c r="IKM124" s="0"/>
      <c r="IKN124" s="0"/>
      <c r="IKO124" s="0"/>
      <c r="IKP124" s="0"/>
      <c r="IKQ124" s="0"/>
      <c r="IKR124" s="0"/>
      <c r="IKS124" s="0"/>
      <c r="IKT124" s="0"/>
      <c r="IKU124" s="0"/>
      <c r="IKV124" s="0"/>
      <c r="IKW124" s="0"/>
      <c r="IKX124" s="0"/>
      <c r="IKY124" s="0"/>
      <c r="IKZ124" s="0"/>
      <c r="ILA124" s="0"/>
      <c r="ILB124" s="0"/>
      <c r="ILC124" s="0"/>
      <c r="ILD124" s="0"/>
      <c r="ILE124" s="0"/>
      <c r="ILF124" s="0"/>
      <c r="ILG124" s="0"/>
      <c r="ILH124" s="0"/>
      <c r="ILI124" s="0"/>
      <c r="ILJ124" s="0"/>
      <c r="ILK124" s="0"/>
      <c r="ILL124" s="0"/>
      <c r="ILM124" s="0"/>
      <c r="ILN124" s="0"/>
      <c r="ILO124" s="0"/>
      <c r="ILP124" s="0"/>
      <c r="ILQ124" s="0"/>
      <c r="ILR124" s="0"/>
      <c r="ILS124" s="0"/>
      <c r="ILT124" s="0"/>
      <c r="ILU124" s="0"/>
      <c r="ILV124" s="0"/>
      <c r="ILW124" s="0"/>
      <c r="ILX124" s="0"/>
      <c r="ILY124" s="0"/>
      <c r="ILZ124" s="0"/>
      <c r="IMA124" s="0"/>
      <c r="IMB124" s="0"/>
      <c r="IMC124" s="0"/>
      <c r="IMD124" s="0"/>
      <c r="IME124" s="0"/>
      <c r="IMF124" s="0"/>
      <c r="IMG124" s="0"/>
      <c r="IMH124" s="0"/>
      <c r="IMI124" s="0"/>
      <c r="IMJ124" s="0"/>
      <c r="IMK124" s="0"/>
      <c r="IML124" s="0"/>
      <c r="IMM124" s="0"/>
      <c r="IMN124" s="0"/>
      <c r="IMO124" s="0"/>
      <c r="IMP124" s="0"/>
      <c r="IMQ124" s="0"/>
      <c r="IMR124" s="0"/>
      <c r="IMS124" s="0"/>
      <c r="IMT124" s="0"/>
      <c r="IMU124" s="0"/>
      <c r="IMV124" s="0"/>
      <c r="IMW124" s="0"/>
      <c r="IMX124" s="0"/>
      <c r="IMY124" s="0"/>
      <c r="IMZ124" s="0"/>
      <c r="INA124" s="0"/>
      <c r="INB124" s="0"/>
      <c r="INC124" s="0"/>
      <c r="IND124" s="0"/>
      <c r="INE124" s="0"/>
      <c r="INF124" s="0"/>
      <c r="ING124" s="0"/>
      <c r="INH124" s="0"/>
      <c r="INI124" s="0"/>
      <c r="INJ124" s="0"/>
      <c r="INK124" s="0"/>
      <c r="INL124" s="0"/>
      <c r="INM124" s="0"/>
      <c r="INN124" s="0"/>
      <c r="INO124" s="0"/>
      <c r="INP124" s="0"/>
      <c r="INQ124" s="0"/>
      <c r="INR124" s="0"/>
      <c r="INS124" s="0"/>
      <c r="INT124" s="0"/>
      <c r="INU124" s="0"/>
      <c r="INV124" s="0"/>
      <c r="INW124" s="0"/>
      <c r="INX124" s="0"/>
      <c r="INY124" s="0"/>
      <c r="INZ124" s="0"/>
      <c r="IOA124" s="0"/>
      <c r="IOB124" s="0"/>
      <c r="IOC124" s="0"/>
      <c r="IOD124" s="0"/>
      <c r="IOE124" s="0"/>
      <c r="IOF124" s="0"/>
      <c r="IOG124" s="0"/>
      <c r="IOH124" s="0"/>
      <c r="IOI124" s="0"/>
      <c r="IOJ124" s="0"/>
      <c r="IOK124" s="0"/>
      <c r="IOL124" s="0"/>
      <c r="IOM124" s="0"/>
      <c r="ION124" s="0"/>
      <c r="IOO124" s="0"/>
      <c r="IOP124" s="0"/>
      <c r="IOQ124" s="0"/>
      <c r="IOR124" s="0"/>
      <c r="IOS124" s="0"/>
      <c r="IOT124" s="0"/>
      <c r="IOU124" s="0"/>
      <c r="IOV124" s="0"/>
      <c r="IOW124" s="0"/>
      <c r="IOX124" s="0"/>
      <c r="IOY124" s="0"/>
      <c r="IOZ124" s="0"/>
      <c r="IPA124" s="0"/>
      <c r="IPB124" s="0"/>
      <c r="IPC124" s="0"/>
      <c r="IPD124" s="0"/>
      <c r="IPE124" s="0"/>
      <c r="IPF124" s="0"/>
      <c r="IPG124" s="0"/>
      <c r="IPH124" s="0"/>
      <c r="IPI124" s="0"/>
      <c r="IPJ124" s="0"/>
      <c r="IPK124" s="0"/>
      <c r="IPL124" s="0"/>
      <c r="IPM124" s="0"/>
      <c r="IPN124" s="0"/>
      <c r="IPO124" s="0"/>
      <c r="IPP124" s="0"/>
      <c r="IPQ124" s="0"/>
      <c r="IPR124" s="0"/>
      <c r="IPS124" s="0"/>
      <c r="IPT124" s="0"/>
      <c r="IPU124" s="0"/>
      <c r="IPV124" s="0"/>
      <c r="IPW124" s="0"/>
      <c r="IPX124" s="0"/>
      <c r="IPY124" s="0"/>
      <c r="IPZ124" s="0"/>
      <c r="IQA124" s="0"/>
      <c r="IQB124" s="0"/>
      <c r="IQC124" s="0"/>
      <c r="IQD124" s="0"/>
      <c r="IQE124" s="0"/>
      <c r="IQF124" s="0"/>
      <c r="IQG124" s="0"/>
      <c r="IQH124" s="0"/>
      <c r="IQI124" s="0"/>
      <c r="IQJ124" s="0"/>
      <c r="IQK124" s="0"/>
      <c r="IQL124" s="0"/>
      <c r="IQM124" s="0"/>
      <c r="IQN124" s="0"/>
      <c r="IQO124" s="0"/>
      <c r="IQP124" s="0"/>
      <c r="IQQ124" s="0"/>
      <c r="IQR124" s="0"/>
      <c r="IQS124" s="0"/>
      <c r="IQT124" s="0"/>
      <c r="IQU124" s="0"/>
      <c r="IQV124" s="0"/>
      <c r="IQW124" s="0"/>
      <c r="IQX124" s="0"/>
      <c r="IQY124" s="0"/>
      <c r="IQZ124" s="0"/>
      <c r="IRA124" s="0"/>
      <c r="IRB124" s="0"/>
      <c r="IRC124" s="0"/>
      <c r="IRD124" s="0"/>
      <c r="IRE124" s="0"/>
      <c r="IRF124" s="0"/>
      <c r="IRG124" s="0"/>
      <c r="IRH124" s="0"/>
      <c r="IRI124" s="0"/>
      <c r="IRJ124" s="0"/>
      <c r="IRK124" s="0"/>
      <c r="IRL124" s="0"/>
      <c r="IRM124" s="0"/>
      <c r="IRN124" s="0"/>
      <c r="IRO124" s="0"/>
      <c r="IRP124" s="0"/>
      <c r="IRQ124" s="0"/>
      <c r="IRR124" s="0"/>
      <c r="IRS124" s="0"/>
      <c r="IRT124" s="0"/>
      <c r="IRU124" s="0"/>
      <c r="IRV124" s="0"/>
      <c r="IRW124" s="0"/>
      <c r="IRX124" s="0"/>
      <c r="IRY124" s="0"/>
      <c r="IRZ124" s="0"/>
      <c r="ISA124" s="0"/>
      <c r="ISB124" s="0"/>
      <c r="ISC124" s="0"/>
      <c r="ISD124" s="0"/>
      <c r="ISE124" s="0"/>
      <c r="ISF124" s="0"/>
      <c r="ISG124" s="0"/>
      <c r="ISH124" s="0"/>
      <c r="ISI124" s="0"/>
      <c r="ISJ124" s="0"/>
      <c r="ISK124" s="0"/>
      <c r="ISL124" s="0"/>
      <c r="ISM124" s="0"/>
      <c r="ISN124" s="0"/>
      <c r="ISO124" s="0"/>
      <c r="ISP124" s="0"/>
      <c r="ISQ124" s="0"/>
      <c r="ISR124" s="0"/>
      <c r="ISS124" s="0"/>
      <c r="IST124" s="0"/>
      <c r="ISU124" s="0"/>
      <c r="ISV124" s="0"/>
      <c r="ISW124" s="0"/>
      <c r="ISX124" s="0"/>
      <c r="ISY124" s="0"/>
      <c r="ISZ124" s="0"/>
      <c r="ITA124" s="0"/>
      <c r="ITB124" s="0"/>
      <c r="ITC124" s="0"/>
      <c r="ITD124" s="0"/>
      <c r="ITE124" s="0"/>
      <c r="ITF124" s="0"/>
      <c r="ITG124" s="0"/>
      <c r="ITH124" s="0"/>
      <c r="ITI124" s="0"/>
      <c r="ITJ124" s="0"/>
      <c r="ITK124" s="0"/>
      <c r="ITL124" s="0"/>
      <c r="ITM124" s="0"/>
      <c r="ITN124" s="0"/>
      <c r="ITO124" s="0"/>
      <c r="ITP124" s="0"/>
      <c r="ITQ124" s="0"/>
      <c r="ITR124" s="0"/>
      <c r="ITS124" s="0"/>
      <c r="ITT124" s="0"/>
      <c r="ITU124" s="0"/>
      <c r="ITV124" s="0"/>
      <c r="ITW124" s="0"/>
      <c r="ITX124" s="0"/>
      <c r="ITY124" s="0"/>
      <c r="ITZ124" s="0"/>
      <c r="IUA124" s="0"/>
      <c r="IUB124" s="0"/>
      <c r="IUC124" s="0"/>
      <c r="IUD124" s="0"/>
      <c r="IUE124" s="0"/>
      <c r="IUF124" s="0"/>
      <c r="IUG124" s="0"/>
      <c r="IUH124" s="0"/>
      <c r="IUI124" s="0"/>
      <c r="IUJ124" s="0"/>
      <c r="IUK124" s="0"/>
      <c r="IUL124" s="0"/>
      <c r="IUM124" s="0"/>
      <c r="IUN124" s="0"/>
      <c r="IUO124" s="0"/>
      <c r="IUP124" s="0"/>
      <c r="IUQ124" s="0"/>
      <c r="IUR124" s="0"/>
      <c r="IUS124" s="0"/>
      <c r="IUT124" s="0"/>
      <c r="IUU124" s="0"/>
      <c r="IUV124" s="0"/>
      <c r="IUW124" s="0"/>
      <c r="IUX124" s="0"/>
      <c r="IUY124" s="0"/>
      <c r="IUZ124" s="0"/>
      <c r="IVA124" s="0"/>
      <c r="IVB124" s="0"/>
      <c r="IVC124" s="0"/>
      <c r="IVD124" s="0"/>
      <c r="IVE124" s="0"/>
      <c r="IVF124" s="0"/>
      <c r="IVG124" s="0"/>
      <c r="IVH124" s="0"/>
      <c r="IVI124" s="0"/>
      <c r="IVJ124" s="0"/>
      <c r="IVK124" s="0"/>
      <c r="IVL124" s="0"/>
      <c r="IVM124" s="0"/>
      <c r="IVN124" s="0"/>
      <c r="IVO124" s="0"/>
      <c r="IVP124" s="0"/>
      <c r="IVQ124" s="0"/>
      <c r="IVR124" s="0"/>
      <c r="IVS124" s="0"/>
      <c r="IVT124" s="0"/>
      <c r="IVU124" s="0"/>
      <c r="IVV124" s="0"/>
      <c r="IVW124" s="0"/>
      <c r="IVX124" s="0"/>
      <c r="IVY124" s="0"/>
      <c r="IVZ124" s="0"/>
      <c r="IWA124" s="0"/>
      <c r="IWB124" s="0"/>
      <c r="IWC124" s="0"/>
      <c r="IWD124" s="0"/>
      <c r="IWE124" s="0"/>
      <c r="IWF124" s="0"/>
      <c r="IWG124" s="0"/>
      <c r="IWH124" s="0"/>
      <c r="IWI124" s="0"/>
      <c r="IWJ124" s="0"/>
      <c r="IWK124" s="0"/>
      <c r="IWL124" s="0"/>
      <c r="IWM124" s="0"/>
      <c r="IWN124" s="0"/>
      <c r="IWO124" s="0"/>
      <c r="IWP124" s="0"/>
      <c r="IWQ124" s="0"/>
      <c r="IWR124" s="0"/>
      <c r="IWS124" s="0"/>
      <c r="IWT124" s="0"/>
      <c r="IWU124" s="0"/>
      <c r="IWV124" s="0"/>
      <c r="IWW124" s="0"/>
      <c r="IWX124" s="0"/>
      <c r="IWY124" s="0"/>
      <c r="IWZ124" s="0"/>
      <c r="IXA124" s="0"/>
      <c r="IXB124" s="0"/>
      <c r="IXC124" s="0"/>
      <c r="IXD124" s="0"/>
      <c r="IXE124" s="0"/>
      <c r="IXF124" s="0"/>
      <c r="IXG124" s="0"/>
      <c r="IXH124" s="0"/>
      <c r="IXI124" s="0"/>
      <c r="IXJ124" s="0"/>
      <c r="IXK124" s="0"/>
      <c r="IXL124" s="0"/>
      <c r="IXM124" s="0"/>
      <c r="IXN124" s="0"/>
      <c r="IXO124" s="0"/>
      <c r="IXP124" s="0"/>
      <c r="IXQ124" s="0"/>
      <c r="IXR124" s="0"/>
      <c r="IXS124" s="0"/>
      <c r="IXT124" s="0"/>
      <c r="IXU124" s="0"/>
      <c r="IXV124" s="0"/>
      <c r="IXW124" s="0"/>
      <c r="IXX124" s="0"/>
      <c r="IXY124" s="0"/>
      <c r="IXZ124" s="0"/>
      <c r="IYA124" s="0"/>
      <c r="IYB124" s="0"/>
      <c r="IYC124" s="0"/>
      <c r="IYD124" s="0"/>
      <c r="IYE124" s="0"/>
      <c r="IYF124" s="0"/>
      <c r="IYG124" s="0"/>
      <c r="IYH124" s="0"/>
      <c r="IYI124" s="0"/>
      <c r="IYJ124" s="0"/>
      <c r="IYK124" s="0"/>
      <c r="IYL124" s="0"/>
      <c r="IYM124" s="0"/>
      <c r="IYN124" s="0"/>
      <c r="IYO124" s="0"/>
      <c r="IYP124" s="0"/>
      <c r="IYQ124" s="0"/>
      <c r="IYR124" s="0"/>
      <c r="IYS124" s="0"/>
      <c r="IYT124" s="0"/>
      <c r="IYU124" s="0"/>
      <c r="IYV124" s="0"/>
      <c r="IYW124" s="0"/>
      <c r="IYX124" s="0"/>
      <c r="IYY124" s="0"/>
      <c r="IYZ124" s="0"/>
      <c r="IZA124" s="0"/>
      <c r="IZB124" s="0"/>
      <c r="IZC124" s="0"/>
      <c r="IZD124" s="0"/>
      <c r="IZE124" s="0"/>
      <c r="IZF124" s="0"/>
      <c r="IZG124" s="0"/>
      <c r="IZH124" s="0"/>
      <c r="IZI124" s="0"/>
      <c r="IZJ124" s="0"/>
      <c r="IZK124" s="0"/>
      <c r="IZL124" s="0"/>
      <c r="IZM124" s="0"/>
      <c r="IZN124" s="0"/>
      <c r="IZO124" s="0"/>
      <c r="IZP124" s="0"/>
      <c r="IZQ124" s="0"/>
      <c r="IZR124" s="0"/>
      <c r="IZS124" s="0"/>
      <c r="IZT124" s="0"/>
      <c r="IZU124" s="0"/>
      <c r="IZV124" s="0"/>
      <c r="IZW124" s="0"/>
      <c r="IZX124" s="0"/>
      <c r="IZY124" s="0"/>
      <c r="IZZ124" s="0"/>
      <c r="JAA124" s="0"/>
      <c r="JAB124" s="0"/>
      <c r="JAC124" s="0"/>
      <c r="JAD124" s="0"/>
      <c r="JAE124" s="0"/>
      <c r="JAF124" s="0"/>
      <c r="JAG124" s="0"/>
      <c r="JAH124" s="0"/>
      <c r="JAI124" s="0"/>
      <c r="JAJ124" s="0"/>
      <c r="JAK124" s="0"/>
      <c r="JAL124" s="0"/>
      <c r="JAM124" s="0"/>
      <c r="JAN124" s="0"/>
      <c r="JAO124" s="0"/>
      <c r="JAP124" s="0"/>
      <c r="JAQ124" s="0"/>
      <c r="JAR124" s="0"/>
      <c r="JAS124" s="0"/>
      <c r="JAT124" s="0"/>
      <c r="JAU124" s="0"/>
      <c r="JAV124" s="0"/>
      <c r="JAW124" s="0"/>
      <c r="JAX124" s="0"/>
      <c r="JAY124" s="0"/>
      <c r="JAZ124" s="0"/>
      <c r="JBA124" s="0"/>
      <c r="JBB124" s="0"/>
      <c r="JBC124" s="0"/>
      <c r="JBD124" s="0"/>
      <c r="JBE124" s="0"/>
      <c r="JBF124" s="0"/>
      <c r="JBG124" s="0"/>
      <c r="JBH124" s="0"/>
      <c r="JBI124" s="0"/>
      <c r="JBJ124" s="0"/>
      <c r="JBK124" s="0"/>
      <c r="JBL124" s="0"/>
      <c r="JBM124" s="0"/>
      <c r="JBN124" s="0"/>
      <c r="JBO124" s="0"/>
      <c r="JBP124" s="0"/>
      <c r="JBQ124" s="0"/>
      <c r="JBR124" s="0"/>
      <c r="JBS124" s="0"/>
      <c r="JBT124" s="0"/>
      <c r="JBU124" s="0"/>
      <c r="JBV124" s="0"/>
      <c r="JBW124" s="0"/>
      <c r="JBX124" s="0"/>
      <c r="JBY124" s="0"/>
      <c r="JBZ124" s="0"/>
      <c r="JCA124" s="0"/>
      <c r="JCB124" s="0"/>
      <c r="JCC124" s="0"/>
      <c r="JCD124" s="0"/>
      <c r="JCE124" s="0"/>
      <c r="JCF124" s="0"/>
      <c r="JCG124" s="0"/>
      <c r="JCH124" s="0"/>
      <c r="JCI124" s="0"/>
      <c r="JCJ124" s="0"/>
      <c r="JCK124" s="0"/>
      <c r="JCL124" s="0"/>
      <c r="JCM124" s="0"/>
      <c r="JCN124" s="0"/>
      <c r="JCO124" s="0"/>
      <c r="JCP124" s="0"/>
      <c r="JCQ124" s="0"/>
      <c r="JCR124" s="0"/>
      <c r="JCS124" s="0"/>
      <c r="JCT124" s="0"/>
      <c r="JCU124" s="0"/>
      <c r="JCV124" s="0"/>
      <c r="JCW124" s="0"/>
      <c r="JCX124" s="0"/>
      <c r="JCY124" s="0"/>
      <c r="JCZ124" s="0"/>
      <c r="JDA124" s="0"/>
      <c r="JDB124" s="0"/>
      <c r="JDC124" s="0"/>
      <c r="JDD124" s="0"/>
      <c r="JDE124" s="0"/>
      <c r="JDF124" s="0"/>
      <c r="JDG124" s="0"/>
      <c r="JDH124" s="0"/>
      <c r="JDI124" s="0"/>
      <c r="JDJ124" s="0"/>
      <c r="JDK124" s="0"/>
      <c r="JDL124" s="0"/>
      <c r="JDM124" s="0"/>
      <c r="JDN124" s="0"/>
      <c r="JDO124" s="0"/>
      <c r="JDP124" s="0"/>
      <c r="JDQ124" s="0"/>
      <c r="JDR124" s="0"/>
      <c r="JDS124" s="0"/>
      <c r="JDT124" s="0"/>
      <c r="JDU124" s="0"/>
      <c r="JDV124" s="0"/>
      <c r="JDW124" s="0"/>
      <c r="JDX124" s="0"/>
      <c r="JDY124" s="0"/>
      <c r="JDZ124" s="0"/>
      <c r="JEA124" s="0"/>
      <c r="JEB124" s="0"/>
      <c r="JEC124" s="0"/>
      <c r="JED124" s="0"/>
      <c r="JEE124" s="0"/>
      <c r="JEF124" s="0"/>
      <c r="JEG124" s="0"/>
      <c r="JEH124" s="0"/>
      <c r="JEI124" s="0"/>
      <c r="JEJ124" s="0"/>
      <c r="JEK124" s="0"/>
      <c r="JEL124" s="0"/>
      <c r="JEM124" s="0"/>
      <c r="JEN124" s="0"/>
      <c r="JEO124" s="0"/>
      <c r="JEP124" s="0"/>
      <c r="JEQ124" s="0"/>
      <c r="JER124" s="0"/>
      <c r="JES124" s="0"/>
      <c r="JET124" s="0"/>
      <c r="JEU124" s="0"/>
      <c r="JEV124" s="0"/>
      <c r="JEW124" s="0"/>
      <c r="JEX124" s="0"/>
      <c r="JEY124" s="0"/>
      <c r="JEZ124" s="0"/>
      <c r="JFA124" s="0"/>
      <c r="JFB124" s="0"/>
      <c r="JFC124" s="0"/>
      <c r="JFD124" s="0"/>
      <c r="JFE124" s="0"/>
      <c r="JFF124" s="0"/>
      <c r="JFG124" s="0"/>
      <c r="JFH124" s="0"/>
      <c r="JFI124" s="0"/>
      <c r="JFJ124" s="0"/>
      <c r="JFK124" s="0"/>
      <c r="JFL124" s="0"/>
      <c r="JFM124" s="0"/>
      <c r="JFN124" s="0"/>
      <c r="JFO124" s="0"/>
      <c r="JFP124" s="0"/>
      <c r="JFQ124" s="0"/>
      <c r="JFR124" s="0"/>
      <c r="JFS124" s="0"/>
      <c r="JFT124" s="0"/>
      <c r="JFU124" s="0"/>
      <c r="JFV124" s="0"/>
      <c r="JFW124" s="0"/>
      <c r="JFX124" s="0"/>
      <c r="JFY124" s="0"/>
      <c r="JFZ124" s="0"/>
      <c r="JGA124" s="0"/>
      <c r="JGB124" s="0"/>
      <c r="JGC124" s="0"/>
      <c r="JGD124" s="0"/>
      <c r="JGE124" s="0"/>
      <c r="JGF124" s="0"/>
      <c r="JGG124" s="0"/>
      <c r="JGH124" s="0"/>
      <c r="JGI124" s="0"/>
      <c r="JGJ124" s="0"/>
      <c r="JGK124" s="0"/>
      <c r="JGL124" s="0"/>
      <c r="JGM124" s="0"/>
      <c r="JGN124" s="0"/>
      <c r="JGO124" s="0"/>
      <c r="JGP124" s="0"/>
      <c r="JGQ124" s="0"/>
      <c r="JGR124" s="0"/>
      <c r="JGS124" s="0"/>
      <c r="JGT124" s="0"/>
      <c r="JGU124" s="0"/>
      <c r="JGV124" s="0"/>
      <c r="JGW124" s="0"/>
      <c r="JGX124" s="0"/>
      <c r="JGY124" s="0"/>
      <c r="JGZ124" s="0"/>
      <c r="JHA124" s="0"/>
      <c r="JHB124" s="0"/>
      <c r="JHC124" s="0"/>
      <c r="JHD124" s="0"/>
      <c r="JHE124" s="0"/>
      <c r="JHF124" s="0"/>
      <c r="JHG124" s="0"/>
      <c r="JHH124" s="0"/>
      <c r="JHI124" s="0"/>
      <c r="JHJ124" s="0"/>
      <c r="JHK124" s="0"/>
      <c r="JHL124" s="0"/>
      <c r="JHM124" s="0"/>
      <c r="JHN124" s="0"/>
      <c r="JHO124" s="0"/>
      <c r="JHP124" s="0"/>
      <c r="JHQ124" s="0"/>
      <c r="JHR124" s="0"/>
      <c r="JHS124" s="0"/>
      <c r="JHT124" s="0"/>
      <c r="JHU124" s="0"/>
      <c r="JHV124" s="0"/>
      <c r="JHW124" s="0"/>
      <c r="JHX124" s="0"/>
      <c r="JHY124" s="0"/>
      <c r="JHZ124" s="0"/>
      <c r="JIA124" s="0"/>
      <c r="JIB124" s="0"/>
      <c r="JIC124" s="0"/>
      <c r="JID124" s="0"/>
      <c r="JIE124" s="0"/>
      <c r="JIF124" s="0"/>
      <c r="JIG124" s="0"/>
      <c r="JIH124" s="0"/>
      <c r="JII124" s="0"/>
      <c r="JIJ124" s="0"/>
      <c r="JIK124" s="0"/>
      <c r="JIL124" s="0"/>
      <c r="JIM124" s="0"/>
      <c r="JIN124" s="0"/>
      <c r="JIO124" s="0"/>
      <c r="JIP124" s="0"/>
      <c r="JIQ124" s="0"/>
      <c r="JIR124" s="0"/>
      <c r="JIS124" s="0"/>
      <c r="JIT124" s="0"/>
      <c r="JIU124" s="0"/>
      <c r="JIV124" s="0"/>
      <c r="JIW124" s="0"/>
      <c r="JIX124" s="0"/>
      <c r="JIY124" s="0"/>
      <c r="JIZ124" s="0"/>
      <c r="JJA124" s="0"/>
      <c r="JJB124" s="0"/>
      <c r="JJC124" s="0"/>
      <c r="JJD124" s="0"/>
      <c r="JJE124" s="0"/>
      <c r="JJF124" s="0"/>
      <c r="JJG124" s="0"/>
      <c r="JJH124" s="0"/>
      <c r="JJI124" s="0"/>
      <c r="JJJ124" s="0"/>
      <c r="JJK124" s="0"/>
      <c r="JJL124" s="0"/>
      <c r="JJM124" s="0"/>
      <c r="JJN124" s="0"/>
      <c r="JJO124" s="0"/>
      <c r="JJP124" s="0"/>
      <c r="JJQ124" s="0"/>
      <c r="JJR124" s="0"/>
      <c r="JJS124" s="0"/>
      <c r="JJT124" s="0"/>
      <c r="JJU124" s="0"/>
      <c r="JJV124" s="0"/>
      <c r="JJW124" s="0"/>
      <c r="JJX124" s="0"/>
      <c r="JJY124" s="0"/>
      <c r="JJZ124" s="0"/>
      <c r="JKA124" s="0"/>
      <c r="JKB124" s="0"/>
      <c r="JKC124" s="0"/>
      <c r="JKD124" s="0"/>
      <c r="JKE124" s="0"/>
      <c r="JKF124" s="0"/>
      <c r="JKG124" s="0"/>
      <c r="JKH124" s="0"/>
      <c r="JKI124" s="0"/>
      <c r="JKJ124" s="0"/>
      <c r="JKK124" s="0"/>
      <c r="JKL124" s="0"/>
      <c r="JKM124" s="0"/>
      <c r="JKN124" s="0"/>
      <c r="JKO124" s="0"/>
      <c r="JKP124" s="0"/>
      <c r="JKQ124" s="0"/>
      <c r="JKR124" s="0"/>
      <c r="JKS124" s="0"/>
      <c r="JKT124" s="0"/>
      <c r="JKU124" s="0"/>
      <c r="JKV124" s="0"/>
      <c r="JKW124" s="0"/>
      <c r="JKX124" s="0"/>
      <c r="JKY124" s="0"/>
      <c r="JKZ124" s="0"/>
      <c r="JLA124" s="0"/>
      <c r="JLB124" s="0"/>
      <c r="JLC124" s="0"/>
      <c r="JLD124" s="0"/>
      <c r="JLE124" s="0"/>
      <c r="JLF124" s="0"/>
      <c r="JLG124" s="0"/>
      <c r="JLH124" s="0"/>
      <c r="JLI124" s="0"/>
      <c r="JLJ124" s="0"/>
      <c r="JLK124" s="0"/>
      <c r="JLL124" s="0"/>
      <c r="JLM124" s="0"/>
      <c r="JLN124" s="0"/>
      <c r="JLO124" s="0"/>
      <c r="JLP124" s="0"/>
      <c r="JLQ124" s="0"/>
      <c r="JLR124" s="0"/>
      <c r="JLS124" s="0"/>
      <c r="JLT124" s="0"/>
      <c r="JLU124" s="0"/>
      <c r="JLV124" s="0"/>
      <c r="JLW124" s="0"/>
      <c r="JLX124" s="0"/>
      <c r="JLY124" s="0"/>
      <c r="JLZ124" s="0"/>
      <c r="JMA124" s="0"/>
      <c r="JMB124" s="0"/>
      <c r="JMC124" s="0"/>
      <c r="JMD124" s="0"/>
      <c r="JME124" s="0"/>
      <c r="JMF124" s="0"/>
      <c r="JMG124" s="0"/>
      <c r="JMH124" s="0"/>
      <c r="JMI124" s="0"/>
      <c r="JMJ124" s="0"/>
      <c r="JMK124" s="0"/>
      <c r="JML124" s="0"/>
      <c r="JMM124" s="0"/>
      <c r="JMN124" s="0"/>
      <c r="JMO124" s="0"/>
      <c r="JMP124" s="0"/>
      <c r="JMQ124" s="0"/>
      <c r="JMR124" s="0"/>
      <c r="JMS124" s="0"/>
      <c r="JMT124" s="0"/>
      <c r="JMU124" s="0"/>
      <c r="JMV124" s="0"/>
      <c r="JMW124" s="0"/>
      <c r="JMX124" s="0"/>
      <c r="JMY124" s="0"/>
      <c r="JMZ124" s="0"/>
      <c r="JNA124" s="0"/>
      <c r="JNB124" s="0"/>
      <c r="JNC124" s="0"/>
      <c r="JND124" s="0"/>
      <c r="JNE124" s="0"/>
      <c r="JNF124" s="0"/>
      <c r="JNG124" s="0"/>
      <c r="JNH124" s="0"/>
      <c r="JNI124" s="0"/>
      <c r="JNJ124" s="0"/>
      <c r="JNK124" s="0"/>
      <c r="JNL124" s="0"/>
      <c r="JNM124" s="0"/>
      <c r="JNN124" s="0"/>
      <c r="JNO124" s="0"/>
      <c r="JNP124" s="0"/>
      <c r="JNQ124" s="0"/>
      <c r="JNR124" s="0"/>
      <c r="JNS124" s="0"/>
      <c r="JNT124" s="0"/>
      <c r="JNU124" s="0"/>
      <c r="JNV124" s="0"/>
      <c r="JNW124" s="0"/>
      <c r="JNX124" s="0"/>
      <c r="JNY124" s="0"/>
      <c r="JNZ124" s="0"/>
      <c r="JOA124" s="0"/>
      <c r="JOB124" s="0"/>
      <c r="JOC124" s="0"/>
      <c r="JOD124" s="0"/>
      <c r="JOE124" s="0"/>
      <c r="JOF124" s="0"/>
      <c r="JOG124" s="0"/>
      <c r="JOH124" s="0"/>
      <c r="JOI124" s="0"/>
      <c r="JOJ124" s="0"/>
      <c r="JOK124" s="0"/>
      <c r="JOL124" s="0"/>
      <c r="JOM124" s="0"/>
      <c r="JON124" s="0"/>
      <c r="JOO124" s="0"/>
      <c r="JOP124" s="0"/>
      <c r="JOQ124" s="0"/>
      <c r="JOR124" s="0"/>
      <c r="JOS124" s="0"/>
      <c r="JOT124" s="0"/>
      <c r="JOU124" s="0"/>
      <c r="JOV124" s="0"/>
      <c r="JOW124" s="0"/>
      <c r="JOX124" s="0"/>
      <c r="JOY124" s="0"/>
      <c r="JOZ124" s="0"/>
      <c r="JPA124" s="0"/>
      <c r="JPB124" s="0"/>
      <c r="JPC124" s="0"/>
      <c r="JPD124" s="0"/>
      <c r="JPE124" s="0"/>
      <c r="JPF124" s="0"/>
      <c r="JPG124" s="0"/>
      <c r="JPH124" s="0"/>
      <c r="JPI124" s="0"/>
      <c r="JPJ124" s="0"/>
      <c r="JPK124" s="0"/>
      <c r="JPL124" s="0"/>
      <c r="JPM124" s="0"/>
      <c r="JPN124" s="0"/>
      <c r="JPO124" s="0"/>
      <c r="JPP124" s="0"/>
      <c r="JPQ124" s="0"/>
      <c r="JPR124" s="0"/>
      <c r="JPS124" s="0"/>
      <c r="JPT124" s="0"/>
      <c r="JPU124" s="0"/>
      <c r="JPV124" s="0"/>
      <c r="JPW124" s="0"/>
      <c r="JPX124" s="0"/>
      <c r="JPY124" s="0"/>
      <c r="JPZ124" s="0"/>
      <c r="JQA124" s="0"/>
      <c r="JQB124" s="0"/>
      <c r="JQC124" s="0"/>
      <c r="JQD124" s="0"/>
      <c r="JQE124" s="0"/>
      <c r="JQF124" s="0"/>
      <c r="JQG124" s="0"/>
      <c r="JQH124" s="0"/>
      <c r="JQI124" s="0"/>
      <c r="JQJ124" s="0"/>
      <c r="JQK124" s="0"/>
      <c r="JQL124" s="0"/>
      <c r="JQM124" s="0"/>
      <c r="JQN124" s="0"/>
      <c r="JQO124" s="0"/>
      <c r="JQP124" s="0"/>
      <c r="JQQ124" s="0"/>
      <c r="JQR124" s="0"/>
      <c r="JQS124" s="0"/>
      <c r="JQT124" s="0"/>
      <c r="JQU124" s="0"/>
      <c r="JQV124" s="0"/>
      <c r="JQW124" s="0"/>
      <c r="JQX124" s="0"/>
      <c r="JQY124" s="0"/>
      <c r="JQZ124" s="0"/>
      <c r="JRA124" s="0"/>
      <c r="JRB124" s="0"/>
      <c r="JRC124" s="0"/>
      <c r="JRD124" s="0"/>
      <c r="JRE124" s="0"/>
      <c r="JRF124" s="0"/>
      <c r="JRG124" s="0"/>
      <c r="JRH124" s="0"/>
      <c r="JRI124" s="0"/>
      <c r="JRJ124" s="0"/>
      <c r="JRK124" s="0"/>
      <c r="JRL124" s="0"/>
      <c r="JRM124" s="0"/>
      <c r="JRN124" s="0"/>
      <c r="JRO124" s="0"/>
      <c r="JRP124" s="0"/>
      <c r="JRQ124" s="0"/>
      <c r="JRR124" s="0"/>
      <c r="JRS124" s="0"/>
      <c r="JRT124" s="0"/>
      <c r="JRU124" s="0"/>
      <c r="JRV124" s="0"/>
      <c r="JRW124" s="0"/>
      <c r="JRX124" s="0"/>
      <c r="JRY124" s="0"/>
      <c r="JRZ124" s="0"/>
      <c r="JSA124" s="0"/>
      <c r="JSB124" s="0"/>
      <c r="JSC124" s="0"/>
      <c r="JSD124" s="0"/>
      <c r="JSE124" s="0"/>
      <c r="JSF124" s="0"/>
      <c r="JSG124" s="0"/>
      <c r="JSH124" s="0"/>
      <c r="JSI124" s="0"/>
      <c r="JSJ124" s="0"/>
      <c r="JSK124" s="0"/>
      <c r="JSL124" s="0"/>
      <c r="JSM124" s="0"/>
      <c r="JSN124" s="0"/>
      <c r="JSO124" s="0"/>
      <c r="JSP124" s="0"/>
      <c r="JSQ124" s="0"/>
      <c r="JSR124" s="0"/>
      <c r="JSS124" s="0"/>
      <c r="JST124" s="0"/>
      <c r="JSU124" s="0"/>
      <c r="JSV124" s="0"/>
      <c r="JSW124" s="0"/>
      <c r="JSX124" s="0"/>
      <c r="JSY124" s="0"/>
      <c r="JSZ124" s="0"/>
      <c r="JTA124" s="0"/>
      <c r="JTB124" s="0"/>
      <c r="JTC124" s="0"/>
      <c r="JTD124" s="0"/>
      <c r="JTE124" s="0"/>
      <c r="JTF124" s="0"/>
      <c r="JTG124" s="0"/>
      <c r="JTH124" s="0"/>
      <c r="JTI124" s="0"/>
      <c r="JTJ124" s="0"/>
      <c r="JTK124" s="0"/>
      <c r="JTL124" s="0"/>
      <c r="JTM124" s="0"/>
      <c r="JTN124" s="0"/>
      <c r="JTO124" s="0"/>
      <c r="JTP124" s="0"/>
      <c r="JTQ124" s="0"/>
      <c r="JTR124" s="0"/>
      <c r="JTS124" s="0"/>
      <c r="JTT124" s="0"/>
      <c r="JTU124" s="0"/>
      <c r="JTV124" s="0"/>
      <c r="JTW124" s="0"/>
      <c r="JTX124" s="0"/>
      <c r="JTY124" s="0"/>
      <c r="JTZ124" s="0"/>
      <c r="JUA124" s="0"/>
      <c r="JUB124" s="0"/>
      <c r="JUC124" s="0"/>
      <c r="JUD124" s="0"/>
      <c r="JUE124" s="0"/>
      <c r="JUF124" s="0"/>
      <c r="JUG124" s="0"/>
      <c r="JUH124" s="0"/>
      <c r="JUI124" s="0"/>
      <c r="JUJ124" s="0"/>
      <c r="JUK124" s="0"/>
      <c r="JUL124" s="0"/>
      <c r="JUM124" s="0"/>
      <c r="JUN124" s="0"/>
      <c r="JUO124" s="0"/>
      <c r="JUP124" s="0"/>
      <c r="JUQ124" s="0"/>
      <c r="JUR124" s="0"/>
      <c r="JUS124" s="0"/>
      <c r="JUT124" s="0"/>
      <c r="JUU124" s="0"/>
      <c r="JUV124" s="0"/>
      <c r="JUW124" s="0"/>
      <c r="JUX124" s="0"/>
      <c r="JUY124" s="0"/>
      <c r="JUZ124" s="0"/>
      <c r="JVA124" s="0"/>
      <c r="JVB124" s="0"/>
      <c r="JVC124" s="0"/>
      <c r="JVD124" s="0"/>
      <c r="JVE124" s="0"/>
      <c r="JVF124" s="0"/>
      <c r="JVG124" s="0"/>
      <c r="JVH124" s="0"/>
      <c r="JVI124" s="0"/>
      <c r="JVJ124" s="0"/>
      <c r="JVK124" s="0"/>
      <c r="JVL124" s="0"/>
      <c r="JVM124" s="0"/>
      <c r="JVN124" s="0"/>
      <c r="JVO124" s="0"/>
      <c r="JVP124" s="0"/>
      <c r="JVQ124" s="0"/>
      <c r="JVR124" s="0"/>
      <c r="JVS124" s="0"/>
      <c r="JVT124" s="0"/>
      <c r="JVU124" s="0"/>
      <c r="JVV124" s="0"/>
      <c r="JVW124" s="0"/>
      <c r="JVX124" s="0"/>
      <c r="JVY124" s="0"/>
      <c r="JVZ124" s="0"/>
      <c r="JWA124" s="0"/>
      <c r="JWB124" s="0"/>
      <c r="JWC124" s="0"/>
      <c r="JWD124" s="0"/>
      <c r="JWE124" s="0"/>
      <c r="JWF124" s="0"/>
      <c r="JWG124" s="0"/>
      <c r="JWH124" s="0"/>
      <c r="JWI124" s="0"/>
      <c r="JWJ124" s="0"/>
      <c r="JWK124" s="0"/>
      <c r="JWL124" s="0"/>
      <c r="JWM124" s="0"/>
      <c r="JWN124" s="0"/>
      <c r="JWO124" s="0"/>
      <c r="JWP124" s="0"/>
      <c r="JWQ124" s="0"/>
      <c r="JWR124" s="0"/>
      <c r="JWS124" s="0"/>
      <c r="JWT124" s="0"/>
      <c r="JWU124" s="0"/>
      <c r="JWV124" s="0"/>
      <c r="JWW124" s="0"/>
      <c r="JWX124" s="0"/>
      <c r="JWY124" s="0"/>
      <c r="JWZ124" s="0"/>
      <c r="JXA124" s="0"/>
      <c r="JXB124" s="0"/>
      <c r="JXC124" s="0"/>
      <c r="JXD124" s="0"/>
      <c r="JXE124" s="0"/>
      <c r="JXF124" s="0"/>
      <c r="JXG124" s="0"/>
      <c r="JXH124" s="0"/>
      <c r="JXI124" s="0"/>
      <c r="JXJ124" s="0"/>
      <c r="JXK124" s="0"/>
      <c r="JXL124" s="0"/>
      <c r="JXM124" s="0"/>
      <c r="JXN124" s="0"/>
      <c r="JXO124" s="0"/>
      <c r="JXP124" s="0"/>
      <c r="JXQ124" s="0"/>
      <c r="JXR124" s="0"/>
      <c r="JXS124" s="0"/>
      <c r="JXT124" s="0"/>
      <c r="JXU124" s="0"/>
      <c r="JXV124" s="0"/>
      <c r="JXW124" s="0"/>
      <c r="JXX124" s="0"/>
      <c r="JXY124" s="0"/>
      <c r="JXZ124" s="0"/>
      <c r="JYA124" s="0"/>
      <c r="JYB124" s="0"/>
      <c r="JYC124" s="0"/>
      <c r="JYD124" s="0"/>
      <c r="JYE124" s="0"/>
      <c r="JYF124" s="0"/>
      <c r="JYG124" s="0"/>
      <c r="JYH124" s="0"/>
      <c r="JYI124" s="0"/>
      <c r="JYJ124" s="0"/>
      <c r="JYK124" s="0"/>
      <c r="JYL124" s="0"/>
      <c r="JYM124" s="0"/>
      <c r="JYN124" s="0"/>
      <c r="JYO124" s="0"/>
      <c r="JYP124" s="0"/>
      <c r="JYQ124" s="0"/>
      <c r="JYR124" s="0"/>
      <c r="JYS124" s="0"/>
      <c r="JYT124" s="0"/>
      <c r="JYU124" s="0"/>
      <c r="JYV124" s="0"/>
      <c r="JYW124" s="0"/>
      <c r="JYX124" s="0"/>
      <c r="JYY124" s="0"/>
      <c r="JYZ124" s="0"/>
      <c r="JZA124" s="0"/>
      <c r="JZB124" s="0"/>
      <c r="JZC124" s="0"/>
      <c r="JZD124" s="0"/>
      <c r="JZE124" s="0"/>
      <c r="JZF124" s="0"/>
      <c r="JZG124" s="0"/>
      <c r="JZH124" s="0"/>
      <c r="JZI124" s="0"/>
      <c r="JZJ124" s="0"/>
      <c r="JZK124" s="0"/>
      <c r="JZL124" s="0"/>
      <c r="JZM124" s="0"/>
      <c r="JZN124" s="0"/>
      <c r="JZO124" s="0"/>
      <c r="JZP124" s="0"/>
      <c r="JZQ124" s="0"/>
      <c r="JZR124" s="0"/>
      <c r="JZS124" s="0"/>
      <c r="JZT124" s="0"/>
      <c r="JZU124" s="0"/>
      <c r="JZV124" s="0"/>
      <c r="JZW124" s="0"/>
      <c r="JZX124" s="0"/>
      <c r="JZY124" s="0"/>
      <c r="JZZ124" s="0"/>
      <c r="KAA124" s="0"/>
      <c r="KAB124" s="0"/>
      <c r="KAC124" s="0"/>
      <c r="KAD124" s="0"/>
      <c r="KAE124" s="0"/>
      <c r="KAF124" s="0"/>
      <c r="KAG124" s="0"/>
      <c r="KAH124" s="0"/>
      <c r="KAI124" s="0"/>
      <c r="KAJ124" s="0"/>
      <c r="KAK124" s="0"/>
      <c r="KAL124" s="0"/>
      <c r="KAM124" s="0"/>
      <c r="KAN124" s="0"/>
      <c r="KAO124" s="0"/>
      <c r="KAP124" s="0"/>
      <c r="KAQ124" s="0"/>
      <c r="KAR124" s="0"/>
      <c r="KAS124" s="0"/>
      <c r="KAT124" s="0"/>
      <c r="KAU124" s="0"/>
      <c r="KAV124" s="0"/>
      <c r="KAW124" s="0"/>
      <c r="KAX124" s="0"/>
      <c r="KAY124" s="0"/>
      <c r="KAZ124" s="0"/>
      <c r="KBA124" s="0"/>
      <c r="KBB124" s="0"/>
      <c r="KBC124" s="0"/>
      <c r="KBD124" s="0"/>
      <c r="KBE124" s="0"/>
      <c r="KBF124" s="0"/>
      <c r="KBG124" s="0"/>
      <c r="KBH124" s="0"/>
      <c r="KBI124" s="0"/>
      <c r="KBJ124" s="0"/>
      <c r="KBK124" s="0"/>
      <c r="KBL124" s="0"/>
      <c r="KBM124" s="0"/>
      <c r="KBN124" s="0"/>
      <c r="KBO124" s="0"/>
      <c r="KBP124" s="0"/>
      <c r="KBQ124" s="0"/>
      <c r="KBR124" s="0"/>
      <c r="KBS124" s="0"/>
      <c r="KBT124" s="0"/>
      <c r="KBU124" s="0"/>
      <c r="KBV124" s="0"/>
      <c r="KBW124" s="0"/>
      <c r="KBX124" s="0"/>
      <c r="KBY124" s="0"/>
      <c r="KBZ124" s="0"/>
      <c r="KCA124" s="0"/>
      <c r="KCB124" s="0"/>
      <c r="KCC124" s="0"/>
      <c r="KCD124" s="0"/>
      <c r="KCE124" s="0"/>
      <c r="KCF124" s="0"/>
      <c r="KCG124" s="0"/>
      <c r="KCH124" s="0"/>
      <c r="KCI124" s="0"/>
      <c r="KCJ124" s="0"/>
      <c r="KCK124" s="0"/>
      <c r="KCL124" s="0"/>
      <c r="KCM124" s="0"/>
      <c r="KCN124" s="0"/>
      <c r="KCO124" s="0"/>
      <c r="KCP124" s="0"/>
      <c r="KCQ124" s="0"/>
      <c r="KCR124" s="0"/>
      <c r="KCS124" s="0"/>
      <c r="KCT124" s="0"/>
      <c r="KCU124" s="0"/>
      <c r="KCV124" s="0"/>
      <c r="KCW124" s="0"/>
      <c r="KCX124" s="0"/>
      <c r="KCY124" s="0"/>
      <c r="KCZ124" s="0"/>
      <c r="KDA124" s="0"/>
      <c r="KDB124" s="0"/>
      <c r="KDC124" s="0"/>
      <c r="KDD124" s="0"/>
      <c r="KDE124" s="0"/>
      <c r="KDF124" s="0"/>
      <c r="KDG124" s="0"/>
      <c r="KDH124" s="0"/>
      <c r="KDI124" s="0"/>
      <c r="KDJ124" s="0"/>
      <c r="KDK124" s="0"/>
      <c r="KDL124" s="0"/>
      <c r="KDM124" s="0"/>
      <c r="KDN124" s="0"/>
      <c r="KDO124" s="0"/>
      <c r="KDP124" s="0"/>
      <c r="KDQ124" s="0"/>
      <c r="KDR124" s="0"/>
      <c r="KDS124" s="0"/>
      <c r="KDT124" s="0"/>
      <c r="KDU124" s="0"/>
      <c r="KDV124" s="0"/>
      <c r="KDW124" s="0"/>
      <c r="KDX124" s="0"/>
      <c r="KDY124" s="0"/>
      <c r="KDZ124" s="0"/>
      <c r="KEA124" s="0"/>
      <c r="KEB124" s="0"/>
      <c r="KEC124" s="0"/>
      <c r="KED124" s="0"/>
      <c r="KEE124" s="0"/>
      <c r="KEF124" s="0"/>
      <c r="KEG124" s="0"/>
      <c r="KEH124" s="0"/>
      <c r="KEI124" s="0"/>
      <c r="KEJ124" s="0"/>
      <c r="KEK124" s="0"/>
      <c r="KEL124" s="0"/>
      <c r="KEM124" s="0"/>
      <c r="KEN124" s="0"/>
      <c r="KEO124" s="0"/>
      <c r="KEP124" s="0"/>
      <c r="KEQ124" s="0"/>
      <c r="KER124" s="0"/>
      <c r="KES124" s="0"/>
      <c r="KET124" s="0"/>
      <c r="KEU124" s="0"/>
      <c r="KEV124" s="0"/>
      <c r="KEW124" s="0"/>
      <c r="KEX124" s="0"/>
      <c r="KEY124" s="0"/>
      <c r="KEZ124" s="0"/>
      <c r="KFA124" s="0"/>
      <c r="KFB124" s="0"/>
      <c r="KFC124" s="0"/>
      <c r="KFD124" s="0"/>
      <c r="KFE124" s="0"/>
      <c r="KFF124" s="0"/>
      <c r="KFG124" s="0"/>
      <c r="KFH124" s="0"/>
      <c r="KFI124" s="0"/>
      <c r="KFJ124" s="0"/>
      <c r="KFK124" s="0"/>
      <c r="KFL124" s="0"/>
      <c r="KFM124" s="0"/>
      <c r="KFN124" s="0"/>
      <c r="KFO124" s="0"/>
      <c r="KFP124" s="0"/>
      <c r="KFQ124" s="0"/>
      <c r="KFR124" s="0"/>
      <c r="KFS124" s="0"/>
      <c r="KFT124" s="0"/>
      <c r="KFU124" s="0"/>
      <c r="KFV124" s="0"/>
      <c r="KFW124" s="0"/>
      <c r="KFX124" s="0"/>
      <c r="KFY124" s="0"/>
      <c r="KFZ124" s="0"/>
      <c r="KGA124" s="0"/>
      <c r="KGB124" s="0"/>
      <c r="KGC124" s="0"/>
      <c r="KGD124" s="0"/>
      <c r="KGE124" s="0"/>
      <c r="KGF124" s="0"/>
      <c r="KGG124" s="0"/>
      <c r="KGH124" s="0"/>
      <c r="KGI124" s="0"/>
      <c r="KGJ124" s="0"/>
      <c r="KGK124" s="0"/>
      <c r="KGL124" s="0"/>
      <c r="KGM124" s="0"/>
      <c r="KGN124" s="0"/>
      <c r="KGO124" s="0"/>
      <c r="KGP124" s="0"/>
      <c r="KGQ124" s="0"/>
      <c r="KGR124" s="0"/>
      <c r="KGS124" s="0"/>
      <c r="KGT124" s="0"/>
      <c r="KGU124" s="0"/>
      <c r="KGV124" s="0"/>
      <c r="KGW124" s="0"/>
      <c r="KGX124" s="0"/>
      <c r="KGY124" s="0"/>
      <c r="KGZ124" s="0"/>
      <c r="KHA124" s="0"/>
      <c r="KHB124" s="0"/>
      <c r="KHC124" s="0"/>
      <c r="KHD124" s="0"/>
      <c r="KHE124" s="0"/>
      <c r="KHF124" s="0"/>
      <c r="KHG124" s="0"/>
      <c r="KHH124" s="0"/>
      <c r="KHI124" s="0"/>
      <c r="KHJ124" s="0"/>
      <c r="KHK124" s="0"/>
      <c r="KHL124" s="0"/>
      <c r="KHM124" s="0"/>
      <c r="KHN124" s="0"/>
      <c r="KHO124" s="0"/>
      <c r="KHP124" s="0"/>
      <c r="KHQ124" s="0"/>
      <c r="KHR124" s="0"/>
      <c r="KHS124" s="0"/>
      <c r="KHT124" s="0"/>
      <c r="KHU124" s="0"/>
      <c r="KHV124" s="0"/>
      <c r="KHW124" s="0"/>
      <c r="KHX124" s="0"/>
      <c r="KHY124" s="0"/>
      <c r="KHZ124" s="0"/>
      <c r="KIA124" s="0"/>
      <c r="KIB124" s="0"/>
      <c r="KIC124" s="0"/>
      <c r="KID124" s="0"/>
      <c r="KIE124" s="0"/>
      <c r="KIF124" s="0"/>
      <c r="KIG124" s="0"/>
      <c r="KIH124" s="0"/>
      <c r="KII124" s="0"/>
      <c r="KIJ124" s="0"/>
      <c r="KIK124" s="0"/>
      <c r="KIL124" s="0"/>
      <c r="KIM124" s="0"/>
      <c r="KIN124" s="0"/>
      <c r="KIO124" s="0"/>
      <c r="KIP124" s="0"/>
      <c r="KIQ124" s="0"/>
      <c r="KIR124" s="0"/>
      <c r="KIS124" s="0"/>
      <c r="KIT124" s="0"/>
      <c r="KIU124" s="0"/>
      <c r="KIV124" s="0"/>
      <c r="KIW124" s="0"/>
      <c r="KIX124" s="0"/>
      <c r="KIY124" s="0"/>
      <c r="KIZ124" s="0"/>
      <c r="KJA124" s="0"/>
      <c r="KJB124" s="0"/>
      <c r="KJC124" s="0"/>
      <c r="KJD124" s="0"/>
      <c r="KJE124" s="0"/>
      <c r="KJF124" s="0"/>
      <c r="KJG124" s="0"/>
      <c r="KJH124" s="0"/>
      <c r="KJI124" s="0"/>
      <c r="KJJ124" s="0"/>
      <c r="KJK124" s="0"/>
      <c r="KJL124" s="0"/>
      <c r="KJM124" s="0"/>
      <c r="KJN124" s="0"/>
      <c r="KJO124" s="0"/>
      <c r="KJP124" s="0"/>
      <c r="KJQ124" s="0"/>
      <c r="KJR124" s="0"/>
      <c r="KJS124" s="0"/>
      <c r="KJT124" s="0"/>
      <c r="KJU124" s="0"/>
      <c r="KJV124" s="0"/>
      <c r="KJW124" s="0"/>
      <c r="KJX124" s="0"/>
      <c r="KJY124" s="0"/>
      <c r="KJZ124" s="0"/>
      <c r="KKA124" s="0"/>
      <c r="KKB124" s="0"/>
      <c r="KKC124" s="0"/>
      <c r="KKD124" s="0"/>
      <c r="KKE124" s="0"/>
      <c r="KKF124" s="0"/>
      <c r="KKG124" s="0"/>
      <c r="KKH124" s="0"/>
      <c r="KKI124" s="0"/>
      <c r="KKJ124" s="0"/>
      <c r="KKK124" s="0"/>
      <c r="KKL124" s="0"/>
      <c r="KKM124" s="0"/>
      <c r="KKN124" s="0"/>
      <c r="KKO124" s="0"/>
      <c r="KKP124" s="0"/>
      <c r="KKQ124" s="0"/>
      <c r="KKR124" s="0"/>
      <c r="KKS124" s="0"/>
      <c r="KKT124" s="0"/>
      <c r="KKU124" s="0"/>
      <c r="KKV124" s="0"/>
      <c r="KKW124" s="0"/>
      <c r="KKX124" s="0"/>
      <c r="KKY124" s="0"/>
      <c r="KKZ124" s="0"/>
      <c r="KLA124" s="0"/>
      <c r="KLB124" s="0"/>
      <c r="KLC124" s="0"/>
      <c r="KLD124" s="0"/>
      <c r="KLE124" s="0"/>
      <c r="KLF124" s="0"/>
      <c r="KLG124" s="0"/>
      <c r="KLH124" s="0"/>
      <c r="KLI124" s="0"/>
      <c r="KLJ124" s="0"/>
      <c r="KLK124" s="0"/>
      <c r="KLL124" s="0"/>
      <c r="KLM124" s="0"/>
      <c r="KLN124" s="0"/>
      <c r="KLO124" s="0"/>
      <c r="KLP124" s="0"/>
      <c r="KLQ124" s="0"/>
      <c r="KLR124" s="0"/>
      <c r="KLS124" s="0"/>
      <c r="KLT124" s="0"/>
      <c r="KLU124" s="0"/>
      <c r="KLV124" s="0"/>
      <c r="KLW124" s="0"/>
      <c r="KLX124" s="0"/>
      <c r="KLY124" s="0"/>
      <c r="KLZ124" s="0"/>
      <c r="KMA124" s="0"/>
      <c r="KMB124" s="0"/>
      <c r="KMC124" s="0"/>
      <c r="KMD124" s="0"/>
      <c r="KME124" s="0"/>
      <c r="KMF124" s="0"/>
      <c r="KMG124" s="0"/>
      <c r="KMH124" s="0"/>
      <c r="KMI124" s="0"/>
      <c r="KMJ124" s="0"/>
      <c r="KMK124" s="0"/>
      <c r="KML124" s="0"/>
      <c r="KMM124" s="0"/>
      <c r="KMN124" s="0"/>
      <c r="KMO124" s="0"/>
      <c r="KMP124" s="0"/>
      <c r="KMQ124" s="0"/>
      <c r="KMR124" s="0"/>
      <c r="KMS124" s="0"/>
      <c r="KMT124" s="0"/>
      <c r="KMU124" s="0"/>
      <c r="KMV124" s="0"/>
      <c r="KMW124" s="0"/>
      <c r="KMX124" s="0"/>
      <c r="KMY124" s="0"/>
      <c r="KMZ124" s="0"/>
      <c r="KNA124" s="0"/>
      <c r="KNB124" s="0"/>
      <c r="KNC124" s="0"/>
      <c r="KND124" s="0"/>
      <c r="KNE124" s="0"/>
      <c r="KNF124" s="0"/>
      <c r="KNG124" s="0"/>
      <c r="KNH124" s="0"/>
      <c r="KNI124" s="0"/>
      <c r="KNJ124" s="0"/>
      <c r="KNK124" s="0"/>
      <c r="KNL124" s="0"/>
      <c r="KNM124" s="0"/>
      <c r="KNN124" s="0"/>
      <c r="KNO124" s="0"/>
      <c r="KNP124" s="0"/>
      <c r="KNQ124" s="0"/>
      <c r="KNR124" s="0"/>
      <c r="KNS124" s="0"/>
      <c r="KNT124" s="0"/>
      <c r="KNU124" s="0"/>
      <c r="KNV124" s="0"/>
      <c r="KNW124" s="0"/>
      <c r="KNX124" s="0"/>
      <c r="KNY124" s="0"/>
      <c r="KNZ124" s="0"/>
      <c r="KOA124" s="0"/>
      <c r="KOB124" s="0"/>
      <c r="KOC124" s="0"/>
      <c r="KOD124" s="0"/>
      <c r="KOE124" s="0"/>
      <c r="KOF124" s="0"/>
      <c r="KOG124" s="0"/>
      <c r="KOH124" s="0"/>
      <c r="KOI124" s="0"/>
      <c r="KOJ124" s="0"/>
      <c r="KOK124" s="0"/>
      <c r="KOL124" s="0"/>
      <c r="KOM124" s="0"/>
      <c r="KON124" s="0"/>
      <c r="KOO124" s="0"/>
      <c r="KOP124" s="0"/>
      <c r="KOQ124" s="0"/>
      <c r="KOR124" s="0"/>
      <c r="KOS124" s="0"/>
      <c r="KOT124" s="0"/>
      <c r="KOU124" s="0"/>
      <c r="KOV124" s="0"/>
      <c r="KOW124" s="0"/>
      <c r="KOX124" s="0"/>
      <c r="KOY124" s="0"/>
      <c r="KOZ124" s="0"/>
      <c r="KPA124" s="0"/>
      <c r="KPB124" s="0"/>
      <c r="KPC124" s="0"/>
      <c r="KPD124" s="0"/>
      <c r="KPE124" s="0"/>
      <c r="KPF124" s="0"/>
      <c r="KPG124" s="0"/>
      <c r="KPH124" s="0"/>
      <c r="KPI124" s="0"/>
      <c r="KPJ124" s="0"/>
      <c r="KPK124" s="0"/>
      <c r="KPL124" s="0"/>
      <c r="KPM124" s="0"/>
      <c r="KPN124" s="0"/>
      <c r="KPO124" s="0"/>
      <c r="KPP124" s="0"/>
      <c r="KPQ124" s="0"/>
      <c r="KPR124" s="0"/>
      <c r="KPS124" s="0"/>
      <c r="KPT124" s="0"/>
      <c r="KPU124" s="0"/>
      <c r="KPV124" s="0"/>
      <c r="KPW124" s="0"/>
      <c r="KPX124" s="0"/>
      <c r="KPY124" s="0"/>
      <c r="KPZ124" s="0"/>
      <c r="KQA124" s="0"/>
      <c r="KQB124" s="0"/>
      <c r="KQC124" s="0"/>
      <c r="KQD124" s="0"/>
      <c r="KQE124" s="0"/>
      <c r="KQF124" s="0"/>
      <c r="KQG124" s="0"/>
      <c r="KQH124" s="0"/>
      <c r="KQI124" s="0"/>
      <c r="KQJ124" s="0"/>
      <c r="KQK124" s="0"/>
      <c r="KQL124" s="0"/>
      <c r="KQM124" s="0"/>
      <c r="KQN124" s="0"/>
      <c r="KQO124" s="0"/>
      <c r="KQP124" s="0"/>
      <c r="KQQ124" s="0"/>
      <c r="KQR124" s="0"/>
      <c r="KQS124" s="0"/>
      <c r="KQT124" s="0"/>
      <c r="KQU124" s="0"/>
      <c r="KQV124" s="0"/>
      <c r="KQW124" s="0"/>
      <c r="KQX124" s="0"/>
      <c r="KQY124" s="0"/>
      <c r="KQZ124" s="0"/>
      <c r="KRA124" s="0"/>
      <c r="KRB124" s="0"/>
      <c r="KRC124" s="0"/>
      <c r="KRD124" s="0"/>
      <c r="KRE124" s="0"/>
      <c r="KRF124" s="0"/>
      <c r="KRG124" s="0"/>
      <c r="KRH124" s="0"/>
      <c r="KRI124" s="0"/>
      <c r="KRJ124" s="0"/>
      <c r="KRK124" s="0"/>
      <c r="KRL124" s="0"/>
      <c r="KRM124" s="0"/>
      <c r="KRN124" s="0"/>
      <c r="KRO124" s="0"/>
      <c r="KRP124" s="0"/>
      <c r="KRQ124" s="0"/>
      <c r="KRR124" s="0"/>
      <c r="KRS124" s="0"/>
      <c r="KRT124" s="0"/>
      <c r="KRU124" s="0"/>
      <c r="KRV124" s="0"/>
      <c r="KRW124" s="0"/>
      <c r="KRX124" s="0"/>
      <c r="KRY124" s="0"/>
      <c r="KRZ124" s="0"/>
      <c r="KSA124" s="0"/>
      <c r="KSB124" s="0"/>
      <c r="KSC124" s="0"/>
      <c r="KSD124" s="0"/>
      <c r="KSE124" s="0"/>
      <c r="KSF124" s="0"/>
      <c r="KSG124" s="0"/>
      <c r="KSH124" s="0"/>
      <c r="KSI124" s="0"/>
      <c r="KSJ124" s="0"/>
      <c r="KSK124" s="0"/>
      <c r="KSL124" s="0"/>
      <c r="KSM124" s="0"/>
      <c r="KSN124" s="0"/>
      <c r="KSO124" s="0"/>
      <c r="KSP124" s="0"/>
      <c r="KSQ124" s="0"/>
      <c r="KSR124" s="0"/>
      <c r="KSS124" s="0"/>
      <c r="KST124" s="0"/>
      <c r="KSU124" s="0"/>
      <c r="KSV124" s="0"/>
      <c r="KSW124" s="0"/>
      <c r="KSX124" s="0"/>
      <c r="KSY124" s="0"/>
      <c r="KSZ124" s="0"/>
      <c r="KTA124" s="0"/>
      <c r="KTB124" s="0"/>
      <c r="KTC124" s="0"/>
      <c r="KTD124" s="0"/>
      <c r="KTE124" s="0"/>
      <c r="KTF124" s="0"/>
      <c r="KTG124" s="0"/>
      <c r="KTH124" s="0"/>
      <c r="KTI124" s="0"/>
      <c r="KTJ124" s="0"/>
      <c r="KTK124" s="0"/>
      <c r="KTL124" s="0"/>
      <c r="KTM124" s="0"/>
      <c r="KTN124" s="0"/>
      <c r="KTO124" s="0"/>
      <c r="KTP124" s="0"/>
      <c r="KTQ124" s="0"/>
      <c r="KTR124" s="0"/>
      <c r="KTS124" s="0"/>
      <c r="KTT124" s="0"/>
      <c r="KTU124" s="0"/>
      <c r="KTV124" s="0"/>
      <c r="KTW124" s="0"/>
      <c r="KTX124" s="0"/>
      <c r="KTY124" s="0"/>
      <c r="KTZ124" s="0"/>
      <c r="KUA124" s="0"/>
      <c r="KUB124" s="0"/>
      <c r="KUC124" s="0"/>
      <c r="KUD124" s="0"/>
      <c r="KUE124" s="0"/>
      <c r="KUF124" s="0"/>
      <c r="KUG124" s="0"/>
      <c r="KUH124" s="0"/>
      <c r="KUI124" s="0"/>
      <c r="KUJ124" s="0"/>
      <c r="KUK124" s="0"/>
      <c r="KUL124" s="0"/>
      <c r="KUM124" s="0"/>
      <c r="KUN124" s="0"/>
      <c r="KUO124" s="0"/>
      <c r="KUP124" s="0"/>
      <c r="KUQ124" s="0"/>
      <c r="KUR124" s="0"/>
      <c r="KUS124" s="0"/>
      <c r="KUT124" s="0"/>
      <c r="KUU124" s="0"/>
      <c r="KUV124" s="0"/>
      <c r="KUW124" s="0"/>
      <c r="KUX124" s="0"/>
      <c r="KUY124" s="0"/>
      <c r="KUZ124" s="0"/>
      <c r="KVA124" s="0"/>
      <c r="KVB124" s="0"/>
      <c r="KVC124" s="0"/>
      <c r="KVD124" s="0"/>
      <c r="KVE124" s="0"/>
      <c r="KVF124" s="0"/>
      <c r="KVG124" s="0"/>
      <c r="KVH124" s="0"/>
      <c r="KVI124" s="0"/>
      <c r="KVJ124" s="0"/>
      <c r="KVK124" s="0"/>
      <c r="KVL124" s="0"/>
      <c r="KVM124" s="0"/>
      <c r="KVN124" s="0"/>
      <c r="KVO124" s="0"/>
      <c r="KVP124" s="0"/>
      <c r="KVQ124" s="0"/>
      <c r="KVR124" s="0"/>
      <c r="KVS124" s="0"/>
      <c r="KVT124" s="0"/>
      <c r="KVU124" s="0"/>
      <c r="KVV124" s="0"/>
      <c r="KVW124" s="0"/>
      <c r="KVX124" s="0"/>
      <c r="KVY124" s="0"/>
      <c r="KVZ124" s="0"/>
      <c r="KWA124" s="0"/>
      <c r="KWB124" s="0"/>
      <c r="KWC124" s="0"/>
      <c r="KWD124" s="0"/>
      <c r="KWE124" s="0"/>
      <c r="KWF124" s="0"/>
      <c r="KWG124" s="0"/>
      <c r="KWH124" s="0"/>
      <c r="KWI124" s="0"/>
      <c r="KWJ124" s="0"/>
      <c r="KWK124" s="0"/>
      <c r="KWL124" s="0"/>
      <c r="KWM124" s="0"/>
      <c r="KWN124" s="0"/>
      <c r="KWO124" s="0"/>
      <c r="KWP124" s="0"/>
      <c r="KWQ124" s="0"/>
      <c r="KWR124" s="0"/>
      <c r="KWS124" s="0"/>
      <c r="KWT124" s="0"/>
      <c r="KWU124" s="0"/>
      <c r="KWV124" s="0"/>
      <c r="KWW124" s="0"/>
      <c r="KWX124" s="0"/>
      <c r="KWY124" s="0"/>
      <c r="KWZ124" s="0"/>
      <c r="KXA124" s="0"/>
      <c r="KXB124" s="0"/>
      <c r="KXC124" s="0"/>
      <c r="KXD124" s="0"/>
      <c r="KXE124" s="0"/>
      <c r="KXF124" s="0"/>
      <c r="KXG124" s="0"/>
      <c r="KXH124" s="0"/>
      <c r="KXI124" s="0"/>
      <c r="KXJ124" s="0"/>
      <c r="KXK124" s="0"/>
      <c r="KXL124" s="0"/>
      <c r="KXM124" s="0"/>
      <c r="KXN124" s="0"/>
      <c r="KXO124" s="0"/>
      <c r="KXP124" s="0"/>
      <c r="KXQ124" s="0"/>
      <c r="KXR124" s="0"/>
      <c r="KXS124" s="0"/>
      <c r="KXT124" s="0"/>
      <c r="KXU124" s="0"/>
      <c r="KXV124" s="0"/>
      <c r="KXW124" s="0"/>
      <c r="KXX124" s="0"/>
      <c r="KXY124" s="0"/>
      <c r="KXZ124" s="0"/>
      <c r="KYA124" s="0"/>
      <c r="KYB124" s="0"/>
      <c r="KYC124" s="0"/>
      <c r="KYD124" s="0"/>
      <c r="KYE124" s="0"/>
      <c r="KYF124" s="0"/>
      <c r="KYG124" s="0"/>
      <c r="KYH124" s="0"/>
      <c r="KYI124" s="0"/>
      <c r="KYJ124" s="0"/>
      <c r="KYK124" s="0"/>
      <c r="KYL124" s="0"/>
      <c r="KYM124" s="0"/>
      <c r="KYN124" s="0"/>
      <c r="KYO124" s="0"/>
      <c r="KYP124" s="0"/>
      <c r="KYQ124" s="0"/>
      <c r="KYR124" s="0"/>
      <c r="KYS124" s="0"/>
      <c r="KYT124" s="0"/>
      <c r="KYU124" s="0"/>
      <c r="KYV124" s="0"/>
      <c r="KYW124" s="0"/>
      <c r="KYX124" s="0"/>
      <c r="KYY124" s="0"/>
      <c r="KYZ124" s="0"/>
      <c r="KZA124" s="0"/>
      <c r="KZB124" s="0"/>
      <c r="KZC124" s="0"/>
      <c r="KZD124" s="0"/>
      <c r="KZE124" s="0"/>
      <c r="KZF124" s="0"/>
      <c r="KZG124" s="0"/>
      <c r="KZH124" s="0"/>
      <c r="KZI124" s="0"/>
      <c r="KZJ124" s="0"/>
      <c r="KZK124" s="0"/>
      <c r="KZL124" s="0"/>
      <c r="KZM124" s="0"/>
      <c r="KZN124" s="0"/>
      <c r="KZO124" s="0"/>
      <c r="KZP124" s="0"/>
      <c r="KZQ124" s="0"/>
      <c r="KZR124" s="0"/>
      <c r="KZS124" s="0"/>
      <c r="KZT124" s="0"/>
      <c r="KZU124" s="0"/>
      <c r="KZV124" s="0"/>
      <c r="KZW124" s="0"/>
      <c r="KZX124" s="0"/>
      <c r="KZY124" s="0"/>
      <c r="KZZ124" s="0"/>
      <c r="LAA124" s="0"/>
      <c r="LAB124" s="0"/>
      <c r="LAC124" s="0"/>
      <c r="LAD124" s="0"/>
      <c r="LAE124" s="0"/>
      <c r="LAF124" s="0"/>
      <c r="LAG124" s="0"/>
      <c r="LAH124" s="0"/>
      <c r="LAI124" s="0"/>
      <c r="LAJ124" s="0"/>
      <c r="LAK124" s="0"/>
      <c r="LAL124" s="0"/>
      <c r="LAM124" s="0"/>
      <c r="LAN124" s="0"/>
      <c r="LAO124" s="0"/>
      <c r="LAP124" s="0"/>
      <c r="LAQ124" s="0"/>
      <c r="LAR124" s="0"/>
      <c r="LAS124" s="0"/>
      <c r="LAT124" s="0"/>
      <c r="LAU124" s="0"/>
      <c r="LAV124" s="0"/>
      <c r="LAW124" s="0"/>
      <c r="LAX124" s="0"/>
      <c r="LAY124" s="0"/>
      <c r="LAZ124" s="0"/>
      <c r="LBA124" s="0"/>
      <c r="LBB124" s="0"/>
      <c r="LBC124" s="0"/>
      <c r="LBD124" s="0"/>
      <c r="LBE124" s="0"/>
      <c r="LBF124" s="0"/>
      <c r="LBG124" s="0"/>
      <c r="LBH124" s="0"/>
      <c r="LBI124" s="0"/>
      <c r="LBJ124" s="0"/>
      <c r="LBK124" s="0"/>
      <c r="LBL124" s="0"/>
      <c r="LBM124" s="0"/>
      <c r="LBN124" s="0"/>
      <c r="LBO124" s="0"/>
      <c r="LBP124" s="0"/>
      <c r="LBQ124" s="0"/>
      <c r="LBR124" s="0"/>
      <c r="LBS124" s="0"/>
      <c r="LBT124" s="0"/>
      <c r="LBU124" s="0"/>
      <c r="LBV124" s="0"/>
      <c r="LBW124" s="0"/>
      <c r="LBX124" s="0"/>
      <c r="LBY124" s="0"/>
      <c r="LBZ124" s="0"/>
      <c r="LCA124" s="0"/>
      <c r="LCB124" s="0"/>
      <c r="LCC124" s="0"/>
      <c r="LCD124" s="0"/>
      <c r="LCE124" s="0"/>
      <c r="LCF124" s="0"/>
      <c r="LCG124" s="0"/>
      <c r="LCH124" s="0"/>
      <c r="LCI124" s="0"/>
      <c r="LCJ124" s="0"/>
      <c r="LCK124" s="0"/>
      <c r="LCL124" s="0"/>
      <c r="LCM124" s="0"/>
      <c r="LCN124" s="0"/>
      <c r="LCO124" s="0"/>
      <c r="LCP124" s="0"/>
      <c r="LCQ124" s="0"/>
      <c r="LCR124" s="0"/>
      <c r="LCS124" s="0"/>
      <c r="LCT124" s="0"/>
      <c r="LCU124" s="0"/>
      <c r="LCV124" s="0"/>
      <c r="LCW124" s="0"/>
      <c r="LCX124" s="0"/>
      <c r="LCY124" s="0"/>
      <c r="LCZ124" s="0"/>
      <c r="LDA124" s="0"/>
      <c r="LDB124" s="0"/>
      <c r="LDC124" s="0"/>
      <c r="LDD124" s="0"/>
      <c r="LDE124" s="0"/>
      <c r="LDF124" s="0"/>
      <c r="LDG124" s="0"/>
      <c r="LDH124" s="0"/>
      <c r="LDI124" s="0"/>
      <c r="LDJ124" s="0"/>
      <c r="LDK124" s="0"/>
      <c r="LDL124" s="0"/>
      <c r="LDM124" s="0"/>
      <c r="LDN124" s="0"/>
      <c r="LDO124" s="0"/>
      <c r="LDP124" s="0"/>
      <c r="LDQ124" s="0"/>
      <c r="LDR124" s="0"/>
      <c r="LDS124" s="0"/>
      <c r="LDT124" s="0"/>
      <c r="LDU124" s="0"/>
      <c r="LDV124" s="0"/>
      <c r="LDW124" s="0"/>
      <c r="LDX124" s="0"/>
      <c r="LDY124" s="0"/>
      <c r="LDZ124" s="0"/>
      <c r="LEA124" s="0"/>
      <c r="LEB124" s="0"/>
      <c r="LEC124" s="0"/>
      <c r="LED124" s="0"/>
      <c r="LEE124" s="0"/>
      <c r="LEF124" s="0"/>
      <c r="LEG124" s="0"/>
      <c r="LEH124" s="0"/>
      <c r="LEI124" s="0"/>
      <c r="LEJ124" s="0"/>
      <c r="LEK124" s="0"/>
      <c r="LEL124" s="0"/>
      <c r="LEM124" s="0"/>
      <c r="LEN124" s="0"/>
      <c r="LEO124" s="0"/>
      <c r="LEP124" s="0"/>
      <c r="LEQ124" s="0"/>
      <c r="LER124" s="0"/>
      <c r="LES124" s="0"/>
      <c r="LET124" s="0"/>
      <c r="LEU124" s="0"/>
      <c r="LEV124" s="0"/>
      <c r="LEW124" s="0"/>
      <c r="LEX124" s="0"/>
      <c r="LEY124" s="0"/>
      <c r="LEZ124" s="0"/>
      <c r="LFA124" s="0"/>
      <c r="LFB124" s="0"/>
      <c r="LFC124" s="0"/>
      <c r="LFD124" s="0"/>
      <c r="LFE124" s="0"/>
      <c r="LFF124" s="0"/>
      <c r="LFG124" s="0"/>
      <c r="LFH124" s="0"/>
      <c r="LFI124" s="0"/>
      <c r="LFJ124" s="0"/>
      <c r="LFK124" s="0"/>
      <c r="LFL124" s="0"/>
      <c r="LFM124" s="0"/>
      <c r="LFN124" s="0"/>
      <c r="LFO124" s="0"/>
      <c r="LFP124" s="0"/>
      <c r="LFQ124" s="0"/>
      <c r="LFR124" s="0"/>
      <c r="LFS124" s="0"/>
      <c r="LFT124" s="0"/>
      <c r="LFU124" s="0"/>
      <c r="LFV124" s="0"/>
      <c r="LFW124" s="0"/>
      <c r="LFX124" s="0"/>
      <c r="LFY124" s="0"/>
      <c r="LFZ124" s="0"/>
      <c r="LGA124" s="0"/>
      <c r="LGB124" s="0"/>
      <c r="LGC124" s="0"/>
      <c r="LGD124" s="0"/>
      <c r="LGE124" s="0"/>
      <c r="LGF124" s="0"/>
      <c r="LGG124" s="0"/>
      <c r="LGH124" s="0"/>
      <c r="LGI124" s="0"/>
      <c r="LGJ124" s="0"/>
      <c r="LGK124" s="0"/>
      <c r="LGL124" s="0"/>
      <c r="LGM124" s="0"/>
      <c r="LGN124" s="0"/>
      <c r="LGO124" s="0"/>
      <c r="LGP124" s="0"/>
      <c r="LGQ124" s="0"/>
      <c r="LGR124" s="0"/>
      <c r="LGS124" s="0"/>
      <c r="LGT124" s="0"/>
      <c r="LGU124" s="0"/>
      <c r="LGV124" s="0"/>
      <c r="LGW124" s="0"/>
      <c r="LGX124" s="0"/>
      <c r="LGY124" s="0"/>
      <c r="LGZ124" s="0"/>
      <c r="LHA124" s="0"/>
      <c r="LHB124" s="0"/>
      <c r="LHC124" s="0"/>
      <c r="LHD124" s="0"/>
      <c r="LHE124" s="0"/>
      <c r="LHF124" s="0"/>
      <c r="LHG124" s="0"/>
      <c r="LHH124" s="0"/>
      <c r="LHI124" s="0"/>
      <c r="LHJ124" s="0"/>
      <c r="LHK124" s="0"/>
      <c r="LHL124" s="0"/>
      <c r="LHM124" s="0"/>
      <c r="LHN124" s="0"/>
      <c r="LHO124" s="0"/>
      <c r="LHP124" s="0"/>
      <c r="LHQ124" s="0"/>
      <c r="LHR124" s="0"/>
      <c r="LHS124" s="0"/>
      <c r="LHT124" s="0"/>
      <c r="LHU124" s="0"/>
      <c r="LHV124" s="0"/>
      <c r="LHW124" s="0"/>
      <c r="LHX124" s="0"/>
      <c r="LHY124" s="0"/>
      <c r="LHZ124" s="0"/>
      <c r="LIA124" s="0"/>
      <c r="LIB124" s="0"/>
      <c r="LIC124" s="0"/>
      <c r="LID124" s="0"/>
      <c r="LIE124" s="0"/>
      <c r="LIF124" s="0"/>
      <c r="LIG124" s="0"/>
      <c r="LIH124" s="0"/>
      <c r="LII124" s="0"/>
      <c r="LIJ124" s="0"/>
      <c r="LIK124" s="0"/>
      <c r="LIL124" s="0"/>
      <c r="LIM124" s="0"/>
      <c r="LIN124" s="0"/>
      <c r="LIO124" s="0"/>
      <c r="LIP124" s="0"/>
      <c r="LIQ124" s="0"/>
      <c r="LIR124" s="0"/>
      <c r="LIS124" s="0"/>
      <c r="LIT124" s="0"/>
      <c r="LIU124" s="0"/>
      <c r="LIV124" s="0"/>
      <c r="LIW124" s="0"/>
      <c r="LIX124" s="0"/>
      <c r="LIY124" s="0"/>
      <c r="LIZ124" s="0"/>
      <c r="LJA124" s="0"/>
      <c r="LJB124" s="0"/>
      <c r="LJC124" s="0"/>
      <c r="LJD124" s="0"/>
      <c r="LJE124" s="0"/>
      <c r="LJF124" s="0"/>
      <c r="LJG124" s="0"/>
      <c r="LJH124" s="0"/>
      <c r="LJI124" s="0"/>
      <c r="LJJ124" s="0"/>
      <c r="LJK124" s="0"/>
      <c r="LJL124" s="0"/>
      <c r="LJM124" s="0"/>
      <c r="LJN124" s="0"/>
      <c r="LJO124" s="0"/>
      <c r="LJP124" s="0"/>
      <c r="LJQ124" s="0"/>
      <c r="LJR124" s="0"/>
      <c r="LJS124" s="0"/>
      <c r="LJT124" s="0"/>
      <c r="LJU124" s="0"/>
      <c r="LJV124" s="0"/>
      <c r="LJW124" s="0"/>
      <c r="LJX124" s="0"/>
      <c r="LJY124" s="0"/>
      <c r="LJZ124" s="0"/>
      <c r="LKA124" s="0"/>
      <c r="LKB124" s="0"/>
      <c r="LKC124" s="0"/>
      <c r="LKD124" s="0"/>
      <c r="LKE124" s="0"/>
      <c r="LKF124" s="0"/>
      <c r="LKG124" s="0"/>
      <c r="LKH124" s="0"/>
      <c r="LKI124" s="0"/>
      <c r="LKJ124" s="0"/>
      <c r="LKK124" s="0"/>
      <c r="LKL124" s="0"/>
      <c r="LKM124" s="0"/>
      <c r="LKN124" s="0"/>
      <c r="LKO124" s="0"/>
      <c r="LKP124" s="0"/>
      <c r="LKQ124" s="0"/>
      <c r="LKR124" s="0"/>
      <c r="LKS124" s="0"/>
      <c r="LKT124" s="0"/>
      <c r="LKU124" s="0"/>
      <c r="LKV124" s="0"/>
      <c r="LKW124" s="0"/>
      <c r="LKX124" s="0"/>
      <c r="LKY124" s="0"/>
      <c r="LKZ124" s="0"/>
      <c r="LLA124" s="0"/>
      <c r="LLB124" s="0"/>
      <c r="LLC124" s="0"/>
      <c r="LLD124" s="0"/>
      <c r="LLE124" s="0"/>
      <c r="LLF124" s="0"/>
      <c r="LLG124" s="0"/>
      <c r="LLH124" s="0"/>
      <c r="LLI124" s="0"/>
      <c r="LLJ124" s="0"/>
      <c r="LLK124" s="0"/>
      <c r="LLL124" s="0"/>
      <c r="LLM124" s="0"/>
      <c r="LLN124" s="0"/>
      <c r="LLO124" s="0"/>
      <c r="LLP124" s="0"/>
      <c r="LLQ124" s="0"/>
      <c r="LLR124" s="0"/>
      <c r="LLS124" s="0"/>
      <c r="LLT124" s="0"/>
      <c r="LLU124" s="0"/>
      <c r="LLV124" s="0"/>
      <c r="LLW124" s="0"/>
      <c r="LLX124" s="0"/>
      <c r="LLY124" s="0"/>
      <c r="LLZ124" s="0"/>
      <c r="LMA124" s="0"/>
      <c r="LMB124" s="0"/>
      <c r="LMC124" s="0"/>
      <c r="LMD124" s="0"/>
      <c r="LME124" s="0"/>
      <c r="LMF124" s="0"/>
      <c r="LMG124" s="0"/>
      <c r="LMH124" s="0"/>
      <c r="LMI124" s="0"/>
      <c r="LMJ124" s="0"/>
      <c r="LMK124" s="0"/>
      <c r="LML124" s="0"/>
      <c r="LMM124" s="0"/>
      <c r="LMN124" s="0"/>
      <c r="LMO124" s="0"/>
      <c r="LMP124" s="0"/>
      <c r="LMQ124" s="0"/>
      <c r="LMR124" s="0"/>
      <c r="LMS124" s="0"/>
      <c r="LMT124" s="0"/>
      <c r="LMU124" s="0"/>
      <c r="LMV124" s="0"/>
      <c r="LMW124" s="0"/>
      <c r="LMX124" s="0"/>
      <c r="LMY124" s="0"/>
      <c r="LMZ124" s="0"/>
      <c r="LNA124" s="0"/>
      <c r="LNB124" s="0"/>
      <c r="LNC124" s="0"/>
      <c r="LND124" s="0"/>
      <c r="LNE124" s="0"/>
      <c r="LNF124" s="0"/>
      <c r="LNG124" s="0"/>
      <c r="LNH124" s="0"/>
      <c r="LNI124" s="0"/>
      <c r="LNJ124" s="0"/>
      <c r="LNK124" s="0"/>
      <c r="LNL124" s="0"/>
      <c r="LNM124" s="0"/>
      <c r="LNN124" s="0"/>
      <c r="LNO124" s="0"/>
      <c r="LNP124" s="0"/>
      <c r="LNQ124" s="0"/>
      <c r="LNR124" s="0"/>
      <c r="LNS124" s="0"/>
      <c r="LNT124" s="0"/>
      <c r="LNU124" s="0"/>
      <c r="LNV124" s="0"/>
      <c r="LNW124" s="0"/>
      <c r="LNX124" s="0"/>
      <c r="LNY124" s="0"/>
      <c r="LNZ124" s="0"/>
      <c r="LOA124" s="0"/>
      <c r="LOB124" s="0"/>
      <c r="LOC124" s="0"/>
      <c r="LOD124" s="0"/>
      <c r="LOE124" s="0"/>
      <c r="LOF124" s="0"/>
      <c r="LOG124" s="0"/>
      <c r="LOH124" s="0"/>
      <c r="LOI124" s="0"/>
      <c r="LOJ124" s="0"/>
      <c r="LOK124" s="0"/>
      <c r="LOL124" s="0"/>
      <c r="LOM124" s="0"/>
      <c r="LON124" s="0"/>
      <c r="LOO124" s="0"/>
      <c r="LOP124" s="0"/>
      <c r="LOQ124" s="0"/>
      <c r="LOR124" s="0"/>
      <c r="LOS124" s="0"/>
      <c r="LOT124" s="0"/>
      <c r="LOU124" s="0"/>
      <c r="LOV124" s="0"/>
      <c r="LOW124" s="0"/>
      <c r="LOX124" s="0"/>
      <c r="LOY124" s="0"/>
      <c r="LOZ124" s="0"/>
      <c r="LPA124" s="0"/>
      <c r="LPB124" s="0"/>
      <c r="LPC124" s="0"/>
      <c r="LPD124" s="0"/>
      <c r="LPE124" s="0"/>
      <c r="LPF124" s="0"/>
      <c r="LPG124" s="0"/>
      <c r="LPH124" s="0"/>
      <c r="LPI124" s="0"/>
      <c r="LPJ124" s="0"/>
      <c r="LPK124" s="0"/>
      <c r="LPL124" s="0"/>
      <c r="LPM124" s="0"/>
      <c r="LPN124" s="0"/>
      <c r="LPO124" s="0"/>
      <c r="LPP124" s="0"/>
      <c r="LPQ124" s="0"/>
      <c r="LPR124" s="0"/>
      <c r="LPS124" s="0"/>
      <c r="LPT124" s="0"/>
      <c r="LPU124" s="0"/>
      <c r="LPV124" s="0"/>
      <c r="LPW124" s="0"/>
      <c r="LPX124" s="0"/>
      <c r="LPY124" s="0"/>
      <c r="LPZ124" s="0"/>
      <c r="LQA124" s="0"/>
      <c r="LQB124" s="0"/>
      <c r="LQC124" s="0"/>
      <c r="LQD124" s="0"/>
      <c r="LQE124" s="0"/>
      <c r="LQF124" s="0"/>
      <c r="LQG124" s="0"/>
      <c r="LQH124" s="0"/>
      <c r="LQI124" s="0"/>
      <c r="LQJ124" s="0"/>
      <c r="LQK124" s="0"/>
      <c r="LQL124" s="0"/>
      <c r="LQM124" s="0"/>
      <c r="LQN124" s="0"/>
      <c r="LQO124" s="0"/>
      <c r="LQP124" s="0"/>
      <c r="LQQ124" s="0"/>
      <c r="LQR124" s="0"/>
      <c r="LQS124" s="0"/>
      <c r="LQT124" s="0"/>
      <c r="LQU124" s="0"/>
      <c r="LQV124" s="0"/>
      <c r="LQW124" s="0"/>
      <c r="LQX124" s="0"/>
      <c r="LQY124" s="0"/>
      <c r="LQZ124" s="0"/>
      <c r="LRA124" s="0"/>
      <c r="LRB124" s="0"/>
      <c r="LRC124" s="0"/>
      <c r="LRD124" s="0"/>
      <c r="LRE124" s="0"/>
      <c r="LRF124" s="0"/>
      <c r="LRG124" s="0"/>
      <c r="LRH124" s="0"/>
      <c r="LRI124" s="0"/>
      <c r="LRJ124" s="0"/>
      <c r="LRK124" s="0"/>
      <c r="LRL124" s="0"/>
      <c r="LRM124" s="0"/>
      <c r="LRN124" s="0"/>
      <c r="LRO124" s="0"/>
      <c r="LRP124" s="0"/>
      <c r="LRQ124" s="0"/>
      <c r="LRR124" s="0"/>
      <c r="LRS124" s="0"/>
      <c r="LRT124" s="0"/>
      <c r="LRU124" s="0"/>
      <c r="LRV124" s="0"/>
      <c r="LRW124" s="0"/>
      <c r="LRX124" s="0"/>
      <c r="LRY124" s="0"/>
      <c r="LRZ124" s="0"/>
      <c r="LSA124" s="0"/>
      <c r="LSB124" s="0"/>
      <c r="LSC124" s="0"/>
      <c r="LSD124" s="0"/>
      <c r="LSE124" s="0"/>
      <c r="LSF124" s="0"/>
      <c r="LSG124" s="0"/>
      <c r="LSH124" s="0"/>
      <c r="LSI124" s="0"/>
      <c r="LSJ124" s="0"/>
      <c r="LSK124" s="0"/>
      <c r="LSL124" s="0"/>
      <c r="LSM124" s="0"/>
      <c r="LSN124" s="0"/>
      <c r="LSO124" s="0"/>
      <c r="LSP124" s="0"/>
      <c r="LSQ124" s="0"/>
      <c r="LSR124" s="0"/>
      <c r="LSS124" s="0"/>
      <c r="LST124" s="0"/>
      <c r="LSU124" s="0"/>
      <c r="LSV124" s="0"/>
      <c r="LSW124" s="0"/>
      <c r="LSX124" s="0"/>
      <c r="LSY124" s="0"/>
      <c r="LSZ124" s="0"/>
      <c r="LTA124" s="0"/>
      <c r="LTB124" s="0"/>
      <c r="LTC124" s="0"/>
      <c r="LTD124" s="0"/>
      <c r="LTE124" s="0"/>
      <c r="LTF124" s="0"/>
      <c r="LTG124" s="0"/>
      <c r="LTH124" s="0"/>
      <c r="LTI124" s="0"/>
      <c r="LTJ124" s="0"/>
      <c r="LTK124" s="0"/>
      <c r="LTL124" s="0"/>
      <c r="LTM124" s="0"/>
      <c r="LTN124" s="0"/>
      <c r="LTO124" s="0"/>
      <c r="LTP124" s="0"/>
      <c r="LTQ124" s="0"/>
      <c r="LTR124" s="0"/>
      <c r="LTS124" s="0"/>
      <c r="LTT124" s="0"/>
      <c r="LTU124" s="0"/>
      <c r="LTV124" s="0"/>
      <c r="LTW124" s="0"/>
      <c r="LTX124" s="0"/>
      <c r="LTY124" s="0"/>
      <c r="LTZ124" s="0"/>
      <c r="LUA124" s="0"/>
      <c r="LUB124" s="0"/>
      <c r="LUC124" s="0"/>
      <c r="LUD124" s="0"/>
      <c r="LUE124" s="0"/>
      <c r="LUF124" s="0"/>
      <c r="LUG124" s="0"/>
      <c r="LUH124" s="0"/>
      <c r="LUI124" s="0"/>
      <c r="LUJ124" s="0"/>
      <c r="LUK124" s="0"/>
      <c r="LUL124" s="0"/>
      <c r="LUM124" s="0"/>
      <c r="LUN124" s="0"/>
      <c r="LUO124" s="0"/>
      <c r="LUP124" s="0"/>
      <c r="LUQ124" s="0"/>
      <c r="LUR124" s="0"/>
      <c r="LUS124" s="0"/>
      <c r="LUT124" s="0"/>
      <c r="LUU124" s="0"/>
      <c r="LUV124" s="0"/>
      <c r="LUW124" s="0"/>
      <c r="LUX124" s="0"/>
      <c r="LUY124" s="0"/>
      <c r="LUZ124" s="0"/>
      <c r="LVA124" s="0"/>
      <c r="LVB124" s="0"/>
      <c r="LVC124" s="0"/>
      <c r="LVD124" s="0"/>
      <c r="LVE124" s="0"/>
      <c r="LVF124" s="0"/>
      <c r="LVG124" s="0"/>
      <c r="LVH124" s="0"/>
      <c r="LVI124" s="0"/>
      <c r="LVJ124" s="0"/>
      <c r="LVK124" s="0"/>
      <c r="LVL124" s="0"/>
      <c r="LVM124" s="0"/>
      <c r="LVN124" s="0"/>
      <c r="LVO124" s="0"/>
      <c r="LVP124" s="0"/>
      <c r="LVQ124" s="0"/>
      <c r="LVR124" s="0"/>
      <c r="LVS124" s="0"/>
      <c r="LVT124" s="0"/>
      <c r="LVU124" s="0"/>
      <c r="LVV124" s="0"/>
      <c r="LVW124" s="0"/>
      <c r="LVX124" s="0"/>
      <c r="LVY124" s="0"/>
      <c r="LVZ124" s="0"/>
      <c r="LWA124" s="0"/>
      <c r="LWB124" s="0"/>
      <c r="LWC124" s="0"/>
      <c r="LWD124" s="0"/>
      <c r="LWE124" s="0"/>
      <c r="LWF124" s="0"/>
      <c r="LWG124" s="0"/>
      <c r="LWH124" s="0"/>
      <c r="LWI124" s="0"/>
      <c r="LWJ124" s="0"/>
      <c r="LWK124" s="0"/>
      <c r="LWL124" s="0"/>
      <c r="LWM124" s="0"/>
      <c r="LWN124" s="0"/>
      <c r="LWO124" s="0"/>
      <c r="LWP124" s="0"/>
      <c r="LWQ124" s="0"/>
      <c r="LWR124" s="0"/>
      <c r="LWS124" s="0"/>
      <c r="LWT124" s="0"/>
      <c r="LWU124" s="0"/>
      <c r="LWV124" s="0"/>
      <c r="LWW124" s="0"/>
      <c r="LWX124" s="0"/>
      <c r="LWY124" s="0"/>
      <c r="LWZ124" s="0"/>
      <c r="LXA124" s="0"/>
      <c r="LXB124" s="0"/>
      <c r="LXC124" s="0"/>
      <c r="LXD124" s="0"/>
      <c r="LXE124" s="0"/>
      <c r="LXF124" s="0"/>
      <c r="LXG124" s="0"/>
      <c r="LXH124" s="0"/>
      <c r="LXI124" s="0"/>
      <c r="LXJ124" s="0"/>
      <c r="LXK124" s="0"/>
      <c r="LXL124" s="0"/>
      <c r="LXM124" s="0"/>
      <c r="LXN124" s="0"/>
      <c r="LXO124" s="0"/>
      <c r="LXP124" s="0"/>
      <c r="LXQ124" s="0"/>
      <c r="LXR124" s="0"/>
      <c r="LXS124" s="0"/>
      <c r="LXT124" s="0"/>
      <c r="LXU124" s="0"/>
      <c r="LXV124" s="0"/>
      <c r="LXW124" s="0"/>
      <c r="LXX124" s="0"/>
      <c r="LXY124" s="0"/>
      <c r="LXZ124" s="0"/>
      <c r="LYA124" s="0"/>
      <c r="LYB124" s="0"/>
      <c r="LYC124" s="0"/>
      <c r="LYD124" s="0"/>
      <c r="LYE124" s="0"/>
      <c r="LYF124" s="0"/>
      <c r="LYG124" s="0"/>
      <c r="LYH124" s="0"/>
      <c r="LYI124" s="0"/>
      <c r="LYJ124" s="0"/>
      <c r="LYK124" s="0"/>
      <c r="LYL124" s="0"/>
      <c r="LYM124" s="0"/>
      <c r="LYN124" s="0"/>
      <c r="LYO124" s="0"/>
      <c r="LYP124" s="0"/>
      <c r="LYQ124" s="0"/>
      <c r="LYR124" s="0"/>
      <c r="LYS124" s="0"/>
      <c r="LYT124" s="0"/>
      <c r="LYU124" s="0"/>
      <c r="LYV124" s="0"/>
      <c r="LYW124" s="0"/>
      <c r="LYX124" s="0"/>
      <c r="LYY124" s="0"/>
      <c r="LYZ124" s="0"/>
      <c r="LZA124" s="0"/>
      <c r="LZB124" s="0"/>
      <c r="LZC124" s="0"/>
      <c r="LZD124" s="0"/>
      <c r="LZE124" s="0"/>
      <c r="LZF124" s="0"/>
      <c r="LZG124" s="0"/>
      <c r="LZH124" s="0"/>
      <c r="LZI124" s="0"/>
      <c r="LZJ124" s="0"/>
      <c r="LZK124" s="0"/>
      <c r="LZL124" s="0"/>
      <c r="LZM124" s="0"/>
      <c r="LZN124" s="0"/>
      <c r="LZO124" s="0"/>
      <c r="LZP124" s="0"/>
      <c r="LZQ124" s="0"/>
      <c r="LZR124" s="0"/>
      <c r="LZS124" s="0"/>
      <c r="LZT124" s="0"/>
      <c r="LZU124" s="0"/>
      <c r="LZV124" s="0"/>
      <c r="LZW124" s="0"/>
      <c r="LZX124" s="0"/>
      <c r="LZY124" s="0"/>
      <c r="LZZ124" s="0"/>
      <c r="MAA124" s="0"/>
      <c r="MAB124" s="0"/>
      <c r="MAC124" s="0"/>
      <c r="MAD124" s="0"/>
      <c r="MAE124" s="0"/>
      <c r="MAF124" s="0"/>
      <c r="MAG124" s="0"/>
      <c r="MAH124" s="0"/>
      <c r="MAI124" s="0"/>
      <c r="MAJ124" s="0"/>
      <c r="MAK124" s="0"/>
      <c r="MAL124" s="0"/>
      <c r="MAM124" s="0"/>
      <c r="MAN124" s="0"/>
      <c r="MAO124" s="0"/>
      <c r="MAP124" s="0"/>
      <c r="MAQ124" s="0"/>
      <c r="MAR124" s="0"/>
      <c r="MAS124" s="0"/>
      <c r="MAT124" s="0"/>
      <c r="MAU124" s="0"/>
      <c r="MAV124" s="0"/>
      <c r="MAW124" s="0"/>
      <c r="MAX124" s="0"/>
      <c r="MAY124" s="0"/>
      <c r="MAZ124" s="0"/>
      <c r="MBA124" s="0"/>
      <c r="MBB124" s="0"/>
      <c r="MBC124" s="0"/>
      <c r="MBD124" s="0"/>
      <c r="MBE124" s="0"/>
      <c r="MBF124" s="0"/>
      <c r="MBG124" s="0"/>
      <c r="MBH124" s="0"/>
      <c r="MBI124" s="0"/>
      <c r="MBJ124" s="0"/>
      <c r="MBK124" s="0"/>
      <c r="MBL124" s="0"/>
      <c r="MBM124" s="0"/>
      <c r="MBN124" s="0"/>
      <c r="MBO124" s="0"/>
      <c r="MBP124" s="0"/>
      <c r="MBQ124" s="0"/>
      <c r="MBR124" s="0"/>
      <c r="MBS124" s="0"/>
      <c r="MBT124" s="0"/>
      <c r="MBU124" s="0"/>
      <c r="MBV124" s="0"/>
      <c r="MBW124" s="0"/>
      <c r="MBX124" s="0"/>
      <c r="MBY124" s="0"/>
      <c r="MBZ124" s="0"/>
      <c r="MCA124" s="0"/>
      <c r="MCB124" s="0"/>
      <c r="MCC124" s="0"/>
      <c r="MCD124" s="0"/>
      <c r="MCE124" s="0"/>
      <c r="MCF124" s="0"/>
      <c r="MCG124" s="0"/>
      <c r="MCH124" s="0"/>
      <c r="MCI124" s="0"/>
      <c r="MCJ124" s="0"/>
      <c r="MCK124" s="0"/>
      <c r="MCL124" s="0"/>
      <c r="MCM124" s="0"/>
      <c r="MCN124" s="0"/>
      <c r="MCO124" s="0"/>
      <c r="MCP124" s="0"/>
      <c r="MCQ124" s="0"/>
      <c r="MCR124" s="0"/>
      <c r="MCS124" s="0"/>
      <c r="MCT124" s="0"/>
      <c r="MCU124" s="0"/>
      <c r="MCV124" s="0"/>
      <c r="MCW124" s="0"/>
      <c r="MCX124" s="0"/>
      <c r="MCY124" s="0"/>
      <c r="MCZ124" s="0"/>
      <c r="MDA124" s="0"/>
      <c r="MDB124" s="0"/>
      <c r="MDC124" s="0"/>
      <c r="MDD124" s="0"/>
      <c r="MDE124" s="0"/>
      <c r="MDF124" s="0"/>
      <c r="MDG124" s="0"/>
      <c r="MDH124" s="0"/>
      <c r="MDI124" s="0"/>
      <c r="MDJ124" s="0"/>
      <c r="MDK124" s="0"/>
      <c r="MDL124" s="0"/>
      <c r="MDM124" s="0"/>
      <c r="MDN124" s="0"/>
      <c r="MDO124" s="0"/>
      <c r="MDP124" s="0"/>
      <c r="MDQ124" s="0"/>
      <c r="MDR124" s="0"/>
      <c r="MDS124" s="0"/>
      <c r="MDT124" s="0"/>
      <c r="MDU124" s="0"/>
      <c r="MDV124" s="0"/>
      <c r="MDW124" s="0"/>
      <c r="MDX124" s="0"/>
      <c r="MDY124" s="0"/>
      <c r="MDZ124" s="0"/>
      <c r="MEA124" s="0"/>
      <c r="MEB124" s="0"/>
      <c r="MEC124" s="0"/>
      <c r="MED124" s="0"/>
      <c r="MEE124" s="0"/>
      <c r="MEF124" s="0"/>
      <c r="MEG124" s="0"/>
      <c r="MEH124" s="0"/>
      <c r="MEI124" s="0"/>
      <c r="MEJ124" s="0"/>
      <c r="MEK124" s="0"/>
      <c r="MEL124" s="0"/>
      <c r="MEM124" s="0"/>
      <c r="MEN124" s="0"/>
      <c r="MEO124" s="0"/>
      <c r="MEP124" s="0"/>
      <c r="MEQ124" s="0"/>
      <c r="MER124" s="0"/>
      <c r="MES124" s="0"/>
      <c r="MET124" s="0"/>
      <c r="MEU124" s="0"/>
      <c r="MEV124" s="0"/>
      <c r="MEW124" s="0"/>
      <c r="MEX124" s="0"/>
      <c r="MEY124" s="0"/>
      <c r="MEZ124" s="0"/>
      <c r="MFA124" s="0"/>
      <c r="MFB124" s="0"/>
      <c r="MFC124" s="0"/>
      <c r="MFD124" s="0"/>
      <c r="MFE124" s="0"/>
      <c r="MFF124" s="0"/>
      <c r="MFG124" s="0"/>
      <c r="MFH124" s="0"/>
      <c r="MFI124" s="0"/>
      <c r="MFJ124" s="0"/>
      <c r="MFK124" s="0"/>
      <c r="MFL124" s="0"/>
      <c r="MFM124" s="0"/>
      <c r="MFN124" s="0"/>
      <c r="MFO124" s="0"/>
      <c r="MFP124" s="0"/>
      <c r="MFQ124" s="0"/>
      <c r="MFR124" s="0"/>
      <c r="MFS124" s="0"/>
      <c r="MFT124" s="0"/>
      <c r="MFU124" s="0"/>
      <c r="MFV124" s="0"/>
      <c r="MFW124" s="0"/>
      <c r="MFX124" s="0"/>
      <c r="MFY124" s="0"/>
      <c r="MFZ124" s="0"/>
      <c r="MGA124" s="0"/>
      <c r="MGB124" s="0"/>
      <c r="MGC124" s="0"/>
      <c r="MGD124" s="0"/>
      <c r="MGE124" s="0"/>
      <c r="MGF124" s="0"/>
      <c r="MGG124" s="0"/>
      <c r="MGH124" s="0"/>
      <c r="MGI124" s="0"/>
      <c r="MGJ124" s="0"/>
      <c r="MGK124" s="0"/>
      <c r="MGL124" s="0"/>
      <c r="MGM124" s="0"/>
      <c r="MGN124" s="0"/>
      <c r="MGO124" s="0"/>
      <c r="MGP124" s="0"/>
      <c r="MGQ124" s="0"/>
      <c r="MGR124" s="0"/>
      <c r="MGS124" s="0"/>
      <c r="MGT124" s="0"/>
      <c r="MGU124" s="0"/>
      <c r="MGV124" s="0"/>
      <c r="MGW124" s="0"/>
      <c r="MGX124" s="0"/>
      <c r="MGY124" s="0"/>
      <c r="MGZ124" s="0"/>
      <c r="MHA124" s="0"/>
      <c r="MHB124" s="0"/>
      <c r="MHC124" s="0"/>
      <c r="MHD124" s="0"/>
      <c r="MHE124" s="0"/>
      <c r="MHF124" s="0"/>
      <c r="MHG124" s="0"/>
      <c r="MHH124" s="0"/>
      <c r="MHI124" s="0"/>
      <c r="MHJ124" s="0"/>
      <c r="MHK124" s="0"/>
      <c r="MHL124" s="0"/>
      <c r="MHM124" s="0"/>
      <c r="MHN124" s="0"/>
      <c r="MHO124" s="0"/>
      <c r="MHP124" s="0"/>
      <c r="MHQ124" s="0"/>
      <c r="MHR124" s="0"/>
      <c r="MHS124" s="0"/>
      <c r="MHT124" s="0"/>
      <c r="MHU124" s="0"/>
      <c r="MHV124" s="0"/>
      <c r="MHW124" s="0"/>
      <c r="MHX124" s="0"/>
      <c r="MHY124" s="0"/>
      <c r="MHZ124" s="0"/>
      <c r="MIA124" s="0"/>
      <c r="MIB124" s="0"/>
      <c r="MIC124" s="0"/>
      <c r="MID124" s="0"/>
      <c r="MIE124" s="0"/>
      <c r="MIF124" s="0"/>
      <c r="MIG124" s="0"/>
      <c r="MIH124" s="0"/>
      <c r="MII124" s="0"/>
      <c r="MIJ124" s="0"/>
      <c r="MIK124" s="0"/>
      <c r="MIL124" s="0"/>
      <c r="MIM124" s="0"/>
      <c r="MIN124" s="0"/>
      <c r="MIO124" s="0"/>
      <c r="MIP124" s="0"/>
      <c r="MIQ124" s="0"/>
      <c r="MIR124" s="0"/>
      <c r="MIS124" s="0"/>
      <c r="MIT124" s="0"/>
      <c r="MIU124" s="0"/>
      <c r="MIV124" s="0"/>
      <c r="MIW124" s="0"/>
      <c r="MIX124" s="0"/>
      <c r="MIY124" s="0"/>
      <c r="MIZ124" s="0"/>
      <c r="MJA124" s="0"/>
      <c r="MJB124" s="0"/>
      <c r="MJC124" s="0"/>
      <c r="MJD124" s="0"/>
      <c r="MJE124" s="0"/>
      <c r="MJF124" s="0"/>
      <c r="MJG124" s="0"/>
      <c r="MJH124" s="0"/>
      <c r="MJI124" s="0"/>
      <c r="MJJ124" s="0"/>
      <c r="MJK124" s="0"/>
      <c r="MJL124" s="0"/>
      <c r="MJM124" s="0"/>
      <c r="MJN124" s="0"/>
      <c r="MJO124" s="0"/>
      <c r="MJP124" s="0"/>
      <c r="MJQ124" s="0"/>
      <c r="MJR124" s="0"/>
      <c r="MJS124" s="0"/>
      <c r="MJT124" s="0"/>
      <c r="MJU124" s="0"/>
      <c r="MJV124" s="0"/>
      <c r="MJW124" s="0"/>
      <c r="MJX124" s="0"/>
      <c r="MJY124" s="0"/>
      <c r="MJZ124" s="0"/>
      <c r="MKA124" s="0"/>
      <c r="MKB124" s="0"/>
      <c r="MKC124" s="0"/>
      <c r="MKD124" s="0"/>
      <c r="MKE124" s="0"/>
      <c r="MKF124" s="0"/>
      <c r="MKG124" s="0"/>
      <c r="MKH124" s="0"/>
      <c r="MKI124" s="0"/>
      <c r="MKJ124" s="0"/>
      <c r="MKK124" s="0"/>
      <c r="MKL124" s="0"/>
      <c r="MKM124" s="0"/>
      <c r="MKN124" s="0"/>
      <c r="MKO124" s="0"/>
      <c r="MKP124" s="0"/>
      <c r="MKQ124" s="0"/>
      <c r="MKR124" s="0"/>
      <c r="MKS124" s="0"/>
      <c r="MKT124" s="0"/>
      <c r="MKU124" s="0"/>
      <c r="MKV124" s="0"/>
      <c r="MKW124" s="0"/>
      <c r="MKX124" s="0"/>
      <c r="MKY124" s="0"/>
      <c r="MKZ124" s="0"/>
      <c r="MLA124" s="0"/>
      <c r="MLB124" s="0"/>
      <c r="MLC124" s="0"/>
      <c r="MLD124" s="0"/>
      <c r="MLE124" s="0"/>
      <c r="MLF124" s="0"/>
      <c r="MLG124" s="0"/>
      <c r="MLH124" s="0"/>
      <c r="MLI124" s="0"/>
      <c r="MLJ124" s="0"/>
      <c r="MLK124" s="0"/>
      <c r="MLL124" s="0"/>
      <c r="MLM124" s="0"/>
      <c r="MLN124" s="0"/>
      <c r="MLO124" s="0"/>
      <c r="MLP124" s="0"/>
      <c r="MLQ124" s="0"/>
      <c r="MLR124" s="0"/>
      <c r="MLS124" s="0"/>
      <c r="MLT124" s="0"/>
      <c r="MLU124" s="0"/>
      <c r="MLV124" s="0"/>
      <c r="MLW124" s="0"/>
      <c r="MLX124" s="0"/>
      <c r="MLY124" s="0"/>
      <c r="MLZ124" s="0"/>
      <c r="MMA124" s="0"/>
      <c r="MMB124" s="0"/>
      <c r="MMC124" s="0"/>
      <c r="MMD124" s="0"/>
      <c r="MME124" s="0"/>
      <c r="MMF124" s="0"/>
      <c r="MMG124" s="0"/>
      <c r="MMH124" s="0"/>
      <c r="MMI124" s="0"/>
      <c r="MMJ124" s="0"/>
      <c r="MMK124" s="0"/>
      <c r="MML124" s="0"/>
      <c r="MMM124" s="0"/>
      <c r="MMN124" s="0"/>
      <c r="MMO124" s="0"/>
      <c r="MMP124" s="0"/>
      <c r="MMQ124" s="0"/>
      <c r="MMR124" s="0"/>
      <c r="MMS124" s="0"/>
      <c r="MMT124" s="0"/>
      <c r="MMU124" s="0"/>
      <c r="MMV124" s="0"/>
      <c r="MMW124" s="0"/>
      <c r="MMX124" s="0"/>
      <c r="MMY124" s="0"/>
      <c r="MMZ124" s="0"/>
      <c r="MNA124" s="0"/>
      <c r="MNB124" s="0"/>
      <c r="MNC124" s="0"/>
      <c r="MND124" s="0"/>
      <c r="MNE124" s="0"/>
      <c r="MNF124" s="0"/>
      <c r="MNG124" s="0"/>
      <c r="MNH124" s="0"/>
      <c r="MNI124" s="0"/>
      <c r="MNJ124" s="0"/>
      <c r="MNK124" s="0"/>
      <c r="MNL124" s="0"/>
      <c r="MNM124" s="0"/>
      <c r="MNN124" s="0"/>
      <c r="MNO124" s="0"/>
      <c r="MNP124" s="0"/>
      <c r="MNQ124" s="0"/>
      <c r="MNR124" s="0"/>
      <c r="MNS124" s="0"/>
      <c r="MNT124" s="0"/>
      <c r="MNU124" s="0"/>
      <c r="MNV124" s="0"/>
      <c r="MNW124" s="0"/>
      <c r="MNX124" s="0"/>
      <c r="MNY124" s="0"/>
      <c r="MNZ124" s="0"/>
      <c r="MOA124" s="0"/>
      <c r="MOB124" s="0"/>
      <c r="MOC124" s="0"/>
      <c r="MOD124" s="0"/>
      <c r="MOE124" s="0"/>
      <c r="MOF124" s="0"/>
      <c r="MOG124" s="0"/>
      <c r="MOH124" s="0"/>
      <c r="MOI124" s="0"/>
      <c r="MOJ124" s="0"/>
      <c r="MOK124" s="0"/>
      <c r="MOL124" s="0"/>
      <c r="MOM124" s="0"/>
      <c r="MON124" s="0"/>
      <c r="MOO124" s="0"/>
      <c r="MOP124" s="0"/>
      <c r="MOQ124" s="0"/>
      <c r="MOR124" s="0"/>
      <c r="MOS124" s="0"/>
      <c r="MOT124" s="0"/>
      <c r="MOU124" s="0"/>
      <c r="MOV124" s="0"/>
      <c r="MOW124" s="0"/>
      <c r="MOX124" s="0"/>
      <c r="MOY124" s="0"/>
      <c r="MOZ124" s="0"/>
      <c r="MPA124" s="0"/>
      <c r="MPB124" s="0"/>
      <c r="MPC124" s="0"/>
      <c r="MPD124" s="0"/>
      <c r="MPE124" s="0"/>
      <c r="MPF124" s="0"/>
      <c r="MPG124" s="0"/>
      <c r="MPH124" s="0"/>
      <c r="MPI124" s="0"/>
      <c r="MPJ124" s="0"/>
      <c r="MPK124" s="0"/>
      <c r="MPL124" s="0"/>
      <c r="MPM124" s="0"/>
      <c r="MPN124" s="0"/>
      <c r="MPO124" s="0"/>
      <c r="MPP124" s="0"/>
      <c r="MPQ124" s="0"/>
      <c r="MPR124" s="0"/>
      <c r="MPS124" s="0"/>
      <c r="MPT124" s="0"/>
      <c r="MPU124" s="0"/>
      <c r="MPV124" s="0"/>
      <c r="MPW124" s="0"/>
      <c r="MPX124" s="0"/>
      <c r="MPY124" s="0"/>
      <c r="MPZ124" s="0"/>
      <c r="MQA124" s="0"/>
      <c r="MQB124" s="0"/>
      <c r="MQC124" s="0"/>
      <c r="MQD124" s="0"/>
      <c r="MQE124" s="0"/>
      <c r="MQF124" s="0"/>
      <c r="MQG124" s="0"/>
      <c r="MQH124" s="0"/>
      <c r="MQI124" s="0"/>
      <c r="MQJ124" s="0"/>
      <c r="MQK124" s="0"/>
      <c r="MQL124" s="0"/>
      <c r="MQM124" s="0"/>
      <c r="MQN124" s="0"/>
      <c r="MQO124" s="0"/>
      <c r="MQP124" s="0"/>
      <c r="MQQ124" s="0"/>
      <c r="MQR124" s="0"/>
      <c r="MQS124" s="0"/>
      <c r="MQT124" s="0"/>
      <c r="MQU124" s="0"/>
      <c r="MQV124" s="0"/>
      <c r="MQW124" s="0"/>
      <c r="MQX124" s="0"/>
      <c r="MQY124" s="0"/>
      <c r="MQZ124" s="0"/>
      <c r="MRA124" s="0"/>
      <c r="MRB124" s="0"/>
      <c r="MRC124" s="0"/>
      <c r="MRD124" s="0"/>
      <c r="MRE124" s="0"/>
      <c r="MRF124" s="0"/>
      <c r="MRG124" s="0"/>
      <c r="MRH124" s="0"/>
      <c r="MRI124" s="0"/>
      <c r="MRJ124" s="0"/>
      <c r="MRK124" s="0"/>
      <c r="MRL124" s="0"/>
      <c r="MRM124" s="0"/>
      <c r="MRN124" s="0"/>
      <c r="MRO124" s="0"/>
      <c r="MRP124" s="0"/>
      <c r="MRQ124" s="0"/>
      <c r="MRR124" s="0"/>
      <c r="MRS124" s="0"/>
      <c r="MRT124" s="0"/>
      <c r="MRU124" s="0"/>
      <c r="MRV124" s="0"/>
      <c r="MRW124" s="0"/>
      <c r="MRX124" s="0"/>
      <c r="MRY124" s="0"/>
      <c r="MRZ124" s="0"/>
      <c r="MSA124" s="0"/>
      <c r="MSB124" s="0"/>
      <c r="MSC124" s="0"/>
      <c r="MSD124" s="0"/>
      <c r="MSE124" s="0"/>
      <c r="MSF124" s="0"/>
      <c r="MSG124" s="0"/>
      <c r="MSH124" s="0"/>
      <c r="MSI124" s="0"/>
      <c r="MSJ124" s="0"/>
      <c r="MSK124" s="0"/>
      <c r="MSL124" s="0"/>
      <c r="MSM124" s="0"/>
      <c r="MSN124" s="0"/>
      <c r="MSO124" s="0"/>
      <c r="MSP124" s="0"/>
      <c r="MSQ124" s="0"/>
      <c r="MSR124" s="0"/>
      <c r="MSS124" s="0"/>
      <c r="MST124" s="0"/>
      <c r="MSU124" s="0"/>
      <c r="MSV124" s="0"/>
      <c r="MSW124" s="0"/>
      <c r="MSX124" s="0"/>
      <c r="MSY124" s="0"/>
      <c r="MSZ124" s="0"/>
      <c r="MTA124" s="0"/>
      <c r="MTB124" s="0"/>
      <c r="MTC124" s="0"/>
      <c r="MTD124" s="0"/>
      <c r="MTE124" s="0"/>
      <c r="MTF124" s="0"/>
      <c r="MTG124" s="0"/>
      <c r="MTH124" s="0"/>
      <c r="MTI124" s="0"/>
      <c r="MTJ124" s="0"/>
      <c r="MTK124" s="0"/>
      <c r="MTL124" s="0"/>
      <c r="MTM124" s="0"/>
      <c r="MTN124" s="0"/>
      <c r="MTO124" s="0"/>
      <c r="MTP124" s="0"/>
      <c r="MTQ124" s="0"/>
      <c r="MTR124" s="0"/>
      <c r="MTS124" s="0"/>
      <c r="MTT124" s="0"/>
      <c r="MTU124" s="0"/>
      <c r="MTV124" s="0"/>
      <c r="MTW124" s="0"/>
      <c r="MTX124" s="0"/>
      <c r="MTY124" s="0"/>
      <c r="MTZ124" s="0"/>
      <c r="MUA124" s="0"/>
      <c r="MUB124" s="0"/>
      <c r="MUC124" s="0"/>
      <c r="MUD124" s="0"/>
      <c r="MUE124" s="0"/>
      <c r="MUF124" s="0"/>
      <c r="MUG124" s="0"/>
      <c r="MUH124" s="0"/>
      <c r="MUI124" s="0"/>
      <c r="MUJ124" s="0"/>
      <c r="MUK124" s="0"/>
      <c r="MUL124" s="0"/>
      <c r="MUM124" s="0"/>
      <c r="MUN124" s="0"/>
      <c r="MUO124" s="0"/>
      <c r="MUP124" s="0"/>
      <c r="MUQ124" s="0"/>
      <c r="MUR124" s="0"/>
      <c r="MUS124" s="0"/>
      <c r="MUT124" s="0"/>
      <c r="MUU124" s="0"/>
      <c r="MUV124" s="0"/>
      <c r="MUW124" s="0"/>
      <c r="MUX124" s="0"/>
      <c r="MUY124" s="0"/>
      <c r="MUZ124" s="0"/>
      <c r="MVA124" s="0"/>
      <c r="MVB124" s="0"/>
      <c r="MVC124" s="0"/>
      <c r="MVD124" s="0"/>
      <c r="MVE124" s="0"/>
      <c r="MVF124" s="0"/>
      <c r="MVG124" s="0"/>
      <c r="MVH124" s="0"/>
      <c r="MVI124" s="0"/>
      <c r="MVJ124" s="0"/>
      <c r="MVK124" s="0"/>
      <c r="MVL124" s="0"/>
      <c r="MVM124" s="0"/>
      <c r="MVN124" s="0"/>
      <c r="MVO124" s="0"/>
      <c r="MVP124" s="0"/>
      <c r="MVQ124" s="0"/>
      <c r="MVR124" s="0"/>
      <c r="MVS124" s="0"/>
      <c r="MVT124" s="0"/>
      <c r="MVU124" s="0"/>
      <c r="MVV124" s="0"/>
      <c r="MVW124" s="0"/>
      <c r="MVX124" s="0"/>
      <c r="MVY124" s="0"/>
      <c r="MVZ124" s="0"/>
      <c r="MWA124" s="0"/>
      <c r="MWB124" s="0"/>
      <c r="MWC124" s="0"/>
      <c r="MWD124" s="0"/>
      <c r="MWE124" s="0"/>
      <c r="MWF124" s="0"/>
      <c r="MWG124" s="0"/>
      <c r="MWH124" s="0"/>
      <c r="MWI124" s="0"/>
      <c r="MWJ124" s="0"/>
      <c r="MWK124" s="0"/>
      <c r="MWL124" s="0"/>
      <c r="MWM124" s="0"/>
      <c r="MWN124" s="0"/>
      <c r="MWO124" s="0"/>
      <c r="MWP124" s="0"/>
      <c r="MWQ124" s="0"/>
      <c r="MWR124" s="0"/>
      <c r="MWS124" s="0"/>
      <c r="MWT124" s="0"/>
      <c r="MWU124" s="0"/>
      <c r="MWV124" s="0"/>
      <c r="MWW124" s="0"/>
      <c r="MWX124" s="0"/>
      <c r="MWY124" s="0"/>
      <c r="MWZ124" s="0"/>
      <c r="MXA124" s="0"/>
      <c r="MXB124" s="0"/>
      <c r="MXC124" s="0"/>
      <c r="MXD124" s="0"/>
      <c r="MXE124" s="0"/>
      <c r="MXF124" s="0"/>
      <c r="MXG124" s="0"/>
      <c r="MXH124" s="0"/>
      <c r="MXI124" s="0"/>
      <c r="MXJ124" s="0"/>
      <c r="MXK124" s="0"/>
      <c r="MXL124" s="0"/>
      <c r="MXM124" s="0"/>
      <c r="MXN124" s="0"/>
      <c r="MXO124" s="0"/>
      <c r="MXP124" s="0"/>
      <c r="MXQ124" s="0"/>
      <c r="MXR124" s="0"/>
      <c r="MXS124" s="0"/>
      <c r="MXT124" s="0"/>
      <c r="MXU124" s="0"/>
      <c r="MXV124" s="0"/>
      <c r="MXW124" s="0"/>
      <c r="MXX124" s="0"/>
      <c r="MXY124" s="0"/>
      <c r="MXZ124" s="0"/>
      <c r="MYA124" s="0"/>
      <c r="MYB124" s="0"/>
      <c r="MYC124" s="0"/>
      <c r="MYD124" s="0"/>
      <c r="MYE124" s="0"/>
      <c r="MYF124" s="0"/>
      <c r="MYG124" s="0"/>
      <c r="MYH124" s="0"/>
      <c r="MYI124" s="0"/>
      <c r="MYJ124" s="0"/>
      <c r="MYK124" s="0"/>
      <c r="MYL124" s="0"/>
      <c r="MYM124" s="0"/>
      <c r="MYN124" s="0"/>
      <c r="MYO124" s="0"/>
      <c r="MYP124" s="0"/>
      <c r="MYQ124" s="0"/>
      <c r="MYR124" s="0"/>
      <c r="MYS124" s="0"/>
      <c r="MYT124" s="0"/>
      <c r="MYU124" s="0"/>
      <c r="MYV124" s="0"/>
      <c r="MYW124" s="0"/>
      <c r="MYX124" s="0"/>
      <c r="MYY124" s="0"/>
      <c r="MYZ124" s="0"/>
      <c r="MZA124" s="0"/>
      <c r="MZB124" s="0"/>
      <c r="MZC124" s="0"/>
      <c r="MZD124" s="0"/>
      <c r="MZE124" s="0"/>
      <c r="MZF124" s="0"/>
      <c r="MZG124" s="0"/>
      <c r="MZH124" s="0"/>
      <c r="MZI124" s="0"/>
      <c r="MZJ124" s="0"/>
      <c r="MZK124" s="0"/>
      <c r="MZL124" s="0"/>
      <c r="MZM124" s="0"/>
      <c r="MZN124" s="0"/>
      <c r="MZO124" s="0"/>
      <c r="MZP124" s="0"/>
      <c r="MZQ124" s="0"/>
      <c r="MZR124" s="0"/>
      <c r="MZS124" s="0"/>
      <c r="MZT124" s="0"/>
      <c r="MZU124" s="0"/>
      <c r="MZV124" s="0"/>
      <c r="MZW124" s="0"/>
      <c r="MZX124" s="0"/>
      <c r="MZY124" s="0"/>
      <c r="MZZ124" s="0"/>
      <c r="NAA124" s="0"/>
      <c r="NAB124" s="0"/>
      <c r="NAC124" s="0"/>
      <c r="NAD124" s="0"/>
      <c r="NAE124" s="0"/>
      <c r="NAF124" s="0"/>
      <c r="NAG124" s="0"/>
      <c r="NAH124" s="0"/>
      <c r="NAI124" s="0"/>
      <c r="NAJ124" s="0"/>
      <c r="NAK124" s="0"/>
      <c r="NAL124" s="0"/>
      <c r="NAM124" s="0"/>
      <c r="NAN124" s="0"/>
      <c r="NAO124" s="0"/>
      <c r="NAP124" s="0"/>
      <c r="NAQ124" s="0"/>
      <c r="NAR124" s="0"/>
      <c r="NAS124" s="0"/>
      <c r="NAT124" s="0"/>
      <c r="NAU124" s="0"/>
      <c r="NAV124" s="0"/>
      <c r="NAW124" s="0"/>
      <c r="NAX124" s="0"/>
      <c r="NAY124" s="0"/>
      <c r="NAZ124" s="0"/>
      <c r="NBA124" s="0"/>
      <c r="NBB124" s="0"/>
      <c r="NBC124" s="0"/>
      <c r="NBD124" s="0"/>
      <c r="NBE124" s="0"/>
      <c r="NBF124" s="0"/>
      <c r="NBG124" s="0"/>
      <c r="NBH124" s="0"/>
      <c r="NBI124" s="0"/>
      <c r="NBJ124" s="0"/>
      <c r="NBK124" s="0"/>
      <c r="NBL124" s="0"/>
      <c r="NBM124" s="0"/>
      <c r="NBN124" s="0"/>
      <c r="NBO124" s="0"/>
      <c r="NBP124" s="0"/>
      <c r="NBQ124" s="0"/>
      <c r="NBR124" s="0"/>
      <c r="NBS124" s="0"/>
      <c r="NBT124" s="0"/>
      <c r="NBU124" s="0"/>
      <c r="NBV124" s="0"/>
      <c r="NBW124" s="0"/>
      <c r="NBX124" s="0"/>
      <c r="NBY124" s="0"/>
      <c r="NBZ124" s="0"/>
      <c r="NCA124" s="0"/>
      <c r="NCB124" s="0"/>
      <c r="NCC124" s="0"/>
      <c r="NCD124" s="0"/>
      <c r="NCE124" s="0"/>
      <c r="NCF124" s="0"/>
      <c r="NCG124" s="0"/>
      <c r="NCH124" s="0"/>
      <c r="NCI124" s="0"/>
      <c r="NCJ124" s="0"/>
      <c r="NCK124" s="0"/>
      <c r="NCL124" s="0"/>
      <c r="NCM124" s="0"/>
      <c r="NCN124" s="0"/>
      <c r="NCO124" s="0"/>
      <c r="NCP124" s="0"/>
      <c r="NCQ124" s="0"/>
      <c r="NCR124" s="0"/>
      <c r="NCS124" s="0"/>
      <c r="NCT124" s="0"/>
      <c r="NCU124" s="0"/>
      <c r="NCV124" s="0"/>
      <c r="NCW124" s="0"/>
      <c r="NCX124" s="0"/>
      <c r="NCY124" s="0"/>
      <c r="NCZ124" s="0"/>
      <c r="NDA124" s="0"/>
      <c r="NDB124" s="0"/>
      <c r="NDC124" s="0"/>
      <c r="NDD124" s="0"/>
      <c r="NDE124" s="0"/>
      <c r="NDF124" s="0"/>
      <c r="NDG124" s="0"/>
      <c r="NDH124" s="0"/>
      <c r="NDI124" s="0"/>
      <c r="NDJ124" s="0"/>
      <c r="NDK124" s="0"/>
      <c r="NDL124" s="0"/>
      <c r="NDM124" s="0"/>
      <c r="NDN124" s="0"/>
      <c r="NDO124" s="0"/>
      <c r="NDP124" s="0"/>
      <c r="NDQ124" s="0"/>
      <c r="NDR124" s="0"/>
      <c r="NDS124" s="0"/>
      <c r="NDT124" s="0"/>
      <c r="NDU124" s="0"/>
      <c r="NDV124" s="0"/>
      <c r="NDW124" s="0"/>
      <c r="NDX124" s="0"/>
      <c r="NDY124" s="0"/>
      <c r="NDZ124" s="0"/>
      <c r="NEA124" s="0"/>
      <c r="NEB124" s="0"/>
      <c r="NEC124" s="0"/>
      <c r="NED124" s="0"/>
      <c r="NEE124" s="0"/>
      <c r="NEF124" s="0"/>
      <c r="NEG124" s="0"/>
      <c r="NEH124" s="0"/>
      <c r="NEI124" s="0"/>
      <c r="NEJ124" s="0"/>
      <c r="NEK124" s="0"/>
      <c r="NEL124" s="0"/>
      <c r="NEM124" s="0"/>
      <c r="NEN124" s="0"/>
      <c r="NEO124" s="0"/>
      <c r="NEP124" s="0"/>
      <c r="NEQ124" s="0"/>
      <c r="NER124" s="0"/>
      <c r="NES124" s="0"/>
      <c r="NET124" s="0"/>
      <c r="NEU124" s="0"/>
      <c r="NEV124" s="0"/>
      <c r="NEW124" s="0"/>
      <c r="NEX124" s="0"/>
      <c r="NEY124" s="0"/>
      <c r="NEZ124" s="0"/>
      <c r="NFA124" s="0"/>
      <c r="NFB124" s="0"/>
      <c r="NFC124" s="0"/>
      <c r="NFD124" s="0"/>
      <c r="NFE124" s="0"/>
      <c r="NFF124" s="0"/>
      <c r="NFG124" s="0"/>
      <c r="NFH124" s="0"/>
      <c r="NFI124" s="0"/>
      <c r="NFJ124" s="0"/>
      <c r="NFK124" s="0"/>
      <c r="NFL124" s="0"/>
      <c r="NFM124" s="0"/>
      <c r="NFN124" s="0"/>
      <c r="NFO124" s="0"/>
      <c r="NFP124" s="0"/>
      <c r="NFQ124" s="0"/>
      <c r="NFR124" s="0"/>
      <c r="NFS124" s="0"/>
      <c r="NFT124" s="0"/>
      <c r="NFU124" s="0"/>
      <c r="NFV124" s="0"/>
      <c r="NFW124" s="0"/>
      <c r="NFX124" s="0"/>
      <c r="NFY124" s="0"/>
      <c r="NFZ124" s="0"/>
      <c r="NGA124" s="0"/>
      <c r="NGB124" s="0"/>
      <c r="NGC124" s="0"/>
      <c r="NGD124" s="0"/>
      <c r="NGE124" s="0"/>
      <c r="NGF124" s="0"/>
      <c r="NGG124" s="0"/>
      <c r="NGH124" s="0"/>
      <c r="NGI124" s="0"/>
      <c r="NGJ124" s="0"/>
      <c r="NGK124" s="0"/>
      <c r="NGL124" s="0"/>
      <c r="NGM124" s="0"/>
      <c r="NGN124" s="0"/>
      <c r="NGO124" s="0"/>
      <c r="NGP124" s="0"/>
      <c r="NGQ124" s="0"/>
      <c r="NGR124" s="0"/>
      <c r="NGS124" s="0"/>
      <c r="NGT124" s="0"/>
      <c r="NGU124" s="0"/>
      <c r="NGV124" s="0"/>
      <c r="NGW124" s="0"/>
      <c r="NGX124" s="0"/>
      <c r="NGY124" s="0"/>
      <c r="NGZ124" s="0"/>
      <c r="NHA124" s="0"/>
      <c r="NHB124" s="0"/>
      <c r="NHC124" s="0"/>
      <c r="NHD124" s="0"/>
      <c r="NHE124" s="0"/>
      <c r="NHF124" s="0"/>
      <c r="NHG124" s="0"/>
      <c r="NHH124" s="0"/>
      <c r="NHI124" s="0"/>
      <c r="NHJ124" s="0"/>
      <c r="NHK124" s="0"/>
      <c r="NHL124" s="0"/>
      <c r="NHM124" s="0"/>
      <c r="NHN124" s="0"/>
      <c r="NHO124" s="0"/>
      <c r="NHP124" s="0"/>
      <c r="NHQ124" s="0"/>
      <c r="NHR124" s="0"/>
      <c r="NHS124" s="0"/>
      <c r="NHT124" s="0"/>
      <c r="NHU124" s="0"/>
      <c r="NHV124" s="0"/>
      <c r="NHW124" s="0"/>
      <c r="NHX124" s="0"/>
      <c r="NHY124" s="0"/>
      <c r="NHZ124" s="0"/>
      <c r="NIA124" s="0"/>
      <c r="NIB124" s="0"/>
      <c r="NIC124" s="0"/>
      <c r="NID124" s="0"/>
      <c r="NIE124" s="0"/>
      <c r="NIF124" s="0"/>
      <c r="NIG124" s="0"/>
      <c r="NIH124" s="0"/>
      <c r="NII124" s="0"/>
      <c r="NIJ124" s="0"/>
      <c r="NIK124" s="0"/>
      <c r="NIL124" s="0"/>
      <c r="NIM124" s="0"/>
      <c r="NIN124" s="0"/>
      <c r="NIO124" s="0"/>
      <c r="NIP124" s="0"/>
      <c r="NIQ124" s="0"/>
      <c r="NIR124" s="0"/>
      <c r="NIS124" s="0"/>
      <c r="NIT124" s="0"/>
      <c r="NIU124" s="0"/>
      <c r="NIV124" s="0"/>
      <c r="NIW124" s="0"/>
      <c r="NIX124" s="0"/>
      <c r="NIY124" s="0"/>
      <c r="NIZ124" s="0"/>
      <c r="NJA124" s="0"/>
      <c r="NJB124" s="0"/>
      <c r="NJC124" s="0"/>
      <c r="NJD124" s="0"/>
      <c r="NJE124" s="0"/>
      <c r="NJF124" s="0"/>
      <c r="NJG124" s="0"/>
      <c r="NJH124" s="0"/>
      <c r="NJI124" s="0"/>
      <c r="NJJ124" s="0"/>
      <c r="NJK124" s="0"/>
      <c r="NJL124" s="0"/>
      <c r="NJM124" s="0"/>
      <c r="NJN124" s="0"/>
      <c r="NJO124" s="0"/>
      <c r="NJP124" s="0"/>
      <c r="NJQ124" s="0"/>
      <c r="NJR124" s="0"/>
      <c r="NJS124" s="0"/>
      <c r="NJT124" s="0"/>
      <c r="NJU124" s="0"/>
      <c r="NJV124" s="0"/>
      <c r="NJW124" s="0"/>
      <c r="NJX124" s="0"/>
      <c r="NJY124" s="0"/>
      <c r="NJZ124" s="0"/>
      <c r="NKA124" s="0"/>
      <c r="NKB124" s="0"/>
      <c r="NKC124" s="0"/>
      <c r="NKD124" s="0"/>
      <c r="NKE124" s="0"/>
      <c r="NKF124" s="0"/>
      <c r="NKG124" s="0"/>
      <c r="NKH124" s="0"/>
      <c r="NKI124" s="0"/>
      <c r="NKJ124" s="0"/>
      <c r="NKK124" s="0"/>
      <c r="NKL124" s="0"/>
      <c r="NKM124" s="0"/>
      <c r="NKN124" s="0"/>
      <c r="NKO124" s="0"/>
      <c r="NKP124" s="0"/>
      <c r="NKQ124" s="0"/>
      <c r="NKR124" s="0"/>
      <c r="NKS124" s="0"/>
      <c r="NKT124" s="0"/>
      <c r="NKU124" s="0"/>
      <c r="NKV124" s="0"/>
      <c r="NKW124" s="0"/>
      <c r="NKX124" s="0"/>
      <c r="NKY124" s="0"/>
      <c r="NKZ124" s="0"/>
      <c r="NLA124" s="0"/>
      <c r="NLB124" s="0"/>
      <c r="NLC124" s="0"/>
      <c r="NLD124" s="0"/>
      <c r="NLE124" s="0"/>
      <c r="NLF124" s="0"/>
      <c r="NLG124" s="0"/>
      <c r="NLH124" s="0"/>
      <c r="NLI124" s="0"/>
      <c r="NLJ124" s="0"/>
      <c r="NLK124" s="0"/>
      <c r="NLL124" s="0"/>
      <c r="NLM124" s="0"/>
      <c r="NLN124" s="0"/>
      <c r="NLO124" s="0"/>
      <c r="NLP124" s="0"/>
      <c r="NLQ124" s="0"/>
      <c r="NLR124" s="0"/>
      <c r="NLS124" s="0"/>
      <c r="NLT124" s="0"/>
      <c r="NLU124" s="0"/>
      <c r="NLV124" s="0"/>
      <c r="NLW124" s="0"/>
      <c r="NLX124" s="0"/>
      <c r="NLY124" s="0"/>
      <c r="NLZ124" s="0"/>
      <c r="NMA124" s="0"/>
      <c r="NMB124" s="0"/>
      <c r="NMC124" s="0"/>
      <c r="NMD124" s="0"/>
      <c r="NME124" s="0"/>
      <c r="NMF124" s="0"/>
      <c r="NMG124" s="0"/>
      <c r="NMH124" s="0"/>
      <c r="NMI124" s="0"/>
      <c r="NMJ124" s="0"/>
      <c r="NMK124" s="0"/>
      <c r="NML124" s="0"/>
      <c r="NMM124" s="0"/>
      <c r="NMN124" s="0"/>
      <c r="NMO124" s="0"/>
      <c r="NMP124" s="0"/>
      <c r="NMQ124" s="0"/>
      <c r="NMR124" s="0"/>
      <c r="NMS124" s="0"/>
      <c r="NMT124" s="0"/>
      <c r="NMU124" s="0"/>
      <c r="NMV124" s="0"/>
      <c r="NMW124" s="0"/>
      <c r="NMX124" s="0"/>
      <c r="NMY124" s="0"/>
      <c r="NMZ124" s="0"/>
      <c r="NNA124" s="0"/>
      <c r="NNB124" s="0"/>
      <c r="NNC124" s="0"/>
      <c r="NND124" s="0"/>
      <c r="NNE124" s="0"/>
      <c r="NNF124" s="0"/>
      <c r="NNG124" s="0"/>
      <c r="NNH124" s="0"/>
      <c r="NNI124" s="0"/>
      <c r="NNJ124" s="0"/>
      <c r="NNK124" s="0"/>
      <c r="NNL124" s="0"/>
      <c r="NNM124" s="0"/>
      <c r="NNN124" s="0"/>
      <c r="NNO124" s="0"/>
      <c r="NNP124" s="0"/>
      <c r="NNQ124" s="0"/>
      <c r="NNR124" s="0"/>
      <c r="NNS124" s="0"/>
      <c r="NNT124" s="0"/>
      <c r="NNU124" s="0"/>
      <c r="NNV124" s="0"/>
      <c r="NNW124" s="0"/>
      <c r="NNX124" s="0"/>
      <c r="NNY124" s="0"/>
      <c r="NNZ124" s="0"/>
      <c r="NOA124" s="0"/>
      <c r="NOB124" s="0"/>
      <c r="NOC124" s="0"/>
      <c r="NOD124" s="0"/>
      <c r="NOE124" s="0"/>
      <c r="NOF124" s="0"/>
      <c r="NOG124" s="0"/>
      <c r="NOH124" s="0"/>
      <c r="NOI124" s="0"/>
      <c r="NOJ124" s="0"/>
      <c r="NOK124" s="0"/>
      <c r="NOL124" s="0"/>
      <c r="NOM124" s="0"/>
      <c r="NON124" s="0"/>
      <c r="NOO124" s="0"/>
      <c r="NOP124" s="0"/>
      <c r="NOQ124" s="0"/>
      <c r="NOR124" s="0"/>
      <c r="NOS124" s="0"/>
      <c r="NOT124" s="0"/>
      <c r="NOU124" s="0"/>
      <c r="NOV124" s="0"/>
      <c r="NOW124" s="0"/>
      <c r="NOX124" s="0"/>
      <c r="NOY124" s="0"/>
      <c r="NOZ124" s="0"/>
      <c r="NPA124" s="0"/>
      <c r="NPB124" s="0"/>
      <c r="NPC124" s="0"/>
      <c r="NPD124" s="0"/>
      <c r="NPE124" s="0"/>
      <c r="NPF124" s="0"/>
      <c r="NPG124" s="0"/>
      <c r="NPH124" s="0"/>
      <c r="NPI124" s="0"/>
      <c r="NPJ124" s="0"/>
      <c r="NPK124" s="0"/>
      <c r="NPL124" s="0"/>
      <c r="NPM124" s="0"/>
      <c r="NPN124" s="0"/>
      <c r="NPO124" s="0"/>
      <c r="NPP124" s="0"/>
      <c r="NPQ124" s="0"/>
      <c r="NPR124" s="0"/>
      <c r="NPS124" s="0"/>
      <c r="NPT124" s="0"/>
      <c r="NPU124" s="0"/>
      <c r="NPV124" s="0"/>
      <c r="NPW124" s="0"/>
      <c r="NPX124" s="0"/>
      <c r="NPY124" s="0"/>
      <c r="NPZ124" s="0"/>
      <c r="NQA124" s="0"/>
      <c r="NQB124" s="0"/>
      <c r="NQC124" s="0"/>
      <c r="NQD124" s="0"/>
      <c r="NQE124" s="0"/>
      <c r="NQF124" s="0"/>
      <c r="NQG124" s="0"/>
      <c r="NQH124" s="0"/>
      <c r="NQI124" s="0"/>
      <c r="NQJ124" s="0"/>
      <c r="NQK124" s="0"/>
      <c r="NQL124" s="0"/>
      <c r="NQM124" s="0"/>
      <c r="NQN124" s="0"/>
      <c r="NQO124" s="0"/>
      <c r="NQP124" s="0"/>
      <c r="NQQ124" s="0"/>
      <c r="NQR124" s="0"/>
      <c r="NQS124" s="0"/>
      <c r="NQT124" s="0"/>
      <c r="NQU124" s="0"/>
      <c r="NQV124" s="0"/>
      <c r="NQW124" s="0"/>
      <c r="NQX124" s="0"/>
      <c r="NQY124" s="0"/>
      <c r="NQZ124" s="0"/>
      <c r="NRA124" s="0"/>
      <c r="NRB124" s="0"/>
      <c r="NRC124" s="0"/>
      <c r="NRD124" s="0"/>
      <c r="NRE124" s="0"/>
      <c r="NRF124" s="0"/>
      <c r="NRG124" s="0"/>
      <c r="NRH124" s="0"/>
      <c r="NRI124" s="0"/>
      <c r="NRJ124" s="0"/>
      <c r="NRK124" s="0"/>
      <c r="NRL124" s="0"/>
      <c r="NRM124" s="0"/>
      <c r="NRN124" s="0"/>
      <c r="NRO124" s="0"/>
      <c r="NRP124" s="0"/>
      <c r="NRQ124" s="0"/>
      <c r="NRR124" s="0"/>
      <c r="NRS124" s="0"/>
      <c r="NRT124" s="0"/>
      <c r="NRU124" s="0"/>
      <c r="NRV124" s="0"/>
      <c r="NRW124" s="0"/>
      <c r="NRX124" s="0"/>
      <c r="NRY124" s="0"/>
      <c r="NRZ124" s="0"/>
      <c r="NSA124" s="0"/>
      <c r="NSB124" s="0"/>
      <c r="NSC124" s="0"/>
      <c r="NSD124" s="0"/>
      <c r="NSE124" s="0"/>
      <c r="NSF124" s="0"/>
      <c r="NSG124" s="0"/>
      <c r="NSH124" s="0"/>
      <c r="NSI124" s="0"/>
      <c r="NSJ124" s="0"/>
      <c r="NSK124" s="0"/>
      <c r="NSL124" s="0"/>
      <c r="NSM124" s="0"/>
      <c r="NSN124" s="0"/>
      <c r="NSO124" s="0"/>
      <c r="NSP124" s="0"/>
      <c r="NSQ124" s="0"/>
      <c r="NSR124" s="0"/>
      <c r="NSS124" s="0"/>
      <c r="NST124" s="0"/>
      <c r="NSU124" s="0"/>
      <c r="NSV124" s="0"/>
      <c r="NSW124" s="0"/>
      <c r="NSX124" s="0"/>
      <c r="NSY124" s="0"/>
      <c r="NSZ124" s="0"/>
      <c r="NTA124" s="0"/>
      <c r="NTB124" s="0"/>
      <c r="NTC124" s="0"/>
      <c r="NTD124" s="0"/>
      <c r="NTE124" s="0"/>
      <c r="NTF124" s="0"/>
      <c r="NTG124" s="0"/>
      <c r="NTH124" s="0"/>
      <c r="NTI124" s="0"/>
      <c r="NTJ124" s="0"/>
      <c r="NTK124" s="0"/>
      <c r="NTL124" s="0"/>
      <c r="NTM124" s="0"/>
      <c r="NTN124" s="0"/>
      <c r="NTO124" s="0"/>
      <c r="NTP124" s="0"/>
      <c r="NTQ124" s="0"/>
      <c r="NTR124" s="0"/>
      <c r="NTS124" s="0"/>
      <c r="NTT124" s="0"/>
      <c r="NTU124" s="0"/>
      <c r="NTV124" s="0"/>
      <c r="NTW124" s="0"/>
      <c r="NTX124" s="0"/>
      <c r="NTY124" s="0"/>
      <c r="NTZ124" s="0"/>
      <c r="NUA124" s="0"/>
      <c r="NUB124" s="0"/>
      <c r="NUC124" s="0"/>
      <c r="NUD124" s="0"/>
      <c r="NUE124" s="0"/>
      <c r="NUF124" s="0"/>
      <c r="NUG124" s="0"/>
      <c r="NUH124" s="0"/>
      <c r="NUI124" s="0"/>
      <c r="NUJ124" s="0"/>
      <c r="NUK124" s="0"/>
      <c r="NUL124" s="0"/>
      <c r="NUM124" s="0"/>
      <c r="NUN124" s="0"/>
      <c r="NUO124" s="0"/>
      <c r="NUP124" s="0"/>
      <c r="NUQ124" s="0"/>
      <c r="NUR124" s="0"/>
      <c r="NUS124" s="0"/>
      <c r="NUT124" s="0"/>
      <c r="NUU124" s="0"/>
      <c r="NUV124" s="0"/>
      <c r="NUW124" s="0"/>
      <c r="NUX124" s="0"/>
      <c r="NUY124" s="0"/>
      <c r="NUZ124" s="0"/>
      <c r="NVA124" s="0"/>
      <c r="NVB124" s="0"/>
      <c r="NVC124" s="0"/>
      <c r="NVD124" s="0"/>
      <c r="NVE124" s="0"/>
      <c r="NVF124" s="0"/>
      <c r="NVG124" s="0"/>
      <c r="NVH124" s="0"/>
      <c r="NVI124" s="0"/>
      <c r="NVJ124" s="0"/>
      <c r="NVK124" s="0"/>
      <c r="NVL124" s="0"/>
      <c r="NVM124" s="0"/>
      <c r="NVN124" s="0"/>
      <c r="NVO124" s="0"/>
      <c r="NVP124" s="0"/>
      <c r="NVQ124" s="0"/>
      <c r="NVR124" s="0"/>
      <c r="NVS124" s="0"/>
      <c r="NVT124" s="0"/>
      <c r="NVU124" s="0"/>
      <c r="NVV124" s="0"/>
      <c r="NVW124" s="0"/>
      <c r="NVX124" s="0"/>
      <c r="NVY124" s="0"/>
      <c r="NVZ124" s="0"/>
      <c r="NWA124" s="0"/>
      <c r="NWB124" s="0"/>
      <c r="NWC124" s="0"/>
      <c r="NWD124" s="0"/>
      <c r="NWE124" s="0"/>
      <c r="NWF124" s="0"/>
      <c r="NWG124" s="0"/>
      <c r="NWH124" s="0"/>
      <c r="NWI124" s="0"/>
      <c r="NWJ124" s="0"/>
      <c r="NWK124" s="0"/>
      <c r="NWL124" s="0"/>
      <c r="NWM124" s="0"/>
      <c r="NWN124" s="0"/>
      <c r="NWO124" s="0"/>
      <c r="NWP124" s="0"/>
      <c r="NWQ124" s="0"/>
      <c r="NWR124" s="0"/>
      <c r="NWS124" s="0"/>
      <c r="NWT124" s="0"/>
      <c r="NWU124" s="0"/>
      <c r="NWV124" s="0"/>
      <c r="NWW124" s="0"/>
      <c r="NWX124" s="0"/>
      <c r="NWY124" s="0"/>
      <c r="NWZ124" s="0"/>
      <c r="NXA124" s="0"/>
      <c r="NXB124" s="0"/>
      <c r="NXC124" s="0"/>
      <c r="NXD124" s="0"/>
      <c r="NXE124" s="0"/>
      <c r="NXF124" s="0"/>
      <c r="NXG124" s="0"/>
      <c r="NXH124" s="0"/>
      <c r="NXI124" s="0"/>
      <c r="NXJ124" s="0"/>
      <c r="NXK124" s="0"/>
      <c r="NXL124" s="0"/>
      <c r="NXM124" s="0"/>
      <c r="NXN124" s="0"/>
      <c r="NXO124" s="0"/>
      <c r="NXP124" s="0"/>
      <c r="NXQ124" s="0"/>
      <c r="NXR124" s="0"/>
      <c r="NXS124" s="0"/>
      <c r="NXT124" s="0"/>
      <c r="NXU124" s="0"/>
      <c r="NXV124" s="0"/>
      <c r="NXW124" s="0"/>
      <c r="NXX124" s="0"/>
      <c r="NXY124" s="0"/>
      <c r="NXZ124" s="0"/>
      <c r="NYA124" s="0"/>
      <c r="NYB124" s="0"/>
      <c r="NYC124" s="0"/>
      <c r="NYD124" s="0"/>
      <c r="NYE124" s="0"/>
      <c r="NYF124" s="0"/>
      <c r="NYG124" s="0"/>
      <c r="NYH124" s="0"/>
      <c r="NYI124" s="0"/>
      <c r="NYJ124" s="0"/>
      <c r="NYK124" s="0"/>
      <c r="NYL124" s="0"/>
      <c r="NYM124" s="0"/>
      <c r="NYN124" s="0"/>
      <c r="NYO124" s="0"/>
      <c r="NYP124" s="0"/>
      <c r="NYQ124" s="0"/>
      <c r="NYR124" s="0"/>
      <c r="NYS124" s="0"/>
      <c r="NYT124" s="0"/>
      <c r="NYU124" s="0"/>
      <c r="NYV124" s="0"/>
      <c r="NYW124" s="0"/>
      <c r="NYX124" s="0"/>
      <c r="NYY124" s="0"/>
      <c r="NYZ124" s="0"/>
      <c r="NZA124" s="0"/>
      <c r="NZB124" s="0"/>
      <c r="NZC124" s="0"/>
      <c r="NZD124" s="0"/>
      <c r="NZE124" s="0"/>
      <c r="NZF124" s="0"/>
      <c r="NZG124" s="0"/>
      <c r="NZH124" s="0"/>
      <c r="NZI124" s="0"/>
      <c r="NZJ124" s="0"/>
      <c r="NZK124" s="0"/>
      <c r="NZL124" s="0"/>
      <c r="NZM124" s="0"/>
      <c r="NZN124" s="0"/>
      <c r="NZO124" s="0"/>
      <c r="NZP124" s="0"/>
      <c r="NZQ124" s="0"/>
      <c r="NZR124" s="0"/>
      <c r="NZS124" s="0"/>
      <c r="NZT124" s="0"/>
      <c r="NZU124" s="0"/>
      <c r="NZV124" s="0"/>
      <c r="NZW124" s="0"/>
      <c r="NZX124" s="0"/>
      <c r="NZY124" s="0"/>
      <c r="NZZ124" s="0"/>
      <c r="OAA124" s="0"/>
      <c r="OAB124" s="0"/>
      <c r="OAC124" s="0"/>
      <c r="OAD124" s="0"/>
      <c r="OAE124" s="0"/>
      <c r="OAF124" s="0"/>
      <c r="OAG124" s="0"/>
      <c r="OAH124" s="0"/>
      <c r="OAI124" s="0"/>
      <c r="OAJ124" s="0"/>
      <c r="OAK124" s="0"/>
      <c r="OAL124" s="0"/>
      <c r="OAM124" s="0"/>
      <c r="OAN124" s="0"/>
      <c r="OAO124" s="0"/>
      <c r="OAP124" s="0"/>
      <c r="OAQ124" s="0"/>
      <c r="OAR124" s="0"/>
      <c r="OAS124" s="0"/>
      <c r="OAT124" s="0"/>
      <c r="OAU124" s="0"/>
      <c r="OAV124" s="0"/>
      <c r="OAW124" s="0"/>
      <c r="OAX124" s="0"/>
      <c r="OAY124" s="0"/>
      <c r="OAZ124" s="0"/>
      <c r="OBA124" s="0"/>
      <c r="OBB124" s="0"/>
      <c r="OBC124" s="0"/>
      <c r="OBD124" s="0"/>
      <c r="OBE124" s="0"/>
      <c r="OBF124" s="0"/>
      <c r="OBG124" s="0"/>
      <c r="OBH124" s="0"/>
      <c r="OBI124" s="0"/>
      <c r="OBJ124" s="0"/>
      <c r="OBK124" s="0"/>
      <c r="OBL124" s="0"/>
      <c r="OBM124" s="0"/>
      <c r="OBN124" s="0"/>
      <c r="OBO124" s="0"/>
      <c r="OBP124" s="0"/>
      <c r="OBQ124" s="0"/>
      <c r="OBR124" s="0"/>
      <c r="OBS124" s="0"/>
      <c r="OBT124" s="0"/>
      <c r="OBU124" s="0"/>
      <c r="OBV124" s="0"/>
      <c r="OBW124" s="0"/>
      <c r="OBX124" s="0"/>
      <c r="OBY124" s="0"/>
      <c r="OBZ124" s="0"/>
      <c r="OCA124" s="0"/>
      <c r="OCB124" s="0"/>
      <c r="OCC124" s="0"/>
      <c r="OCD124" s="0"/>
      <c r="OCE124" s="0"/>
      <c r="OCF124" s="0"/>
      <c r="OCG124" s="0"/>
      <c r="OCH124" s="0"/>
      <c r="OCI124" s="0"/>
      <c r="OCJ124" s="0"/>
      <c r="OCK124" s="0"/>
      <c r="OCL124" s="0"/>
      <c r="OCM124" s="0"/>
      <c r="OCN124" s="0"/>
      <c r="OCO124" s="0"/>
      <c r="OCP124" s="0"/>
      <c r="OCQ124" s="0"/>
      <c r="OCR124" s="0"/>
      <c r="OCS124" s="0"/>
      <c r="OCT124" s="0"/>
      <c r="OCU124" s="0"/>
      <c r="OCV124" s="0"/>
      <c r="OCW124" s="0"/>
      <c r="OCX124" s="0"/>
      <c r="OCY124" s="0"/>
      <c r="OCZ124" s="0"/>
      <c r="ODA124" s="0"/>
      <c r="ODB124" s="0"/>
      <c r="ODC124" s="0"/>
      <c r="ODD124" s="0"/>
      <c r="ODE124" s="0"/>
      <c r="ODF124" s="0"/>
      <c r="ODG124" s="0"/>
      <c r="ODH124" s="0"/>
      <c r="ODI124" s="0"/>
      <c r="ODJ124" s="0"/>
      <c r="ODK124" s="0"/>
      <c r="ODL124" s="0"/>
      <c r="ODM124" s="0"/>
      <c r="ODN124" s="0"/>
      <c r="ODO124" s="0"/>
      <c r="ODP124" s="0"/>
      <c r="ODQ124" s="0"/>
      <c r="ODR124" s="0"/>
      <c r="ODS124" s="0"/>
      <c r="ODT124" s="0"/>
      <c r="ODU124" s="0"/>
      <c r="ODV124" s="0"/>
      <c r="ODW124" s="0"/>
      <c r="ODX124" s="0"/>
      <c r="ODY124" s="0"/>
      <c r="ODZ124" s="0"/>
      <c r="OEA124" s="0"/>
      <c r="OEB124" s="0"/>
      <c r="OEC124" s="0"/>
      <c r="OED124" s="0"/>
      <c r="OEE124" s="0"/>
      <c r="OEF124" s="0"/>
      <c r="OEG124" s="0"/>
      <c r="OEH124" s="0"/>
      <c r="OEI124" s="0"/>
      <c r="OEJ124" s="0"/>
      <c r="OEK124" s="0"/>
      <c r="OEL124" s="0"/>
      <c r="OEM124" s="0"/>
      <c r="OEN124" s="0"/>
      <c r="OEO124" s="0"/>
      <c r="OEP124" s="0"/>
      <c r="OEQ124" s="0"/>
      <c r="OER124" s="0"/>
      <c r="OES124" s="0"/>
      <c r="OET124" s="0"/>
      <c r="OEU124" s="0"/>
      <c r="OEV124" s="0"/>
      <c r="OEW124" s="0"/>
      <c r="OEX124" s="0"/>
      <c r="OEY124" s="0"/>
      <c r="OEZ124" s="0"/>
      <c r="OFA124" s="0"/>
      <c r="OFB124" s="0"/>
      <c r="OFC124" s="0"/>
      <c r="OFD124" s="0"/>
      <c r="OFE124" s="0"/>
      <c r="OFF124" s="0"/>
      <c r="OFG124" s="0"/>
      <c r="OFH124" s="0"/>
      <c r="OFI124" s="0"/>
      <c r="OFJ124" s="0"/>
      <c r="OFK124" s="0"/>
      <c r="OFL124" s="0"/>
      <c r="OFM124" s="0"/>
      <c r="OFN124" s="0"/>
      <c r="OFO124" s="0"/>
      <c r="OFP124" s="0"/>
      <c r="OFQ124" s="0"/>
      <c r="OFR124" s="0"/>
      <c r="OFS124" s="0"/>
      <c r="OFT124" s="0"/>
      <c r="OFU124" s="0"/>
      <c r="OFV124" s="0"/>
      <c r="OFW124" s="0"/>
      <c r="OFX124" s="0"/>
      <c r="OFY124" s="0"/>
      <c r="OFZ124" s="0"/>
      <c r="OGA124" s="0"/>
      <c r="OGB124" s="0"/>
      <c r="OGC124" s="0"/>
      <c r="OGD124" s="0"/>
      <c r="OGE124" s="0"/>
      <c r="OGF124" s="0"/>
      <c r="OGG124" s="0"/>
      <c r="OGH124" s="0"/>
      <c r="OGI124" s="0"/>
      <c r="OGJ124" s="0"/>
      <c r="OGK124" s="0"/>
      <c r="OGL124" s="0"/>
      <c r="OGM124" s="0"/>
      <c r="OGN124" s="0"/>
      <c r="OGO124" s="0"/>
      <c r="OGP124" s="0"/>
      <c r="OGQ124" s="0"/>
      <c r="OGR124" s="0"/>
      <c r="OGS124" s="0"/>
      <c r="OGT124" s="0"/>
      <c r="OGU124" s="0"/>
      <c r="OGV124" s="0"/>
      <c r="OGW124" s="0"/>
      <c r="OGX124" s="0"/>
      <c r="OGY124" s="0"/>
      <c r="OGZ124" s="0"/>
      <c r="OHA124" s="0"/>
      <c r="OHB124" s="0"/>
      <c r="OHC124" s="0"/>
      <c r="OHD124" s="0"/>
      <c r="OHE124" s="0"/>
      <c r="OHF124" s="0"/>
      <c r="OHG124" s="0"/>
      <c r="OHH124" s="0"/>
      <c r="OHI124" s="0"/>
      <c r="OHJ124" s="0"/>
      <c r="OHK124" s="0"/>
      <c r="OHL124" s="0"/>
      <c r="OHM124" s="0"/>
      <c r="OHN124" s="0"/>
      <c r="OHO124" s="0"/>
      <c r="OHP124" s="0"/>
      <c r="OHQ124" s="0"/>
      <c r="OHR124" s="0"/>
      <c r="OHS124" s="0"/>
      <c r="OHT124" s="0"/>
      <c r="OHU124" s="0"/>
      <c r="OHV124" s="0"/>
      <c r="OHW124" s="0"/>
      <c r="OHX124" s="0"/>
      <c r="OHY124" s="0"/>
      <c r="OHZ124" s="0"/>
      <c r="OIA124" s="0"/>
      <c r="OIB124" s="0"/>
      <c r="OIC124" s="0"/>
      <c r="OID124" s="0"/>
      <c r="OIE124" s="0"/>
      <c r="OIF124" s="0"/>
      <c r="OIG124" s="0"/>
      <c r="OIH124" s="0"/>
      <c r="OII124" s="0"/>
      <c r="OIJ124" s="0"/>
      <c r="OIK124" s="0"/>
      <c r="OIL124" s="0"/>
      <c r="OIM124" s="0"/>
      <c r="OIN124" s="0"/>
      <c r="OIO124" s="0"/>
      <c r="OIP124" s="0"/>
      <c r="OIQ124" s="0"/>
      <c r="OIR124" s="0"/>
      <c r="OIS124" s="0"/>
      <c r="OIT124" s="0"/>
      <c r="OIU124" s="0"/>
      <c r="OIV124" s="0"/>
      <c r="OIW124" s="0"/>
      <c r="OIX124" s="0"/>
      <c r="OIY124" s="0"/>
      <c r="OIZ124" s="0"/>
      <c r="OJA124" s="0"/>
      <c r="OJB124" s="0"/>
      <c r="OJC124" s="0"/>
      <c r="OJD124" s="0"/>
      <c r="OJE124" s="0"/>
      <c r="OJF124" s="0"/>
      <c r="OJG124" s="0"/>
      <c r="OJH124" s="0"/>
      <c r="OJI124" s="0"/>
      <c r="OJJ124" s="0"/>
      <c r="OJK124" s="0"/>
      <c r="OJL124" s="0"/>
      <c r="OJM124" s="0"/>
      <c r="OJN124" s="0"/>
      <c r="OJO124" s="0"/>
      <c r="OJP124" s="0"/>
      <c r="OJQ124" s="0"/>
      <c r="OJR124" s="0"/>
      <c r="OJS124" s="0"/>
      <c r="OJT124" s="0"/>
      <c r="OJU124" s="0"/>
      <c r="OJV124" s="0"/>
      <c r="OJW124" s="0"/>
      <c r="OJX124" s="0"/>
      <c r="OJY124" s="0"/>
      <c r="OJZ124" s="0"/>
      <c r="OKA124" s="0"/>
      <c r="OKB124" s="0"/>
      <c r="OKC124" s="0"/>
      <c r="OKD124" s="0"/>
      <c r="OKE124" s="0"/>
      <c r="OKF124" s="0"/>
      <c r="OKG124" s="0"/>
      <c r="OKH124" s="0"/>
      <c r="OKI124" s="0"/>
      <c r="OKJ124" s="0"/>
      <c r="OKK124" s="0"/>
      <c r="OKL124" s="0"/>
      <c r="OKM124" s="0"/>
      <c r="OKN124" s="0"/>
      <c r="OKO124" s="0"/>
      <c r="OKP124" s="0"/>
      <c r="OKQ124" s="0"/>
      <c r="OKR124" s="0"/>
      <c r="OKS124" s="0"/>
      <c r="OKT124" s="0"/>
      <c r="OKU124" s="0"/>
      <c r="OKV124" s="0"/>
      <c r="OKW124" s="0"/>
      <c r="OKX124" s="0"/>
      <c r="OKY124" s="0"/>
      <c r="OKZ124" s="0"/>
      <c r="OLA124" s="0"/>
      <c r="OLB124" s="0"/>
      <c r="OLC124" s="0"/>
      <c r="OLD124" s="0"/>
      <c r="OLE124" s="0"/>
      <c r="OLF124" s="0"/>
      <c r="OLG124" s="0"/>
      <c r="OLH124" s="0"/>
      <c r="OLI124" s="0"/>
      <c r="OLJ124" s="0"/>
      <c r="OLK124" s="0"/>
      <c r="OLL124" s="0"/>
      <c r="OLM124" s="0"/>
      <c r="OLN124" s="0"/>
      <c r="OLO124" s="0"/>
      <c r="OLP124" s="0"/>
      <c r="OLQ124" s="0"/>
      <c r="OLR124" s="0"/>
      <c r="OLS124" s="0"/>
      <c r="OLT124" s="0"/>
      <c r="OLU124" s="0"/>
      <c r="OLV124" s="0"/>
      <c r="OLW124" s="0"/>
      <c r="OLX124" s="0"/>
      <c r="OLY124" s="0"/>
      <c r="OLZ124" s="0"/>
      <c r="OMA124" s="0"/>
      <c r="OMB124" s="0"/>
      <c r="OMC124" s="0"/>
      <c r="OMD124" s="0"/>
      <c r="OME124" s="0"/>
      <c r="OMF124" s="0"/>
      <c r="OMG124" s="0"/>
      <c r="OMH124" s="0"/>
      <c r="OMI124" s="0"/>
      <c r="OMJ124" s="0"/>
      <c r="OMK124" s="0"/>
      <c r="OML124" s="0"/>
      <c r="OMM124" s="0"/>
      <c r="OMN124" s="0"/>
      <c r="OMO124" s="0"/>
      <c r="OMP124" s="0"/>
      <c r="OMQ124" s="0"/>
      <c r="OMR124" s="0"/>
      <c r="OMS124" s="0"/>
      <c r="OMT124" s="0"/>
      <c r="OMU124" s="0"/>
      <c r="OMV124" s="0"/>
      <c r="OMW124" s="0"/>
      <c r="OMX124" s="0"/>
      <c r="OMY124" s="0"/>
      <c r="OMZ124" s="0"/>
      <c r="ONA124" s="0"/>
      <c r="ONB124" s="0"/>
      <c r="ONC124" s="0"/>
      <c r="OND124" s="0"/>
      <c r="ONE124" s="0"/>
      <c r="ONF124" s="0"/>
      <c r="ONG124" s="0"/>
      <c r="ONH124" s="0"/>
      <c r="ONI124" s="0"/>
      <c r="ONJ124" s="0"/>
      <c r="ONK124" s="0"/>
      <c r="ONL124" s="0"/>
      <c r="ONM124" s="0"/>
      <c r="ONN124" s="0"/>
      <c r="ONO124" s="0"/>
      <c r="ONP124" s="0"/>
      <c r="ONQ124" s="0"/>
      <c r="ONR124" s="0"/>
      <c r="ONS124" s="0"/>
      <c r="ONT124" s="0"/>
      <c r="ONU124" s="0"/>
      <c r="ONV124" s="0"/>
      <c r="ONW124" s="0"/>
      <c r="ONX124" s="0"/>
      <c r="ONY124" s="0"/>
      <c r="ONZ124" s="0"/>
      <c r="OOA124" s="0"/>
      <c r="OOB124" s="0"/>
      <c r="OOC124" s="0"/>
      <c r="OOD124" s="0"/>
      <c r="OOE124" s="0"/>
      <c r="OOF124" s="0"/>
      <c r="OOG124" s="0"/>
      <c r="OOH124" s="0"/>
      <c r="OOI124" s="0"/>
      <c r="OOJ124" s="0"/>
      <c r="OOK124" s="0"/>
      <c r="OOL124" s="0"/>
      <c r="OOM124" s="0"/>
      <c r="OON124" s="0"/>
      <c r="OOO124" s="0"/>
      <c r="OOP124" s="0"/>
      <c r="OOQ124" s="0"/>
      <c r="OOR124" s="0"/>
      <c r="OOS124" s="0"/>
      <c r="OOT124" s="0"/>
      <c r="OOU124" s="0"/>
      <c r="OOV124" s="0"/>
      <c r="OOW124" s="0"/>
      <c r="OOX124" s="0"/>
      <c r="OOY124" s="0"/>
      <c r="OOZ124" s="0"/>
      <c r="OPA124" s="0"/>
      <c r="OPB124" s="0"/>
      <c r="OPC124" s="0"/>
      <c r="OPD124" s="0"/>
      <c r="OPE124" s="0"/>
      <c r="OPF124" s="0"/>
      <c r="OPG124" s="0"/>
      <c r="OPH124" s="0"/>
      <c r="OPI124" s="0"/>
      <c r="OPJ124" s="0"/>
      <c r="OPK124" s="0"/>
      <c r="OPL124" s="0"/>
      <c r="OPM124" s="0"/>
      <c r="OPN124" s="0"/>
      <c r="OPO124" s="0"/>
      <c r="OPP124" s="0"/>
      <c r="OPQ124" s="0"/>
      <c r="OPR124" s="0"/>
      <c r="OPS124" s="0"/>
      <c r="OPT124" s="0"/>
      <c r="OPU124" s="0"/>
      <c r="OPV124" s="0"/>
      <c r="OPW124" s="0"/>
      <c r="OPX124" s="0"/>
      <c r="OPY124" s="0"/>
      <c r="OPZ124" s="0"/>
      <c r="OQA124" s="0"/>
      <c r="OQB124" s="0"/>
      <c r="OQC124" s="0"/>
      <c r="OQD124" s="0"/>
      <c r="OQE124" s="0"/>
      <c r="OQF124" s="0"/>
      <c r="OQG124" s="0"/>
      <c r="OQH124" s="0"/>
      <c r="OQI124" s="0"/>
      <c r="OQJ124" s="0"/>
      <c r="OQK124" s="0"/>
      <c r="OQL124" s="0"/>
      <c r="OQM124" s="0"/>
      <c r="OQN124" s="0"/>
      <c r="OQO124" s="0"/>
      <c r="OQP124" s="0"/>
      <c r="OQQ124" s="0"/>
      <c r="OQR124" s="0"/>
      <c r="OQS124" s="0"/>
      <c r="OQT124" s="0"/>
      <c r="OQU124" s="0"/>
      <c r="OQV124" s="0"/>
      <c r="OQW124" s="0"/>
      <c r="OQX124" s="0"/>
      <c r="OQY124" s="0"/>
      <c r="OQZ124" s="0"/>
      <c r="ORA124" s="0"/>
      <c r="ORB124" s="0"/>
      <c r="ORC124" s="0"/>
      <c r="ORD124" s="0"/>
      <c r="ORE124" s="0"/>
      <c r="ORF124" s="0"/>
      <c r="ORG124" s="0"/>
      <c r="ORH124" s="0"/>
      <c r="ORI124" s="0"/>
      <c r="ORJ124" s="0"/>
      <c r="ORK124" s="0"/>
      <c r="ORL124" s="0"/>
      <c r="ORM124" s="0"/>
      <c r="ORN124" s="0"/>
      <c r="ORO124" s="0"/>
      <c r="ORP124" s="0"/>
      <c r="ORQ124" s="0"/>
      <c r="ORR124" s="0"/>
      <c r="ORS124" s="0"/>
      <c r="ORT124" s="0"/>
      <c r="ORU124" s="0"/>
      <c r="ORV124" s="0"/>
      <c r="ORW124" s="0"/>
      <c r="ORX124" s="0"/>
      <c r="ORY124" s="0"/>
      <c r="ORZ124" s="0"/>
      <c r="OSA124" s="0"/>
      <c r="OSB124" s="0"/>
      <c r="OSC124" s="0"/>
      <c r="OSD124" s="0"/>
      <c r="OSE124" s="0"/>
      <c r="OSF124" s="0"/>
      <c r="OSG124" s="0"/>
      <c r="OSH124" s="0"/>
      <c r="OSI124" s="0"/>
      <c r="OSJ124" s="0"/>
      <c r="OSK124" s="0"/>
      <c r="OSL124" s="0"/>
      <c r="OSM124" s="0"/>
      <c r="OSN124" s="0"/>
      <c r="OSO124" s="0"/>
      <c r="OSP124" s="0"/>
      <c r="OSQ124" s="0"/>
      <c r="OSR124" s="0"/>
      <c r="OSS124" s="0"/>
      <c r="OST124" s="0"/>
      <c r="OSU124" s="0"/>
      <c r="OSV124" s="0"/>
      <c r="OSW124" s="0"/>
      <c r="OSX124" s="0"/>
      <c r="OSY124" s="0"/>
      <c r="OSZ124" s="0"/>
      <c r="OTA124" s="0"/>
      <c r="OTB124" s="0"/>
      <c r="OTC124" s="0"/>
      <c r="OTD124" s="0"/>
      <c r="OTE124" s="0"/>
      <c r="OTF124" s="0"/>
      <c r="OTG124" s="0"/>
      <c r="OTH124" s="0"/>
      <c r="OTI124" s="0"/>
      <c r="OTJ124" s="0"/>
      <c r="OTK124" s="0"/>
      <c r="OTL124" s="0"/>
      <c r="OTM124" s="0"/>
      <c r="OTN124" s="0"/>
      <c r="OTO124" s="0"/>
      <c r="OTP124" s="0"/>
      <c r="OTQ124" s="0"/>
      <c r="OTR124" s="0"/>
      <c r="OTS124" s="0"/>
      <c r="OTT124" s="0"/>
      <c r="OTU124" s="0"/>
      <c r="OTV124" s="0"/>
      <c r="OTW124" s="0"/>
      <c r="OTX124" s="0"/>
      <c r="OTY124" s="0"/>
      <c r="OTZ124" s="0"/>
      <c r="OUA124" s="0"/>
      <c r="OUB124" s="0"/>
      <c r="OUC124" s="0"/>
      <c r="OUD124" s="0"/>
      <c r="OUE124" s="0"/>
      <c r="OUF124" s="0"/>
      <c r="OUG124" s="0"/>
      <c r="OUH124" s="0"/>
      <c r="OUI124" s="0"/>
      <c r="OUJ124" s="0"/>
      <c r="OUK124" s="0"/>
      <c r="OUL124" s="0"/>
      <c r="OUM124" s="0"/>
      <c r="OUN124" s="0"/>
      <c r="OUO124" s="0"/>
      <c r="OUP124" s="0"/>
      <c r="OUQ124" s="0"/>
      <c r="OUR124" s="0"/>
      <c r="OUS124" s="0"/>
      <c r="OUT124" s="0"/>
      <c r="OUU124" s="0"/>
      <c r="OUV124" s="0"/>
      <c r="OUW124" s="0"/>
      <c r="OUX124" s="0"/>
      <c r="OUY124" s="0"/>
      <c r="OUZ124" s="0"/>
      <c r="OVA124" s="0"/>
      <c r="OVB124" s="0"/>
      <c r="OVC124" s="0"/>
      <c r="OVD124" s="0"/>
      <c r="OVE124" s="0"/>
      <c r="OVF124" s="0"/>
      <c r="OVG124" s="0"/>
      <c r="OVH124" s="0"/>
      <c r="OVI124" s="0"/>
      <c r="OVJ124" s="0"/>
      <c r="OVK124" s="0"/>
      <c r="OVL124" s="0"/>
      <c r="OVM124" s="0"/>
      <c r="OVN124" s="0"/>
      <c r="OVO124" s="0"/>
      <c r="OVP124" s="0"/>
      <c r="OVQ124" s="0"/>
      <c r="OVR124" s="0"/>
      <c r="OVS124" s="0"/>
      <c r="OVT124" s="0"/>
      <c r="OVU124" s="0"/>
      <c r="OVV124" s="0"/>
      <c r="OVW124" s="0"/>
      <c r="OVX124" s="0"/>
      <c r="OVY124" s="0"/>
      <c r="OVZ124" s="0"/>
      <c r="OWA124" s="0"/>
      <c r="OWB124" s="0"/>
      <c r="OWC124" s="0"/>
      <c r="OWD124" s="0"/>
      <c r="OWE124" s="0"/>
      <c r="OWF124" s="0"/>
      <c r="OWG124" s="0"/>
      <c r="OWH124" s="0"/>
      <c r="OWI124" s="0"/>
      <c r="OWJ124" s="0"/>
      <c r="OWK124" s="0"/>
      <c r="OWL124" s="0"/>
      <c r="OWM124" s="0"/>
      <c r="OWN124" s="0"/>
      <c r="OWO124" s="0"/>
      <c r="OWP124" s="0"/>
      <c r="OWQ124" s="0"/>
      <c r="OWR124" s="0"/>
      <c r="OWS124" s="0"/>
      <c r="OWT124" s="0"/>
      <c r="OWU124" s="0"/>
      <c r="OWV124" s="0"/>
      <c r="OWW124" s="0"/>
      <c r="OWX124" s="0"/>
      <c r="OWY124" s="0"/>
      <c r="OWZ124" s="0"/>
      <c r="OXA124" s="0"/>
      <c r="OXB124" s="0"/>
      <c r="OXC124" s="0"/>
      <c r="OXD124" s="0"/>
      <c r="OXE124" s="0"/>
      <c r="OXF124" s="0"/>
      <c r="OXG124" s="0"/>
      <c r="OXH124" s="0"/>
      <c r="OXI124" s="0"/>
      <c r="OXJ124" s="0"/>
      <c r="OXK124" s="0"/>
      <c r="OXL124" s="0"/>
      <c r="OXM124" s="0"/>
      <c r="OXN124" s="0"/>
      <c r="OXO124" s="0"/>
      <c r="OXP124" s="0"/>
      <c r="OXQ124" s="0"/>
      <c r="OXR124" s="0"/>
      <c r="OXS124" s="0"/>
      <c r="OXT124" s="0"/>
      <c r="OXU124" s="0"/>
      <c r="OXV124" s="0"/>
      <c r="OXW124" s="0"/>
      <c r="OXX124" s="0"/>
      <c r="OXY124" s="0"/>
      <c r="OXZ124" s="0"/>
      <c r="OYA124" s="0"/>
      <c r="OYB124" s="0"/>
      <c r="OYC124" s="0"/>
      <c r="OYD124" s="0"/>
      <c r="OYE124" s="0"/>
      <c r="OYF124" s="0"/>
      <c r="OYG124" s="0"/>
      <c r="OYH124" s="0"/>
      <c r="OYI124" s="0"/>
      <c r="OYJ124" s="0"/>
      <c r="OYK124" s="0"/>
      <c r="OYL124" s="0"/>
      <c r="OYM124" s="0"/>
      <c r="OYN124" s="0"/>
      <c r="OYO124" s="0"/>
      <c r="OYP124" s="0"/>
      <c r="OYQ124" s="0"/>
      <c r="OYR124" s="0"/>
      <c r="OYS124" s="0"/>
      <c r="OYT124" s="0"/>
      <c r="OYU124" s="0"/>
      <c r="OYV124" s="0"/>
      <c r="OYW124" s="0"/>
      <c r="OYX124" s="0"/>
      <c r="OYY124" s="0"/>
      <c r="OYZ124" s="0"/>
      <c r="OZA124" s="0"/>
      <c r="OZB124" s="0"/>
      <c r="OZC124" s="0"/>
      <c r="OZD124" s="0"/>
      <c r="OZE124" s="0"/>
      <c r="OZF124" s="0"/>
      <c r="OZG124" s="0"/>
      <c r="OZH124" s="0"/>
      <c r="OZI124" s="0"/>
      <c r="OZJ124" s="0"/>
      <c r="OZK124" s="0"/>
      <c r="OZL124" s="0"/>
      <c r="OZM124" s="0"/>
      <c r="OZN124" s="0"/>
      <c r="OZO124" s="0"/>
      <c r="OZP124" s="0"/>
      <c r="OZQ124" s="0"/>
      <c r="OZR124" s="0"/>
      <c r="OZS124" s="0"/>
      <c r="OZT124" s="0"/>
      <c r="OZU124" s="0"/>
      <c r="OZV124" s="0"/>
      <c r="OZW124" s="0"/>
      <c r="OZX124" s="0"/>
      <c r="OZY124" s="0"/>
      <c r="OZZ124" s="0"/>
      <c r="PAA124" s="0"/>
      <c r="PAB124" s="0"/>
      <c r="PAC124" s="0"/>
      <c r="PAD124" s="0"/>
      <c r="PAE124" s="0"/>
      <c r="PAF124" s="0"/>
      <c r="PAG124" s="0"/>
      <c r="PAH124" s="0"/>
      <c r="PAI124" s="0"/>
      <c r="PAJ124" s="0"/>
      <c r="PAK124" s="0"/>
      <c r="PAL124" s="0"/>
      <c r="PAM124" s="0"/>
      <c r="PAN124" s="0"/>
      <c r="PAO124" s="0"/>
      <c r="PAP124" s="0"/>
      <c r="PAQ124" s="0"/>
      <c r="PAR124" s="0"/>
      <c r="PAS124" s="0"/>
      <c r="PAT124" s="0"/>
      <c r="PAU124" s="0"/>
      <c r="PAV124" s="0"/>
      <c r="PAW124" s="0"/>
      <c r="PAX124" s="0"/>
      <c r="PAY124" s="0"/>
      <c r="PAZ124" s="0"/>
      <c r="PBA124" s="0"/>
      <c r="PBB124" s="0"/>
      <c r="PBC124" s="0"/>
      <c r="PBD124" s="0"/>
      <c r="PBE124" s="0"/>
      <c r="PBF124" s="0"/>
      <c r="PBG124" s="0"/>
      <c r="PBH124" s="0"/>
      <c r="PBI124" s="0"/>
      <c r="PBJ124" s="0"/>
      <c r="PBK124" s="0"/>
      <c r="PBL124" s="0"/>
      <c r="PBM124" s="0"/>
      <c r="PBN124" s="0"/>
      <c r="PBO124" s="0"/>
      <c r="PBP124" s="0"/>
      <c r="PBQ124" s="0"/>
      <c r="PBR124" s="0"/>
      <c r="PBS124" s="0"/>
      <c r="PBT124" s="0"/>
      <c r="PBU124" s="0"/>
      <c r="PBV124" s="0"/>
      <c r="PBW124" s="0"/>
      <c r="PBX124" s="0"/>
      <c r="PBY124" s="0"/>
      <c r="PBZ124" s="0"/>
      <c r="PCA124" s="0"/>
      <c r="PCB124" s="0"/>
      <c r="PCC124" s="0"/>
      <c r="PCD124" s="0"/>
      <c r="PCE124" s="0"/>
      <c r="PCF124" s="0"/>
      <c r="PCG124" s="0"/>
      <c r="PCH124" s="0"/>
      <c r="PCI124" s="0"/>
      <c r="PCJ124" s="0"/>
      <c r="PCK124" s="0"/>
      <c r="PCL124" s="0"/>
      <c r="PCM124" s="0"/>
      <c r="PCN124" s="0"/>
      <c r="PCO124" s="0"/>
      <c r="PCP124" s="0"/>
      <c r="PCQ124" s="0"/>
      <c r="PCR124" s="0"/>
      <c r="PCS124" s="0"/>
      <c r="PCT124" s="0"/>
      <c r="PCU124" s="0"/>
      <c r="PCV124" s="0"/>
      <c r="PCW124" s="0"/>
      <c r="PCX124" s="0"/>
      <c r="PCY124" s="0"/>
      <c r="PCZ124" s="0"/>
      <c r="PDA124" s="0"/>
      <c r="PDB124" s="0"/>
      <c r="PDC124" s="0"/>
      <c r="PDD124" s="0"/>
      <c r="PDE124" s="0"/>
      <c r="PDF124" s="0"/>
      <c r="PDG124" s="0"/>
      <c r="PDH124" s="0"/>
      <c r="PDI124" s="0"/>
      <c r="PDJ124" s="0"/>
      <c r="PDK124" s="0"/>
      <c r="PDL124" s="0"/>
      <c r="PDM124" s="0"/>
      <c r="PDN124" s="0"/>
      <c r="PDO124" s="0"/>
      <c r="PDP124" s="0"/>
      <c r="PDQ124" s="0"/>
      <c r="PDR124" s="0"/>
      <c r="PDS124" s="0"/>
      <c r="PDT124" s="0"/>
      <c r="PDU124" s="0"/>
      <c r="PDV124" s="0"/>
      <c r="PDW124" s="0"/>
      <c r="PDX124" s="0"/>
      <c r="PDY124" s="0"/>
      <c r="PDZ124" s="0"/>
      <c r="PEA124" s="0"/>
      <c r="PEB124" s="0"/>
      <c r="PEC124" s="0"/>
      <c r="PED124" s="0"/>
      <c r="PEE124" s="0"/>
      <c r="PEF124" s="0"/>
      <c r="PEG124" s="0"/>
      <c r="PEH124" s="0"/>
      <c r="PEI124" s="0"/>
      <c r="PEJ124" s="0"/>
      <c r="PEK124" s="0"/>
      <c r="PEL124" s="0"/>
      <c r="PEM124" s="0"/>
      <c r="PEN124" s="0"/>
      <c r="PEO124" s="0"/>
      <c r="PEP124" s="0"/>
      <c r="PEQ124" s="0"/>
      <c r="PER124" s="0"/>
      <c r="PES124" s="0"/>
      <c r="PET124" s="0"/>
      <c r="PEU124" s="0"/>
      <c r="PEV124" s="0"/>
      <c r="PEW124" s="0"/>
      <c r="PEX124" s="0"/>
      <c r="PEY124" s="0"/>
      <c r="PEZ124" s="0"/>
      <c r="PFA124" s="0"/>
      <c r="PFB124" s="0"/>
      <c r="PFC124" s="0"/>
      <c r="PFD124" s="0"/>
      <c r="PFE124" s="0"/>
      <c r="PFF124" s="0"/>
      <c r="PFG124" s="0"/>
      <c r="PFH124" s="0"/>
      <c r="PFI124" s="0"/>
      <c r="PFJ124" s="0"/>
      <c r="PFK124" s="0"/>
      <c r="PFL124" s="0"/>
      <c r="PFM124" s="0"/>
      <c r="PFN124" s="0"/>
      <c r="PFO124" s="0"/>
      <c r="PFP124" s="0"/>
      <c r="PFQ124" s="0"/>
      <c r="PFR124" s="0"/>
      <c r="PFS124" s="0"/>
      <c r="PFT124" s="0"/>
      <c r="PFU124" s="0"/>
      <c r="PFV124" s="0"/>
      <c r="PFW124" s="0"/>
      <c r="PFX124" s="0"/>
      <c r="PFY124" s="0"/>
      <c r="PFZ124" s="0"/>
      <c r="PGA124" s="0"/>
      <c r="PGB124" s="0"/>
      <c r="PGC124" s="0"/>
      <c r="PGD124" s="0"/>
      <c r="PGE124" s="0"/>
      <c r="PGF124" s="0"/>
      <c r="PGG124" s="0"/>
      <c r="PGH124" s="0"/>
      <c r="PGI124" s="0"/>
      <c r="PGJ124" s="0"/>
      <c r="PGK124" s="0"/>
      <c r="PGL124" s="0"/>
      <c r="PGM124" s="0"/>
      <c r="PGN124" s="0"/>
      <c r="PGO124" s="0"/>
      <c r="PGP124" s="0"/>
      <c r="PGQ124" s="0"/>
      <c r="PGR124" s="0"/>
      <c r="PGS124" s="0"/>
      <c r="PGT124" s="0"/>
      <c r="PGU124" s="0"/>
      <c r="PGV124" s="0"/>
      <c r="PGW124" s="0"/>
      <c r="PGX124" s="0"/>
      <c r="PGY124" s="0"/>
      <c r="PGZ124" s="0"/>
      <c r="PHA124" s="0"/>
      <c r="PHB124" s="0"/>
      <c r="PHC124" s="0"/>
      <c r="PHD124" s="0"/>
      <c r="PHE124" s="0"/>
      <c r="PHF124" s="0"/>
      <c r="PHG124" s="0"/>
      <c r="PHH124" s="0"/>
      <c r="PHI124" s="0"/>
      <c r="PHJ124" s="0"/>
      <c r="PHK124" s="0"/>
      <c r="PHL124" s="0"/>
      <c r="PHM124" s="0"/>
      <c r="PHN124" s="0"/>
      <c r="PHO124" s="0"/>
      <c r="PHP124" s="0"/>
      <c r="PHQ124" s="0"/>
      <c r="PHR124" s="0"/>
      <c r="PHS124" s="0"/>
      <c r="PHT124" s="0"/>
      <c r="PHU124" s="0"/>
      <c r="PHV124" s="0"/>
      <c r="PHW124" s="0"/>
      <c r="PHX124" s="0"/>
      <c r="PHY124" s="0"/>
      <c r="PHZ124" s="0"/>
      <c r="PIA124" s="0"/>
      <c r="PIB124" s="0"/>
      <c r="PIC124" s="0"/>
      <c r="PID124" s="0"/>
      <c r="PIE124" s="0"/>
      <c r="PIF124" s="0"/>
      <c r="PIG124" s="0"/>
      <c r="PIH124" s="0"/>
      <c r="PII124" s="0"/>
      <c r="PIJ124" s="0"/>
      <c r="PIK124" s="0"/>
      <c r="PIL124" s="0"/>
      <c r="PIM124" s="0"/>
      <c r="PIN124" s="0"/>
      <c r="PIO124" s="0"/>
      <c r="PIP124" s="0"/>
      <c r="PIQ124" s="0"/>
      <c r="PIR124" s="0"/>
      <c r="PIS124" s="0"/>
      <c r="PIT124" s="0"/>
      <c r="PIU124" s="0"/>
      <c r="PIV124" s="0"/>
      <c r="PIW124" s="0"/>
      <c r="PIX124" s="0"/>
      <c r="PIY124" s="0"/>
      <c r="PIZ124" s="0"/>
      <c r="PJA124" s="0"/>
      <c r="PJB124" s="0"/>
      <c r="PJC124" s="0"/>
      <c r="PJD124" s="0"/>
      <c r="PJE124" s="0"/>
      <c r="PJF124" s="0"/>
      <c r="PJG124" s="0"/>
      <c r="PJH124" s="0"/>
      <c r="PJI124" s="0"/>
      <c r="PJJ124" s="0"/>
      <c r="PJK124" s="0"/>
      <c r="PJL124" s="0"/>
      <c r="PJM124" s="0"/>
      <c r="PJN124" s="0"/>
      <c r="PJO124" s="0"/>
      <c r="PJP124" s="0"/>
      <c r="PJQ124" s="0"/>
      <c r="PJR124" s="0"/>
      <c r="PJS124" s="0"/>
      <c r="PJT124" s="0"/>
      <c r="PJU124" s="0"/>
      <c r="PJV124" s="0"/>
      <c r="PJW124" s="0"/>
      <c r="PJX124" s="0"/>
      <c r="PJY124" s="0"/>
      <c r="PJZ124" s="0"/>
      <c r="PKA124" s="0"/>
      <c r="PKB124" s="0"/>
      <c r="PKC124" s="0"/>
      <c r="PKD124" s="0"/>
      <c r="PKE124" s="0"/>
      <c r="PKF124" s="0"/>
      <c r="PKG124" s="0"/>
      <c r="PKH124" s="0"/>
      <c r="PKI124" s="0"/>
      <c r="PKJ124" s="0"/>
      <c r="PKK124" s="0"/>
      <c r="PKL124" s="0"/>
      <c r="PKM124" s="0"/>
      <c r="PKN124" s="0"/>
      <c r="PKO124" s="0"/>
      <c r="PKP124" s="0"/>
      <c r="PKQ124" s="0"/>
      <c r="PKR124" s="0"/>
      <c r="PKS124" s="0"/>
      <c r="PKT124" s="0"/>
      <c r="PKU124" s="0"/>
      <c r="PKV124" s="0"/>
      <c r="PKW124" s="0"/>
      <c r="PKX124" s="0"/>
      <c r="PKY124" s="0"/>
      <c r="PKZ124" s="0"/>
      <c r="PLA124" s="0"/>
      <c r="PLB124" s="0"/>
      <c r="PLC124" s="0"/>
      <c r="PLD124" s="0"/>
      <c r="PLE124" s="0"/>
      <c r="PLF124" s="0"/>
      <c r="PLG124" s="0"/>
      <c r="PLH124" s="0"/>
      <c r="PLI124" s="0"/>
      <c r="PLJ124" s="0"/>
      <c r="PLK124" s="0"/>
      <c r="PLL124" s="0"/>
      <c r="PLM124" s="0"/>
      <c r="PLN124" s="0"/>
      <c r="PLO124" s="0"/>
      <c r="PLP124" s="0"/>
      <c r="PLQ124" s="0"/>
      <c r="PLR124" s="0"/>
      <c r="PLS124" s="0"/>
      <c r="PLT124" s="0"/>
      <c r="PLU124" s="0"/>
      <c r="PLV124" s="0"/>
      <c r="PLW124" s="0"/>
      <c r="PLX124" s="0"/>
      <c r="PLY124" s="0"/>
      <c r="PLZ124" s="0"/>
      <c r="PMA124" s="0"/>
      <c r="PMB124" s="0"/>
      <c r="PMC124" s="0"/>
      <c r="PMD124" s="0"/>
      <c r="PME124" s="0"/>
      <c r="PMF124" s="0"/>
      <c r="PMG124" s="0"/>
      <c r="PMH124" s="0"/>
      <c r="PMI124" s="0"/>
      <c r="PMJ124" s="0"/>
      <c r="PMK124" s="0"/>
      <c r="PML124" s="0"/>
      <c r="PMM124" s="0"/>
      <c r="PMN124" s="0"/>
      <c r="PMO124" s="0"/>
      <c r="PMP124" s="0"/>
      <c r="PMQ124" s="0"/>
      <c r="PMR124" s="0"/>
      <c r="PMS124" s="0"/>
      <c r="PMT124" s="0"/>
      <c r="PMU124" s="0"/>
      <c r="PMV124" s="0"/>
      <c r="PMW124" s="0"/>
      <c r="PMX124" s="0"/>
      <c r="PMY124" s="0"/>
      <c r="PMZ124" s="0"/>
      <c r="PNA124" s="0"/>
      <c r="PNB124" s="0"/>
      <c r="PNC124" s="0"/>
      <c r="PND124" s="0"/>
      <c r="PNE124" s="0"/>
      <c r="PNF124" s="0"/>
      <c r="PNG124" s="0"/>
      <c r="PNH124" s="0"/>
      <c r="PNI124" s="0"/>
      <c r="PNJ124" s="0"/>
      <c r="PNK124" s="0"/>
      <c r="PNL124" s="0"/>
      <c r="PNM124" s="0"/>
      <c r="PNN124" s="0"/>
      <c r="PNO124" s="0"/>
      <c r="PNP124" s="0"/>
      <c r="PNQ124" s="0"/>
      <c r="PNR124" s="0"/>
      <c r="PNS124" s="0"/>
      <c r="PNT124" s="0"/>
      <c r="PNU124" s="0"/>
      <c r="PNV124" s="0"/>
      <c r="PNW124" s="0"/>
      <c r="PNX124" s="0"/>
      <c r="PNY124" s="0"/>
      <c r="PNZ124" s="0"/>
      <c r="POA124" s="0"/>
      <c r="POB124" s="0"/>
      <c r="POC124" s="0"/>
      <c r="POD124" s="0"/>
      <c r="POE124" s="0"/>
      <c r="POF124" s="0"/>
      <c r="POG124" s="0"/>
      <c r="POH124" s="0"/>
      <c r="POI124" s="0"/>
      <c r="POJ124" s="0"/>
      <c r="POK124" s="0"/>
      <c r="POL124" s="0"/>
      <c r="POM124" s="0"/>
      <c r="PON124" s="0"/>
      <c r="POO124" s="0"/>
      <c r="POP124" s="0"/>
      <c r="POQ124" s="0"/>
      <c r="POR124" s="0"/>
      <c r="POS124" s="0"/>
      <c r="POT124" s="0"/>
      <c r="POU124" s="0"/>
      <c r="POV124" s="0"/>
      <c r="POW124" s="0"/>
      <c r="POX124" s="0"/>
      <c r="POY124" s="0"/>
      <c r="POZ124" s="0"/>
      <c r="PPA124" s="0"/>
      <c r="PPB124" s="0"/>
      <c r="PPC124" s="0"/>
      <c r="PPD124" s="0"/>
      <c r="PPE124" s="0"/>
      <c r="PPF124" s="0"/>
      <c r="PPG124" s="0"/>
      <c r="PPH124" s="0"/>
      <c r="PPI124" s="0"/>
      <c r="PPJ124" s="0"/>
      <c r="PPK124" s="0"/>
      <c r="PPL124" s="0"/>
      <c r="PPM124" s="0"/>
      <c r="PPN124" s="0"/>
      <c r="PPO124" s="0"/>
      <c r="PPP124" s="0"/>
      <c r="PPQ124" s="0"/>
      <c r="PPR124" s="0"/>
      <c r="PPS124" s="0"/>
      <c r="PPT124" s="0"/>
      <c r="PPU124" s="0"/>
      <c r="PPV124" s="0"/>
      <c r="PPW124" s="0"/>
      <c r="PPX124" s="0"/>
      <c r="PPY124" s="0"/>
      <c r="PPZ124" s="0"/>
      <c r="PQA124" s="0"/>
      <c r="PQB124" s="0"/>
      <c r="PQC124" s="0"/>
      <c r="PQD124" s="0"/>
      <c r="PQE124" s="0"/>
      <c r="PQF124" s="0"/>
      <c r="PQG124" s="0"/>
      <c r="PQH124" s="0"/>
      <c r="PQI124" s="0"/>
      <c r="PQJ124" s="0"/>
      <c r="PQK124" s="0"/>
      <c r="PQL124" s="0"/>
      <c r="PQM124" s="0"/>
      <c r="PQN124" s="0"/>
      <c r="PQO124" s="0"/>
      <c r="PQP124" s="0"/>
      <c r="PQQ124" s="0"/>
      <c r="PQR124" s="0"/>
      <c r="PQS124" s="0"/>
      <c r="PQT124" s="0"/>
      <c r="PQU124" s="0"/>
      <c r="PQV124" s="0"/>
      <c r="PQW124" s="0"/>
      <c r="PQX124" s="0"/>
      <c r="PQY124" s="0"/>
      <c r="PQZ124" s="0"/>
      <c r="PRA124" s="0"/>
      <c r="PRB124" s="0"/>
      <c r="PRC124" s="0"/>
      <c r="PRD124" s="0"/>
      <c r="PRE124" s="0"/>
      <c r="PRF124" s="0"/>
      <c r="PRG124" s="0"/>
      <c r="PRH124" s="0"/>
      <c r="PRI124" s="0"/>
      <c r="PRJ124" s="0"/>
      <c r="PRK124" s="0"/>
      <c r="PRL124" s="0"/>
      <c r="PRM124" s="0"/>
      <c r="PRN124" s="0"/>
      <c r="PRO124" s="0"/>
      <c r="PRP124" s="0"/>
      <c r="PRQ124" s="0"/>
      <c r="PRR124" s="0"/>
      <c r="PRS124" s="0"/>
      <c r="PRT124" s="0"/>
      <c r="PRU124" s="0"/>
      <c r="PRV124" s="0"/>
      <c r="PRW124" s="0"/>
      <c r="PRX124" s="0"/>
      <c r="PRY124" s="0"/>
      <c r="PRZ124" s="0"/>
      <c r="PSA124" s="0"/>
      <c r="PSB124" s="0"/>
      <c r="PSC124" s="0"/>
      <c r="PSD124" s="0"/>
      <c r="PSE124" s="0"/>
      <c r="PSF124" s="0"/>
      <c r="PSG124" s="0"/>
      <c r="PSH124" s="0"/>
      <c r="PSI124" s="0"/>
      <c r="PSJ124" s="0"/>
      <c r="PSK124" s="0"/>
      <c r="PSL124" s="0"/>
      <c r="PSM124" s="0"/>
      <c r="PSN124" s="0"/>
      <c r="PSO124" s="0"/>
      <c r="PSP124" s="0"/>
      <c r="PSQ124" s="0"/>
      <c r="PSR124" s="0"/>
      <c r="PSS124" s="0"/>
      <c r="PST124" s="0"/>
      <c r="PSU124" s="0"/>
      <c r="PSV124" s="0"/>
      <c r="PSW124" s="0"/>
      <c r="PSX124" s="0"/>
      <c r="PSY124" s="0"/>
      <c r="PSZ124" s="0"/>
      <c r="PTA124" s="0"/>
      <c r="PTB124" s="0"/>
      <c r="PTC124" s="0"/>
      <c r="PTD124" s="0"/>
      <c r="PTE124" s="0"/>
      <c r="PTF124" s="0"/>
      <c r="PTG124" s="0"/>
      <c r="PTH124" s="0"/>
      <c r="PTI124" s="0"/>
      <c r="PTJ124" s="0"/>
      <c r="PTK124" s="0"/>
      <c r="PTL124" s="0"/>
      <c r="PTM124" s="0"/>
      <c r="PTN124" s="0"/>
      <c r="PTO124" s="0"/>
      <c r="PTP124" s="0"/>
      <c r="PTQ124" s="0"/>
      <c r="PTR124" s="0"/>
      <c r="PTS124" s="0"/>
      <c r="PTT124" s="0"/>
      <c r="PTU124" s="0"/>
      <c r="PTV124" s="0"/>
      <c r="PTW124" s="0"/>
      <c r="PTX124" s="0"/>
      <c r="PTY124" s="0"/>
      <c r="PTZ124" s="0"/>
      <c r="PUA124" s="0"/>
      <c r="PUB124" s="0"/>
      <c r="PUC124" s="0"/>
      <c r="PUD124" s="0"/>
      <c r="PUE124" s="0"/>
      <c r="PUF124" s="0"/>
      <c r="PUG124" s="0"/>
      <c r="PUH124" s="0"/>
      <c r="PUI124" s="0"/>
      <c r="PUJ124" s="0"/>
      <c r="PUK124" s="0"/>
      <c r="PUL124" s="0"/>
      <c r="PUM124" s="0"/>
      <c r="PUN124" s="0"/>
      <c r="PUO124" s="0"/>
      <c r="PUP124" s="0"/>
      <c r="PUQ124" s="0"/>
      <c r="PUR124" s="0"/>
      <c r="PUS124" s="0"/>
      <c r="PUT124" s="0"/>
      <c r="PUU124" s="0"/>
      <c r="PUV124" s="0"/>
      <c r="PUW124" s="0"/>
      <c r="PUX124" s="0"/>
      <c r="PUY124" s="0"/>
      <c r="PUZ124" s="0"/>
      <c r="PVA124" s="0"/>
      <c r="PVB124" s="0"/>
      <c r="PVC124" s="0"/>
      <c r="PVD124" s="0"/>
      <c r="PVE124" s="0"/>
      <c r="PVF124" s="0"/>
      <c r="PVG124" s="0"/>
      <c r="PVH124" s="0"/>
      <c r="PVI124" s="0"/>
      <c r="PVJ124" s="0"/>
      <c r="PVK124" s="0"/>
      <c r="PVL124" s="0"/>
      <c r="PVM124" s="0"/>
      <c r="PVN124" s="0"/>
      <c r="PVO124" s="0"/>
      <c r="PVP124" s="0"/>
      <c r="PVQ124" s="0"/>
      <c r="PVR124" s="0"/>
      <c r="PVS124" s="0"/>
      <c r="PVT124" s="0"/>
      <c r="PVU124" s="0"/>
      <c r="PVV124" s="0"/>
      <c r="PVW124" s="0"/>
      <c r="PVX124" s="0"/>
      <c r="PVY124" s="0"/>
      <c r="PVZ124" s="0"/>
      <c r="PWA124" s="0"/>
      <c r="PWB124" s="0"/>
      <c r="PWC124" s="0"/>
      <c r="PWD124" s="0"/>
      <c r="PWE124" s="0"/>
      <c r="PWF124" s="0"/>
      <c r="PWG124" s="0"/>
      <c r="PWH124" s="0"/>
      <c r="PWI124" s="0"/>
      <c r="PWJ124" s="0"/>
      <c r="PWK124" s="0"/>
      <c r="PWL124" s="0"/>
      <c r="PWM124" s="0"/>
      <c r="PWN124" s="0"/>
      <c r="PWO124" s="0"/>
      <c r="PWP124" s="0"/>
      <c r="PWQ124" s="0"/>
      <c r="PWR124" s="0"/>
      <c r="PWS124" s="0"/>
      <c r="PWT124" s="0"/>
      <c r="PWU124" s="0"/>
      <c r="PWV124" s="0"/>
      <c r="PWW124" s="0"/>
      <c r="PWX124" s="0"/>
      <c r="PWY124" s="0"/>
      <c r="PWZ124" s="0"/>
      <c r="PXA124" s="0"/>
      <c r="PXB124" s="0"/>
      <c r="PXC124" s="0"/>
      <c r="PXD124" s="0"/>
      <c r="PXE124" s="0"/>
      <c r="PXF124" s="0"/>
      <c r="PXG124" s="0"/>
      <c r="PXH124" s="0"/>
      <c r="PXI124" s="0"/>
      <c r="PXJ124" s="0"/>
      <c r="PXK124" s="0"/>
      <c r="PXL124" s="0"/>
      <c r="PXM124" s="0"/>
      <c r="PXN124" s="0"/>
      <c r="PXO124" s="0"/>
      <c r="PXP124" s="0"/>
      <c r="PXQ124" s="0"/>
      <c r="PXR124" s="0"/>
      <c r="PXS124" s="0"/>
      <c r="PXT124" s="0"/>
      <c r="PXU124" s="0"/>
      <c r="PXV124" s="0"/>
      <c r="PXW124" s="0"/>
      <c r="PXX124" s="0"/>
      <c r="PXY124" s="0"/>
      <c r="PXZ124" s="0"/>
      <c r="PYA124" s="0"/>
      <c r="PYB124" s="0"/>
      <c r="PYC124" s="0"/>
      <c r="PYD124" s="0"/>
      <c r="PYE124" s="0"/>
      <c r="PYF124" s="0"/>
      <c r="PYG124" s="0"/>
      <c r="PYH124" s="0"/>
      <c r="PYI124" s="0"/>
      <c r="PYJ124" s="0"/>
      <c r="PYK124" s="0"/>
      <c r="PYL124" s="0"/>
      <c r="PYM124" s="0"/>
      <c r="PYN124" s="0"/>
      <c r="PYO124" s="0"/>
      <c r="PYP124" s="0"/>
      <c r="PYQ124" s="0"/>
      <c r="PYR124" s="0"/>
      <c r="PYS124" s="0"/>
      <c r="PYT124" s="0"/>
      <c r="PYU124" s="0"/>
      <c r="PYV124" s="0"/>
      <c r="PYW124" s="0"/>
      <c r="PYX124" s="0"/>
      <c r="PYY124" s="0"/>
      <c r="PYZ124" s="0"/>
      <c r="PZA124" s="0"/>
      <c r="PZB124" s="0"/>
      <c r="PZC124" s="0"/>
      <c r="PZD124" s="0"/>
      <c r="PZE124" s="0"/>
      <c r="PZF124" s="0"/>
      <c r="PZG124" s="0"/>
      <c r="PZH124" s="0"/>
      <c r="PZI124" s="0"/>
      <c r="PZJ124" s="0"/>
      <c r="PZK124" s="0"/>
      <c r="PZL124" s="0"/>
      <c r="PZM124" s="0"/>
      <c r="PZN124" s="0"/>
      <c r="PZO124" s="0"/>
      <c r="PZP124" s="0"/>
      <c r="PZQ124" s="0"/>
      <c r="PZR124" s="0"/>
      <c r="PZS124" s="0"/>
      <c r="PZT124" s="0"/>
      <c r="PZU124" s="0"/>
      <c r="PZV124" s="0"/>
      <c r="PZW124" s="0"/>
      <c r="PZX124" s="0"/>
      <c r="PZY124" s="0"/>
      <c r="PZZ124" s="0"/>
      <c r="QAA124" s="0"/>
      <c r="QAB124" s="0"/>
      <c r="QAC124" s="0"/>
      <c r="QAD124" s="0"/>
      <c r="QAE124" s="0"/>
      <c r="QAF124" s="0"/>
      <c r="QAG124" s="0"/>
      <c r="QAH124" s="0"/>
      <c r="QAI124" s="0"/>
      <c r="QAJ124" s="0"/>
      <c r="QAK124" s="0"/>
      <c r="QAL124" s="0"/>
      <c r="QAM124" s="0"/>
      <c r="QAN124" s="0"/>
      <c r="QAO124" s="0"/>
      <c r="QAP124" s="0"/>
      <c r="QAQ124" s="0"/>
      <c r="QAR124" s="0"/>
      <c r="QAS124" s="0"/>
      <c r="QAT124" s="0"/>
      <c r="QAU124" s="0"/>
      <c r="QAV124" s="0"/>
      <c r="QAW124" s="0"/>
      <c r="QAX124" s="0"/>
      <c r="QAY124" s="0"/>
      <c r="QAZ124" s="0"/>
      <c r="QBA124" s="0"/>
      <c r="QBB124" s="0"/>
      <c r="QBC124" s="0"/>
      <c r="QBD124" s="0"/>
      <c r="QBE124" s="0"/>
      <c r="QBF124" s="0"/>
      <c r="QBG124" s="0"/>
      <c r="QBH124" s="0"/>
      <c r="QBI124" s="0"/>
      <c r="QBJ124" s="0"/>
      <c r="QBK124" s="0"/>
      <c r="QBL124" s="0"/>
      <c r="QBM124" s="0"/>
      <c r="QBN124" s="0"/>
      <c r="QBO124" s="0"/>
      <c r="QBP124" s="0"/>
      <c r="QBQ124" s="0"/>
      <c r="QBR124" s="0"/>
      <c r="QBS124" s="0"/>
      <c r="QBT124" s="0"/>
      <c r="QBU124" s="0"/>
      <c r="QBV124" s="0"/>
      <c r="QBW124" s="0"/>
      <c r="QBX124" s="0"/>
      <c r="QBY124" s="0"/>
      <c r="QBZ124" s="0"/>
      <c r="QCA124" s="0"/>
      <c r="QCB124" s="0"/>
      <c r="QCC124" s="0"/>
      <c r="QCD124" s="0"/>
      <c r="QCE124" s="0"/>
      <c r="QCF124" s="0"/>
      <c r="QCG124" s="0"/>
      <c r="QCH124" s="0"/>
      <c r="QCI124" s="0"/>
      <c r="QCJ124" s="0"/>
      <c r="QCK124" s="0"/>
      <c r="QCL124" s="0"/>
      <c r="QCM124" s="0"/>
      <c r="QCN124" s="0"/>
      <c r="QCO124" s="0"/>
      <c r="QCP124" s="0"/>
      <c r="QCQ124" s="0"/>
      <c r="QCR124" s="0"/>
      <c r="QCS124" s="0"/>
      <c r="QCT124" s="0"/>
      <c r="QCU124" s="0"/>
      <c r="QCV124" s="0"/>
      <c r="QCW124" s="0"/>
      <c r="QCX124" s="0"/>
      <c r="QCY124" s="0"/>
      <c r="QCZ124" s="0"/>
      <c r="QDA124" s="0"/>
      <c r="QDB124" s="0"/>
      <c r="QDC124" s="0"/>
      <c r="QDD124" s="0"/>
      <c r="QDE124" s="0"/>
      <c r="QDF124" s="0"/>
      <c r="QDG124" s="0"/>
      <c r="QDH124" s="0"/>
      <c r="QDI124" s="0"/>
      <c r="QDJ124" s="0"/>
      <c r="QDK124" s="0"/>
      <c r="QDL124" s="0"/>
      <c r="QDM124" s="0"/>
      <c r="QDN124" s="0"/>
      <c r="QDO124" s="0"/>
      <c r="QDP124" s="0"/>
      <c r="QDQ124" s="0"/>
      <c r="QDR124" s="0"/>
      <c r="QDS124" s="0"/>
      <c r="QDT124" s="0"/>
      <c r="QDU124" s="0"/>
      <c r="QDV124" s="0"/>
      <c r="QDW124" s="0"/>
      <c r="QDX124" s="0"/>
      <c r="QDY124" s="0"/>
      <c r="QDZ124" s="0"/>
      <c r="QEA124" s="0"/>
      <c r="QEB124" s="0"/>
      <c r="QEC124" s="0"/>
      <c r="QED124" s="0"/>
      <c r="QEE124" s="0"/>
      <c r="QEF124" s="0"/>
      <c r="QEG124" s="0"/>
      <c r="QEH124" s="0"/>
      <c r="QEI124" s="0"/>
      <c r="QEJ124" s="0"/>
      <c r="QEK124" s="0"/>
      <c r="QEL124" s="0"/>
      <c r="QEM124" s="0"/>
      <c r="QEN124" s="0"/>
      <c r="QEO124" s="0"/>
      <c r="QEP124" s="0"/>
      <c r="QEQ124" s="0"/>
      <c r="QER124" s="0"/>
      <c r="QES124" s="0"/>
      <c r="QET124" s="0"/>
      <c r="QEU124" s="0"/>
      <c r="QEV124" s="0"/>
      <c r="QEW124" s="0"/>
      <c r="QEX124" s="0"/>
      <c r="QEY124" s="0"/>
      <c r="QEZ124" s="0"/>
      <c r="QFA124" s="0"/>
      <c r="QFB124" s="0"/>
      <c r="QFC124" s="0"/>
      <c r="QFD124" s="0"/>
      <c r="QFE124" s="0"/>
      <c r="QFF124" s="0"/>
      <c r="QFG124" s="0"/>
      <c r="QFH124" s="0"/>
      <c r="QFI124" s="0"/>
      <c r="QFJ124" s="0"/>
      <c r="QFK124" s="0"/>
      <c r="QFL124" s="0"/>
      <c r="QFM124" s="0"/>
      <c r="QFN124" s="0"/>
      <c r="QFO124" s="0"/>
      <c r="QFP124" s="0"/>
      <c r="QFQ124" s="0"/>
      <c r="QFR124" s="0"/>
      <c r="QFS124" s="0"/>
      <c r="QFT124" s="0"/>
      <c r="QFU124" s="0"/>
      <c r="QFV124" s="0"/>
      <c r="QFW124" s="0"/>
      <c r="QFX124" s="0"/>
      <c r="QFY124" s="0"/>
      <c r="QFZ124" s="0"/>
      <c r="QGA124" s="0"/>
      <c r="QGB124" s="0"/>
      <c r="QGC124" s="0"/>
      <c r="QGD124" s="0"/>
      <c r="QGE124" s="0"/>
      <c r="QGF124" s="0"/>
      <c r="QGG124" s="0"/>
      <c r="QGH124" s="0"/>
      <c r="QGI124" s="0"/>
      <c r="QGJ124" s="0"/>
      <c r="QGK124" s="0"/>
      <c r="QGL124" s="0"/>
      <c r="QGM124" s="0"/>
      <c r="QGN124" s="0"/>
      <c r="QGO124" s="0"/>
      <c r="QGP124" s="0"/>
      <c r="QGQ124" s="0"/>
      <c r="QGR124" s="0"/>
      <c r="QGS124" s="0"/>
      <c r="QGT124" s="0"/>
      <c r="QGU124" s="0"/>
      <c r="QGV124" s="0"/>
      <c r="QGW124" s="0"/>
      <c r="QGX124" s="0"/>
      <c r="QGY124" s="0"/>
      <c r="QGZ124" s="0"/>
      <c r="QHA124" s="0"/>
      <c r="QHB124" s="0"/>
      <c r="QHC124" s="0"/>
      <c r="QHD124" s="0"/>
      <c r="QHE124" s="0"/>
      <c r="QHF124" s="0"/>
      <c r="QHG124" s="0"/>
      <c r="QHH124" s="0"/>
      <c r="QHI124" s="0"/>
      <c r="QHJ124" s="0"/>
      <c r="QHK124" s="0"/>
      <c r="QHL124" s="0"/>
      <c r="QHM124" s="0"/>
      <c r="QHN124" s="0"/>
      <c r="QHO124" s="0"/>
      <c r="QHP124" s="0"/>
      <c r="QHQ124" s="0"/>
      <c r="QHR124" s="0"/>
      <c r="QHS124" s="0"/>
      <c r="QHT124" s="0"/>
      <c r="QHU124" s="0"/>
      <c r="QHV124" s="0"/>
      <c r="QHW124" s="0"/>
      <c r="QHX124" s="0"/>
      <c r="QHY124" s="0"/>
      <c r="QHZ124" s="0"/>
      <c r="QIA124" s="0"/>
      <c r="QIB124" s="0"/>
      <c r="QIC124" s="0"/>
      <c r="QID124" s="0"/>
      <c r="QIE124" s="0"/>
      <c r="QIF124" s="0"/>
      <c r="QIG124" s="0"/>
      <c r="QIH124" s="0"/>
      <c r="QII124" s="0"/>
      <c r="QIJ124" s="0"/>
      <c r="QIK124" s="0"/>
      <c r="QIL124" s="0"/>
      <c r="QIM124" s="0"/>
      <c r="QIN124" s="0"/>
      <c r="QIO124" s="0"/>
      <c r="QIP124" s="0"/>
      <c r="QIQ124" s="0"/>
      <c r="QIR124" s="0"/>
      <c r="QIS124" s="0"/>
      <c r="QIT124" s="0"/>
      <c r="QIU124" s="0"/>
      <c r="QIV124" s="0"/>
      <c r="QIW124" s="0"/>
      <c r="QIX124" s="0"/>
      <c r="QIY124" s="0"/>
      <c r="QIZ124" s="0"/>
      <c r="QJA124" s="0"/>
      <c r="QJB124" s="0"/>
      <c r="QJC124" s="0"/>
      <c r="QJD124" s="0"/>
      <c r="QJE124" s="0"/>
      <c r="QJF124" s="0"/>
      <c r="QJG124" s="0"/>
      <c r="QJH124" s="0"/>
      <c r="QJI124" s="0"/>
      <c r="QJJ124" s="0"/>
      <c r="QJK124" s="0"/>
      <c r="QJL124" s="0"/>
      <c r="QJM124" s="0"/>
      <c r="QJN124" s="0"/>
      <c r="QJO124" s="0"/>
      <c r="QJP124" s="0"/>
      <c r="QJQ124" s="0"/>
      <c r="QJR124" s="0"/>
      <c r="QJS124" s="0"/>
      <c r="QJT124" s="0"/>
      <c r="QJU124" s="0"/>
      <c r="QJV124" s="0"/>
      <c r="QJW124" s="0"/>
      <c r="QJX124" s="0"/>
      <c r="QJY124" s="0"/>
      <c r="QJZ124" s="0"/>
      <c r="QKA124" s="0"/>
      <c r="QKB124" s="0"/>
      <c r="QKC124" s="0"/>
      <c r="QKD124" s="0"/>
      <c r="QKE124" s="0"/>
      <c r="QKF124" s="0"/>
      <c r="QKG124" s="0"/>
      <c r="QKH124" s="0"/>
      <c r="QKI124" s="0"/>
      <c r="QKJ124" s="0"/>
      <c r="QKK124" s="0"/>
      <c r="QKL124" s="0"/>
      <c r="QKM124" s="0"/>
      <c r="QKN124" s="0"/>
      <c r="QKO124" s="0"/>
      <c r="QKP124" s="0"/>
      <c r="QKQ124" s="0"/>
      <c r="QKR124" s="0"/>
      <c r="QKS124" s="0"/>
      <c r="QKT124" s="0"/>
      <c r="QKU124" s="0"/>
      <c r="QKV124" s="0"/>
      <c r="QKW124" s="0"/>
      <c r="QKX124" s="0"/>
      <c r="QKY124" s="0"/>
      <c r="QKZ124" s="0"/>
      <c r="QLA124" s="0"/>
      <c r="QLB124" s="0"/>
      <c r="QLC124" s="0"/>
      <c r="QLD124" s="0"/>
      <c r="QLE124" s="0"/>
      <c r="QLF124" s="0"/>
      <c r="QLG124" s="0"/>
      <c r="QLH124" s="0"/>
      <c r="QLI124" s="0"/>
      <c r="QLJ124" s="0"/>
      <c r="QLK124" s="0"/>
      <c r="QLL124" s="0"/>
      <c r="QLM124" s="0"/>
      <c r="QLN124" s="0"/>
      <c r="QLO124" s="0"/>
      <c r="QLP124" s="0"/>
      <c r="QLQ124" s="0"/>
      <c r="QLR124" s="0"/>
      <c r="QLS124" s="0"/>
      <c r="QLT124" s="0"/>
      <c r="QLU124" s="0"/>
      <c r="QLV124" s="0"/>
      <c r="QLW124" s="0"/>
      <c r="QLX124" s="0"/>
      <c r="QLY124" s="0"/>
      <c r="QLZ124" s="0"/>
      <c r="QMA124" s="0"/>
      <c r="QMB124" s="0"/>
      <c r="QMC124" s="0"/>
      <c r="QMD124" s="0"/>
      <c r="QME124" s="0"/>
      <c r="QMF124" s="0"/>
      <c r="QMG124" s="0"/>
      <c r="QMH124" s="0"/>
      <c r="QMI124" s="0"/>
      <c r="QMJ124" s="0"/>
      <c r="QMK124" s="0"/>
      <c r="QML124" s="0"/>
      <c r="QMM124" s="0"/>
      <c r="QMN124" s="0"/>
      <c r="QMO124" s="0"/>
      <c r="QMP124" s="0"/>
      <c r="QMQ124" s="0"/>
      <c r="QMR124" s="0"/>
      <c r="QMS124" s="0"/>
      <c r="QMT124" s="0"/>
      <c r="QMU124" s="0"/>
      <c r="QMV124" s="0"/>
      <c r="QMW124" s="0"/>
      <c r="QMX124" s="0"/>
      <c r="QMY124" s="0"/>
      <c r="QMZ124" s="0"/>
      <c r="QNA124" s="0"/>
      <c r="QNB124" s="0"/>
      <c r="QNC124" s="0"/>
      <c r="QND124" s="0"/>
      <c r="QNE124" s="0"/>
      <c r="QNF124" s="0"/>
      <c r="QNG124" s="0"/>
      <c r="QNH124" s="0"/>
      <c r="QNI124" s="0"/>
      <c r="QNJ124" s="0"/>
      <c r="QNK124" s="0"/>
      <c r="QNL124" s="0"/>
      <c r="QNM124" s="0"/>
      <c r="QNN124" s="0"/>
      <c r="QNO124" s="0"/>
      <c r="QNP124" s="0"/>
      <c r="QNQ124" s="0"/>
      <c r="QNR124" s="0"/>
      <c r="QNS124" s="0"/>
      <c r="QNT124" s="0"/>
      <c r="QNU124" s="0"/>
      <c r="QNV124" s="0"/>
      <c r="QNW124" s="0"/>
      <c r="QNX124" s="0"/>
      <c r="QNY124" s="0"/>
      <c r="QNZ124" s="0"/>
      <c r="QOA124" s="0"/>
      <c r="QOB124" s="0"/>
      <c r="QOC124" s="0"/>
      <c r="QOD124" s="0"/>
      <c r="QOE124" s="0"/>
      <c r="QOF124" s="0"/>
      <c r="QOG124" s="0"/>
      <c r="QOH124" s="0"/>
      <c r="QOI124" s="0"/>
      <c r="QOJ124" s="0"/>
      <c r="QOK124" s="0"/>
      <c r="QOL124" s="0"/>
      <c r="QOM124" s="0"/>
      <c r="QON124" s="0"/>
      <c r="QOO124" s="0"/>
      <c r="QOP124" s="0"/>
      <c r="QOQ124" s="0"/>
      <c r="QOR124" s="0"/>
      <c r="QOS124" s="0"/>
      <c r="QOT124" s="0"/>
      <c r="QOU124" s="0"/>
      <c r="QOV124" s="0"/>
      <c r="QOW124" s="0"/>
      <c r="QOX124" s="0"/>
      <c r="QOY124" s="0"/>
      <c r="QOZ124" s="0"/>
      <c r="QPA124" s="0"/>
      <c r="QPB124" s="0"/>
      <c r="QPC124" s="0"/>
      <c r="QPD124" s="0"/>
      <c r="QPE124" s="0"/>
      <c r="QPF124" s="0"/>
      <c r="QPG124" s="0"/>
      <c r="QPH124" s="0"/>
      <c r="QPI124" s="0"/>
      <c r="QPJ124" s="0"/>
      <c r="QPK124" s="0"/>
      <c r="QPL124" s="0"/>
      <c r="QPM124" s="0"/>
      <c r="QPN124" s="0"/>
      <c r="QPO124" s="0"/>
      <c r="QPP124" s="0"/>
      <c r="QPQ124" s="0"/>
      <c r="QPR124" s="0"/>
      <c r="QPS124" s="0"/>
      <c r="QPT124" s="0"/>
      <c r="QPU124" s="0"/>
      <c r="QPV124" s="0"/>
      <c r="QPW124" s="0"/>
      <c r="QPX124" s="0"/>
      <c r="QPY124" s="0"/>
      <c r="QPZ124" s="0"/>
      <c r="QQA124" s="0"/>
      <c r="QQB124" s="0"/>
      <c r="QQC124" s="0"/>
      <c r="QQD124" s="0"/>
      <c r="QQE124" s="0"/>
      <c r="QQF124" s="0"/>
      <c r="QQG124" s="0"/>
      <c r="QQH124" s="0"/>
      <c r="QQI124" s="0"/>
      <c r="QQJ124" s="0"/>
      <c r="QQK124" s="0"/>
      <c r="QQL124" s="0"/>
      <c r="QQM124" s="0"/>
      <c r="QQN124" s="0"/>
      <c r="QQO124" s="0"/>
      <c r="QQP124" s="0"/>
      <c r="QQQ124" s="0"/>
      <c r="QQR124" s="0"/>
      <c r="QQS124" s="0"/>
      <c r="QQT124" s="0"/>
      <c r="QQU124" s="0"/>
      <c r="QQV124" s="0"/>
      <c r="QQW124" s="0"/>
      <c r="QQX124" s="0"/>
      <c r="QQY124" s="0"/>
      <c r="QQZ124" s="0"/>
      <c r="QRA124" s="0"/>
      <c r="QRB124" s="0"/>
      <c r="QRC124" s="0"/>
      <c r="QRD124" s="0"/>
      <c r="QRE124" s="0"/>
      <c r="QRF124" s="0"/>
      <c r="QRG124" s="0"/>
      <c r="QRH124" s="0"/>
      <c r="QRI124" s="0"/>
      <c r="QRJ124" s="0"/>
      <c r="QRK124" s="0"/>
      <c r="QRL124" s="0"/>
      <c r="QRM124" s="0"/>
      <c r="QRN124" s="0"/>
      <c r="QRO124" s="0"/>
      <c r="QRP124" s="0"/>
      <c r="QRQ124" s="0"/>
      <c r="QRR124" s="0"/>
      <c r="QRS124" s="0"/>
      <c r="QRT124" s="0"/>
      <c r="QRU124" s="0"/>
      <c r="QRV124" s="0"/>
      <c r="QRW124" s="0"/>
      <c r="QRX124" s="0"/>
      <c r="QRY124" s="0"/>
      <c r="QRZ124" s="0"/>
      <c r="QSA124" s="0"/>
      <c r="QSB124" s="0"/>
      <c r="QSC124" s="0"/>
      <c r="QSD124" s="0"/>
      <c r="QSE124" s="0"/>
      <c r="QSF124" s="0"/>
      <c r="QSG124" s="0"/>
      <c r="QSH124" s="0"/>
      <c r="QSI124" s="0"/>
      <c r="QSJ124" s="0"/>
      <c r="QSK124" s="0"/>
      <c r="QSL124" s="0"/>
      <c r="QSM124" s="0"/>
      <c r="QSN124" s="0"/>
      <c r="QSO124" s="0"/>
      <c r="QSP124" s="0"/>
      <c r="QSQ124" s="0"/>
      <c r="QSR124" s="0"/>
      <c r="QSS124" s="0"/>
      <c r="QST124" s="0"/>
      <c r="QSU124" s="0"/>
      <c r="QSV124" s="0"/>
      <c r="QSW124" s="0"/>
      <c r="QSX124" s="0"/>
      <c r="QSY124" s="0"/>
      <c r="QSZ124" s="0"/>
      <c r="QTA124" s="0"/>
      <c r="QTB124" s="0"/>
      <c r="QTC124" s="0"/>
      <c r="QTD124" s="0"/>
      <c r="QTE124" s="0"/>
      <c r="QTF124" s="0"/>
      <c r="QTG124" s="0"/>
      <c r="QTH124" s="0"/>
      <c r="QTI124" s="0"/>
      <c r="QTJ124" s="0"/>
      <c r="QTK124" s="0"/>
      <c r="QTL124" s="0"/>
      <c r="QTM124" s="0"/>
      <c r="QTN124" s="0"/>
      <c r="QTO124" s="0"/>
      <c r="QTP124" s="0"/>
      <c r="QTQ124" s="0"/>
      <c r="QTR124" s="0"/>
      <c r="QTS124" s="0"/>
      <c r="QTT124" s="0"/>
      <c r="QTU124" s="0"/>
      <c r="QTV124" s="0"/>
      <c r="QTW124" s="0"/>
      <c r="QTX124" s="0"/>
      <c r="QTY124" s="0"/>
      <c r="QTZ124" s="0"/>
      <c r="QUA124" s="0"/>
      <c r="QUB124" s="0"/>
      <c r="QUC124" s="0"/>
      <c r="QUD124" s="0"/>
      <c r="QUE124" s="0"/>
      <c r="QUF124" s="0"/>
      <c r="QUG124" s="0"/>
      <c r="QUH124" s="0"/>
      <c r="QUI124" s="0"/>
      <c r="QUJ124" s="0"/>
      <c r="QUK124" s="0"/>
      <c r="QUL124" s="0"/>
      <c r="QUM124" s="0"/>
      <c r="QUN124" s="0"/>
      <c r="QUO124" s="0"/>
      <c r="QUP124" s="0"/>
      <c r="QUQ124" s="0"/>
      <c r="QUR124" s="0"/>
      <c r="QUS124" s="0"/>
      <c r="QUT124" s="0"/>
      <c r="QUU124" s="0"/>
      <c r="QUV124" s="0"/>
      <c r="QUW124" s="0"/>
      <c r="QUX124" s="0"/>
      <c r="QUY124" s="0"/>
      <c r="QUZ124" s="0"/>
      <c r="QVA124" s="0"/>
      <c r="QVB124" s="0"/>
      <c r="QVC124" s="0"/>
      <c r="QVD124" s="0"/>
      <c r="QVE124" s="0"/>
      <c r="QVF124" s="0"/>
      <c r="QVG124" s="0"/>
      <c r="QVH124" s="0"/>
      <c r="QVI124" s="0"/>
      <c r="QVJ124" s="0"/>
      <c r="QVK124" s="0"/>
      <c r="QVL124" s="0"/>
      <c r="QVM124" s="0"/>
      <c r="QVN124" s="0"/>
      <c r="QVO124" s="0"/>
      <c r="QVP124" s="0"/>
      <c r="QVQ124" s="0"/>
      <c r="QVR124" s="0"/>
      <c r="QVS124" s="0"/>
      <c r="QVT124" s="0"/>
      <c r="QVU124" s="0"/>
      <c r="QVV124" s="0"/>
      <c r="QVW124" s="0"/>
      <c r="QVX124" s="0"/>
      <c r="QVY124" s="0"/>
      <c r="QVZ124" s="0"/>
      <c r="QWA124" s="0"/>
      <c r="QWB124" s="0"/>
      <c r="QWC124" s="0"/>
      <c r="QWD124" s="0"/>
      <c r="QWE124" s="0"/>
      <c r="QWF124" s="0"/>
      <c r="QWG124" s="0"/>
      <c r="QWH124" s="0"/>
      <c r="QWI124" s="0"/>
      <c r="QWJ124" s="0"/>
      <c r="QWK124" s="0"/>
      <c r="QWL124" s="0"/>
      <c r="QWM124" s="0"/>
      <c r="QWN124" s="0"/>
      <c r="QWO124" s="0"/>
      <c r="QWP124" s="0"/>
      <c r="QWQ124" s="0"/>
      <c r="QWR124" s="0"/>
      <c r="QWS124" s="0"/>
      <c r="QWT124" s="0"/>
      <c r="QWU124" s="0"/>
      <c r="QWV124" s="0"/>
      <c r="QWW124" s="0"/>
      <c r="QWX124" s="0"/>
      <c r="QWY124" s="0"/>
      <c r="QWZ124" s="0"/>
      <c r="QXA124" s="0"/>
      <c r="QXB124" s="0"/>
      <c r="QXC124" s="0"/>
      <c r="QXD124" s="0"/>
      <c r="QXE124" s="0"/>
      <c r="QXF124" s="0"/>
      <c r="QXG124" s="0"/>
      <c r="QXH124" s="0"/>
      <c r="QXI124" s="0"/>
      <c r="QXJ124" s="0"/>
      <c r="QXK124" s="0"/>
      <c r="QXL124" s="0"/>
      <c r="QXM124" s="0"/>
      <c r="QXN124" s="0"/>
      <c r="QXO124" s="0"/>
      <c r="QXP124" s="0"/>
      <c r="QXQ124" s="0"/>
      <c r="QXR124" s="0"/>
      <c r="QXS124" s="0"/>
      <c r="QXT124" s="0"/>
      <c r="QXU124" s="0"/>
      <c r="QXV124" s="0"/>
      <c r="QXW124" s="0"/>
      <c r="QXX124" s="0"/>
      <c r="QXY124" s="0"/>
      <c r="QXZ124" s="0"/>
      <c r="QYA124" s="0"/>
      <c r="QYB124" s="0"/>
      <c r="QYC124" s="0"/>
      <c r="QYD124" s="0"/>
      <c r="QYE124" s="0"/>
      <c r="QYF124" s="0"/>
      <c r="QYG124" s="0"/>
      <c r="QYH124" s="0"/>
      <c r="QYI124" s="0"/>
      <c r="QYJ124" s="0"/>
      <c r="QYK124" s="0"/>
      <c r="QYL124" s="0"/>
      <c r="QYM124" s="0"/>
      <c r="QYN124" s="0"/>
      <c r="QYO124" s="0"/>
      <c r="QYP124" s="0"/>
      <c r="QYQ124" s="0"/>
      <c r="QYR124" s="0"/>
      <c r="QYS124" s="0"/>
      <c r="QYT124" s="0"/>
      <c r="QYU124" s="0"/>
      <c r="QYV124" s="0"/>
      <c r="QYW124" s="0"/>
      <c r="QYX124" s="0"/>
      <c r="QYY124" s="0"/>
      <c r="QYZ124" s="0"/>
      <c r="QZA124" s="0"/>
      <c r="QZB124" s="0"/>
      <c r="QZC124" s="0"/>
      <c r="QZD124" s="0"/>
      <c r="QZE124" s="0"/>
      <c r="QZF124" s="0"/>
      <c r="QZG124" s="0"/>
      <c r="QZH124" s="0"/>
      <c r="QZI124" s="0"/>
      <c r="QZJ124" s="0"/>
      <c r="QZK124" s="0"/>
      <c r="QZL124" s="0"/>
      <c r="QZM124" s="0"/>
      <c r="QZN124" s="0"/>
      <c r="QZO124" s="0"/>
      <c r="QZP124" s="0"/>
      <c r="QZQ124" s="0"/>
      <c r="QZR124" s="0"/>
      <c r="QZS124" s="0"/>
      <c r="QZT124" s="0"/>
      <c r="QZU124" s="0"/>
      <c r="QZV124" s="0"/>
      <c r="QZW124" s="0"/>
      <c r="QZX124" s="0"/>
      <c r="QZY124" s="0"/>
      <c r="QZZ124" s="0"/>
      <c r="RAA124" s="0"/>
      <c r="RAB124" s="0"/>
      <c r="RAC124" s="0"/>
      <c r="RAD124" s="0"/>
      <c r="RAE124" s="0"/>
      <c r="RAF124" s="0"/>
      <c r="RAG124" s="0"/>
      <c r="RAH124" s="0"/>
      <c r="RAI124" s="0"/>
      <c r="RAJ124" s="0"/>
      <c r="RAK124" s="0"/>
      <c r="RAL124" s="0"/>
      <c r="RAM124" s="0"/>
      <c r="RAN124" s="0"/>
      <c r="RAO124" s="0"/>
      <c r="RAP124" s="0"/>
      <c r="RAQ124" s="0"/>
      <c r="RAR124" s="0"/>
      <c r="RAS124" s="0"/>
      <c r="RAT124" s="0"/>
      <c r="RAU124" s="0"/>
      <c r="RAV124" s="0"/>
      <c r="RAW124" s="0"/>
      <c r="RAX124" s="0"/>
      <c r="RAY124" s="0"/>
      <c r="RAZ124" s="0"/>
      <c r="RBA124" s="0"/>
      <c r="RBB124" s="0"/>
      <c r="RBC124" s="0"/>
      <c r="RBD124" s="0"/>
      <c r="RBE124" s="0"/>
      <c r="RBF124" s="0"/>
      <c r="RBG124" s="0"/>
      <c r="RBH124" s="0"/>
      <c r="RBI124" s="0"/>
      <c r="RBJ124" s="0"/>
      <c r="RBK124" s="0"/>
      <c r="RBL124" s="0"/>
      <c r="RBM124" s="0"/>
      <c r="RBN124" s="0"/>
      <c r="RBO124" s="0"/>
      <c r="RBP124" s="0"/>
      <c r="RBQ124" s="0"/>
      <c r="RBR124" s="0"/>
      <c r="RBS124" s="0"/>
      <c r="RBT124" s="0"/>
      <c r="RBU124" s="0"/>
      <c r="RBV124" s="0"/>
      <c r="RBW124" s="0"/>
      <c r="RBX124" s="0"/>
      <c r="RBY124" s="0"/>
      <c r="RBZ124" s="0"/>
      <c r="RCA124" s="0"/>
      <c r="RCB124" s="0"/>
      <c r="RCC124" s="0"/>
      <c r="RCD124" s="0"/>
      <c r="RCE124" s="0"/>
      <c r="RCF124" s="0"/>
      <c r="RCG124" s="0"/>
      <c r="RCH124" s="0"/>
      <c r="RCI124" s="0"/>
      <c r="RCJ124" s="0"/>
      <c r="RCK124" s="0"/>
      <c r="RCL124" s="0"/>
      <c r="RCM124" s="0"/>
      <c r="RCN124" s="0"/>
      <c r="RCO124" s="0"/>
      <c r="RCP124" s="0"/>
      <c r="RCQ124" s="0"/>
      <c r="RCR124" s="0"/>
      <c r="RCS124" s="0"/>
      <c r="RCT124" s="0"/>
      <c r="RCU124" s="0"/>
      <c r="RCV124" s="0"/>
      <c r="RCW124" s="0"/>
      <c r="RCX124" s="0"/>
      <c r="RCY124" s="0"/>
      <c r="RCZ124" s="0"/>
      <c r="RDA124" s="0"/>
      <c r="RDB124" s="0"/>
      <c r="RDC124" s="0"/>
      <c r="RDD124" s="0"/>
      <c r="RDE124" s="0"/>
      <c r="RDF124" s="0"/>
      <c r="RDG124" s="0"/>
      <c r="RDH124" s="0"/>
      <c r="RDI124" s="0"/>
      <c r="RDJ124" s="0"/>
      <c r="RDK124" s="0"/>
      <c r="RDL124" s="0"/>
      <c r="RDM124" s="0"/>
      <c r="RDN124" s="0"/>
      <c r="RDO124" s="0"/>
      <c r="RDP124" s="0"/>
      <c r="RDQ124" s="0"/>
      <c r="RDR124" s="0"/>
      <c r="RDS124" s="0"/>
      <c r="RDT124" s="0"/>
      <c r="RDU124" s="0"/>
      <c r="RDV124" s="0"/>
      <c r="RDW124" s="0"/>
      <c r="RDX124" s="0"/>
      <c r="RDY124" s="0"/>
      <c r="RDZ124" s="0"/>
      <c r="REA124" s="0"/>
      <c r="REB124" s="0"/>
      <c r="REC124" s="0"/>
      <c r="RED124" s="0"/>
      <c r="REE124" s="0"/>
      <c r="REF124" s="0"/>
      <c r="REG124" s="0"/>
      <c r="REH124" s="0"/>
      <c r="REI124" s="0"/>
      <c r="REJ124" s="0"/>
      <c r="REK124" s="0"/>
      <c r="REL124" s="0"/>
      <c r="REM124" s="0"/>
      <c r="REN124" s="0"/>
      <c r="REO124" s="0"/>
      <c r="REP124" s="0"/>
      <c r="REQ124" s="0"/>
      <c r="RER124" s="0"/>
      <c r="RES124" s="0"/>
      <c r="RET124" s="0"/>
      <c r="REU124" s="0"/>
      <c r="REV124" s="0"/>
      <c r="REW124" s="0"/>
      <c r="REX124" s="0"/>
      <c r="REY124" s="0"/>
      <c r="REZ124" s="0"/>
      <c r="RFA124" s="0"/>
      <c r="RFB124" s="0"/>
      <c r="RFC124" s="0"/>
      <c r="RFD124" s="0"/>
      <c r="RFE124" s="0"/>
      <c r="RFF124" s="0"/>
      <c r="RFG124" s="0"/>
      <c r="RFH124" s="0"/>
      <c r="RFI124" s="0"/>
      <c r="RFJ124" s="0"/>
      <c r="RFK124" s="0"/>
      <c r="RFL124" s="0"/>
      <c r="RFM124" s="0"/>
      <c r="RFN124" s="0"/>
      <c r="RFO124" s="0"/>
      <c r="RFP124" s="0"/>
      <c r="RFQ124" s="0"/>
      <c r="RFR124" s="0"/>
      <c r="RFS124" s="0"/>
      <c r="RFT124" s="0"/>
      <c r="RFU124" s="0"/>
      <c r="RFV124" s="0"/>
      <c r="RFW124" s="0"/>
      <c r="RFX124" s="0"/>
      <c r="RFY124" s="0"/>
      <c r="RFZ124" s="0"/>
      <c r="RGA124" s="0"/>
      <c r="RGB124" s="0"/>
      <c r="RGC124" s="0"/>
      <c r="RGD124" s="0"/>
      <c r="RGE124" s="0"/>
      <c r="RGF124" s="0"/>
      <c r="RGG124" s="0"/>
      <c r="RGH124" s="0"/>
      <c r="RGI124" s="0"/>
      <c r="RGJ124" s="0"/>
      <c r="RGK124" s="0"/>
      <c r="RGL124" s="0"/>
      <c r="RGM124" s="0"/>
      <c r="RGN124" s="0"/>
      <c r="RGO124" s="0"/>
      <c r="RGP124" s="0"/>
      <c r="RGQ124" s="0"/>
      <c r="RGR124" s="0"/>
      <c r="RGS124" s="0"/>
      <c r="RGT124" s="0"/>
      <c r="RGU124" s="0"/>
      <c r="RGV124" s="0"/>
      <c r="RGW124" s="0"/>
      <c r="RGX124" s="0"/>
      <c r="RGY124" s="0"/>
      <c r="RGZ124" s="0"/>
      <c r="RHA124" s="0"/>
      <c r="RHB124" s="0"/>
      <c r="RHC124" s="0"/>
      <c r="RHD124" s="0"/>
      <c r="RHE124" s="0"/>
      <c r="RHF124" s="0"/>
      <c r="RHG124" s="0"/>
      <c r="RHH124" s="0"/>
      <c r="RHI124" s="0"/>
      <c r="RHJ124" s="0"/>
      <c r="RHK124" s="0"/>
      <c r="RHL124" s="0"/>
      <c r="RHM124" s="0"/>
      <c r="RHN124" s="0"/>
      <c r="RHO124" s="0"/>
      <c r="RHP124" s="0"/>
      <c r="RHQ124" s="0"/>
      <c r="RHR124" s="0"/>
      <c r="RHS124" s="0"/>
      <c r="RHT124" s="0"/>
      <c r="RHU124" s="0"/>
      <c r="RHV124" s="0"/>
      <c r="RHW124" s="0"/>
      <c r="RHX124" s="0"/>
      <c r="RHY124" s="0"/>
      <c r="RHZ124" s="0"/>
      <c r="RIA124" s="0"/>
      <c r="RIB124" s="0"/>
      <c r="RIC124" s="0"/>
      <c r="RID124" s="0"/>
      <c r="RIE124" s="0"/>
      <c r="RIF124" s="0"/>
      <c r="RIG124" s="0"/>
      <c r="RIH124" s="0"/>
      <c r="RII124" s="0"/>
      <c r="RIJ124" s="0"/>
      <c r="RIK124" s="0"/>
      <c r="RIL124" s="0"/>
      <c r="RIM124" s="0"/>
      <c r="RIN124" s="0"/>
      <c r="RIO124" s="0"/>
      <c r="RIP124" s="0"/>
      <c r="RIQ124" s="0"/>
      <c r="RIR124" s="0"/>
      <c r="RIS124" s="0"/>
      <c r="RIT124" s="0"/>
      <c r="RIU124" s="0"/>
      <c r="RIV124" s="0"/>
      <c r="RIW124" s="0"/>
      <c r="RIX124" s="0"/>
      <c r="RIY124" s="0"/>
      <c r="RIZ124" s="0"/>
      <c r="RJA124" s="0"/>
      <c r="RJB124" s="0"/>
      <c r="RJC124" s="0"/>
      <c r="RJD124" s="0"/>
      <c r="RJE124" s="0"/>
      <c r="RJF124" s="0"/>
      <c r="RJG124" s="0"/>
      <c r="RJH124" s="0"/>
      <c r="RJI124" s="0"/>
      <c r="RJJ124" s="0"/>
      <c r="RJK124" s="0"/>
      <c r="RJL124" s="0"/>
      <c r="RJM124" s="0"/>
      <c r="RJN124" s="0"/>
      <c r="RJO124" s="0"/>
      <c r="RJP124" s="0"/>
      <c r="RJQ124" s="0"/>
      <c r="RJR124" s="0"/>
      <c r="RJS124" s="0"/>
      <c r="RJT124" s="0"/>
      <c r="RJU124" s="0"/>
      <c r="RJV124" s="0"/>
      <c r="RJW124" s="0"/>
      <c r="RJX124" s="0"/>
      <c r="RJY124" s="0"/>
      <c r="RJZ124" s="0"/>
      <c r="RKA124" s="0"/>
      <c r="RKB124" s="0"/>
      <c r="RKC124" s="0"/>
      <c r="RKD124" s="0"/>
      <c r="RKE124" s="0"/>
      <c r="RKF124" s="0"/>
      <c r="RKG124" s="0"/>
      <c r="RKH124" s="0"/>
      <c r="RKI124" s="0"/>
      <c r="RKJ124" s="0"/>
      <c r="RKK124" s="0"/>
      <c r="RKL124" s="0"/>
      <c r="RKM124" s="0"/>
      <c r="RKN124" s="0"/>
      <c r="RKO124" s="0"/>
      <c r="RKP124" s="0"/>
      <c r="RKQ124" s="0"/>
      <c r="RKR124" s="0"/>
      <c r="RKS124" s="0"/>
      <c r="RKT124" s="0"/>
      <c r="RKU124" s="0"/>
      <c r="RKV124" s="0"/>
      <c r="RKW124" s="0"/>
      <c r="RKX124" s="0"/>
      <c r="RKY124" s="0"/>
      <c r="RKZ124" s="0"/>
      <c r="RLA124" s="0"/>
      <c r="RLB124" s="0"/>
      <c r="RLC124" s="0"/>
      <c r="RLD124" s="0"/>
      <c r="RLE124" s="0"/>
      <c r="RLF124" s="0"/>
      <c r="RLG124" s="0"/>
      <c r="RLH124" s="0"/>
      <c r="RLI124" s="0"/>
      <c r="RLJ124" s="0"/>
      <c r="RLK124" s="0"/>
      <c r="RLL124" s="0"/>
      <c r="RLM124" s="0"/>
      <c r="RLN124" s="0"/>
      <c r="RLO124" s="0"/>
      <c r="RLP124" s="0"/>
      <c r="RLQ124" s="0"/>
      <c r="RLR124" s="0"/>
      <c r="RLS124" s="0"/>
      <c r="RLT124" s="0"/>
      <c r="RLU124" s="0"/>
      <c r="RLV124" s="0"/>
      <c r="RLW124" s="0"/>
      <c r="RLX124" s="0"/>
      <c r="RLY124" s="0"/>
      <c r="RLZ124" s="0"/>
      <c r="RMA124" s="0"/>
      <c r="RMB124" s="0"/>
      <c r="RMC124" s="0"/>
      <c r="RMD124" s="0"/>
      <c r="RME124" s="0"/>
      <c r="RMF124" s="0"/>
      <c r="RMG124" s="0"/>
      <c r="RMH124" s="0"/>
      <c r="RMI124" s="0"/>
      <c r="RMJ124" s="0"/>
      <c r="RMK124" s="0"/>
      <c r="RML124" s="0"/>
      <c r="RMM124" s="0"/>
      <c r="RMN124" s="0"/>
      <c r="RMO124" s="0"/>
      <c r="RMP124" s="0"/>
      <c r="RMQ124" s="0"/>
      <c r="RMR124" s="0"/>
      <c r="RMS124" s="0"/>
      <c r="RMT124" s="0"/>
      <c r="RMU124" s="0"/>
      <c r="RMV124" s="0"/>
      <c r="RMW124" s="0"/>
      <c r="RMX124" s="0"/>
      <c r="RMY124" s="0"/>
      <c r="RMZ124" s="0"/>
      <c r="RNA124" s="0"/>
      <c r="RNB124" s="0"/>
      <c r="RNC124" s="0"/>
      <c r="RND124" s="0"/>
      <c r="RNE124" s="0"/>
      <c r="RNF124" s="0"/>
      <c r="RNG124" s="0"/>
      <c r="RNH124" s="0"/>
      <c r="RNI124" s="0"/>
      <c r="RNJ124" s="0"/>
      <c r="RNK124" s="0"/>
      <c r="RNL124" s="0"/>
      <c r="RNM124" s="0"/>
      <c r="RNN124" s="0"/>
      <c r="RNO124" s="0"/>
      <c r="RNP124" s="0"/>
      <c r="RNQ124" s="0"/>
      <c r="RNR124" s="0"/>
      <c r="RNS124" s="0"/>
      <c r="RNT124" s="0"/>
      <c r="RNU124" s="0"/>
      <c r="RNV124" s="0"/>
      <c r="RNW124" s="0"/>
      <c r="RNX124" s="0"/>
      <c r="RNY124" s="0"/>
      <c r="RNZ124" s="0"/>
      <c r="ROA124" s="0"/>
      <c r="ROB124" s="0"/>
      <c r="ROC124" s="0"/>
      <c r="ROD124" s="0"/>
      <c r="ROE124" s="0"/>
      <c r="ROF124" s="0"/>
      <c r="ROG124" s="0"/>
      <c r="ROH124" s="0"/>
      <c r="ROI124" s="0"/>
      <c r="ROJ124" s="0"/>
      <c r="ROK124" s="0"/>
      <c r="ROL124" s="0"/>
      <c r="ROM124" s="0"/>
      <c r="RON124" s="0"/>
      <c r="ROO124" s="0"/>
      <c r="ROP124" s="0"/>
      <c r="ROQ124" s="0"/>
      <c r="ROR124" s="0"/>
      <c r="ROS124" s="0"/>
      <c r="ROT124" s="0"/>
      <c r="ROU124" s="0"/>
      <c r="ROV124" s="0"/>
      <c r="ROW124" s="0"/>
      <c r="ROX124" s="0"/>
      <c r="ROY124" s="0"/>
      <c r="ROZ124" s="0"/>
      <c r="RPA124" s="0"/>
      <c r="RPB124" s="0"/>
      <c r="RPC124" s="0"/>
      <c r="RPD124" s="0"/>
      <c r="RPE124" s="0"/>
      <c r="RPF124" s="0"/>
      <c r="RPG124" s="0"/>
      <c r="RPH124" s="0"/>
      <c r="RPI124" s="0"/>
      <c r="RPJ124" s="0"/>
      <c r="RPK124" s="0"/>
      <c r="RPL124" s="0"/>
      <c r="RPM124" s="0"/>
      <c r="RPN124" s="0"/>
      <c r="RPO124" s="0"/>
      <c r="RPP124" s="0"/>
      <c r="RPQ124" s="0"/>
      <c r="RPR124" s="0"/>
      <c r="RPS124" s="0"/>
      <c r="RPT124" s="0"/>
      <c r="RPU124" s="0"/>
      <c r="RPV124" s="0"/>
      <c r="RPW124" s="0"/>
      <c r="RPX124" s="0"/>
      <c r="RPY124" s="0"/>
      <c r="RPZ124" s="0"/>
      <c r="RQA124" s="0"/>
      <c r="RQB124" s="0"/>
      <c r="RQC124" s="0"/>
      <c r="RQD124" s="0"/>
      <c r="RQE124" s="0"/>
      <c r="RQF124" s="0"/>
      <c r="RQG124" s="0"/>
      <c r="RQH124" s="0"/>
      <c r="RQI124" s="0"/>
      <c r="RQJ124" s="0"/>
      <c r="RQK124" s="0"/>
      <c r="RQL124" s="0"/>
      <c r="RQM124" s="0"/>
      <c r="RQN124" s="0"/>
      <c r="RQO124" s="0"/>
      <c r="RQP124" s="0"/>
      <c r="RQQ124" s="0"/>
      <c r="RQR124" s="0"/>
      <c r="RQS124" s="0"/>
      <c r="RQT124" s="0"/>
      <c r="RQU124" s="0"/>
      <c r="RQV124" s="0"/>
      <c r="RQW124" s="0"/>
      <c r="RQX124" s="0"/>
      <c r="RQY124" s="0"/>
      <c r="RQZ124" s="0"/>
      <c r="RRA124" s="0"/>
      <c r="RRB124" s="0"/>
      <c r="RRC124" s="0"/>
      <c r="RRD124" s="0"/>
      <c r="RRE124" s="0"/>
      <c r="RRF124" s="0"/>
      <c r="RRG124" s="0"/>
      <c r="RRH124" s="0"/>
      <c r="RRI124" s="0"/>
      <c r="RRJ124" s="0"/>
      <c r="RRK124" s="0"/>
      <c r="RRL124" s="0"/>
      <c r="RRM124" s="0"/>
      <c r="RRN124" s="0"/>
      <c r="RRO124" s="0"/>
      <c r="RRP124" s="0"/>
      <c r="RRQ124" s="0"/>
      <c r="RRR124" s="0"/>
      <c r="RRS124" s="0"/>
      <c r="RRT124" s="0"/>
      <c r="RRU124" s="0"/>
      <c r="RRV124" s="0"/>
      <c r="RRW124" s="0"/>
      <c r="RRX124" s="0"/>
      <c r="RRY124" s="0"/>
      <c r="RRZ124" s="0"/>
      <c r="RSA124" s="0"/>
      <c r="RSB124" s="0"/>
      <c r="RSC124" s="0"/>
      <c r="RSD124" s="0"/>
      <c r="RSE124" s="0"/>
      <c r="RSF124" s="0"/>
      <c r="RSG124" s="0"/>
      <c r="RSH124" s="0"/>
      <c r="RSI124" s="0"/>
      <c r="RSJ124" s="0"/>
      <c r="RSK124" s="0"/>
      <c r="RSL124" s="0"/>
      <c r="RSM124" s="0"/>
      <c r="RSN124" s="0"/>
      <c r="RSO124" s="0"/>
      <c r="RSP124" s="0"/>
      <c r="RSQ124" s="0"/>
      <c r="RSR124" s="0"/>
      <c r="RSS124" s="0"/>
      <c r="RST124" s="0"/>
      <c r="RSU124" s="0"/>
      <c r="RSV124" s="0"/>
      <c r="RSW124" s="0"/>
      <c r="RSX124" s="0"/>
      <c r="RSY124" s="0"/>
      <c r="RSZ124" s="0"/>
      <c r="RTA124" s="0"/>
      <c r="RTB124" s="0"/>
      <c r="RTC124" s="0"/>
      <c r="RTD124" s="0"/>
      <c r="RTE124" s="0"/>
      <c r="RTF124" s="0"/>
      <c r="RTG124" s="0"/>
      <c r="RTH124" s="0"/>
      <c r="RTI124" s="0"/>
      <c r="RTJ124" s="0"/>
      <c r="RTK124" s="0"/>
      <c r="RTL124" s="0"/>
      <c r="RTM124" s="0"/>
      <c r="RTN124" s="0"/>
      <c r="RTO124" s="0"/>
      <c r="RTP124" s="0"/>
      <c r="RTQ124" s="0"/>
      <c r="RTR124" s="0"/>
      <c r="RTS124" s="0"/>
      <c r="RTT124" s="0"/>
      <c r="RTU124" s="0"/>
      <c r="RTV124" s="0"/>
      <c r="RTW124" s="0"/>
      <c r="RTX124" s="0"/>
      <c r="RTY124" s="0"/>
      <c r="RTZ124" s="0"/>
      <c r="RUA124" s="0"/>
      <c r="RUB124" s="0"/>
      <c r="RUC124" s="0"/>
      <c r="RUD124" s="0"/>
      <c r="RUE124" s="0"/>
      <c r="RUF124" s="0"/>
      <c r="RUG124" s="0"/>
      <c r="RUH124" s="0"/>
      <c r="RUI124" s="0"/>
      <c r="RUJ124" s="0"/>
      <c r="RUK124" s="0"/>
      <c r="RUL124" s="0"/>
      <c r="RUM124" s="0"/>
      <c r="RUN124" s="0"/>
      <c r="RUO124" s="0"/>
      <c r="RUP124" s="0"/>
      <c r="RUQ124" s="0"/>
      <c r="RUR124" s="0"/>
      <c r="RUS124" s="0"/>
      <c r="RUT124" s="0"/>
      <c r="RUU124" s="0"/>
      <c r="RUV124" s="0"/>
      <c r="RUW124" s="0"/>
      <c r="RUX124" s="0"/>
      <c r="RUY124" s="0"/>
      <c r="RUZ124" s="0"/>
      <c r="RVA124" s="0"/>
      <c r="RVB124" s="0"/>
      <c r="RVC124" s="0"/>
      <c r="RVD124" s="0"/>
      <c r="RVE124" s="0"/>
      <c r="RVF124" s="0"/>
      <c r="RVG124" s="0"/>
      <c r="RVH124" s="0"/>
      <c r="RVI124" s="0"/>
      <c r="RVJ124" s="0"/>
      <c r="RVK124" s="0"/>
      <c r="RVL124" s="0"/>
      <c r="RVM124" s="0"/>
      <c r="RVN124" s="0"/>
      <c r="RVO124" s="0"/>
      <c r="RVP124" s="0"/>
      <c r="RVQ124" s="0"/>
      <c r="RVR124" s="0"/>
      <c r="RVS124" s="0"/>
      <c r="RVT124" s="0"/>
      <c r="RVU124" s="0"/>
      <c r="RVV124" s="0"/>
      <c r="RVW124" s="0"/>
      <c r="RVX124" s="0"/>
      <c r="RVY124" s="0"/>
      <c r="RVZ124" s="0"/>
      <c r="RWA124" s="0"/>
      <c r="RWB124" s="0"/>
      <c r="RWC124" s="0"/>
      <c r="RWD124" s="0"/>
      <c r="RWE124" s="0"/>
      <c r="RWF124" s="0"/>
      <c r="RWG124" s="0"/>
      <c r="RWH124" s="0"/>
      <c r="RWI124" s="0"/>
      <c r="RWJ124" s="0"/>
      <c r="RWK124" s="0"/>
      <c r="RWL124" s="0"/>
      <c r="RWM124" s="0"/>
      <c r="RWN124" s="0"/>
      <c r="RWO124" s="0"/>
      <c r="RWP124" s="0"/>
      <c r="RWQ124" s="0"/>
      <c r="RWR124" s="0"/>
      <c r="RWS124" s="0"/>
      <c r="RWT124" s="0"/>
      <c r="RWU124" s="0"/>
      <c r="RWV124" s="0"/>
      <c r="RWW124" s="0"/>
      <c r="RWX124" s="0"/>
      <c r="RWY124" s="0"/>
      <c r="RWZ124" s="0"/>
      <c r="RXA124" s="0"/>
      <c r="RXB124" s="0"/>
      <c r="RXC124" s="0"/>
      <c r="RXD124" s="0"/>
      <c r="RXE124" s="0"/>
      <c r="RXF124" s="0"/>
      <c r="RXG124" s="0"/>
      <c r="RXH124" s="0"/>
      <c r="RXI124" s="0"/>
      <c r="RXJ124" s="0"/>
      <c r="RXK124" s="0"/>
      <c r="RXL124" s="0"/>
      <c r="RXM124" s="0"/>
      <c r="RXN124" s="0"/>
      <c r="RXO124" s="0"/>
      <c r="RXP124" s="0"/>
      <c r="RXQ124" s="0"/>
      <c r="RXR124" s="0"/>
      <c r="RXS124" s="0"/>
      <c r="RXT124" s="0"/>
      <c r="RXU124" s="0"/>
      <c r="RXV124" s="0"/>
      <c r="RXW124" s="0"/>
      <c r="RXX124" s="0"/>
      <c r="RXY124" s="0"/>
      <c r="RXZ124" s="0"/>
      <c r="RYA124" s="0"/>
      <c r="RYB124" s="0"/>
      <c r="RYC124" s="0"/>
      <c r="RYD124" s="0"/>
      <c r="RYE124" s="0"/>
      <c r="RYF124" s="0"/>
      <c r="RYG124" s="0"/>
      <c r="RYH124" s="0"/>
      <c r="RYI124" s="0"/>
      <c r="RYJ124" s="0"/>
      <c r="RYK124" s="0"/>
      <c r="RYL124" s="0"/>
      <c r="RYM124" s="0"/>
      <c r="RYN124" s="0"/>
      <c r="RYO124" s="0"/>
      <c r="RYP124" s="0"/>
      <c r="RYQ124" s="0"/>
      <c r="RYR124" s="0"/>
      <c r="RYS124" s="0"/>
      <c r="RYT124" s="0"/>
      <c r="RYU124" s="0"/>
      <c r="RYV124" s="0"/>
      <c r="RYW124" s="0"/>
      <c r="RYX124" s="0"/>
      <c r="RYY124" s="0"/>
      <c r="RYZ124" s="0"/>
      <c r="RZA124" s="0"/>
      <c r="RZB124" s="0"/>
      <c r="RZC124" s="0"/>
      <c r="RZD124" s="0"/>
      <c r="RZE124" s="0"/>
      <c r="RZF124" s="0"/>
      <c r="RZG124" s="0"/>
      <c r="RZH124" s="0"/>
      <c r="RZI124" s="0"/>
      <c r="RZJ124" s="0"/>
      <c r="RZK124" s="0"/>
      <c r="RZL124" s="0"/>
      <c r="RZM124" s="0"/>
      <c r="RZN124" s="0"/>
      <c r="RZO124" s="0"/>
      <c r="RZP124" s="0"/>
      <c r="RZQ124" s="0"/>
      <c r="RZR124" s="0"/>
      <c r="RZS124" s="0"/>
      <c r="RZT124" s="0"/>
      <c r="RZU124" s="0"/>
      <c r="RZV124" s="0"/>
      <c r="RZW124" s="0"/>
      <c r="RZX124" s="0"/>
      <c r="RZY124" s="0"/>
      <c r="RZZ124" s="0"/>
      <c r="SAA124" s="0"/>
      <c r="SAB124" s="0"/>
      <c r="SAC124" s="0"/>
      <c r="SAD124" s="0"/>
      <c r="SAE124" s="0"/>
      <c r="SAF124" s="0"/>
      <c r="SAG124" s="0"/>
      <c r="SAH124" s="0"/>
      <c r="SAI124" s="0"/>
      <c r="SAJ124" s="0"/>
      <c r="SAK124" s="0"/>
      <c r="SAL124" s="0"/>
      <c r="SAM124" s="0"/>
      <c r="SAN124" s="0"/>
      <c r="SAO124" s="0"/>
      <c r="SAP124" s="0"/>
      <c r="SAQ124" s="0"/>
      <c r="SAR124" s="0"/>
      <c r="SAS124" s="0"/>
      <c r="SAT124" s="0"/>
      <c r="SAU124" s="0"/>
      <c r="SAV124" s="0"/>
      <c r="SAW124" s="0"/>
      <c r="SAX124" s="0"/>
      <c r="SAY124" s="0"/>
      <c r="SAZ124" s="0"/>
      <c r="SBA124" s="0"/>
      <c r="SBB124" s="0"/>
      <c r="SBC124" s="0"/>
      <c r="SBD124" s="0"/>
      <c r="SBE124" s="0"/>
      <c r="SBF124" s="0"/>
      <c r="SBG124" s="0"/>
      <c r="SBH124" s="0"/>
      <c r="SBI124" s="0"/>
      <c r="SBJ124" s="0"/>
      <c r="SBK124" s="0"/>
      <c r="SBL124" s="0"/>
      <c r="SBM124" s="0"/>
      <c r="SBN124" s="0"/>
      <c r="SBO124" s="0"/>
      <c r="SBP124" s="0"/>
      <c r="SBQ124" s="0"/>
      <c r="SBR124" s="0"/>
      <c r="SBS124" s="0"/>
      <c r="SBT124" s="0"/>
      <c r="SBU124" s="0"/>
      <c r="SBV124" s="0"/>
      <c r="SBW124" s="0"/>
      <c r="SBX124" s="0"/>
      <c r="SBY124" s="0"/>
      <c r="SBZ124" s="0"/>
      <c r="SCA124" s="0"/>
      <c r="SCB124" s="0"/>
      <c r="SCC124" s="0"/>
      <c r="SCD124" s="0"/>
      <c r="SCE124" s="0"/>
      <c r="SCF124" s="0"/>
      <c r="SCG124" s="0"/>
      <c r="SCH124" s="0"/>
      <c r="SCI124" s="0"/>
      <c r="SCJ124" s="0"/>
      <c r="SCK124" s="0"/>
      <c r="SCL124" s="0"/>
      <c r="SCM124" s="0"/>
      <c r="SCN124" s="0"/>
      <c r="SCO124" s="0"/>
      <c r="SCP124" s="0"/>
      <c r="SCQ124" s="0"/>
      <c r="SCR124" s="0"/>
      <c r="SCS124" s="0"/>
      <c r="SCT124" s="0"/>
      <c r="SCU124" s="0"/>
      <c r="SCV124" s="0"/>
      <c r="SCW124" s="0"/>
      <c r="SCX124" s="0"/>
      <c r="SCY124" s="0"/>
      <c r="SCZ124" s="0"/>
      <c r="SDA124" s="0"/>
      <c r="SDB124" s="0"/>
      <c r="SDC124" s="0"/>
      <c r="SDD124" s="0"/>
      <c r="SDE124" s="0"/>
      <c r="SDF124" s="0"/>
      <c r="SDG124" s="0"/>
      <c r="SDH124" s="0"/>
      <c r="SDI124" s="0"/>
      <c r="SDJ124" s="0"/>
      <c r="SDK124" s="0"/>
      <c r="SDL124" s="0"/>
      <c r="SDM124" s="0"/>
      <c r="SDN124" s="0"/>
      <c r="SDO124" s="0"/>
      <c r="SDP124" s="0"/>
      <c r="SDQ124" s="0"/>
      <c r="SDR124" s="0"/>
      <c r="SDS124" s="0"/>
      <c r="SDT124" s="0"/>
      <c r="SDU124" s="0"/>
      <c r="SDV124" s="0"/>
      <c r="SDW124" s="0"/>
      <c r="SDX124" s="0"/>
      <c r="SDY124" s="0"/>
      <c r="SDZ124" s="0"/>
      <c r="SEA124" s="0"/>
      <c r="SEB124" s="0"/>
      <c r="SEC124" s="0"/>
      <c r="SED124" s="0"/>
      <c r="SEE124" s="0"/>
      <c r="SEF124" s="0"/>
      <c r="SEG124" s="0"/>
      <c r="SEH124" s="0"/>
      <c r="SEI124" s="0"/>
      <c r="SEJ124" s="0"/>
      <c r="SEK124" s="0"/>
      <c r="SEL124" s="0"/>
      <c r="SEM124" s="0"/>
      <c r="SEN124" s="0"/>
      <c r="SEO124" s="0"/>
      <c r="SEP124" s="0"/>
      <c r="SEQ124" s="0"/>
      <c r="SER124" s="0"/>
      <c r="SES124" s="0"/>
      <c r="SET124" s="0"/>
      <c r="SEU124" s="0"/>
      <c r="SEV124" s="0"/>
      <c r="SEW124" s="0"/>
      <c r="SEX124" s="0"/>
      <c r="SEY124" s="0"/>
      <c r="SEZ124" s="0"/>
      <c r="SFA124" s="0"/>
      <c r="SFB124" s="0"/>
      <c r="SFC124" s="0"/>
      <c r="SFD124" s="0"/>
      <c r="SFE124" s="0"/>
      <c r="SFF124" s="0"/>
      <c r="SFG124" s="0"/>
      <c r="SFH124" s="0"/>
      <c r="SFI124" s="0"/>
      <c r="SFJ124" s="0"/>
      <c r="SFK124" s="0"/>
      <c r="SFL124" s="0"/>
      <c r="SFM124" s="0"/>
      <c r="SFN124" s="0"/>
      <c r="SFO124" s="0"/>
      <c r="SFP124" s="0"/>
      <c r="SFQ124" s="0"/>
      <c r="SFR124" s="0"/>
      <c r="SFS124" s="0"/>
      <c r="SFT124" s="0"/>
      <c r="SFU124" s="0"/>
      <c r="SFV124" s="0"/>
      <c r="SFW124" s="0"/>
      <c r="SFX124" s="0"/>
      <c r="SFY124" s="0"/>
      <c r="SFZ124" s="0"/>
      <c r="SGA124" s="0"/>
      <c r="SGB124" s="0"/>
      <c r="SGC124" s="0"/>
      <c r="SGD124" s="0"/>
      <c r="SGE124" s="0"/>
      <c r="SGF124" s="0"/>
      <c r="SGG124" s="0"/>
      <c r="SGH124" s="0"/>
      <c r="SGI124" s="0"/>
      <c r="SGJ124" s="0"/>
      <c r="SGK124" s="0"/>
      <c r="SGL124" s="0"/>
      <c r="SGM124" s="0"/>
      <c r="SGN124" s="0"/>
      <c r="SGO124" s="0"/>
      <c r="SGP124" s="0"/>
      <c r="SGQ124" s="0"/>
      <c r="SGR124" s="0"/>
      <c r="SGS124" s="0"/>
      <c r="SGT124" s="0"/>
      <c r="SGU124" s="0"/>
      <c r="SGV124" s="0"/>
      <c r="SGW124" s="0"/>
      <c r="SGX124" s="0"/>
      <c r="SGY124" s="0"/>
      <c r="SGZ124" s="0"/>
      <c r="SHA124" s="0"/>
      <c r="SHB124" s="0"/>
      <c r="SHC124" s="0"/>
      <c r="SHD124" s="0"/>
      <c r="SHE124" s="0"/>
      <c r="SHF124" s="0"/>
      <c r="SHG124" s="0"/>
      <c r="SHH124" s="0"/>
      <c r="SHI124" s="0"/>
      <c r="SHJ124" s="0"/>
      <c r="SHK124" s="0"/>
      <c r="SHL124" s="0"/>
      <c r="SHM124" s="0"/>
      <c r="SHN124" s="0"/>
      <c r="SHO124" s="0"/>
      <c r="SHP124" s="0"/>
      <c r="SHQ124" s="0"/>
      <c r="SHR124" s="0"/>
      <c r="SHS124" s="0"/>
      <c r="SHT124" s="0"/>
      <c r="SHU124" s="0"/>
      <c r="SHV124" s="0"/>
      <c r="SHW124" s="0"/>
      <c r="SHX124" s="0"/>
      <c r="SHY124" s="0"/>
      <c r="SHZ124" s="0"/>
      <c r="SIA124" s="0"/>
      <c r="SIB124" s="0"/>
      <c r="SIC124" s="0"/>
      <c r="SID124" s="0"/>
      <c r="SIE124" s="0"/>
      <c r="SIF124" s="0"/>
      <c r="SIG124" s="0"/>
      <c r="SIH124" s="0"/>
      <c r="SII124" s="0"/>
      <c r="SIJ124" s="0"/>
      <c r="SIK124" s="0"/>
      <c r="SIL124" s="0"/>
      <c r="SIM124" s="0"/>
      <c r="SIN124" s="0"/>
      <c r="SIO124" s="0"/>
      <c r="SIP124" s="0"/>
      <c r="SIQ124" s="0"/>
      <c r="SIR124" s="0"/>
      <c r="SIS124" s="0"/>
      <c r="SIT124" s="0"/>
      <c r="SIU124" s="0"/>
      <c r="SIV124" s="0"/>
      <c r="SIW124" s="0"/>
      <c r="SIX124" s="0"/>
      <c r="SIY124" s="0"/>
      <c r="SIZ124" s="0"/>
      <c r="SJA124" s="0"/>
      <c r="SJB124" s="0"/>
      <c r="SJC124" s="0"/>
      <c r="SJD124" s="0"/>
      <c r="SJE124" s="0"/>
      <c r="SJF124" s="0"/>
      <c r="SJG124" s="0"/>
      <c r="SJH124" s="0"/>
      <c r="SJI124" s="0"/>
      <c r="SJJ124" s="0"/>
      <c r="SJK124" s="0"/>
      <c r="SJL124" s="0"/>
      <c r="SJM124" s="0"/>
      <c r="SJN124" s="0"/>
      <c r="SJO124" s="0"/>
      <c r="SJP124" s="0"/>
      <c r="SJQ124" s="0"/>
      <c r="SJR124" s="0"/>
      <c r="SJS124" s="0"/>
      <c r="SJT124" s="0"/>
      <c r="SJU124" s="0"/>
      <c r="SJV124" s="0"/>
      <c r="SJW124" s="0"/>
      <c r="SJX124" s="0"/>
      <c r="SJY124" s="0"/>
      <c r="SJZ124" s="0"/>
      <c r="SKA124" s="0"/>
      <c r="SKB124" s="0"/>
      <c r="SKC124" s="0"/>
      <c r="SKD124" s="0"/>
      <c r="SKE124" s="0"/>
      <c r="SKF124" s="0"/>
      <c r="SKG124" s="0"/>
      <c r="SKH124" s="0"/>
      <c r="SKI124" s="0"/>
      <c r="SKJ124" s="0"/>
      <c r="SKK124" s="0"/>
      <c r="SKL124" s="0"/>
      <c r="SKM124" s="0"/>
      <c r="SKN124" s="0"/>
      <c r="SKO124" s="0"/>
      <c r="SKP124" s="0"/>
      <c r="SKQ124" s="0"/>
      <c r="SKR124" s="0"/>
      <c r="SKS124" s="0"/>
      <c r="SKT124" s="0"/>
      <c r="SKU124" s="0"/>
      <c r="SKV124" s="0"/>
      <c r="SKW124" s="0"/>
      <c r="SKX124" s="0"/>
      <c r="SKY124" s="0"/>
      <c r="SKZ124" s="0"/>
      <c r="SLA124" s="0"/>
      <c r="SLB124" s="0"/>
      <c r="SLC124" s="0"/>
      <c r="SLD124" s="0"/>
      <c r="SLE124" s="0"/>
      <c r="SLF124" s="0"/>
      <c r="SLG124" s="0"/>
      <c r="SLH124" s="0"/>
      <c r="SLI124" s="0"/>
      <c r="SLJ124" s="0"/>
      <c r="SLK124" s="0"/>
      <c r="SLL124" s="0"/>
      <c r="SLM124" s="0"/>
      <c r="SLN124" s="0"/>
      <c r="SLO124" s="0"/>
      <c r="SLP124" s="0"/>
      <c r="SLQ124" s="0"/>
      <c r="SLR124" s="0"/>
      <c r="SLS124" s="0"/>
      <c r="SLT124" s="0"/>
      <c r="SLU124" s="0"/>
      <c r="SLV124" s="0"/>
      <c r="SLW124" s="0"/>
      <c r="SLX124" s="0"/>
      <c r="SLY124" s="0"/>
      <c r="SLZ124" s="0"/>
      <c r="SMA124" s="0"/>
      <c r="SMB124" s="0"/>
      <c r="SMC124" s="0"/>
      <c r="SMD124" s="0"/>
      <c r="SME124" s="0"/>
      <c r="SMF124" s="0"/>
      <c r="SMG124" s="0"/>
      <c r="SMH124" s="0"/>
      <c r="SMI124" s="0"/>
      <c r="SMJ124" s="0"/>
      <c r="SMK124" s="0"/>
      <c r="SML124" s="0"/>
      <c r="SMM124" s="0"/>
      <c r="SMN124" s="0"/>
      <c r="SMO124" s="0"/>
      <c r="SMP124" s="0"/>
      <c r="SMQ124" s="0"/>
      <c r="SMR124" s="0"/>
      <c r="SMS124" s="0"/>
      <c r="SMT124" s="0"/>
      <c r="SMU124" s="0"/>
      <c r="SMV124" s="0"/>
      <c r="SMW124" s="0"/>
      <c r="SMX124" s="0"/>
      <c r="SMY124" s="0"/>
      <c r="SMZ124" s="0"/>
      <c r="SNA124" s="0"/>
      <c r="SNB124" s="0"/>
      <c r="SNC124" s="0"/>
      <c r="SND124" s="0"/>
      <c r="SNE124" s="0"/>
      <c r="SNF124" s="0"/>
      <c r="SNG124" s="0"/>
      <c r="SNH124" s="0"/>
      <c r="SNI124" s="0"/>
      <c r="SNJ124" s="0"/>
      <c r="SNK124" s="0"/>
      <c r="SNL124" s="0"/>
      <c r="SNM124" s="0"/>
      <c r="SNN124" s="0"/>
      <c r="SNO124" s="0"/>
      <c r="SNP124" s="0"/>
      <c r="SNQ124" s="0"/>
      <c r="SNR124" s="0"/>
      <c r="SNS124" s="0"/>
      <c r="SNT124" s="0"/>
      <c r="SNU124" s="0"/>
      <c r="SNV124" s="0"/>
      <c r="SNW124" s="0"/>
      <c r="SNX124" s="0"/>
      <c r="SNY124" s="0"/>
      <c r="SNZ124" s="0"/>
      <c r="SOA124" s="0"/>
      <c r="SOB124" s="0"/>
      <c r="SOC124" s="0"/>
      <c r="SOD124" s="0"/>
      <c r="SOE124" s="0"/>
      <c r="SOF124" s="0"/>
      <c r="SOG124" s="0"/>
      <c r="SOH124" s="0"/>
      <c r="SOI124" s="0"/>
      <c r="SOJ124" s="0"/>
      <c r="SOK124" s="0"/>
      <c r="SOL124" s="0"/>
      <c r="SOM124" s="0"/>
      <c r="SON124" s="0"/>
      <c r="SOO124" s="0"/>
      <c r="SOP124" s="0"/>
      <c r="SOQ124" s="0"/>
      <c r="SOR124" s="0"/>
      <c r="SOS124" s="0"/>
      <c r="SOT124" s="0"/>
      <c r="SOU124" s="0"/>
      <c r="SOV124" s="0"/>
      <c r="SOW124" s="0"/>
      <c r="SOX124" s="0"/>
      <c r="SOY124" s="0"/>
      <c r="SOZ124" s="0"/>
      <c r="SPA124" s="0"/>
      <c r="SPB124" s="0"/>
      <c r="SPC124" s="0"/>
      <c r="SPD124" s="0"/>
      <c r="SPE124" s="0"/>
      <c r="SPF124" s="0"/>
      <c r="SPG124" s="0"/>
      <c r="SPH124" s="0"/>
      <c r="SPI124" s="0"/>
      <c r="SPJ124" s="0"/>
      <c r="SPK124" s="0"/>
      <c r="SPL124" s="0"/>
      <c r="SPM124" s="0"/>
      <c r="SPN124" s="0"/>
      <c r="SPO124" s="0"/>
      <c r="SPP124" s="0"/>
      <c r="SPQ124" s="0"/>
      <c r="SPR124" s="0"/>
      <c r="SPS124" s="0"/>
      <c r="SPT124" s="0"/>
      <c r="SPU124" s="0"/>
      <c r="SPV124" s="0"/>
      <c r="SPW124" s="0"/>
      <c r="SPX124" s="0"/>
      <c r="SPY124" s="0"/>
      <c r="SPZ124" s="0"/>
      <c r="SQA124" s="0"/>
      <c r="SQB124" s="0"/>
      <c r="SQC124" s="0"/>
      <c r="SQD124" s="0"/>
      <c r="SQE124" s="0"/>
      <c r="SQF124" s="0"/>
      <c r="SQG124" s="0"/>
      <c r="SQH124" s="0"/>
      <c r="SQI124" s="0"/>
      <c r="SQJ124" s="0"/>
      <c r="SQK124" s="0"/>
      <c r="SQL124" s="0"/>
      <c r="SQM124" s="0"/>
      <c r="SQN124" s="0"/>
      <c r="SQO124" s="0"/>
      <c r="SQP124" s="0"/>
      <c r="SQQ124" s="0"/>
      <c r="SQR124" s="0"/>
      <c r="SQS124" s="0"/>
      <c r="SQT124" s="0"/>
      <c r="SQU124" s="0"/>
      <c r="SQV124" s="0"/>
      <c r="SQW124" s="0"/>
      <c r="SQX124" s="0"/>
      <c r="SQY124" s="0"/>
      <c r="SQZ124" s="0"/>
      <c r="SRA124" s="0"/>
      <c r="SRB124" s="0"/>
      <c r="SRC124" s="0"/>
      <c r="SRD124" s="0"/>
      <c r="SRE124" s="0"/>
      <c r="SRF124" s="0"/>
      <c r="SRG124" s="0"/>
      <c r="SRH124" s="0"/>
      <c r="SRI124" s="0"/>
      <c r="SRJ124" s="0"/>
      <c r="SRK124" s="0"/>
      <c r="SRL124" s="0"/>
      <c r="SRM124" s="0"/>
      <c r="SRN124" s="0"/>
      <c r="SRO124" s="0"/>
      <c r="SRP124" s="0"/>
      <c r="SRQ124" s="0"/>
      <c r="SRR124" s="0"/>
      <c r="SRS124" s="0"/>
      <c r="SRT124" s="0"/>
      <c r="SRU124" s="0"/>
      <c r="SRV124" s="0"/>
      <c r="SRW124" s="0"/>
      <c r="SRX124" s="0"/>
      <c r="SRY124" s="0"/>
      <c r="SRZ124" s="0"/>
      <c r="SSA124" s="0"/>
      <c r="SSB124" s="0"/>
      <c r="SSC124" s="0"/>
      <c r="SSD124" s="0"/>
      <c r="SSE124" s="0"/>
      <c r="SSF124" s="0"/>
      <c r="SSG124" s="0"/>
      <c r="SSH124" s="0"/>
      <c r="SSI124" s="0"/>
      <c r="SSJ124" s="0"/>
      <c r="SSK124" s="0"/>
      <c r="SSL124" s="0"/>
      <c r="SSM124" s="0"/>
      <c r="SSN124" s="0"/>
      <c r="SSO124" s="0"/>
      <c r="SSP124" s="0"/>
      <c r="SSQ124" s="0"/>
      <c r="SSR124" s="0"/>
      <c r="SSS124" s="0"/>
      <c r="SST124" s="0"/>
      <c r="SSU124" s="0"/>
      <c r="SSV124" s="0"/>
      <c r="SSW124" s="0"/>
      <c r="SSX124" s="0"/>
      <c r="SSY124" s="0"/>
      <c r="SSZ124" s="0"/>
      <c r="STA124" s="0"/>
      <c r="STB124" s="0"/>
      <c r="STC124" s="0"/>
      <c r="STD124" s="0"/>
      <c r="STE124" s="0"/>
      <c r="STF124" s="0"/>
      <c r="STG124" s="0"/>
      <c r="STH124" s="0"/>
      <c r="STI124" s="0"/>
      <c r="STJ124" s="0"/>
      <c r="STK124" s="0"/>
      <c r="STL124" s="0"/>
      <c r="STM124" s="0"/>
      <c r="STN124" s="0"/>
      <c r="STO124" s="0"/>
      <c r="STP124" s="0"/>
      <c r="STQ124" s="0"/>
      <c r="STR124" s="0"/>
      <c r="STS124" s="0"/>
      <c r="STT124" s="0"/>
      <c r="STU124" s="0"/>
      <c r="STV124" s="0"/>
      <c r="STW124" s="0"/>
      <c r="STX124" s="0"/>
      <c r="STY124" s="0"/>
      <c r="STZ124" s="0"/>
      <c r="SUA124" s="0"/>
      <c r="SUB124" s="0"/>
      <c r="SUC124" s="0"/>
      <c r="SUD124" s="0"/>
      <c r="SUE124" s="0"/>
      <c r="SUF124" s="0"/>
      <c r="SUG124" s="0"/>
      <c r="SUH124" s="0"/>
      <c r="SUI124" s="0"/>
      <c r="SUJ124" s="0"/>
      <c r="SUK124" s="0"/>
      <c r="SUL124" s="0"/>
      <c r="SUM124" s="0"/>
      <c r="SUN124" s="0"/>
      <c r="SUO124" s="0"/>
      <c r="SUP124" s="0"/>
      <c r="SUQ124" s="0"/>
      <c r="SUR124" s="0"/>
      <c r="SUS124" s="0"/>
      <c r="SUT124" s="0"/>
      <c r="SUU124" s="0"/>
      <c r="SUV124" s="0"/>
      <c r="SUW124" s="0"/>
      <c r="SUX124" s="0"/>
      <c r="SUY124" s="0"/>
      <c r="SUZ124" s="0"/>
      <c r="SVA124" s="0"/>
      <c r="SVB124" s="0"/>
      <c r="SVC124" s="0"/>
      <c r="SVD124" s="0"/>
      <c r="SVE124" s="0"/>
      <c r="SVF124" s="0"/>
      <c r="SVG124" s="0"/>
      <c r="SVH124" s="0"/>
      <c r="SVI124" s="0"/>
      <c r="SVJ124" s="0"/>
      <c r="SVK124" s="0"/>
      <c r="SVL124" s="0"/>
      <c r="SVM124" s="0"/>
      <c r="SVN124" s="0"/>
      <c r="SVO124" s="0"/>
      <c r="SVP124" s="0"/>
      <c r="SVQ124" s="0"/>
      <c r="SVR124" s="0"/>
      <c r="SVS124" s="0"/>
      <c r="SVT124" s="0"/>
      <c r="SVU124" s="0"/>
      <c r="SVV124" s="0"/>
      <c r="SVW124" s="0"/>
      <c r="SVX124" s="0"/>
      <c r="SVY124" s="0"/>
      <c r="SVZ124" s="0"/>
      <c r="SWA124" s="0"/>
      <c r="SWB124" s="0"/>
      <c r="SWC124" s="0"/>
      <c r="SWD124" s="0"/>
      <c r="SWE124" s="0"/>
      <c r="SWF124" s="0"/>
      <c r="SWG124" s="0"/>
      <c r="SWH124" s="0"/>
      <c r="SWI124" s="0"/>
      <c r="SWJ124" s="0"/>
      <c r="SWK124" s="0"/>
      <c r="SWL124" s="0"/>
      <c r="SWM124" s="0"/>
      <c r="SWN124" s="0"/>
      <c r="SWO124" s="0"/>
      <c r="SWP124" s="0"/>
      <c r="SWQ124" s="0"/>
      <c r="SWR124" s="0"/>
      <c r="SWS124" s="0"/>
      <c r="SWT124" s="0"/>
      <c r="SWU124" s="0"/>
      <c r="SWV124" s="0"/>
      <c r="SWW124" s="0"/>
      <c r="SWX124" s="0"/>
      <c r="SWY124" s="0"/>
      <c r="SWZ124" s="0"/>
      <c r="SXA124" s="0"/>
      <c r="SXB124" s="0"/>
      <c r="SXC124" s="0"/>
      <c r="SXD124" s="0"/>
      <c r="SXE124" s="0"/>
      <c r="SXF124" s="0"/>
      <c r="SXG124" s="0"/>
      <c r="SXH124" s="0"/>
      <c r="SXI124" s="0"/>
      <c r="SXJ124" s="0"/>
      <c r="SXK124" s="0"/>
      <c r="SXL124" s="0"/>
      <c r="SXM124" s="0"/>
      <c r="SXN124" s="0"/>
      <c r="SXO124" s="0"/>
      <c r="SXP124" s="0"/>
      <c r="SXQ124" s="0"/>
      <c r="SXR124" s="0"/>
      <c r="SXS124" s="0"/>
      <c r="SXT124" s="0"/>
      <c r="SXU124" s="0"/>
      <c r="SXV124" s="0"/>
      <c r="SXW124" s="0"/>
      <c r="SXX124" s="0"/>
      <c r="SXY124" s="0"/>
      <c r="SXZ124" s="0"/>
      <c r="SYA124" s="0"/>
      <c r="SYB124" s="0"/>
      <c r="SYC124" s="0"/>
      <c r="SYD124" s="0"/>
      <c r="SYE124" s="0"/>
      <c r="SYF124" s="0"/>
      <c r="SYG124" s="0"/>
      <c r="SYH124" s="0"/>
      <c r="SYI124" s="0"/>
      <c r="SYJ124" s="0"/>
      <c r="SYK124" s="0"/>
      <c r="SYL124" s="0"/>
      <c r="SYM124" s="0"/>
      <c r="SYN124" s="0"/>
      <c r="SYO124" s="0"/>
      <c r="SYP124" s="0"/>
      <c r="SYQ124" s="0"/>
      <c r="SYR124" s="0"/>
      <c r="SYS124" s="0"/>
      <c r="SYT124" s="0"/>
      <c r="SYU124" s="0"/>
      <c r="SYV124" s="0"/>
      <c r="SYW124" s="0"/>
      <c r="SYX124" s="0"/>
      <c r="SYY124" s="0"/>
      <c r="SYZ124" s="0"/>
      <c r="SZA124" s="0"/>
      <c r="SZB124" s="0"/>
      <c r="SZC124" s="0"/>
      <c r="SZD124" s="0"/>
      <c r="SZE124" s="0"/>
      <c r="SZF124" s="0"/>
      <c r="SZG124" s="0"/>
      <c r="SZH124" s="0"/>
      <c r="SZI124" s="0"/>
      <c r="SZJ124" s="0"/>
      <c r="SZK124" s="0"/>
      <c r="SZL124" s="0"/>
      <c r="SZM124" s="0"/>
      <c r="SZN124" s="0"/>
      <c r="SZO124" s="0"/>
      <c r="SZP124" s="0"/>
      <c r="SZQ124" s="0"/>
      <c r="SZR124" s="0"/>
      <c r="SZS124" s="0"/>
      <c r="SZT124" s="0"/>
      <c r="SZU124" s="0"/>
      <c r="SZV124" s="0"/>
      <c r="SZW124" s="0"/>
      <c r="SZX124" s="0"/>
      <c r="SZY124" s="0"/>
      <c r="SZZ124" s="0"/>
      <c r="TAA124" s="0"/>
      <c r="TAB124" s="0"/>
      <c r="TAC124" s="0"/>
      <c r="TAD124" s="0"/>
      <c r="TAE124" s="0"/>
      <c r="TAF124" s="0"/>
      <c r="TAG124" s="0"/>
      <c r="TAH124" s="0"/>
      <c r="TAI124" s="0"/>
      <c r="TAJ124" s="0"/>
      <c r="TAK124" s="0"/>
      <c r="TAL124" s="0"/>
      <c r="TAM124" s="0"/>
      <c r="TAN124" s="0"/>
      <c r="TAO124" s="0"/>
      <c r="TAP124" s="0"/>
      <c r="TAQ124" s="0"/>
      <c r="TAR124" s="0"/>
      <c r="TAS124" s="0"/>
      <c r="TAT124" s="0"/>
      <c r="TAU124" s="0"/>
      <c r="TAV124" s="0"/>
      <c r="TAW124" s="0"/>
      <c r="TAX124" s="0"/>
      <c r="TAY124" s="0"/>
      <c r="TAZ124" s="0"/>
      <c r="TBA124" s="0"/>
      <c r="TBB124" s="0"/>
      <c r="TBC124" s="0"/>
      <c r="TBD124" s="0"/>
      <c r="TBE124" s="0"/>
      <c r="TBF124" s="0"/>
      <c r="TBG124" s="0"/>
      <c r="TBH124" s="0"/>
      <c r="TBI124" s="0"/>
      <c r="TBJ124" s="0"/>
      <c r="TBK124" s="0"/>
      <c r="TBL124" s="0"/>
      <c r="TBM124" s="0"/>
      <c r="TBN124" s="0"/>
      <c r="TBO124" s="0"/>
      <c r="TBP124" s="0"/>
      <c r="TBQ124" s="0"/>
      <c r="TBR124" s="0"/>
      <c r="TBS124" s="0"/>
      <c r="TBT124" s="0"/>
      <c r="TBU124" s="0"/>
      <c r="TBV124" s="0"/>
      <c r="TBW124" s="0"/>
      <c r="TBX124" s="0"/>
      <c r="TBY124" s="0"/>
      <c r="TBZ124" s="0"/>
      <c r="TCA124" s="0"/>
      <c r="TCB124" s="0"/>
      <c r="TCC124" s="0"/>
      <c r="TCD124" s="0"/>
      <c r="TCE124" s="0"/>
      <c r="TCF124" s="0"/>
      <c r="TCG124" s="0"/>
      <c r="TCH124" s="0"/>
      <c r="TCI124" s="0"/>
      <c r="TCJ124" s="0"/>
      <c r="TCK124" s="0"/>
      <c r="TCL124" s="0"/>
      <c r="TCM124" s="0"/>
      <c r="TCN124" s="0"/>
      <c r="TCO124" s="0"/>
      <c r="TCP124" s="0"/>
      <c r="TCQ124" s="0"/>
      <c r="TCR124" s="0"/>
      <c r="TCS124" s="0"/>
      <c r="TCT124" s="0"/>
      <c r="TCU124" s="0"/>
      <c r="TCV124" s="0"/>
      <c r="TCW124" s="0"/>
      <c r="TCX124" s="0"/>
      <c r="TCY124" s="0"/>
      <c r="TCZ124" s="0"/>
      <c r="TDA124" s="0"/>
      <c r="TDB124" s="0"/>
      <c r="TDC124" s="0"/>
      <c r="TDD124" s="0"/>
      <c r="TDE124" s="0"/>
      <c r="TDF124" s="0"/>
      <c r="TDG124" s="0"/>
      <c r="TDH124" s="0"/>
      <c r="TDI124" s="0"/>
      <c r="TDJ124" s="0"/>
      <c r="TDK124" s="0"/>
      <c r="TDL124" s="0"/>
      <c r="TDM124" s="0"/>
      <c r="TDN124" s="0"/>
      <c r="TDO124" s="0"/>
      <c r="TDP124" s="0"/>
      <c r="TDQ124" s="0"/>
      <c r="TDR124" s="0"/>
      <c r="TDS124" s="0"/>
      <c r="TDT124" s="0"/>
      <c r="TDU124" s="0"/>
      <c r="TDV124" s="0"/>
      <c r="TDW124" s="0"/>
      <c r="TDX124" s="0"/>
      <c r="TDY124" s="0"/>
      <c r="TDZ124" s="0"/>
      <c r="TEA124" s="0"/>
      <c r="TEB124" s="0"/>
      <c r="TEC124" s="0"/>
      <c r="TED124" s="0"/>
      <c r="TEE124" s="0"/>
      <c r="TEF124" s="0"/>
      <c r="TEG124" s="0"/>
      <c r="TEH124" s="0"/>
      <c r="TEI124" s="0"/>
      <c r="TEJ124" s="0"/>
      <c r="TEK124" s="0"/>
      <c r="TEL124" s="0"/>
      <c r="TEM124" s="0"/>
      <c r="TEN124" s="0"/>
      <c r="TEO124" s="0"/>
      <c r="TEP124" s="0"/>
      <c r="TEQ124" s="0"/>
      <c r="TER124" s="0"/>
      <c r="TES124" s="0"/>
      <c r="TET124" s="0"/>
      <c r="TEU124" s="0"/>
      <c r="TEV124" s="0"/>
      <c r="TEW124" s="0"/>
      <c r="TEX124" s="0"/>
      <c r="TEY124" s="0"/>
      <c r="TEZ124" s="0"/>
      <c r="TFA124" s="0"/>
      <c r="TFB124" s="0"/>
      <c r="TFC124" s="0"/>
      <c r="TFD124" s="0"/>
      <c r="TFE124" s="0"/>
      <c r="TFF124" s="0"/>
      <c r="TFG124" s="0"/>
      <c r="TFH124" s="0"/>
      <c r="TFI124" s="0"/>
      <c r="TFJ124" s="0"/>
      <c r="TFK124" s="0"/>
      <c r="TFL124" s="0"/>
      <c r="TFM124" s="0"/>
      <c r="TFN124" s="0"/>
      <c r="TFO124" s="0"/>
      <c r="TFP124" s="0"/>
      <c r="TFQ124" s="0"/>
      <c r="TFR124" s="0"/>
      <c r="TFS124" s="0"/>
      <c r="TFT124" s="0"/>
      <c r="TFU124" s="0"/>
      <c r="TFV124" s="0"/>
      <c r="TFW124" s="0"/>
      <c r="TFX124" s="0"/>
      <c r="TFY124" s="0"/>
      <c r="TFZ124" s="0"/>
      <c r="TGA124" s="0"/>
      <c r="TGB124" s="0"/>
      <c r="TGC124" s="0"/>
      <c r="TGD124" s="0"/>
      <c r="TGE124" s="0"/>
      <c r="TGF124" s="0"/>
      <c r="TGG124" s="0"/>
      <c r="TGH124" s="0"/>
      <c r="TGI124" s="0"/>
      <c r="TGJ124" s="0"/>
      <c r="TGK124" s="0"/>
      <c r="TGL124" s="0"/>
      <c r="TGM124" s="0"/>
      <c r="TGN124" s="0"/>
      <c r="TGO124" s="0"/>
      <c r="TGP124" s="0"/>
      <c r="TGQ124" s="0"/>
      <c r="TGR124" s="0"/>
      <c r="TGS124" s="0"/>
      <c r="TGT124" s="0"/>
      <c r="TGU124" s="0"/>
      <c r="TGV124" s="0"/>
      <c r="TGW124" s="0"/>
      <c r="TGX124" s="0"/>
      <c r="TGY124" s="0"/>
      <c r="TGZ124" s="0"/>
      <c r="THA124" s="0"/>
      <c r="THB124" s="0"/>
      <c r="THC124" s="0"/>
      <c r="THD124" s="0"/>
      <c r="THE124" s="0"/>
      <c r="THF124" s="0"/>
      <c r="THG124" s="0"/>
      <c r="THH124" s="0"/>
      <c r="THI124" s="0"/>
      <c r="THJ124" s="0"/>
      <c r="THK124" s="0"/>
      <c r="THL124" s="0"/>
      <c r="THM124" s="0"/>
      <c r="THN124" s="0"/>
      <c r="THO124" s="0"/>
      <c r="THP124" s="0"/>
      <c r="THQ124" s="0"/>
      <c r="THR124" s="0"/>
      <c r="THS124" s="0"/>
      <c r="THT124" s="0"/>
      <c r="THU124" s="0"/>
      <c r="THV124" s="0"/>
      <c r="THW124" s="0"/>
      <c r="THX124" s="0"/>
      <c r="THY124" s="0"/>
      <c r="THZ124" s="0"/>
      <c r="TIA124" s="0"/>
      <c r="TIB124" s="0"/>
      <c r="TIC124" s="0"/>
      <c r="TID124" s="0"/>
      <c r="TIE124" s="0"/>
      <c r="TIF124" s="0"/>
      <c r="TIG124" s="0"/>
      <c r="TIH124" s="0"/>
      <c r="TII124" s="0"/>
      <c r="TIJ124" s="0"/>
      <c r="TIK124" s="0"/>
      <c r="TIL124" s="0"/>
      <c r="TIM124" s="0"/>
      <c r="TIN124" s="0"/>
      <c r="TIO124" s="0"/>
      <c r="TIP124" s="0"/>
      <c r="TIQ124" s="0"/>
      <c r="TIR124" s="0"/>
      <c r="TIS124" s="0"/>
      <c r="TIT124" s="0"/>
      <c r="TIU124" s="0"/>
      <c r="TIV124" s="0"/>
      <c r="TIW124" s="0"/>
      <c r="TIX124" s="0"/>
      <c r="TIY124" s="0"/>
      <c r="TIZ124" s="0"/>
      <c r="TJA124" s="0"/>
      <c r="TJB124" s="0"/>
      <c r="TJC124" s="0"/>
      <c r="TJD124" s="0"/>
      <c r="TJE124" s="0"/>
      <c r="TJF124" s="0"/>
      <c r="TJG124" s="0"/>
      <c r="TJH124" s="0"/>
      <c r="TJI124" s="0"/>
      <c r="TJJ124" s="0"/>
      <c r="TJK124" s="0"/>
      <c r="TJL124" s="0"/>
      <c r="TJM124" s="0"/>
      <c r="TJN124" s="0"/>
      <c r="TJO124" s="0"/>
      <c r="TJP124" s="0"/>
      <c r="TJQ124" s="0"/>
      <c r="TJR124" s="0"/>
      <c r="TJS124" s="0"/>
      <c r="TJT124" s="0"/>
      <c r="TJU124" s="0"/>
      <c r="TJV124" s="0"/>
      <c r="TJW124" s="0"/>
      <c r="TJX124" s="0"/>
      <c r="TJY124" s="0"/>
      <c r="TJZ124" s="0"/>
      <c r="TKA124" s="0"/>
      <c r="TKB124" s="0"/>
      <c r="TKC124" s="0"/>
      <c r="TKD124" s="0"/>
      <c r="TKE124" s="0"/>
      <c r="TKF124" s="0"/>
      <c r="TKG124" s="0"/>
      <c r="TKH124" s="0"/>
      <c r="TKI124" s="0"/>
      <c r="TKJ124" s="0"/>
      <c r="TKK124" s="0"/>
      <c r="TKL124" s="0"/>
      <c r="TKM124" s="0"/>
      <c r="TKN124" s="0"/>
      <c r="TKO124" s="0"/>
      <c r="TKP124" s="0"/>
      <c r="TKQ124" s="0"/>
      <c r="TKR124" s="0"/>
      <c r="TKS124" s="0"/>
      <c r="TKT124" s="0"/>
      <c r="TKU124" s="0"/>
      <c r="TKV124" s="0"/>
      <c r="TKW124" s="0"/>
      <c r="TKX124" s="0"/>
      <c r="TKY124" s="0"/>
      <c r="TKZ124" s="0"/>
      <c r="TLA124" s="0"/>
      <c r="TLB124" s="0"/>
      <c r="TLC124" s="0"/>
      <c r="TLD124" s="0"/>
      <c r="TLE124" s="0"/>
      <c r="TLF124" s="0"/>
      <c r="TLG124" s="0"/>
      <c r="TLH124" s="0"/>
      <c r="TLI124" s="0"/>
      <c r="TLJ124" s="0"/>
      <c r="TLK124" s="0"/>
      <c r="TLL124" s="0"/>
      <c r="TLM124" s="0"/>
      <c r="TLN124" s="0"/>
      <c r="TLO124" s="0"/>
      <c r="TLP124" s="0"/>
      <c r="TLQ124" s="0"/>
      <c r="TLR124" s="0"/>
      <c r="TLS124" s="0"/>
      <c r="TLT124" s="0"/>
      <c r="TLU124" s="0"/>
      <c r="TLV124" s="0"/>
      <c r="TLW124" s="0"/>
      <c r="TLX124" s="0"/>
      <c r="TLY124" s="0"/>
      <c r="TLZ124" s="0"/>
      <c r="TMA124" s="0"/>
      <c r="TMB124" s="0"/>
      <c r="TMC124" s="0"/>
      <c r="TMD124" s="0"/>
      <c r="TME124" s="0"/>
      <c r="TMF124" s="0"/>
      <c r="TMG124" s="0"/>
      <c r="TMH124" s="0"/>
      <c r="TMI124" s="0"/>
      <c r="TMJ124" s="0"/>
      <c r="TMK124" s="0"/>
      <c r="TML124" s="0"/>
      <c r="TMM124" s="0"/>
      <c r="TMN124" s="0"/>
      <c r="TMO124" s="0"/>
      <c r="TMP124" s="0"/>
      <c r="TMQ124" s="0"/>
      <c r="TMR124" s="0"/>
      <c r="TMS124" s="0"/>
      <c r="TMT124" s="0"/>
      <c r="TMU124" s="0"/>
      <c r="TMV124" s="0"/>
      <c r="TMW124" s="0"/>
      <c r="TMX124" s="0"/>
      <c r="TMY124" s="0"/>
      <c r="TMZ124" s="0"/>
      <c r="TNA124" s="0"/>
      <c r="TNB124" s="0"/>
      <c r="TNC124" s="0"/>
      <c r="TND124" s="0"/>
      <c r="TNE124" s="0"/>
      <c r="TNF124" s="0"/>
      <c r="TNG124" s="0"/>
      <c r="TNH124" s="0"/>
      <c r="TNI124" s="0"/>
      <c r="TNJ124" s="0"/>
      <c r="TNK124" s="0"/>
      <c r="TNL124" s="0"/>
      <c r="TNM124" s="0"/>
      <c r="TNN124" s="0"/>
      <c r="TNO124" s="0"/>
      <c r="TNP124" s="0"/>
      <c r="TNQ124" s="0"/>
      <c r="TNR124" s="0"/>
      <c r="TNS124" s="0"/>
      <c r="TNT124" s="0"/>
      <c r="TNU124" s="0"/>
      <c r="TNV124" s="0"/>
      <c r="TNW124" s="0"/>
      <c r="TNX124" s="0"/>
      <c r="TNY124" s="0"/>
      <c r="TNZ124" s="0"/>
      <c r="TOA124" s="0"/>
      <c r="TOB124" s="0"/>
      <c r="TOC124" s="0"/>
      <c r="TOD124" s="0"/>
      <c r="TOE124" s="0"/>
      <c r="TOF124" s="0"/>
      <c r="TOG124" s="0"/>
      <c r="TOH124" s="0"/>
      <c r="TOI124" s="0"/>
      <c r="TOJ124" s="0"/>
      <c r="TOK124" s="0"/>
      <c r="TOL124" s="0"/>
      <c r="TOM124" s="0"/>
      <c r="TON124" s="0"/>
      <c r="TOO124" s="0"/>
      <c r="TOP124" s="0"/>
      <c r="TOQ124" s="0"/>
      <c r="TOR124" s="0"/>
      <c r="TOS124" s="0"/>
      <c r="TOT124" s="0"/>
      <c r="TOU124" s="0"/>
      <c r="TOV124" s="0"/>
      <c r="TOW124" s="0"/>
      <c r="TOX124" s="0"/>
      <c r="TOY124" s="0"/>
      <c r="TOZ124" s="0"/>
      <c r="TPA124" s="0"/>
      <c r="TPB124" s="0"/>
      <c r="TPC124" s="0"/>
      <c r="TPD124" s="0"/>
      <c r="TPE124" s="0"/>
      <c r="TPF124" s="0"/>
      <c r="TPG124" s="0"/>
      <c r="TPH124" s="0"/>
      <c r="TPI124" s="0"/>
      <c r="TPJ124" s="0"/>
      <c r="TPK124" s="0"/>
      <c r="TPL124" s="0"/>
      <c r="TPM124" s="0"/>
      <c r="TPN124" s="0"/>
      <c r="TPO124" s="0"/>
      <c r="TPP124" s="0"/>
      <c r="TPQ124" s="0"/>
      <c r="TPR124" s="0"/>
      <c r="TPS124" s="0"/>
      <c r="TPT124" s="0"/>
      <c r="TPU124" s="0"/>
      <c r="TPV124" s="0"/>
      <c r="TPW124" s="0"/>
      <c r="TPX124" s="0"/>
      <c r="TPY124" s="0"/>
      <c r="TPZ124" s="0"/>
      <c r="TQA124" s="0"/>
      <c r="TQB124" s="0"/>
      <c r="TQC124" s="0"/>
      <c r="TQD124" s="0"/>
      <c r="TQE124" s="0"/>
      <c r="TQF124" s="0"/>
      <c r="TQG124" s="0"/>
      <c r="TQH124" s="0"/>
      <c r="TQI124" s="0"/>
      <c r="TQJ124" s="0"/>
      <c r="TQK124" s="0"/>
      <c r="TQL124" s="0"/>
      <c r="TQM124" s="0"/>
      <c r="TQN124" s="0"/>
      <c r="TQO124" s="0"/>
      <c r="TQP124" s="0"/>
      <c r="TQQ124" s="0"/>
      <c r="TQR124" s="0"/>
      <c r="TQS124" s="0"/>
      <c r="TQT124" s="0"/>
      <c r="TQU124" s="0"/>
      <c r="TQV124" s="0"/>
      <c r="TQW124" s="0"/>
      <c r="TQX124" s="0"/>
      <c r="TQY124" s="0"/>
      <c r="TQZ124" s="0"/>
      <c r="TRA124" s="0"/>
      <c r="TRB124" s="0"/>
      <c r="TRC124" s="0"/>
      <c r="TRD124" s="0"/>
      <c r="TRE124" s="0"/>
      <c r="TRF124" s="0"/>
      <c r="TRG124" s="0"/>
      <c r="TRH124" s="0"/>
      <c r="TRI124" s="0"/>
      <c r="TRJ124" s="0"/>
      <c r="TRK124" s="0"/>
      <c r="TRL124" s="0"/>
      <c r="TRM124" s="0"/>
      <c r="TRN124" s="0"/>
      <c r="TRO124" s="0"/>
      <c r="TRP124" s="0"/>
      <c r="TRQ124" s="0"/>
      <c r="TRR124" s="0"/>
      <c r="TRS124" s="0"/>
      <c r="TRT124" s="0"/>
      <c r="TRU124" s="0"/>
      <c r="TRV124" s="0"/>
      <c r="TRW124" s="0"/>
      <c r="TRX124" s="0"/>
      <c r="TRY124" s="0"/>
      <c r="TRZ124" s="0"/>
      <c r="TSA124" s="0"/>
      <c r="TSB124" s="0"/>
      <c r="TSC124" s="0"/>
      <c r="TSD124" s="0"/>
      <c r="TSE124" s="0"/>
      <c r="TSF124" s="0"/>
      <c r="TSG124" s="0"/>
      <c r="TSH124" s="0"/>
      <c r="TSI124" s="0"/>
      <c r="TSJ124" s="0"/>
      <c r="TSK124" s="0"/>
      <c r="TSL124" s="0"/>
      <c r="TSM124" s="0"/>
      <c r="TSN124" s="0"/>
      <c r="TSO124" s="0"/>
      <c r="TSP124" s="0"/>
      <c r="TSQ124" s="0"/>
      <c r="TSR124" s="0"/>
      <c r="TSS124" s="0"/>
      <c r="TST124" s="0"/>
      <c r="TSU124" s="0"/>
      <c r="TSV124" s="0"/>
      <c r="TSW124" s="0"/>
      <c r="TSX124" s="0"/>
      <c r="TSY124" s="0"/>
      <c r="TSZ124" s="0"/>
      <c r="TTA124" s="0"/>
      <c r="TTB124" s="0"/>
      <c r="TTC124" s="0"/>
      <c r="TTD124" s="0"/>
      <c r="TTE124" s="0"/>
      <c r="TTF124" s="0"/>
      <c r="TTG124" s="0"/>
      <c r="TTH124" s="0"/>
      <c r="TTI124" s="0"/>
      <c r="TTJ124" s="0"/>
      <c r="TTK124" s="0"/>
      <c r="TTL124" s="0"/>
      <c r="TTM124" s="0"/>
      <c r="TTN124" s="0"/>
      <c r="TTO124" s="0"/>
      <c r="TTP124" s="0"/>
      <c r="TTQ124" s="0"/>
      <c r="TTR124" s="0"/>
      <c r="TTS124" s="0"/>
      <c r="TTT124" s="0"/>
      <c r="TTU124" s="0"/>
      <c r="TTV124" s="0"/>
      <c r="TTW124" s="0"/>
      <c r="TTX124" s="0"/>
      <c r="TTY124" s="0"/>
      <c r="TTZ124" s="0"/>
      <c r="TUA124" s="0"/>
      <c r="TUB124" s="0"/>
      <c r="TUC124" s="0"/>
      <c r="TUD124" s="0"/>
      <c r="TUE124" s="0"/>
      <c r="TUF124" s="0"/>
      <c r="TUG124" s="0"/>
      <c r="TUH124" s="0"/>
      <c r="TUI124" s="0"/>
      <c r="TUJ124" s="0"/>
      <c r="TUK124" s="0"/>
      <c r="TUL124" s="0"/>
      <c r="TUM124" s="0"/>
      <c r="TUN124" s="0"/>
      <c r="TUO124" s="0"/>
      <c r="TUP124" s="0"/>
      <c r="TUQ124" s="0"/>
      <c r="TUR124" s="0"/>
      <c r="TUS124" s="0"/>
      <c r="TUT124" s="0"/>
      <c r="TUU124" s="0"/>
      <c r="TUV124" s="0"/>
      <c r="TUW124" s="0"/>
      <c r="TUX124" s="0"/>
      <c r="TUY124" s="0"/>
      <c r="TUZ124" s="0"/>
      <c r="TVA124" s="0"/>
      <c r="TVB124" s="0"/>
      <c r="TVC124" s="0"/>
      <c r="TVD124" s="0"/>
      <c r="TVE124" s="0"/>
      <c r="TVF124" s="0"/>
      <c r="TVG124" s="0"/>
      <c r="TVH124" s="0"/>
      <c r="TVI124" s="0"/>
      <c r="TVJ124" s="0"/>
      <c r="TVK124" s="0"/>
      <c r="TVL124" s="0"/>
      <c r="TVM124" s="0"/>
      <c r="TVN124" s="0"/>
      <c r="TVO124" s="0"/>
      <c r="TVP124" s="0"/>
      <c r="TVQ124" s="0"/>
      <c r="TVR124" s="0"/>
      <c r="TVS124" s="0"/>
      <c r="TVT124" s="0"/>
      <c r="TVU124" s="0"/>
      <c r="TVV124" s="0"/>
      <c r="TVW124" s="0"/>
      <c r="TVX124" s="0"/>
      <c r="TVY124" s="0"/>
      <c r="TVZ124" s="0"/>
      <c r="TWA124" s="0"/>
      <c r="TWB124" s="0"/>
      <c r="TWC124" s="0"/>
      <c r="TWD124" s="0"/>
      <c r="TWE124" s="0"/>
      <c r="TWF124" s="0"/>
      <c r="TWG124" s="0"/>
      <c r="TWH124" s="0"/>
      <c r="TWI124" s="0"/>
      <c r="TWJ124" s="0"/>
      <c r="TWK124" s="0"/>
      <c r="TWL124" s="0"/>
      <c r="TWM124" s="0"/>
      <c r="TWN124" s="0"/>
      <c r="TWO124" s="0"/>
      <c r="TWP124" s="0"/>
      <c r="TWQ124" s="0"/>
      <c r="TWR124" s="0"/>
      <c r="TWS124" s="0"/>
      <c r="TWT124" s="0"/>
      <c r="TWU124" s="0"/>
      <c r="TWV124" s="0"/>
      <c r="TWW124" s="0"/>
      <c r="TWX124" s="0"/>
      <c r="TWY124" s="0"/>
      <c r="TWZ124" s="0"/>
      <c r="TXA124" s="0"/>
      <c r="TXB124" s="0"/>
      <c r="TXC124" s="0"/>
      <c r="TXD124" s="0"/>
      <c r="TXE124" s="0"/>
      <c r="TXF124" s="0"/>
      <c r="TXG124" s="0"/>
      <c r="TXH124" s="0"/>
      <c r="TXI124" s="0"/>
      <c r="TXJ124" s="0"/>
      <c r="TXK124" s="0"/>
      <c r="TXL124" s="0"/>
      <c r="TXM124" s="0"/>
      <c r="TXN124" s="0"/>
      <c r="TXO124" s="0"/>
      <c r="TXP124" s="0"/>
      <c r="TXQ124" s="0"/>
      <c r="TXR124" s="0"/>
      <c r="TXS124" s="0"/>
      <c r="TXT124" s="0"/>
      <c r="TXU124" s="0"/>
      <c r="TXV124" s="0"/>
      <c r="TXW124" s="0"/>
      <c r="TXX124" s="0"/>
      <c r="TXY124" s="0"/>
      <c r="TXZ124" s="0"/>
      <c r="TYA124" s="0"/>
      <c r="TYB124" s="0"/>
      <c r="TYC124" s="0"/>
      <c r="TYD124" s="0"/>
      <c r="TYE124" s="0"/>
      <c r="TYF124" s="0"/>
      <c r="TYG124" s="0"/>
      <c r="TYH124" s="0"/>
      <c r="TYI124" s="0"/>
      <c r="TYJ124" s="0"/>
      <c r="TYK124" s="0"/>
      <c r="TYL124" s="0"/>
      <c r="TYM124" s="0"/>
      <c r="TYN124" s="0"/>
      <c r="TYO124" s="0"/>
      <c r="TYP124" s="0"/>
      <c r="TYQ124" s="0"/>
      <c r="TYR124" s="0"/>
      <c r="TYS124" s="0"/>
      <c r="TYT124" s="0"/>
      <c r="TYU124" s="0"/>
      <c r="TYV124" s="0"/>
      <c r="TYW124" s="0"/>
      <c r="TYX124" s="0"/>
      <c r="TYY124" s="0"/>
      <c r="TYZ124" s="0"/>
      <c r="TZA124" s="0"/>
      <c r="TZB124" s="0"/>
      <c r="TZC124" s="0"/>
      <c r="TZD124" s="0"/>
      <c r="TZE124" s="0"/>
      <c r="TZF124" s="0"/>
      <c r="TZG124" s="0"/>
      <c r="TZH124" s="0"/>
      <c r="TZI124" s="0"/>
      <c r="TZJ124" s="0"/>
      <c r="TZK124" s="0"/>
      <c r="TZL124" s="0"/>
      <c r="TZM124" s="0"/>
      <c r="TZN124" s="0"/>
      <c r="TZO124" s="0"/>
      <c r="TZP124" s="0"/>
      <c r="TZQ124" s="0"/>
      <c r="TZR124" s="0"/>
      <c r="TZS124" s="0"/>
      <c r="TZT124" s="0"/>
      <c r="TZU124" s="0"/>
      <c r="TZV124" s="0"/>
      <c r="TZW124" s="0"/>
      <c r="TZX124" s="0"/>
      <c r="TZY124" s="0"/>
      <c r="TZZ124" s="0"/>
      <c r="UAA124" s="0"/>
      <c r="UAB124" s="0"/>
      <c r="UAC124" s="0"/>
      <c r="UAD124" s="0"/>
      <c r="UAE124" s="0"/>
      <c r="UAF124" s="0"/>
      <c r="UAG124" s="0"/>
      <c r="UAH124" s="0"/>
      <c r="UAI124" s="0"/>
      <c r="UAJ124" s="0"/>
      <c r="UAK124" s="0"/>
      <c r="UAL124" s="0"/>
      <c r="UAM124" s="0"/>
      <c r="UAN124" s="0"/>
      <c r="UAO124" s="0"/>
      <c r="UAP124" s="0"/>
      <c r="UAQ124" s="0"/>
      <c r="UAR124" s="0"/>
      <c r="UAS124" s="0"/>
      <c r="UAT124" s="0"/>
      <c r="UAU124" s="0"/>
      <c r="UAV124" s="0"/>
      <c r="UAW124" s="0"/>
      <c r="UAX124" s="0"/>
      <c r="UAY124" s="0"/>
      <c r="UAZ124" s="0"/>
      <c r="UBA124" s="0"/>
      <c r="UBB124" s="0"/>
      <c r="UBC124" s="0"/>
      <c r="UBD124" s="0"/>
      <c r="UBE124" s="0"/>
      <c r="UBF124" s="0"/>
      <c r="UBG124" s="0"/>
      <c r="UBH124" s="0"/>
      <c r="UBI124" s="0"/>
      <c r="UBJ124" s="0"/>
      <c r="UBK124" s="0"/>
      <c r="UBL124" s="0"/>
      <c r="UBM124" s="0"/>
      <c r="UBN124" s="0"/>
      <c r="UBO124" s="0"/>
      <c r="UBP124" s="0"/>
      <c r="UBQ124" s="0"/>
      <c r="UBR124" s="0"/>
      <c r="UBS124" s="0"/>
      <c r="UBT124" s="0"/>
      <c r="UBU124" s="0"/>
      <c r="UBV124" s="0"/>
      <c r="UBW124" s="0"/>
      <c r="UBX124" s="0"/>
      <c r="UBY124" s="0"/>
      <c r="UBZ124" s="0"/>
      <c r="UCA124" s="0"/>
      <c r="UCB124" s="0"/>
      <c r="UCC124" s="0"/>
      <c r="UCD124" s="0"/>
      <c r="UCE124" s="0"/>
      <c r="UCF124" s="0"/>
      <c r="UCG124" s="0"/>
      <c r="UCH124" s="0"/>
      <c r="UCI124" s="0"/>
      <c r="UCJ124" s="0"/>
      <c r="UCK124" s="0"/>
      <c r="UCL124" s="0"/>
      <c r="UCM124" s="0"/>
      <c r="UCN124" s="0"/>
      <c r="UCO124" s="0"/>
      <c r="UCP124" s="0"/>
      <c r="UCQ124" s="0"/>
      <c r="UCR124" s="0"/>
      <c r="UCS124" s="0"/>
      <c r="UCT124" s="0"/>
      <c r="UCU124" s="0"/>
      <c r="UCV124" s="0"/>
      <c r="UCW124" s="0"/>
      <c r="UCX124" s="0"/>
      <c r="UCY124" s="0"/>
      <c r="UCZ124" s="0"/>
      <c r="UDA124" s="0"/>
      <c r="UDB124" s="0"/>
      <c r="UDC124" s="0"/>
      <c r="UDD124" s="0"/>
      <c r="UDE124" s="0"/>
      <c r="UDF124" s="0"/>
      <c r="UDG124" s="0"/>
      <c r="UDH124" s="0"/>
      <c r="UDI124" s="0"/>
      <c r="UDJ124" s="0"/>
      <c r="UDK124" s="0"/>
      <c r="UDL124" s="0"/>
      <c r="UDM124" s="0"/>
      <c r="UDN124" s="0"/>
      <c r="UDO124" s="0"/>
      <c r="UDP124" s="0"/>
      <c r="UDQ124" s="0"/>
      <c r="UDR124" s="0"/>
      <c r="UDS124" s="0"/>
      <c r="UDT124" s="0"/>
      <c r="UDU124" s="0"/>
      <c r="UDV124" s="0"/>
      <c r="UDW124" s="0"/>
      <c r="UDX124" s="0"/>
      <c r="UDY124" s="0"/>
      <c r="UDZ124" s="0"/>
      <c r="UEA124" s="0"/>
      <c r="UEB124" s="0"/>
      <c r="UEC124" s="0"/>
      <c r="UED124" s="0"/>
      <c r="UEE124" s="0"/>
      <c r="UEF124" s="0"/>
      <c r="UEG124" s="0"/>
      <c r="UEH124" s="0"/>
      <c r="UEI124" s="0"/>
      <c r="UEJ124" s="0"/>
      <c r="UEK124" s="0"/>
      <c r="UEL124" s="0"/>
      <c r="UEM124" s="0"/>
      <c r="UEN124" s="0"/>
      <c r="UEO124" s="0"/>
      <c r="UEP124" s="0"/>
      <c r="UEQ124" s="0"/>
      <c r="UER124" s="0"/>
      <c r="UES124" s="0"/>
      <c r="UET124" s="0"/>
      <c r="UEU124" s="0"/>
      <c r="UEV124" s="0"/>
      <c r="UEW124" s="0"/>
      <c r="UEX124" s="0"/>
      <c r="UEY124" s="0"/>
      <c r="UEZ124" s="0"/>
      <c r="UFA124" s="0"/>
      <c r="UFB124" s="0"/>
      <c r="UFC124" s="0"/>
      <c r="UFD124" s="0"/>
      <c r="UFE124" s="0"/>
      <c r="UFF124" s="0"/>
      <c r="UFG124" s="0"/>
      <c r="UFH124" s="0"/>
      <c r="UFI124" s="0"/>
      <c r="UFJ124" s="0"/>
      <c r="UFK124" s="0"/>
      <c r="UFL124" s="0"/>
      <c r="UFM124" s="0"/>
      <c r="UFN124" s="0"/>
      <c r="UFO124" s="0"/>
      <c r="UFP124" s="0"/>
      <c r="UFQ124" s="0"/>
      <c r="UFR124" s="0"/>
      <c r="UFS124" s="0"/>
      <c r="UFT124" s="0"/>
      <c r="UFU124" s="0"/>
      <c r="UFV124" s="0"/>
      <c r="UFW124" s="0"/>
      <c r="UFX124" s="0"/>
      <c r="UFY124" s="0"/>
      <c r="UFZ124" s="0"/>
      <c r="UGA124" s="0"/>
      <c r="UGB124" s="0"/>
      <c r="UGC124" s="0"/>
      <c r="UGD124" s="0"/>
      <c r="UGE124" s="0"/>
      <c r="UGF124" s="0"/>
      <c r="UGG124" s="0"/>
      <c r="UGH124" s="0"/>
      <c r="UGI124" s="0"/>
      <c r="UGJ124" s="0"/>
      <c r="UGK124" s="0"/>
      <c r="UGL124" s="0"/>
      <c r="UGM124" s="0"/>
      <c r="UGN124" s="0"/>
      <c r="UGO124" s="0"/>
      <c r="UGP124" s="0"/>
      <c r="UGQ124" s="0"/>
      <c r="UGR124" s="0"/>
      <c r="UGS124" s="0"/>
      <c r="UGT124" s="0"/>
      <c r="UGU124" s="0"/>
      <c r="UGV124" s="0"/>
      <c r="UGW124" s="0"/>
      <c r="UGX124" s="0"/>
      <c r="UGY124" s="0"/>
      <c r="UGZ124" s="0"/>
      <c r="UHA124" s="0"/>
      <c r="UHB124" s="0"/>
      <c r="UHC124" s="0"/>
      <c r="UHD124" s="0"/>
      <c r="UHE124" s="0"/>
      <c r="UHF124" s="0"/>
      <c r="UHG124" s="0"/>
      <c r="UHH124" s="0"/>
      <c r="UHI124" s="0"/>
      <c r="UHJ124" s="0"/>
      <c r="UHK124" s="0"/>
      <c r="UHL124" s="0"/>
      <c r="UHM124" s="0"/>
      <c r="UHN124" s="0"/>
      <c r="UHO124" s="0"/>
      <c r="UHP124" s="0"/>
      <c r="UHQ124" s="0"/>
      <c r="UHR124" s="0"/>
      <c r="UHS124" s="0"/>
      <c r="UHT124" s="0"/>
      <c r="UHU124" s="0"/>
      <c r="UHV124" s="0"/>
      <c r="UHW124" s="0"/>
      <c r="UHX124" s="0"/>
      <c r="UHY124" s="0"/>
      <c r="UHZ124" s="0"/>
      <c r="UIA124" s="0"/>
      <c r="UIB124" s="0"/>
      <c r="UIC124" s="0"/>
      <c r="UID124" s="0"/>
      <c r="UIE124" s="0"/>
      <c r="UIF124" s="0"/>
      <c r="UIG124" s="0"/>
      <c r="UIH124" s="0"/>
      <c r="UII124" s="0"/>
      <c r="UIJ124" s="0"/>
      <c r="UIK124" s="0"/>
      <c r="UIL124" s="0"/>
      <c r="UIM124" s="0"/>
      <c r="UIN124" s="0"/>
      <c r="UIO124" s="0"/>
      <c r="UIP124" s="0"/>
      <c r="UIQ124" s="0"/>
      <c r="UIR124" s="0"/>
      <c r="UIS124" s="0"/>
      <c r="UIT124" s="0"/>
      <c r="UIU124" s="0"/>
      <c r="UIV124" s="0"/>
      <c r="UIW124" s="0"/>
      <c r="UIX124" s="0"/>
      <c r="UIY124" s="0"/>
      <c r="UIZ124" s="0"/>
      <c r="UJA124" s="0"/>
      <c r="UJB124" s="0"/>
      <c r="UJC124" s="0"/>
      <c r="UJD124" s="0"/>
      <c r="UJE124" s="0"/>
      <c r="UJF124" s="0"/>
      <c r="UJG124" s="0"/>
      <c r="UJH124" s="0"/>
      <c r="UJI124" s="0"/>
      <c r="UJJ124" s="0"/>
      <c r="UJK124" s="0"/>
      <c r="UJL124" s="0"/>
      <c r="UJM124" s="0"/>
      <c r="UJN124" s="0"/>
      <c r="UJO124" s="0"/>
      <c r="UJP124" s="0"/>
      <c r="UJQ124" s="0"/>
      <c r="UJR124" s="0"/>
      <c r="UJS124" s="0"/>
      <c r="UJT124" s="0"/>
      <c r="UJU124" s="0"/>
      <c r="UJV124" s="0"/>
      <c r="UJW124" s="0"/>
      <c r="UJX124" s="0"/>
      <c r="UJY124" s="0"/>
      <c r="UJZ124" s="0"/>
      <c r="UKA124" s="0"/>
      <c r="UKB124" s="0"/>
      <c r="UKC124" s="0"/>
      <c r="UKD124" s="0"/>
      <c r="UKE124" s="0"/>
      <c r="UKF124" s="0"/>
      <c r="UKG124" s="0"/>
      <c r="UKH124" s="0"/>
      <c r="UKI124" s="0"/>
      <c r="UKJ124" s="0"/>
      <c r="UKK124" s="0"/>
      <c r="UKL124" s="0"/>
      <c r="UKM124" s="0"/>
      <c r="UKN124" s="0"/>
      <c r="UKO124" s="0"/>
      <c r="UKP124" s="0"/>
      <c r="UKQ124" s="0"/>
      <c r="UKR124" s="0"/>
      <c r="UKS124" s="0"/>
      <c r="UKT124" s="0"/>
      <c r="UKU124" s="0"/>
      <c r="UKV124" s="0"/>
      <c r="UKW124" s="0"/>
      <c r="UKX124" s="0"/>
      <c r="UKY124" s="0"/>
      <c r="UKZ124" s="0"/>
      <c r="ULA124" s="0"/>
      <c r="ULB124" s="0"/>
      <c r="ULC124" s="0"/>
      <c r="ULD124" s="0"/>
      <c r="ULE124" s="0"/>
      <c r="ULF124" s="0"/>
      <c r="ULG124" s="0"/>
      <c r="ULH124" s="0"/>
      <c r="ULI124" s="0"/>
      <c r="ULJ124" s="0"/>
      <c r="ULK124" s="0"/>
      <c r="ULL124" s="0"/>
      <c r="ULM124" s="0"/>
      <c r="ULN124" s="0"/>
      <c r="ULO124" s="0"/>
      <c r="ULP124" s="0"/>
      <c r="ULQ124" s="0"/>
      <c r="ULR124" s="0"/>
      <c r="ULS124" s="0"/>
      <c r="ULT124" s="0"/>
      <c r="ULU124" s="0"/>
      <c r="ULV124" s="0"/>
      <c r="ULW124" s="0"/>
      <c r="ULX124" s="0"/>
      <c r="ULY124" s="0"/>
      <c r="ULZ124" s="0"/>
      <c r="UMA124" s="0"/>
      <c r="UMB124" s="0"/>
      <c r="UMC124" s="0"/>
      <c r="UMD124" s="0"/>
      <c r="UME124" s="0"/>
      <c r="UMF124" s="0"/>
      <c r="UMG124" s="0"/>
      <c r="UMH124" s="0"/>
      <c r="UMI124" s="0"/>
      <c r="UMJ124" s="0"/>
      <c r="UMK124" s="0"/>
      <c r="UML124" s="0"/>
      <c r="UMM124" s="0"/>
      <c r="UMN124" s="0"/>
      <c r="UMO124" s="0"/>
      <c r="UMP124" s="0"/>
      <c r="UMQ124" s="0"/>
      <c r="UMR124" s="0"/>
      <c r="UMS124" s="0"/>
      <c r="UMT124" s="0"/>
      <c r="UMU124" s="0"/>
      <c r="UMV124" s="0"/>
      <c r="UMW124" s="0"/>
      <c r="UMX124" s="0"/>
      <c r="UMY124" s="0"/>
      <c r="UMZ124" s="0"/>
      <c r="UNA124" s="0"/>
      <c r="UNB124" s="0"/>
      <c r="UNC124" s="0"/>
      <c r="UND124" s="0"/>
      <c r="UNE124" s="0"/>
      <c r="UNF124" s="0"/>
      <c r="UNG124" s="0"/>
      <c r="UNH124" s="0"/>
      <c r="UNI124" s="0"/>
      <c r="UNJ124" s="0"/>
      <c r="UNK124" s="0"/>
      <c r="UNL124" s="0"/>
      <c r="UNM124" s="0"/>
      <c r="UNN124" s="0"/>
      <c r="UNO124" s="0"/>
      <c r="UNP124" s="0"/>
      <c r="UNQ124" s="0"/>
      <c r="UNR124" s="0"/>
      <c r="UNS124" s="0"/>
      <c r="UNT124" s="0"/>
      <c r="UNU124" s="0"/>
      <c r="UNV124" s="0"/>
      <c r="UNW124" s="0"/>
      <c r="UNX124" s="0"/>
      <c r="UNY124" s="0"/>
      <c r="UNZ124" s="0"/>
      <c r="UOA124" s="0"/>
      <c r="UOB124" s="0"/>
      <c r="UOC124" s="0"/>
      <c r="UOD124" s="0"/>
      <c r="UOE124" s="0"/>
      <c r="UOF124" s="0"/>
      <c r="UOG124" s="0"/>
      <c r="UOH124" s="0"/>
      <c r="UOI124" s="0"/>
      <c r="UOJ124" s="0"/>
      <c r="UOK124" s="0"/>
      <c r="UOL124" s="0"/>
      <c r="UOM124" s="0"/>
      <c r="UON124" s="0"/>
      <c r="UOO124" s="0"/>
      <c r="UOP124" s="0"/>
      <c r="UOQ124" s="0"/>
      <c r="UOR124" s="0"/>
      <c r="UOS124" s="0"/>
      <c r="UOT124" s="0"/>
      <c r="UOU124" s="0"/>
      <c r="UOV124" s="0"/>
      <c r="UOW124" s="0"/>
      <c r="UOX124" s="0"/>
      <c r="UOY124" s="0"/>
      <c r="UOZ124" s="0"/>
      <c r="UPA124" s="0"/>
      <c r="UPB124" s="0"/>
      <c r="UPC124" s="0"/>
      <c r="UPD124" s="0"/>
      <c r="UPE124" s="0"/>
      <c r="UPF124" s="0"/>
      <c r="UPG124" s="0"/>
      <c r="UPH124" s="0"/>
      <c r="UPI124" s="0"/>
      <c r="UPJ124" s="0"/>
      <c r="UPK124" s="0"/>
      <c r="UPL124" s="0"/>
      <c r="UPM124" s="0"/>
      <c r="UPN124" s="0"/>
      <c r="UPO124" s="0"/>
      <c r="UPP124" s="0"/>
      <c r="UPQ124" s="0"/>
      <c r="UPR124" s="0"/>
      <c r="UPS124" s="0"/>
      <c r="UPT124" s="0"/>
      <c r="UPU124" s="0"/>
      <c r="UPV124" s="0"/>
      <c r="UPW124" s="0"/>
      <c r="UPX124" s="0"/>
      <c r="UPY124" s="0"/>
      <c r="UPZ124" s="0"/>
      <c r="UQA124" s="0"/>
      <c r="UQB124" s="0"/>
      <c r="UQC124" s="0"/>
      <c r="UQD124" s="0"/>
      <c r="UQE124" s="0"/>
      <c r="UQF124" s="0"/>
      <c r="UQG124" s="0"/>
      <c r="UQH124" s="0"/>
      <c r="UQI124" s="0"/>
      <c r="UQJ124" s="0"/>
      <c r="UQK124" s="0"/>
      <c r="UQL124" s="0"/>
      <c r="UQM124" s="0"/>
      <c r="UQN124" s="0"/>
      <c r="UQO124" s="0"/>
      <c r="UQP124" s="0"/>
      <c r="UQQ124" s="0"/>
      <c r="UQR124" s="0"/>
      <c r="UQS124" s="0"/>
      <c r="UQT124" s="0"/>
      <c r="UQU124" s="0"/>
      <c r="UQV124" s="0"/>
      <c r="UQW124" s="0"/>
      <c r="UQX124" s="0"/>
      <c r="UQY124" s="0"/>
      <c r="UQZ124" s="0"/>
      <c r="URA124" s="0"/>
      <c r="URB124" s="0"/>
      <c r="URC124" s="0"/>
      <c r="URD124" s="0"/>
      <c r="URE124" s="0"/>
      <c r="URF124" s="0"/>
      <c r="URG124" s="0"/>
      <c r="URH124" s="0"/>
      <c r="URI124" s="0"/>
      <c r="URJ124" s="0"/>
      <c r="URK124" s="0"/>
      <c r="URL124" s="0"/>
      <c r="URM124" s="0"/>
      <c r="URN124" s="0"/>
      <c r="URO124" s="0"/>
      <c r="URP124" s="0"/>
      <c r="URQ124" s="0"/>
      <c r="URR124" s="0"/>
      <c r="URS124" s="0"/>
      <c r="URT124" s="0"/>
      <c r="URU124" s="0"/>
      <c r="URV124" s="0"/>
      <c r="URW124" s="0"/>
      <c r="URX124" s="0"/>
      <c r="URY124" s="0"/>
      <c r="URZ124" s="0"/>
      <c r="USA124" s="0"/>
      <c r="USB124" s="0"/>
      <c r="USC124" s="0"/>
      <c r="USD124" s="0"/>
      <c r="USE124" s="0"/>
      <c r="USF124" s="0"/>
      <c r="USG124" s="0"/>
      <c r="USH124" s="0"/>
      <c r="USI124" s="0"/>
      <c r="USJ124" s="0"/>
      <c r="USK124" s="0"/>
      <c r="USL124" s="0"/>
      <c r="USM124" s="0"/>
      <c r="USN124" s="0"/>
      <c r="USO124" s="0"/>
      <c r="USP124" s="0"/>
      <c r="USQ124" s="0"/>
      <c r="USR124" s="0"/>
      <c r="USS124" s="0"/>
      <c r="UST124" s="0"/>
      <c r="USU124" s="0"/>
      <c r="USV124" s="0"/>
      <c r="USW124" s="0"/>
      <c r="USX124" s="0"/>
      <c r="USY124" s="0"/>
      <c r="USZ124" s="0"/>
      <c r="UTA124" s="0"/>
      <c r="UTB124" s="0"/>
      <c r="UTC124" s="0"/>
      <c r="UTD124" s="0"/>
      <c r="UTE124" s="0"/>
      <c r="UTF124" s="0"/>
      <c r="UTG124" s="0"/>
      <c r="UTH124" s="0"/>
      <c r="UTI124" s="0"/>
      <c r="UTJ124" s="0"/>
      <c r="UTK124" s="0"/>
      <c r="UTL124" s="0"/>
      <c r="UTM124" s="0"/>
      <c r="UTN124" s="0"/>
      <c r="UTO124" s="0"/>
      <c r="UTP124" s="0"/>
      <c r="UTQ124" s="0"/>
      <c r="UTR124" s="0"/>
      <c r="UTS124" s="0"/>
      <c r="UTT124" s="0"/>
      <c r="UTU124" s="0"/>
      <c r="UTV124" s="0"/>
      <c r="UTW124" s="0"/>
      <c r="UTX124" s="0"/>
      <c r="UTY124" s="0"/>
      <c r="UTZ124" s="0"/>
      <c r="UUA124" s="0"/>
      <c r="UUB124" s="0"/>
      <c r="UUC124" s="0"/>
      <c r="UUD124" s="0"/>
      <c r="UUE124" s="0"/>
      <c r="UUF124" s="0"/>
      <c r="UUG124" s="0"/>
      <c r="UUH124" s="0"/>
      <c r="UUI124" s="0"/>
      <c r="UUJ124" s="0"/>
      <c r="UUK124" s="0"/>
      <c r="UUL124" s="0"/>
      <c r="UUM124" s="0"/>
      <c r="UUN124" s="0"/>
      <c r="UUO124" s="0"/>
      <c r="UUP124" s="0"/>
      <c r="UUQ124" s="0"/>
      <c r="UUR124" s="0"/>
      <c r="UUS124" s="0"/>
      <c r="UUT124" s="0"/>
      <c r="UUU124" s="0"/>
      <c r="UUV124" s="0"/>
      <c r="UUW124" s="0"/>
      <c r="UUX124" s="0"/>
      <c r="UUY124" s="0"/>
      <c r="UUZ124" s="0"/>
      <c r="UVA124" s="0"/>
      <c r="UVB124" s="0"/>
      <c r="UVC124" s="0"/>
      <c r="UVD124" s="0"/>
      <c r="UVE124" s="0"/>
      <c r="UVF124" s="0"/>
      <c r="UVG124" s="0"/>
      <c r="UVH124" s="0"/>
      <c r="UVI124" s="0"/>
      <c r="UVJ124" s="0"/>
      <c r="UVK124" s="0"/>
      <c r="UVL124" s="0"/>
      <c r="UVM124" s="0"/>
      <c r="UVN124" s="0"/>
      <c r="UVO124" s="0"/>
      <c r="UVP124" s="0"/>
      <c r="UVQ124" s="0"/>
      <c r="UVR124" s="0"/>
      <c r="UVS124" s="0"/>
      <c r="UVT124" s="0"/>
      <c r="UVU124" s="0"/>
      <c r="UVV124" s="0"/>
      <c r="UVW124" s="0"/>
      <c r="UVX124" s="0"/>
      <c r="UVY124" s="0"/>
      <c r="UVZ124" s="0"/>
      <c r="UWA124" s="0"/>
      <c r="UWB124" s="0"/>
      <c r="UWC124" s="0"/>
      <c r="UWD124" s="0"/>
      <c r="UWE124" s="0"/>
      <c r="UWF124" s="0"/>
      <c r="UWG124" s="0"/>
      <c r="UWH124" s="0"/>
      <c r="UWI124" s="0"/>
      <c r="UWJ124" s="0"/>
      <c r="UWK124" s="0"/>
      <c r="UWL124" s="0"/>
      <c r="UWM124" s="0"/>
      <c r="UWN124" s="0"/>
      <c r="UWO124" s="0"/>
      <c r="UWP124" s="0"/>
      <c r="UWQ124" s="0"/>
      <c r="UWR124" s="0"/>
      <c r="UWS124" s="0"/>
      <c r="UWT124" s="0"/>
      <c r="UWU124" s="0"/>
      <c r="UWV124" s="0"/>
      <c r="UWW124" s="0"/>
      <c r="UWX124" s="0"/>
      <c r="UWY124" s="0"/>
      <c r="UWZ124" s="0"/>
      <c r="UXA124" s="0"/>
      <c r="UXB124" s="0"/>
      <c r="UXC124" s="0"/>
      <c r="UXD124" s="0"/>
      <c r="UXE124" s="0"/>
      <c r="UXF124" s="0"/>
      <c r="UXG124" s="0"/>
      <c r="UXH124" s="0"/>
      <c r="UXI124" s="0"/>
      <c r="UXJ124" s="0"/>
      <c r="UXK124" s="0"/>
      <c r="UXL124" s="0"/>
      <c r="UXM124" s="0"/>
      <c r="UXN124" s="0"/>
      <c r="UXO124" s="0"/>
      <c r="UXP124" s="0"/>
      <c r="UXQ124" s="0"/>
      <c r="UXR124" s="0"/>
      <c r="UXS124" s="0"/>
      <c r="UXT124" s="0"/>
      <c r="UXU124" s="0"/>
      <c r="UXV124" s="0"/>
      <c r="UXW124" s="0"/>
      <c r="UXX124" s="0"/>
      <c r="UXY124" s="0"/>
      <c r="UXZ124" s="0"/>
      <c r="UYA124" s="0"/>
      <c r="UYB124" s="0"/>
      <c r="UYC124" s="0"/>
      <c r="UYD124" s="0"/>
      <c r="UYE124" s="0"/>
      <c r="UYF124" s="0"/>
      <c r="UYG124" s="0"/>
      <c r="UYH124" s="0"/>
      <c r="UYI124" s="0"/>
      <c r="UYJ124" s="0"/>
      <c r="UYK124" s="0"/>
      <c r="UYL124" s="0"/>
      <c r="UYM124" s="0"/>
      <c r="UYN124" s="0"/>
      <c r="UYO124" s="0"/>
      <c r="UYP124" s="0"/>
      <c r="UYQ124" s="0"/>
      <c r="UYR124" s="0"/>
      <c r="UYS124" s="0"/>
      <c r="UYT124" s="0"/>
      <c r="UYU124" s="0"/>
      <c r="UYV124" s="0"/>
      <c r="UYW124" s="0"/>
      <c r="UYX124" s="0"/>
      <c r="UYY124" s="0"/>
      <c r="UYZ124" s="0"/>
      <c r="UZA124" s="0"/>
      <c r="UZB124" s="0"/>
      <c r="UZC124" s="0"/>
      <c r="UZD124" s="0"/>
      <c r="UZE124" s="0"/>
      <c r="UZF124" s="0"/>
      <c r="UZG124" s="0"/>
      <c r="UZH124" s="0"/>
      <c r="UZI124" s="0"/>
      <c r="UZJ124" s="0"/>
      <c r="UZK124" s="0"/>
      <c r="UZL124" s="0"/>
      <c r="UZM124" s="0"/>
      <c r="UZN124" s="0"/>
      <c r="UZO124" s="0"/>
      <c r="UZP124" s="0"/>
      <c r="UZQ124" s="0"/>
      <c r="UZR124" s="0"/>
      <c r="UZS124" s="0"/>
      <c r="UZT124" s="0"/>
      <c r="UZU124" s="0"/>
      <c r="UZV124" s="0"/>
      <c r="UZW124" s="0"/>
      <c r="UZX124" s="0"/>
      <c r="UZY124" s="0"/>
      <c r="UZZ124" s="0"/>
      <c r="VAA124" s="0"/>
      <c r="VAB124" s="0"/>
      <c r="VAC124" s="0"/>
      <c r="VAD124" s="0"/>
      <c r="VAE124" s="0"/>
      <c r="VAF124" s="0"/>
      <c r="VAG124" s="0"/>
      <c r="VAH124" s="0"/>
      <c r="VAI124" s="0"/>
      <c r="VAJ124" s="0"/>
      <c r="VAK124" s="0"/>
      <c r="VAL124" s="0"/>
      <c r="VAM124" s="0"/>
      <c r="VAN124" s="0"/>
      <c r="VAO124" s="0"/>
      <c r="VAP124" s="0"/>
      <c r="VAQ124" s="0"/>
      <c r="VAR124" s="0"/>
      <c r="VAS124" s="0"/>
      <c r="VAT124" s="0"/>
      <c r="VAU124" s="0"/>
      <c r="VAV124" s="0"/>
      <c r="VAW124" s="0"/>
      <c r="VAX124" s="0"/>
      <c r="VAY124" s="0"/>
      <c r="VAZ124" s="0"/>
      <c r="VBA124" s="0"/>
      <c r="VBB124" s="0"/>
      <c r="VBC124" s="0"/>
      <c r="VBD124" s="0"/>
      <c r="VBE124" s="0"/>
      <c r="VBF124" s="0"/>
      <c r="VBG124" s="0"/>
      <c r="VBH124" s="0"/>
      <c r="VBI124" s="0"/>
      <c r="VBJ124" s="0"/>
      <c r="VBK124" s="0"/>
      <c r="VBL124" s="0"/>
      <c r="VBM124" s="0"/>
      <c r="VBN124" s="0"/>
      <c r="VBO124" s="0"/>
      <c r="VBP124" s="0"/>
      <c r="VBQ124" s="0"/>
      <c r="VBR124" s="0"/>
      <c r="VBS124" s="0"/>
      <c r="VBT124" s="0"/>
      <c r="VBU124" s="0"/>
      <c r="VBV124" s="0"/>
      <c r="VBW124" s="0"/>
      <c r="VBX124" s="0"/>
      <c r="VBY124" s="0"/>
      <c r="VBZ124" s="0"/>
      <c r="VCA124" s="0"/>
      <c r="VCB124" s="0"/>
      <c r="VCC124" s="0"/>
      <c r="VCD124" s="0"/>
      <c r="VCE124" s="0"/>
      <c r="VCF124" s="0"/>
      <c r="VCG124" s="0"/>
      <c r="VCH124" s="0"/>
      <c r="VCI124" s="0"/>
      <c r="VCJ124" s="0"/>
      <c r="VCK124" s="0"/>
      <c r="VCL124" s="0"/>
      <c r="VCM124" s="0"/>
      <c r="VCN124" s="0"/>
      <c r="VCO124" s="0"/>
      <c r="VCP124" s="0"/>
      <c r="VCQ124" s="0"/>
      <c r="VCR124" s="0"/>
      <c r="VCS124" s="0"/>
      <c r="VCT124" s="0"/>
      <c r="VCU124" s="0"/>
      <c r="VCV124" s="0"/>
      <c r="VCW124" s="0"/>
      <c r="VCX124" s="0"/>
      <c r="VCY124" s="0"/>
      <c r="VCZ124" s="0"/>
      <c r="VDA124" s="0"/>
      <c r="VDB124" s="0"/>
      <c r="VDC124" s="0"/>
      <c r="VDD124" s="0"/>
      <c r="VDE124" s="0"/>
      <c r="VDF124" s="0"/>
      <c r="VDG124" s="0"/>
      <c r="VDH124" s="0"/>
      <c r="VDI124" s="0"/>
      <c r="VDJ124" s="0"/>
      <c r="VDK124" s="0"/>
      <c r="VDL124" s="0"/>
      <c r="VDM124" s="0"/>
      <c r="VDN124" s="0"/>
      <c r="VDO124" s="0"/>
      <c r="VDP124" s="0"/>
      <c r="VDQ124" s="0"/>
      <c r="VDR124" s="0"/>
      <c r="VDS124" s="0"/>
      <c r="VDT124" s="0"/>
      <c r="VDU124" s="0"/>
      <c r="VDV124" s="0"/>
      <c r="VDW124" s="0"/>
      <c r="VDX124" s="0"/>
      <c r="VDY124" s="0"/>
      <c r="VDZ124" s="0"/>
      <c r="VEA124" s="0"/>
      <c r="VEB124" s="0"/>
      <c r="VEC124" s="0"/>
      <c r="VED124" s="0"/>
      <c r="VEE124" s="0"/>
      <c r="VEF124" s="0"/>
      <c r="VEG124" s="0"/>
      <c r="VEH124" s="0"/>
      <c r="VEI124" s="0"/>
      <c r="VEJ124" s="0"/>
      <c r="VEK124" s="0"/>
      <c r="VEL124" s="0"/>
      <c r="VEM124" s="0"/>
      <c r="VEN124" s="0"/>
      <c r="VEO124" s="0"/>
      <c r="VEP124" s="0"/>
      <c r="VEQ124" s="0"/>
      <c r="VER124" s="0"/>
      <c r="VES124" s="0"/>
      <c r="VET124" s="0"/>
      <c r="VEU124" s="0"/>
      <c r="VEV124" s="0"/>
      <c r="VEW124" s="0"/>
      <c r="VEX124" s="0"/>
      <c r="VEY124" s="0"/>
      <c r="VEZ124" s="0"/>
      <c r="VFA124" s="0"/>
      <c r="VFB124" s="0"/>
      <c r="VFC124" s="0"/>
      <c r="VFD124" s="0"/>
      <c r="VFE124" s="0"/>
      <c r="VFF124" s="0"/>
      <c r="VFG124" s="0"/>
      <c r="VFH124" s="0"/>
      <c r="VFI124" s="0"/>
      <c r="VFJ124" s="0"/>
      <c r="VFK124" s="0"/>
      <c r="VFL124" s="0"/>
      <c r="VFM124" s="0"/>
      <c r="VFN124" s="0"/>
      <c r="VFO124" s="0"/>
      <c r="VFP124" s="0"/>
      <c r="VFQ124" s="0"/>
      <c r="VFR124" s="0"/>
      <c r="VFS124" s="0"/>
      <c r="VFT124" s="0"/>
      <c r="VFU124" s="0"/>
      <c r="VFV124" s="0"/>
      <c r="VFW124" s="0"/>
      <c r="VFX124" s="0"/>
      <c r="VFY124" s="0"/>
      <c r="VFZ124" s="0"/>
      <c r="VGA124" s="0"/>
      <c r="VGB124" s="0"/>
      <c r="VGC124" s="0"/>
      <c r="VGD124" s="0"/>
      <c r="VGE124" s="0"/>
      <c r="VGF124" s="0"/>
      <c r="VGG124" s="0"/>
      <c r="VGH124" s="0"/>
      <c r="VGI124" s="0"/>
      <c r="VGJ124" s="0"/>
      <c r="VGK124" s="0"/>
      <c r="VGL124" s="0"/>
      <c r="VGM124" s="0"/>
      <c r="VGN124" s="0"/>
      <c r="VGO124" s="0"/>
      <c r="VGP124" s="0"/>
      <c r="VGQ124" s="0"/>
      <c r="VGR124" s="0"/>
      <c r="VGS124" s="0"/>
      <c r="VGT124" s="0"/>
      <c r="VGU124" s="0"/>
      <c r="VGV124" s="0"/>
      <c r="VGW124" s="0"/>
      <c r="VGX124" s="0"/>
      <c r="VGY124" s="0"/>
      <c r="VGZ124" s="0"/>
      <c r="VHA124" s="0"/>
      <c r="VHB124" s="0"/>
      <c r="VHC124" s="0"/>
      <c r="VHD124" s="0"/>
      <c r="VHE124" s="0"/>
      <c r="VHF124" s="0"/>
      <c r="VHG124" s="0"/>
      <c r="VHH124" s="0"/>
      <c r="VHI124" s="0"/>
      <c r="VHJ124" s="0"/>
      <c r="VHK124" s="0"/>
      <c r="VHL124" s="0"/>
      <c r="VHM124" s="0"/>
      <c r="VHN124" s="0"/>
      <c r="VHO124" s="0"/>
      <c r="VHP124" s="0"/>
      <c r="VHQ124" s="0"/>
      <c r="VHR124" s="0"/>
      <c r="VHS124" s="0"/>
      <c r="VHT124" s="0"/>
      <c r="VHU124" s="0"/>
      <c r="VHV124" s="0"/>
      <c r="VHW124" s="0"/>
      <c r="VHX124" s="0"/>
      <c r="VHY124" s="0"/>
      <c r="VHZ124" s="0"/>
      <c r="VIA124" s="0"/>
      <c r="VIB124" s="0"/>
      <c r="VIC124" s="0"/>
      <c r="VID124" s="0"/>
      <c r="VIE124" s="0"/>
      <c r="VIF124" s="0"/>
      <c r="VIG124" s="0"/>
      <c r="VIH124" s="0"/>
      <c r="VII124" s="0"/>
      <c r="VIJ124" s="0"/>
      <c r="VIK124" s="0"/>
      <c r="VIL124" s="0"/>
      <c r="VIM124" s="0"/>
      <c r="VIN124" s="0"/>
      <c r="VIO124" s="0"/>
      <c r="VIP124" s="0"/>
      <c r="VIQ124" s="0"/>
      <c r="VIR124" s="0"/>
      <c r="VIS124" s="0"/>
      <c r="VIT124" s="0"/>
      <c r="VIU124" s="0"/>
      <c r="VIV124" s="0"/>
      <c r="VIW124" s="0"/>
      <c r="VIX124" s="0"/>
      <c r="VIY124" s="0"/>
      <c r="VIZ124" s="0"/>
      <c r="VJA124" s="0"/>
      <c r="VJB124" s="0"/>
      <c r="VJC124" s="0"/>
      <c r="VJD124" s="0"/>
      <c r="VJE124" s="0"/>
      <c r="VJF124" s="0"/>
      <c r="VJG124" s="0"/>
      <c r="VJH124" s="0"/>
      <c r="VJI124" s="0"/>
      <c r="VJJ124" s="0"/>
      <c r="VJK124" s="0"/>
      <c r="VJL124" s="0"/>
      <c r="VJM124" s="0"/>
      <c r="VJN124" s="0"/>
      <c r="VJO124" s="0"/>
      <c r="VJP124" s="0"/>
      <c r="VJQ124" s="0"/>
      <c r="VJR124" s="0"/>
      <c r="VJS124" s="0"/>
      <c r="VJT124" s="0"/>
      <c r="VJU124" s="0"/>
      <c r="VJV124" s="0"/>
      <c r="VJW124" s="0"/>
      <c r="VJX124" s="0"/>
      <c r="VJY124" s="0"/>
      <c r="VJZ124" s="0"/>
      <c r="VKA124" s="0"/>
      <c r="VKB124" s="0"/>
      <c r="VKC124" s="0"/>
      <c r="VKD124" s="0"/>
      <c r="VKE124" s="0"/>
      <c r="VKF124" s="0"/>
      <c r="VKG124" s="0"/>
      <c r="VKH124" s="0"/>
      <c r="VKI124" s="0"/>
      <c r="VKJ124" s="0"/>
      <c r="VKK124" s="0"/>
      <c r="VKL124" s="0"/>
      <c r="VKM124" s="0"/>
      <c r="VKN124" s="0"/>
      <c r="VKO124" s="0"/>
      <c r="VKP124" s="0"/>
      <c r="VKQ124" s="0"/>
      <c r="VKR124" s="0"/>
      <c r="VKS124" s="0"/>
      <c r="VKT124" s="0"/>
      <c r="VKU124" s="0"/>
      <c r="VKV124" s="0"/>
      <c r="VKW124" s="0"/>
      <c r="VKX124" s="0"/>
      <c r="VKY124" s="0"/>
      <c r="VKZ124" s="0"/>
      <c r="VLA124" s="0"/>
      <c r="VLB124" s="0"/>
      <c r="VLC124" s="0"/>
      <c r="VLD124" s="0"/>
      <c r="VLE124" s="0"/>
      <c r="VLF124" s="0"/>
      <c r="VLG124" s="0"/>
      <c r="VLH124" s="0"/>
      <c r="VLI124" s="0"/>
      <c r="VLJ124" s="0"/>
      <c r="VLK124" s="0"/>
      <c r="VLL124" s="0"/>
      <c r="VLM124" s="0"/>
      <c r="VLN124" s="0"/>
      <c r="VLO124" s="0"/>
      <c r="VLP124" s="0"/>
      <c r="VLQ124" s="0"/>
      <c r="VLR124" s="0"/>
      <c r="VLS124" s="0"/>
      <c r="VLT124" s="0"/>
      <c r="VLU124" s="0"/>
      <c r="VLV124" s="0"/>
      <c r="VLW124" s="0"/>
      <c r="VLX124" s="0"/>
      <c r="VLY124" s="0"/>
      <c r="VLZ124" s="0"/>
      <c r="VMA124" s="0"/>
      <c r="VMB124" s="0"/>
      <c r="VMC124" s="0"/>
      <c r="VMD124" s="0"/>
      <c r="VME124" s="0"/>
      <c r="VMF124" s="0"/>
      <c r="VMG124" s="0"/>
      <c r="VMH124" s="0"/>
      <c r="VMI124" s="0"/>
      <c r="VMJ124" s="0"/>
      <c r="VMK124" s="0"/>
      <c r="VML124" s="0"/>
      <c r="VMM124" s="0"/>
      <c r="VMN124" s="0"/>
      <c r="VMO124" s="0"/>
      <c r="VMP124" s="0"/>
      <c r="VMQ124" s="0"/>
      <c r="VMR124" s="0"/>
      <c r="VMS124" s="0"/>
      <c r="VMT124" s="0"/>
      <c r="VMU124" s="0"/>
      <c r="VMV124" s="0"/>
      <c r="VMW124" s="0"/>
      <c r="VMX124" s="0"/>
      <c r="VMY124" s="0"/>
      <c r="VMZ124" s="0"/>
      <c r="VNA124" s="0"/>
      <c r="VNB124" s="0"/>
      <c r="VNC124" s="0"/>
      <c r="VND124" s="0"/>
      <c r="VNE124" s="0"/>
      <c r="VNF124" s="0"/>
      <c r="VNG124" s="0"/>
      <c r="VNH124" s="0"/>
      <c r="VNI124" s="0"/>
      <c r="VNJ124" s="0"/>
      <c r="VNK124" s="0"/>
      <c r="VNL124" s="0"/>
      <c r="VNM124" s="0"/>
      <c r="VNN124" s="0"/>
      <c r="VNO124" s="0"/>
      <c r="VNP124" s="0"/>
      <c r="VNQ124" s="0"/>
      <c r="VNR124" s="0"/>
      <c r="VNS124" s="0"/>
      <c r="VNT124" s="0"/>
      <c r="VNU124" s="0"/>
      <c r="VNV124" s="0"/>
      <c r="VNW124" s="0"/>
      <c r="VNX124" s="0"/>
      <c r="VNY124" s="0"/>
      <c r="VNZ124" s="0"/>
      <c r="VOA124" s="0"/>
      <c r="VOB124" s="0"/>
      <c r="VOC124" s="0"/>
      <c r="VOD124" s="0"/>
      <c r="VOE124" s="0"/>
      <c r="VOF124" s="0"/>
      <c r="VOG124" s="0"/>
      <c r="VOH124" s="0"/>
      <c r="VOI124" s="0"/>
      <c r="VOJ124" s="0"/>
      <c r="VOK124" s="0"/>
      <c r="VOL124" s="0"/>
      <c r="VOM124" s="0"/>
      <c r="VON124" s="0"/>
      <c r="VOO124" s="0"/>
      <c r="VOP124" s="0"/>
      <c r="VOQ124" s="0"/>
      <c r="VOR124" s="0"/>
      <c r="VOS124" s="0"/>
      <c r="VOT124" s="0"/>
      <c r="VOU124" s="0"/>
      <c r="VOV124" s="0"/>
      <c r="VOW124" s="0"/>
      <c r="VOX124" s="0"/>
      <c r="VOY124" s="0"/>
      <c r="VOZ124" s="0"/>
      <c r="VPA124" s="0"/>
      <c r="VPB124" s="0"/>
      <c r="VPC124" s="0"/>
      <c r="VPD124" s="0"/>
      <c r="VPE124" s="0"/>
      <c r="VPF124" s="0"/>
      <c r="VPG124" s="0"/>
      <c r="VPH124" s="0"/>
      <c r="VPI124" s="0"/>
      <c r="VPJ124" s="0"/>
      <c r="VPK124" s="0"/>
      <c r="VPL124" s="0"/>
      <c r="VPM124" s="0"/>
      <c r="VPN124" s="0"/>
      <c r="VPO124" s="0"/>
      <c r="VPP124" s="0"/>
      <c r="VPQ124" s="0"/>
      <c r="VPR124" s="0"/>
      <c r="VPS124" s="0"/>
      <c r="VPT124" s="0"/>
      <c r="VPU124" s="0"/>
      <c r="VPV124" s="0"/>
      <c r="VPW124" s="0"/>
      <c r="VPX124" s="0"/>
      <c r="VPY124" s="0"/>
      <c r="VPZ124" s="0"/>
      <c r="VQA124" s="0"/>
      <c r="VQB124" s="0"/>
      <c r="VQC124" s="0"/>
      <c r="VQD124" s="0"/>
      <c r="VQE124" s="0"/>
      <c r="VQF124" s="0"/>
      <c r="VQG124" s="0"/>
      <c r="VQH124" s="0"/>
      <c r="VQI124" s="0"/>
      <c r="VQJ124" s="0"/>
      <c r="VQK124" s="0"/>
      <c r="VQL124" s="0"/>
      <c r="VQM124" s="0"/>
      <c r="VQN124" s="0"/>
      <c r="VQO124" s="0"/>
      <c r="VQP124" s="0"/>
      <c r="VQQ124" s="0"/>
      <c r="VQR124" s="0"/>
      <c r="VQS124" s="0"/>
      <c r="VQT124" s="0"/>
      <c r="VQU124" s="0"/>
      <c r="VQV124" s="0"/>
      <c r="VQW124" s="0"/>
      <c r="VQX124" s="0"/>
      <c r="VQY124" s="0"/>
      <c r="VQZ124" s="0"/>
      <c r="VRA124" s="0"/>
      <c r="VRB124" s="0"/>
      <c r="VRC124" s="0"/>
      <c r="VRD124" s="0"/>
      <c r="VRE124" s="0"/>
      <c r="VRF124" s="0"/>
      <c r="VRG124" s="0"/>
      <c r="VRH124" s="0"/>
      <c r="VRI124" s="0"/>
      <c r="VRJ124" s="0"/>
      <c r="VRK124" s="0"/>
      <c r="VRL124" s="0"/>
      <c r="VRM124" s="0"/>
      <c r="VRN124" s="0"/>
      <c r="VRO124" s="0"/>
      <c r="VRP124" s="0"/>
      <c r="VRQ124" s="0"/>
      <c r="VRR124" s="0"/>
      <c r="VRS124" s="0"/>
      <c r="VRT124" s="0"/>
      <c r="VRU124" s="0"/>
      <c r="VRV124" s="0"/>
      <c r="VRW124" s="0"/>
      <c r="VRX124" s="0"/>
      <c r="VRY124" s="0"/>
      <c r="VRZ124" s="0"/>
      <c r="VSA124" s="0"/>
      <c r="VSB124" s="0"/>
      <c r="VSC124" s="0"/>
      <c r="VSD124" s="0"/>
      <c r="VSE124" s="0"/>
      <c r="VSF124" s="0"/>
      <c r="VSG124" s="0"/>
      <c r="VSH124" s="0"/>
      <c r="VSI124" s="0"/>
      <c r="VSJ124" s="0"/>
      <c r="VSK124" s="0"/>
      <c r="VSL124" s="0"/>
      <c r="VSM124" s="0"/>
      <c r="VSN124" s="0"/>
      <c r="VSO124" s="0"/>
      <c r="VSP124" s="0"/>
      <c r="VSQ124" s="0"/>
      <c r="VSR124" s="0"/>
      <c r="VSS124" s="0"/>
      <c r="VST124" s="0"/>
      <c r="VSU124" s="0"/>
      <c r="VSV124" s="0"/>
      <c r="VSW124" s="0"/>
      <c r="VSX124" s="0"/>
      <c r="VSY124" s="0"/>
      <c r="VSZ124" s="0"/>
      <c r="VTA124" s="0"/>
      <c r="VTB124" s="0"/>
      <c r="VTC124" s="0"/>
      <c r="VTD124" s="0"/>
      <c r="VTE124" s="0"/>
      <c r="VTF124" s="0"/>
      <c r="VTG124" s="0"/>
      <c r="VTH124" s="0"/>
      <c r="VTI124" s="0"/>
      <c r="VTJ124" s="0"/>
      <c r="VTK124" s="0"/>
      <c r="VTL124" s="0"/>
      <c r="VTM124" s="0"/>
      <c r="VTN124" s="0"/>
      <c r="VTO124" s="0"/>
      <c r="VTP124" s="0"/>
      <c r="VTQ124" s="0"/>
      <c r="VTR124" s="0"/>
      <c r="VTS124" s="0"/>
      <c r="VTT124" s="0"/>
      <c r="VTU124" s="0"/>
      <c r="VTV124" s="0"/>
      <c r="VTW124" s="0"/>
      <c r="VTX124" s="0"/>
      <c r="VTY124" s="0"/>
      <c r="VTZ124" s="0"/>
      <c r="VUA124" s="0"/>
      <c r="VUB124" s="0"/>
      <c r="VUC124" s="0"/>
      <c r="VUD124" s="0"/>
      <c r="VUE124" s="0"/>
      <c r="VUF124" s="0"/>
      <c r="VUG124" s="0"/>
      <c r="VUH124" s="0"/>
      <c r="VUI124" s="0"/>
      <c r="VUJ124" s="0"/>
      <c r="VUK124" s="0"/>
      <c r="VUL124" s="0"/>
      <c r="VUM124" s="0"/>
      <c r="VUN124" s="0"/>
      <c r="VUO124" s="0"/>
      <c r="VUP124" s="0"/>
      <c r="VUQ124" s="0"/>
      <c r="VUR124" s="0"/>
      <c r="VUS124" s="0"/>
      <c r="VUT124" s="0"/>
      <c r="VUU124" s="0"/>
      <c r="VUV124" s="0"/>
      <c r="VUW124" s="0"/>
      <c r="VUX124" s="0"/>
      <c r="VUY124" s="0"/>
      <c r="VUZ124" s="0"/>
      <c r="VVA124" s="0"/>
      <c r="VVB124" s="0"/>
      <c r="VVC124" s="0"/>
      <c r="VVD124" s="0"/>
      <c r="VVE124" s="0"/>
      <c r="VVF124" s="0"/>
      <c r="VVG124" s="0"/>
      <c r="VVH124" s="0"/>
      <c r="VVI124" s="0"/>
      <c r="VVJ124" s="0"/>
      <c r="VVK124" s="0"/>
      <c r="VVL124" s="0"/>
      <c r="VVM124" s="0"/>
      <c r="VVN124" s="0"/>
      <c r="VVO124" s="0"/>
      <c r="VVP124" s="0"/>
      <c r="VVQ124" s="0"/>
      <c r="VVR124" s="0"/>
      <c r="VVS124" s="0"/>
      <c r="VVT124" s="0"/>
      <c r="VVU124" s="0"/>
      <c r="VVV124" s="0"/>
      <c r="VVW124" s="0"/>
      <c r="VVX124" s="0"/>
      <c r="VVY124" s="0"/>
      <c r="VVZ124" s="0"/>
      <c r="VWA124" s="0"/>
      <c r="VWB124" s="0"/>
      <c r="VWC124" s="0"/>
      <c r="VWD124" s="0"/>
      <c r="VWE124" s="0"/>
      <c r="VWF124" s="0"/>
      <c r="VWG124" s="0"/>
      <c r="VWH124" s="0"/>
      <c r="VWI124" s="0"/>
      <c r="VWJ124" s="0"/>
      <c r="VWK124" s="0"/>
      <c r="VWL124" s="0"/>
      <c r="VWM124" s="0"/>
      <c r="VWN124" s="0"/>
      <c r="VWO124" s="0"/>
      <c r="VWP124" s="0"/>
      <c r="VWQ124" s="0"/>
      <c r="VWR124" s="0"/>
      <c r="VWS124" s="0"/>
      <c r="VWT124" s="0"/>
      <c r="VWU124" s="0"/>
      <c r="VWV124" s="0"/>
      <c r="VWW124" s="0"/>
      <c r="VWX124" s="0"/>
      <c r="VWY124" s="0"/>
      <c r="VWZ124" s="0"/>
      <c r="VXA124" s="0"/>
      <c r="VXB124" s="0"/>
      <c r="VXC124" s="0"/>
      <c r="VXD124" s="0"/>
      <c r="VXE124" s="0"/>
      <c r="VXF124" s="0"/>
      <c r="VXG124" s="0"/>
      <c r="VXH124" s="0"/>
      <c r="VXI124" s="0"/>
      <c r="VXJ124" s="0"/>
      <c r="VXK124" s="0"/>
      <c r="VXL124" s="0"/>
      <c r="VXM124" s="0"/>
      <c r="VXN124" s="0"/>
      <c r="VXO124" s="0"/>
      <c r="VXP124" s="0"/>
      <c r="VXQ124" s="0"/>
      <c r="VXR124" s="0"/>
      <c r="VXS124" s="0"/>
      <c r="VXT124" s="0"/>
      <c r="VXU124" s="0"/>
      <c r="VXV124" s="0"/>
      <c r="VXW124" s="0"/>
      <c r="VXX124" s="0"/>
      <c r="VXY124" s="0"/>
      <c r="VXZ124" s="0"/>
      <c r="VYA124" s="0"/>
      <c r="VYB124" s="0"/>
      <c r="VYC124" s="0"/>
      <c r="VYD124" s="0"/>
      <c r="VYE124" s="0"/>
      <c r="VYF124" s="0"/>
      <c r="VYG124" s="0"/>
      <c r="VYH124" s="0"/>
      <c r="VYI124" s="0"/>
      <c r="VYJ124" s="0"/>
      <c r="VYK124" s="0"/>
      <c r="VYL124" s="0"/>
      <c r="VYM124" s="0"/>
      <c r="VYN124" s="0"/>
      <c r="VYO124" s="0"/>
      <c r="VYP124" s="0"/>
      <c r="VYQ124" s="0"/>
      <c r="VYR124" s="0"/>
      <c r="VYS124" s="0"/>
      <c r="VYT124" s="0"/>
      <c r="VYU124" s="0"/>
      <c r="VYV124" s="0"/>
      <c r="VYW124" s="0"/>
      <c r="VYX124" s="0"/>
      <c r="VYY124" s="0"/>
      <c r="VYZ124" s="0"/>
      <c r="VZA124" s="0"/>
      <c r="VZB124" s="0"/>
      <c r="VZC124" s="0"/>
      <c r="VZD124" s="0"/>
      <c r="VZE124" s="0"/>
      <c r="VZF124" s="0"/>
      <c r="VZG124" s="0"/>
      <c r="VZH124" s="0"/>
      <c r="VZI124" s="0"/>
      <c r="VZJ124" s="0"/>
      <c r="VZK124" s="0"/>
      <c r="VZL124" s="0"/>
      <c r="VZM124" s="0"/>
      <c r="VZN124" s="0"/>
      <c r="VZO124" s="0"/>
      <c r="VZP124" s="0"/>
      <c r="VZQ124" s="0"/>
      <c r="VZR124" s="0"/>
      <c r="VZS124" s="0"/>
      <c r="VZT124" s="0"/>
      <c r="VZU124" s="0"/>
      <c r="VZV124" s="0"/>
      <c r="VZW124" s="0"/>
      <c r="VZX124" s="0"/>
      <c r="VZY124" s="0"/>
      <c r="VZZ124" s="0"/>
      <c r="WAA124" s="0"/>
      <c r="WAB124" s="0"/>
      <c r="WAC124" s="0"/>
      <c r="WAD124" s="0"/>
      <c r="WAE124" s="0"/>
      <c r="WAF124" s="0"/>
      <c r="WAG124" s="0"/>
      <c r="WAH124" s="0"/>
      <c r="WAI124" s="0"/>
      <c r="WAJ124" s="0"/>
      <c r="WAK124" s="0"/>
      <c r="WAL124" s="0"/>
      <c r="WAM124" s="0"/>
      <c r="WAN124" s="0"/>
      <c r="WAO124" s="0"/>
      <c r="WAP124" s="0"/>
      <c r="WAQ124" s="0"/>
      <c r="WAR124" s="0"/>
      <c r="WAS124" s="0"/>
      <c r="WAT124" s="0"/>
      <c r="WAU124" s="0"/>
      <c r="WAV124" s="0"/>
      <c r="WAW124" s="0"/>
      <c r="WAX124" s="0"/>
      <c r="WAY124" s="0"/>
      <c r="WAZ124" s="0"/>
      <c r="WBA124" s="0"/>
      <c r="WBB124" s="0"/>
      <c r="WBC124" s="0"/>
      <c r="WBD124" s="0"/>
      <c r="WBE124" s="0"/>
      <c r="WBF124" s="0"/>
      <c r="WBG124" s="0"/>
      <c r="WBH124" s="0"/>
      <c r="WBI124" s="0"/>
      <c r="WBJ124" s="0"/>
      <c r="WBK124" s="0"/>
      <c r="WBL124" s="0"/>
      <c r="WBM124" s="0"/>
      <c r="WBN124" s="0"/>
      <c r="WBO124" s="0"/>
      <c r="WBP124" s="0"/>
      <c r="WBQ124" s="0"/>
      <c r="WBR124" s="0"/>
      <c r="WBS124" s="0"/>
      <c r="WBT124" s="0"/>
      <c r="WBU124" s="0"/>
      <c r="WBV124" s="0"/>
      <c r="WBW124" s="0"/>
      <c r="WBX124" s="0"/>
      <c r="WBY124" s="0"/>
      <c r="WBZ124" s="0"/>
      <c r="WCA124" s="0"/>
      <c r="WCB124" s="0"/>
      <c r="WCC124" s="0"/>
      <c r="WCD124" s="0"/>
      <c r="WCE124" s="0"/>
      <c r="WCF124" s="0"/>
      <c r="WCG124" s="0"/>
      <c r="WCH124" s="0"/>
      <c r="WCI124" s="0"/>
      <c r="WCJ124" s="0"/>
      <c r="WCK124" s="0"/>
      <c r="WCL124" s="0"/>
      <c r="WCM124" s="0"/>
      <c r="WCN124" s="0"/>
      <c r="WCO124" s="0"/>
      <c r="WCP124" s="0"/>
      <c r="WCQ124" s="0"/>
      <c r="WCR124" s="0"/>
      <c r="WCS124" s="0"/>
      <c r="WCT124" s="0"/>
      <c r="WCU124" s="0"/>
      <c r="WCV124" s="0"/>
      <c r="WCW124" s="0"/>
      <c r="WCX124" s="0"/>
      <c r="WCY124" s="0"/>
      <c r="WCZ124" s="0"/>
      <c r="WDA124" s="0"/>
      <c r="WDB124" s="0"/>
      <c r="WDC124" s="0"/>
      <c r="WDD124" s="0"/>
      <c r="WDE124" s="0"/>
      <c r="WDF124" s="0"/>
      <c r="WDG124" s="0"/>
      <c r="WDH124" s="0"/>
      <c r="WDI124" s="0"/>
      <c r="WDJ124" s="0"/>
      <c r="WDK124" s="0"/>
      <c r="WDL124" s="0"/>
      <c r="WDM124" s="0"/>
      <c r="WDN124" s="0"/>
      <c r="WDO124" s="0"/>
      <c r="WDP124" s="0"/>
      <c r="WDQ124" s="0"/>
      <c r="WDR124" s="0"/>
      <c r="WDS124" s="0"/>
      <c r="WDT124" s="0"/>
      <c r="WDU124" s="0"/>
      <c r="WDV124" s="0"/>
      <c r="WDW124" s="0"/>
      <c r="WDX124" s="0"/>
      <c r="WDY124" s="0"/>
      <c r="WDZ124" s="0"/>
      <c r="WEA124" s="0"/>
      <c r="WEB124" s="0"/>
      <c r="WEC124" s="0"/>
      <c r="WED124" s="0"/>
      <c r="WEE124" s="0"/>
      <c r="WEF124" s="0"/>
      <c r="WEG124" s="0"/>
      <c r="WEH124" s="0"/>
      <c r="WEI124" s="0"/>
      <c r="WEJ124" s="0"/>
      <c r="WEK124" s="0"/>
      <c r="WEL124" s="0"/>
      <c r="WEM124" s="0"/>
      <c r="WEN124" s="0"/>
      <c r="WEO124" s="0"/>
      <c r="WEP124" s="0"/>
      <c r="WEQ124" s="0"/>
      <c r="WER124" s="0"/>
      <c r="WES124" s="0"/>
      <c r="WET124" s="0"/>
      <c r="WEU124" s="0"/>
      <c r="WEV124" s="0"/>
      <c r="WEW124" s="0"/>
      <c r="WEX124" s="0"/>
      <c r="WEY124" s="0"/>
      <c r="WEZ124" s="0"/>
      <c r="WFA124" s="0"/>
      <c r="WFB124" s="0"/>
      <c r="WFC124" s="0"/>
      <c r="WFD124" s="0"/>
      <c r="WFE124" s="0"/>
      <c r="WFF124" s="0"/>
      <c r="WFG124" s="0"/>
      <c r="WFH124" s="0"/>
      <c r="WFI124" s="0"/>
      <c r="WFJ124" s="0"/>
      <c r="WFK124" s="0"/>
      <c r="WFL124" s="0"/>
      <c r="WFM124" s="0"/>
      <c r="WFN124" s="0"/>
      <c r="WFO124" s="0"/>
      <c r="WFP124" s="0"/>
      <c r="WFQ124" s="0"/>
      <c r="WFR124" s="0"/>
      <c r="WFS124" s="0"/>
      <c r="WFT124" s="0"/>
      <c r="WFU124" s="0"/>
      <c r="WFV124" s="0"/>
      <c r="WFW124" s="0"/>
      <c r="WFX124" s="0"/>
      <c r="WFY124" s="0"/>
      <c r="WFZ124" s="0"/>
      <c r="WGA124" s="0"/>
      <c r="WGB124" s="0"/>
      <c r="WGC124" s="0"/>
      <c r="WGD124" s="0"/>
      <c r="WGE124" s="0"/>
      <c r="WGF124" s="0"/>
      <c r="WGG124" s="0"/>
      <c r="WGH124" s="0"/>
      <c r="WGI124" s="0"/>
      <c r="WGJ124" s="0"/>
      <c r="WGK124" s="0"/>
      <c r="WGL124" s="0"/>
      <c r="WGM124" s="0"/>
      <c r="WGN124" s="0"/>
      <c r="WGO124" s="0"/>
      <c r="WGP124" s="0"/>
      <c r="WGQ124" s="0"/>
      <c r="WGR124" s="0"/>
      <c r="WGS124" s="0"/>
      <c r="WGT124" s="0"/>
      <c r="WGU124" s="0"/>
      <c r="WGV124" s="0"/>
      <c r="WGW124" s="0"/>
      <c r="WGX124" s="0"/>
      <c r="WGY124" s="0"/>
      <c r="WGZ124" s="0"/>
      <c r="WHA124" s="0"/>
      <c r="WHB124" s="0"/>
      <c r="WHC124" s="0"/>
      <c r="WHD124" s="0"/>
      <c r="WHE124" s="0"/>
      <c r="WHF124" s="0"/>
      <c r="WHG124" s="0"/>
      <c r="WHH124" s="0"/>
      <c r="WHI124" s="0"/>
      <c r="WHJ124" s="0"/>
      <c r="WHK124" s="0"/>
      <c r="WHL124" s="0"/>
      <c r="WHM124" s="0"/>
      <c r="WHN124" s="0"/>
      <c r="WHO124" s="0"/>
      <c r="WHP124" s="0"/>
      <c r="WHQ124" s="0"/>
      <c r="WHR124" s="0"/>
      <c r="WHS124" s="0"/>
      <c r="WHT124" s="0"/>
      <c r="WHU124" s="0"/>
      <c r="WHV124" s="0"/>
      <c r="WHW124" s="0"/>
      <c r="WHX124" s="0"/>
      <c r="WHY124" s="0"/>
      <c r="WHZ124" s="0"/>
      <c r="WIA124" s="0"/>
      <c r="WIB124" s="0"/>
      <c r="WIC124" s="0"/>
      <c r="WID124" s="0"/>
      <c r="WIE124" s="0"/>
      <c r="WIF124" s="0"/>
      <c r="WIG124" s="0"/>
      <c r="WIH124" s="0"/>
      <c r="WII124" s="0"/>
      <c r="WIJ124" s="0"/>
      <c r="WIK124" s="0"/>
      <c r="WIL124" s="0"/>
      <c r="WIM124" s="0"/>
      <c r="WIN124" s="0"/>
      <c r="WIO124" s="0"/>
      <c r="WIP124" s="0"/>
      <c r="WIQ124" s="0"/>
      <c r="WIR124" s="0"/>
      <c r="WIS124" s="0"/>
      <c r="WIT124" s="0"/>
      <c r="WIU124" s="0"/>
      <c r="WIV124" s="0"/>
      <c r="WIW124" s="0"/>
      <c r="WIX124" s="0"/>
      <c r="WIY124" s="0"/>
      <c r="WIZ124" s="0"/>
      <c r="WJA124" s="0"/>
      <c r="WJB124" s="0"/>
      <c r="WJC124" s="0"/>
      <c r="WJD124" s="0"/>
      <c r="WJE124" s="0"/>
      <c r="WJF124" s="0"/>
      <c r="WJG124" s="0"/>
      <c r="WJH124" s="0"/>
      <c r="WJI124" s="0"/>
      <c r="WJJ124" s="0"/>
      <c r="WJK124" s="0"/>
      <c r="WJL124" s="0"/>
      <c r="WJM124" s="0"/>
      <c r="WJN124" s="0"/>
      <c r="WJO124" s="0"/>
      <c r="WJP124" s="0"/>
      <c r="WJQ124" s="0"/>
      <c r="WJR124" s="0"/>
      <c r="WJS124" s="0"/>
      <c r="WJT124" s="0"/>
      <c r="WJU124" s="0"/>
      <c r="WJV124" s="0"/>
      <c r="WJW124" s="0"/>
      <c r="WJX124" s="0"/>
      <c r="WJY124" s="0"/>
      <c r="WJZ124" s="0"/>
      <c r="WKA124" s="0"/>
      <c r="WKB124" s="0"/>
      <c r="WKC124" s="0"/>
      <c r="WKD124" s="0"/>
      <c r="WKE124" s="0"/>
      <c r="WKF124" s="0"/>
      <c r="WKG124" s="0"/>
      <c r="WKH124" s="0"/>
      <c r="WKI124" s="0"/>
      <c r="WKJ124" s="0"/>
      <c r="WKK124" s="0"/>
      <c r="WKL124" s="0"/>
      <c r="WKM124" s="0"/>
      <c r="WKN124" s="0"/>
      <c r="WKO124" s="0"/>
      <c r="WKP124" s="0"/>
      <c r="WKQ124" s="0"/>
      <c r="WKR124" s="0"/>
      <c r="WKS124" s="0"/>
      <c r="WKT124" s="0"/>
      <c r="WKU124" s="0"/>
      <c r="WKV124" s="0"/>
      <c r="WKW124" s="0"/>
      <c r="WKX124" s="0"/>
      <c r="WKY124" s="0"/>
      <c r="WKZ124" s="0"/>
      <c r="WLA124" s="0"/>
      <c r="WLB124" s="0"/>
      <c r="WLC124" s="0"/>
      <c r="WLD124" s="0"/>
      <c r="WLE124" s="0"/>
      <c r="WLF124" s="0"/>
      <c r="WLG124" s="0"/>
      <c r="WLH124" s="0"/>
      <c r="WLI124" s="0"/>
      <c r="WLJ124" s="0"/>
      <c r="WLK124" s="0"/>
      <c r="WLL124" s="0"/>
      <c r="WLM124" s="0"/>
      <c r="WLN124" s="0"/>
      <c r="WLO124" s="0"/>
      <c r="WLP124" s="0"/>
      <c r="WLQ124" s="0"/>
      <c r="WLR124" s="0"/>
      <c r="WLS124" s="0"/>
      <c r="WLT124" s="0"/>
      <c r="WLU124" s="0"/>
      <c r="WLV124" s="0"/>
      <c r="WLW124" s="0"/>
      <c r="WLX124" s="0"/>
      <c r="WLY124" s="0"/>
      <c r="WLZ124" s="0"/>
      <c r="WMA124" s="0"/>
      <c r="WMB124" s="0"/>
      <c r="WMC124" s="0"/>
      <c r="WMD124" s="0"/>
      <c r="WME124" s="0"/>
      <c r="WMF124" s="0"/>
      <c r="WMG124" s="0"/>
      <c r="WMH124" s="0"/>
      <c r="WMI124" s="0"/>
      <c r="WMJ124" s="0"/>
      <c r="WMK124" s="0"/>
      <c r="WML124" s="0"/>
      <c r="WMM124" s="0"/>
      <c r="WMN124" s="0"/>
      <c r="WMO124" s="0"/>
      <c r="WMP124" s="0"/>
      <c r="WMQ124" s="0"/>
      <c r="WMR124" s="0"/>
      <c r="WMS124" s="0"/>
      <c r="WMT124" s="0"/>
      <c r="WMU124" s="0"/>
      <c r="WMV124" s="0"/>
      <c r="WMW124" s="0"/>
      <c r="WMX124" s="0"/>
      <c r="WMY124" s="0"/>
      <c r="WMZ124" s="0"/>
      <c r="WNA124" s="0"/>
      <c r="WNB124" s="0"/>
      <c r="WNC124" s="0"/>
      <c r="WND124" s="0"/>
      <c r="WNE124" s="0"/>
      <c r="WNF124" s="0"/>
      <c r="WNG124" s="0"/>
      <c r="WNH124" s="0"/>
      <c r="WNI124" s="0"/>
      <c r="WNJ124" s="0"/>
      <c r="WNK124" s="0"/>
      <c r="WNL124" s="0"/>
      <c r="WNM124" s="0"/>
      <c r="WNN124" s="0"/>
      <c r="WNO124" s="0"/>
      <c r="WNP124" s="0"/>
      <c r="WNQ124" s="0"/>
      <c r="WNR124" s="0"/>
      <c r="WNS124" s="0"/>
      <c r="WNT124" s="0"/>
      <c r="WNU124" s="0"/>
      <c r="WNV124" s="0"/>
      <c r="WNW124" s="0"/>
      <c r="WNX124" s="0"/>
      <c r="WNY124" s="0"/>
      <c r="WNZ124" s="0"/>
      <c r="WOA124" s="0"/>
      <c r="WOB124" s="0"/>
      <c r="WOC124" s="0"/>
      <c r="WOD124" s="0"/>
      <c r="WOE124" s="0"/>
      <c r="WOF124" s="0"/>
      <c r="WOG124" s="0"/>
      <c r="WOH124" s="0"/>
      <c r="WOI124" s="0"/>
      <c r="WOJ124" s="0"/>
      <c r="WOK124" s="0"/>
      <c r="WOL124" s="0"/>
      <c r="WOM124" s="0"/>
      <c r="WON124" s="0"/>
      <c r="WOO124" s="0"/>
      <c r="WOP124" s="0"/>
      <c r="WOQ124" s="0"/>
      <c r="WOR124" s="0"/>
      <c r="WOS124" s="0"/>
      <c r="WOT124" s="0"/>
      <c r="WOU124" s="0"/>
      <c r="WOV124" s="0"/>
      <c r="WOW124" s="0"/>
      <c r="WOX124" s="0"/>
      <c r="WOY124" s="0"/>
      <c r="WOZ124" s="0"/>
      <c r="WPA124" s="0"/>
      <c r="WPB124" s="0"/>
      <c r="WPC124" s="0"/>
      <c r="WPD124" s="0"/>
      <c r="WPE124" s="0"/>
      <c r="WPF124" s="0"/>
      <c r="WPG124" s="0"/>
      <c r="WPH124" s="0"/>
      <c r="WPI124" s="0"/>
      <c r="WPJ124" s="0"/>
      <c r="WPK124" s="0"/>
      <c r="WPL124" s="0"/>
      <c r="WPM124" s="0"/>
      <c r="WPN124" s="0"/>
      <c r="WPO124" s="0"/>
      <c r="WPP124" s="0"/>
      <c r="WPQ124" s="0"/>
      <c r="WPR124" s="0"/>
      <c r="WPS124" s="0"/>
      <c r="WPT124" s="0"/>
      <c r="WPU124" s="0"/>
      <c r="WPV124" s="0"/>
      <c r="WPW124" s="0"/>
      <c r="WPX124" s="0"/>
      <c r="WPY124" s="0"/>
      <c r="WPZ124" s="0"/>
      <c r="WQA124" s="0"/>
      <c r="WQB124" s="0"/>
      <c r="WQC124" s="0"/>
      <c r="WQD124" s="0"/>
      <c r="WQE124" s="0"/>
      <c r="WQF124" s="0"/>
      <c r="WQG124" s="0"/>
      <c r="WQH124" s="0"/>
      <c r="WQI124" s="0"/>
      <c r="WQJ124" s="0"/>
      <c r="WQK124" s="0"/>
      <c r="WQL124" s="0"/>
      <c r="WQM124" s="0"/>
      <c r="WQN124" s="0"/>
      <c r="WQO124" s="0"/>
      <c r="WQP124" s="0"/>
      <c r="WQQ124" s="0"/>
      <c r="WQR124" s="0"/>
      <c r="WQS124" s="0"/>
      <c r="WQT124" s="0"/>
      <c r="WQU124" s="0"/>
      <c r="WQV124" s="0"/>
      <c r="WQW124" s="0"/>
      <c r="WQX124" s="0"/>
      <c r="WQY124" s="0"/>
      <c r="WQZ124" s="0"/>
      <c r="WRA124" s="0"/>
      <c r="WRB124" s="0"/>
      <c r="WRC124" s="0"/>
      <c r="WRD124" s="0"/>
      <c r="WRE124" s="0"/>
      <c r="WRF124" s="0"/>
      <c r="WRG124" s="0"/>
      <c r="WRH124" s="0"/>
      <c r="WRI124" s="0"/>
      <c r="WRJ124" s="0"/>
      <c r="WRK124" s="0"/>
      <c r="WRL124" s="0"/>
      <c r="WRM124" s="0"/>
      <c r="WRN124" s="0"/>
      <c r="WRO124" s="0"/>
      <c r="WRP124" s="0"/>
      <c r="WRQ124" s="0"/>
      <c r="WRR124" s="0"/>
      <c r="WRS124" s="0"/>
      <c r="WRT124" s="0"/>
      <c r="WRU124" s="0"/>
      <c r="WRV124" s="0"/>
      <c r="WRW124" s="0"/>
      <c r="WRX124" s="0"/>
      <c r="WRY124" s="0"/>
      <c r="WRZ124" s="0"/>
      <c r="WSA124" s="0"/>
      <c r="WSB124" s="0"/>
      <c r="WSC124" s="0"/>
      <c r="WSD124" s="0"/>
      <c r="WSE124" s="0"/>
      <c r="WSF124" s="0"/>
      <c r="WSG124" s="0"/>
      <c r="WSH124" s="0"/>
      <c r="WSI124" s="0"/>
      <c r="WSJ124" s="0"/>
      <c r="WSK124" s="0"/>
      <c r="WSL124" s="0"/>
      <c r="WSM124" s="0"/>
      <c r="WSN124" s="0"/>
      <c r="WSO124" s="0"/>
      <c r="WSP124" s="0"/>
      <c r="WSQ124" s="0"/>
      <c r="WSR124" s="0"/>
      <c r="WSS124" s="0"/>
      <c r="WST124" s="0"/>
      <c r="WSU124" s="0"/>
      <c r="WSV124" s="0"/>
      <c r="WSW124" s="0"/>
      <c r="WSX124" s="0"/>
      <c r="WSY124" s="0"/>
      <c r="WSZ124" s="0"/>
      <c r="WTA124" s="0"/>
      <c r="WTB124" s="0"/>
      <c r="WTC124" s="0"/>
      <c r="WTD124" s="0"/>
      <c r="WTE124" s="0"/>
      <c r="WTF124" s="0"/>
      <c r="WTG124" s="0"/>
      <c r="WTH124" s="0"/>
      <c r="WTI124" s="0"/>
      <c r="WTJ124" s="0"/>
      <c r="WTK124" s="0"/>
      <c r="WTL124" s="0"/>
      <c r="WTM124" s="0"/>
      <c r="WTN124" s="0"/>
      <c r="WTO124" s="0"/>
      <c r="WTP124" s="0"/>
      <c r="WTQ124" s="0"/>
      <c r="WTR124" s="0"/>
      <c r="WTS124" s="0"/>
      <c r="WTT124" s="0"/>
      <c r="WTU124" s="0"/>
      <c r="WTV124" s="0"/>
      <c r="WTW124" s="0"/>
      <c r="WTX124" s="0"/>
      <c r="WTY124" s="0"/>
      <c r="WTZ124" s="0"/>
      <c r="WUA124" s="0"/>
      <c r="WUB124" s="0"/>
      <c r="WUC124" s="0"/>
      <c r="WUD124" s="0"/>
      <c r="WUE124" s="0"/>
      <c r="WUF124" s="0"/>
      <c r="WUG124" s="0"/>
      <c r="WUH124" s="0"/>
      <c r="WUI124" s="0"/>
      <c r="WUJ124" s="0"/>
      <c r="WUK124" s="0"/>
      <c r="WUL124" s="0"/>
      <c r="WUM124" s="0"/>
      <c r="WUN124" s="0"/>
      <c r="WUO124" s="0"/>
      <c r="WUP124" s="0"/>
      <c r="WUQ124" s="0"/>
      <c r="WUR124" s="0"/>
      <c r="WUS124" s="0"/>
      <c r="WUT124" s="0"/>
      <c r="WUU124" s="0"/>
      <c r="WUV124" s="0"/>
      <c r="WUW124" s="0"/>
      <c r="WUX124" s="0"/>
      <c r="WUY124" s="0"/>
      <c r="WUZ124" s="0"/>
      <c r="WVA124" s="0"/>
      <c r="WVB124" s="0"/>
      <c r="WVC124" s="0"/>
      <c r="WVD124" s="0"/>
      <c r="WVE124" s="0"/>
      <c r="WVF124" s="0"/>
      <c r="WVG124" s="0"/>
      <c r="WVH124" s="0"/>
      <c r="WVI124" s="0"/>
      <c r="WVJ124" s="0"/>
      <c r="WVK124" s="0"/>
      <c r="WVL124" s="0"/>
      <c r="WVM124" s="0"/>
      <c r="WVN124" s="0"/>
      <c r="WVO124" s="0"/>
      <c r="WVP124" s="0"/>
      <c r="WVQ124" s="0"/>
      <c r="WVR124" s="0"/>
      <c r="WVS124" s="0"/>
      <c r="WVT124" s="0"/>
      <c r="WVU124" s="0"/>
      <c r="WVV124" s="0"/>
      <c r="WVW124" s="0"/>
      <c r="WVX124" s="0"/>
      <c r="WVY124" s="0"/>
      <c r="WVZ124" s="0"/>
      <c r="WWA124" s="0"/>
      <c r="WWB124" s="0"/>
      <c r="WWC124" s="0"/>
      <c r="WWD124" s="0"/>
      <c r="WWE124" s="0"/>
      <c r="WWF124" s="0"/>
      <c r="WWG124" s="0"/>
      <c r="WWH124" s="0"/>
      <c r="WWI124" s="0"/>
      <c r="WWJ124" s="0"/>
      <c r="WWK124" s="0"/>
      <c r="WWL124" s="0"/>
      <c r="WWM124" s="0"/>
      <c r="WWN124" s="0"/>
      <c r="WWO124" s="0"/>
      <c r="WWP124" s="0"/>
      <c r="WWQ124" s="0"/>
      <c r="WWR124" s="0"/>
      <c r="WWS124" s="0"/>
      <c r="WWT124" s="0"/>
      <c r="WWU124" s="0"/>
      <c r="WWV124" s="0"/>
      <c r="WWW124" s="0"/>
      <c r="WWX124" s="0"/>
      <c r="WWY124" s="0"/>
      <c r="WWZ124" s="0"/>
      <c r="WXA124" s="0"/>
      <c r="WXB124" s="0"/>
      <c r="WXC124" s="0"/>
      <c r="WXD124" s="0"/>
      <c r="WXE124" s="0"/>
      <c r="WXF124" s="0"/>
      <c r="WXG124" s="0"/>
      <c r="WXH124" s="0"/>
      <c r="WXI124" s="0"/>
      <c r="WXJ124" s="0"/>
      <c r="WXK124" s="0"/>
      <c r="WXL124" s="0"/>
      <c r="WXM124" s="0"/>
      <c r="WXN124" s="0"/>
      <c r="WXO124" s="0"/>
      <c r="WXP124" s="0"/>
      <c r="WXQ124" s="0"/>
      <c r="WXR124" s="0"/>
      <c r="WXS124" s="0"/>
      <c r="WXT124" s="0"/>
      <c r="WXU124" s="0"/>
      <c r="WXV124" s="0"/>
      <c r="WXW124" s="0"/>
      <c r="WXX124" s="0"/>
      <c r="WXY124" s="0"/>
      <c r="WXZ124" s="0"/>
      <c r="WYA124" s="0"/>
      <c r="WYB124" s="0"/>
      <c r="WYC124" s="0"/>
      <c r="WYD124" s="0"/>
      <c r="WYE124" s="0"/>
      <c r="WYF124" s="0"/>
      <c r="WYG124" s="0"/>
      <c r="WYH124" s="0"/>
      <c r="WYI124" s="0"/>
      <c r="WYJ124" s="0"/>
      <c r="WYK124" s="0"/>
      <c r="WYL124" s="0"/>
      <c r="WYM124" s="0"/>
      <c r="WYN124" s="0"/>
      <c r="WYO124" s="0"/>
      <c r="WYP124" s="0"/>
      <c r="WYQ124" s="0"/>
      <c r="WYR124" s="0"/>
      <c r="WYS124" s="0"/>
      <c r="WYT124" s="0"/>
      <c r="WYU124" s="0"/>
      <c r="WYV124" s="0"/>
      <c r="WYW124" s="0"/>
      <c r="WYX124" s="0"/>
      <c r="WYY124" s="0"/>
      <c r="WYZ124" s="0"/>
      <c r="WZA124" s="0"/>
      <c r="WZB124" s="0"/>
      <c r="WZC124" s="0"/>
      <c r="WZD124" s="0"/>
      <c r="WZE124" s="0"/>
      <c r="WZF124" s="0"/>
      <c r="WZG124" s="0"/>
      <c r="WZH124" s="0"/>
      <c r="WZI124" s="0"/>
      <c r="WZJ124" s="0"/>
      <c r="WZK124" s="0"/>
      <c r="WZL124" s="0"/>
      <c r="WZM124" s="0"/>
      <c r="WZN124" s="0"/>
      <c r="WZO124" s="0"/>
      <c r="WZP124" s="0"/>
      <c r="WZQ124" s="0"/>
      <c r="WZR124" s="0"/>
      <c r="WZS124" s="0"/>
      <c r="WZT124" s="0"/>
      <c r="WZU124" s="0"/>
      <c r="WZV124" s="0"/>
      <c r="WZW124" s="0"/>
      <c r="WZX124" s="0"/>
      <c r="WZY124" s="0"/>
      <c r="WZZ124" s="0"/>
      <c r="XAA124" s="0"/>
      <c r="XAB124" s="0"/>
      <c r="XAC124" s="0"/>
      <c r="XAD124" s="0"/>
      <c r="XAE124" s="0"/>
      <c r="XAF124" s="0"/>
      <c r="XAG124" s="0"/>
      <c r="XAH124" s="0"/>
      <c r="XAI124" s="0"/>
      <c r="XAJ124" s="0"/>
      <c r="XAK124" s="0"/>
      <c r="XAL124" s="0"/>
      <c r="XAM124" s="0"/>
      <c r="XAN124" s="0"/>
      <c r="XAO124" s="0"/>
      <c r="XAP124" s="0"/>
      <c r="XAQ124" s="0"/>
      <c r="XAR124" s="0"/>
      <c r="XAS124" s="0"/>
      <c r="XAT124" s="0"/>
      <c r="XAU124" s="0"/>
      <c r="XAV124" s="0"/>
      <c r="XAW124" s="0"/>
      <c r="XAX124" s="0"/>
      <c r="XAY124" s="0"/>
      <c r="XAZ124" s="0"/>
      <c r="XBA124" s="0"/>
      <c r="XBB124" s="0"/>
      <c r="XBC124" s="0"/>
      <c r="XBD124" s="0"/>
      <c r="XBE124" s="0"/>
      <c r="XBF124" s="0"/>
      <c r="XBG124" s="0"/>
      <c r="XBH124" s="0"/>
      <c r="XBI124" s="0"/>
      <c r="XBJ124" s="0"/>
      <c r="XBK124" s="0"/>
      <c r="XBL124" s="0"/>
      <c r="XBM124" s="0"/>
      <c r="XBN124" s="0"/>
      <c r="XBO124" s="0"/>
      <c r="XBP124" s="0"/>
      <c r="XBQ124" s="0"/>
      <c r="XBR124" s="0"/>
      <c r="XBS124" s="0"/>
      <c r="XBT124" s="0"/>
      <c r="XBU124" s="0"/>
      <c r="XBV124" s="0"/>
      <c r="XBW124" s="0"/>
      <c r="XBX124" s="0"/>
      <c r="XBY124" s="0"/>
      <c r="XBZ124" s="0"/>
      <c r="XCA124" s="0"/>
      <c r="XCB124" s="0"/>
      <c r="XCC124" s="0"/>
      <c r="XCD124" s="0"/>
      <c r="XCE124" s="0"/>
      <c r="XCF124" s="0"/>
      <c r="XCG124" s="0"/>
      <c r="XCH124" s="0"/>
      <c r="XCI124" s="0"/>
      <c r="XCJ124" s="0"/>
      <c r="XCK124" s="0"/>
      <c r="XCL124" s="0"/>
      <c r="XCM124" s="0"/>
      <c r="XCN124" s="0"/>
      <c r="XCO124" s="0"/>
      <c r="XCP124" s="0"/>
      <c r="XCQ124" s="0"/>
      <c r="XCR124" s="0"/>
      <c r="XCS124" s="0"/>
      <c r="XCT124" s="0"/>
      <c r="XCU124" s="0"/>
      <c r="XCV124" s="0"/>
      <c r="XCW124" s="0"/>
      <c r="XCX124" s="0"/>
      <c r="XCY124" s="0"/>
      <c r="XCZ124" s="0"/>
      <c r="XDA124" s="0"/>
      <c r="XDB124" s="0"/>
      <c r="XDC124" s="0"/>
      <c r="XDD124" s="0"/>
      <c r="XDE124" s="0"/>
      <c r="XDF124" s="0"/>
      <c r="XDG124" s="0"/>
      <c r="XDH124" s="0"/>
      <c r="XDI124" s="0"/>
      <c r="XDJ124" s="0"/>
      <c r="XDK124" s="0"/>
      <c r="XDL124" s="0"/>
      <c r="XDM124" s="0"/>
      <c r="XDN124" s="0"/>
      <c r="XDO124" s="0"/>
      <c r="XDP124" s="0"/>
      <c r="XDQ124" s="0"/>
      <c r="XDR124" s="0"/>
      <c r="XDS124" s="0"/>
      <c r="XDT124" s="0"/>
      <c r="XDU124" s="0"/>
      <c r="XDV124" s="0"/>
      <c r="XDW124" s="0"/>
      <c r="XDX124" s="0"/>
      <c r="XDY124" s="0"/>
      <c r="XDZ124" s="0"/>
      <c r="XEA124" s="0"/>
      <c r="XEB124" s="0"/>
      <c r="XEC124" s="0"/>
      <c r="XED124" s="0"/>
      <c r="XEE124" s="0"/>
      <c r="XEF124" s="0"/>
      <c r="XEG124" s="0"/>
      <c r="XEH124" s="0"/>
      <c r="XEI124" s="0"/>
      <c r="XEJ124" s="0"/>
      <c r="XEK124" s="0"/>
      <c r="XEL124" s="0"/>
      <c r="XEM124" s="0"/>
      <c r="XEN124" s="0"/>
      <c r="XEO124" s="0"/>
      <c r="XEP124" s="0"/>
      <c r="XEQ124" s="0"/>
      <c r="XER124" s="0"/>
      <c r="XES124" s="0"/>
      <c r="XET124" s="0"/>
      <c r="XEU124" s="0"/>
      <c r="XEV124" s="0"/>
      <c r="XEW124" s="0"/>
      <c r="XEX124" s="0"/>
      <c r="XEY124" s="0"/>
      <c r="XEZ124" s="0"/>
      <c r="XFA124" s="0"/>
      <c r="XFB124" s="0"/>
      <c r="XFC124" s="0"/>
      <c r="XFD124" s="0"/>
    </row>
    <row r="151" customFormat="false" ht="15" hidden="false" customHeight="true" outlineLevel="0" collapsed="false">
      <c r="A151" s="713" t="s">
        <v>1055</v>
      </c>
      <c r="B151" s="725" t="s">
        <v>1904</v>
      </c>
      <c r="C151" s="412"/>
      <c r="D151" s="723" t="n">
        <f aca="false">T123-D152</f>
        <v>0</v>
      </c>
    </row>
    <row r="152" customFormat="false" ht="15" hidden="false" customHeight="true" outlineLevel="0" collapsed="false">
      <c r="A152" s="733" t="s">
        <v>1075</v>
      </c>
      <c r="B152" s="694"/>
      <c r="C152" s="686"/>
      <c r="D152" s="2141" t="n">
        <f aca="false">SUM(D153:D209)-D185-D195</f>
        <v>0</v>
      </c>
    </row>
    <row r="153" customFormat="false" ht="15" hidden="false" customHeight="true" outlineLevel="0" collapsed="false">
      <c r="A153" s="1404" t="n">
        <f aca="false">Summary!AZ74</f>
        <v>80001</v>
      </c>
      <c r="B153" s="741" t="str">
        <f aca="false">Summary!BA74</f>
        <v>General Requirements</v>
      </c>
      <c r="C153" s="318"/>
      <c r="D153" s="1187"/>
    </row>
    <row r="154" customFormat="false" ht="15" hidden="false" customHeight="true" outlineLevel="0" collapsed="false">
      <c r="A154" s="1404" t="n">
        <f aca="false">Summary!AZ75</f>
        <v>80002</v>
      </c>
      <c r="B154" s="741" t="str">
        <f aca="false">Summary!BA75</f>
        <v>Lumber</v>
      </c>
      <c r="C154" s="318"/>
      <c r="D154" s="1188" t="n">
        <f aca="false">SUM(W73:W90)+SUM(W92:W106)+N81+N82</f>
        <v>0</v>
      </c>
    </row>
    <row r="155" customFormat="false" ht="15" hidden="false" customHeight="true" outlineLevel="0" collapsed="false">
      <c r="A155" s="1404" t="n">
        <f aca="false">Summary!AZ76</f>
        <v>80003</v>
      </c>
      <c r="B155" s="741" t="str">
        <f aca="false">Summary!BA76</f>
        <v>Sand Material</v>
      </c>
      <c r="C155" s="318"/>
      <c r="D155" s="1188"/>
    </row>
    <row r="156" customFormat="false" ht="15" hidden="false" customHeight="false" outlineLevel="0" collapsed="false">
      <c r="A156" s="1404" t="n">
        <f aca="false">Summary!AZ77</f>
        <v>80004</v>
      </c>
      <c r="B156" s="741" t="str">
        <f aca="false">Summary!BA77</f>
        <v>Rock Material</v>
      </c>
      <c r="C156" s="318"/>
      <c r="D156" s="1188"/>
    </row>
    <row r="157" customFormat="false" ht="15" hidden="false" customHeight="false" outlineLevel="0" collapsed="false">
      <c r="A157" s="1404" t="n">
        <f aca="false">Summary!AZ78</f>
        <v>80005</v>
      </c>
      <c r="B157" s="741" t="str">
        <f aca="false">Summary!BA78</f>
        <v>Reinforcement Material</v>
      </c>
      <c r="C157" s="318"/>
      <c r="D157" s="1188" t="n">
        <f aca="false">SUM(N78:O79)</f>
        <v>0</v>
      </c>
    </row>
    <row r="158" customFormat="false" ht="15" hidden="false" customHeight="false" outlineLevel="0" collapsed="false">
      <c r="A158" s="1404" t="n">
        <f aca="false">Summary!AZ79</f>
        <v>80006</v>
      </c>
      <c r="B158" s="741" t="str">
        <f aca="false">Summary!BA79</f>
        <v>Reinforcement Accessories</v>
      </c>
      <c r="C158" s="318"/>
      <c r="D158" s="1188" t="n">
        <f aca="false">SUM(W107:W110)+W118</f>
        <v>0</v>
      </c>
    </row>
    <row r="159" customFormat="false" ht="15" hidden="false" customHeight="false" outlineLevel="0" collapsed="false">
      <c r="A159" s="1404" t="n">
        <f aca="false">Summary!AZ80</f>
        <v>80007</v>
      </c>
      <c r="B159" s="741" t="str">
        <f aca="false">Summary!BA80</f>
        <v>PT Cables</v>
      </c>
      <c r="C159" s="318"/>
      <c r="D159" s="1188" t="n">
        <f aca="false">SUM(N80)</f>
        <v>0</v>
      </c>
    </row>
    <row r="160" customFormat="false" ht="15" hidden="false" customHeight="false" outlineLevel="0" collapsed="false">
      <c r="A160" s="1404" t="n">
        <f aca="false">Summary!AZ81</f>
        <v>80008</v>
      </c>
      <c r="B160" s="741" t="str">
        <f aca="false">Summary!BA81</f>
        <v>Concrete Material</v>
      </c>
      <c r="C160" s="318"/>
      <c r="D160" s="1188" t="n">
        <f aca="false">SUM(N73:O77)</f>
        <v>0</v>
      </c>
    </row>
    <row r="161" customFormat="false" ht="15" hidden="false" customHeight="false" outlineLevel="0" collapsed="false">
      <c r="A161" s="1404" t="n">
        <f aca="false">Summary!AZ82</f>
        <v>80009</v>
      </c>
      <c r="B161" s="741" t="str">
        <f aca="false">Summary!BA82</f>
        <v>Carton Forms</v>
      </c>
      <c r="C161" s="318"/>
      <c r="D161" s="1188" t="n">
        <f aca="false">SUM(N81)</f>
        <v>0</v>
      </c>
    </row>
    <row r="162" customFormat="false" ht="15" hidden="false" customHeight="false" outlineLevel="0" collapsed="false">
      <c r="A162" s="1404" t="n">
        <f aca="false">Summary!AZ83</f>
        <v>80010</v>
      </c>
      <c r="B162" s="741" t="str">
        <f aca="false">Summary!BA83</f>
        <v>Cure/Sealers</v>
      </c>
      <c r="C162" s="318"/>
      <c r="D162" s="1188" t="n">
        <f aca="false">SUM(W113:W115)</f>
        <v>0</v>
      </c>
    </row>
    <row r="163" customFormat="false" ht="15" hidden="false" customHeight="false" outlineLevel="0" collapsed="false">
      <c r="A163" s="1404" t="n">
        <f aca="false">Summary!AZ84</f>
        <v>80011</v>
      </c>
      <c r="B163" s="741" t="str">
        <f aca="false">Summary!BA84</f>
        <v>Patch/Grout</v>
      </c>
      <c r="C163" s="318"/>
      <c r="D163" s="1188"/>
    </row>
    <row r="164" customFormat="false" ht="15" hidden="false" customHeight="false" outlineLevel="0" collapsed="false">
      <c r="A164" s="1404" t="n">
        <f aca="false">Summary!AZ85</f>
        <v>80012</v>
      </c>
      <c r="B164" s="741" t="str">
        <f aca="false">Summary!BA85</f>
        <v>Poly/Vapor Barrier</v>
      </c>
      <c r="C164" s="318"/>
      <c r="D164" s="1188" t="n">
        <f aca="false">SUM(W91)</f>
        <v>0</v>
      </c>
    </row>
    <row r="165" customFormat="false" ht="15" hidden="false" customHeight="false" outlineLevel="0" collapsed="false">
      <c r="A165" s="1404" t="n">
        <f aca="false">Summary!AZ86</f>
        <v>80013</v>
      </c>
      <c r="B165" s="741" t="str">
        <f aca="false">Summary!BA86</f>
        <v>Special Material</v>
      </c>
      <c r="C165" s="318"/>
      <c r="D165" s="1188" t="n">
        <f aca="false">W111</f>
        <v>0</v>
      </c>
    </row>
    <row r="166" customFormat="false" ht="15" hidden="false" customHeight="false" outlineLevel="0" collapsed="false">
      <c r="A166" s="1404" t="n">
        <f aca="false">Summary!AZ87</f>
        <v>80014</v>
      </c>
      <c r="B166" s="741" t="str">
        <f aca="false">Summary!BA87</f>
        <v>Special Material</v>
      </c>
      <c r="C166" s="318"/>
      <c r="D166" s="1188" t="n">
        <f aca="false">W112</f>
        <v>0</v>
      </c>
    </row>
    <row r="167" customFormat="false" ht="15" hidden="false" customHeight="false" outlineLevel="0" collapsed="false">
      <c r="A167" s="1404" t="n">
        <f aca="false">Summary!AZ88</f>
        <v>80015</v>
      </c>
      <c r="B167" s="741" t="str">
        <f aca="false">Summary!BA88</f>
        <v>PPE/Safety</v>
      </c>
      <c r="C167" s="318"/>
      <c r="D167" s="1188" t="n">
        <f aca="false">W113</f>
        <v>0</v>
      </c>
    </row>
    <row r="168" customFormat="false" ht="15" hidden="false" customHeight="false" outlineLevel="0" collapsed="false">
      <c r="A168" s="1404" t="n">
        <f aca="false">Summary!AZ89</f>
        <v>80020</v>
      </c>
      <c r="B168" s="741" t="str">
        <f aca="false">Summary!BA89</f>
        <v>Supervision</v>
      </c>
      <c r="C168" s="318"/>
      <c r="D168" s="1188" t="n">
        <f aca="false">SUM(N100:O101)</f>
        <v>0</v>
      </c>
    </row>
    <row r="169" customFormat="false" ht="15" hidden="false" customHeight="false" outlineLevel="0" collapsed="false">
      <c r="A169" s="1404" t="n">
        <f aca="false">Summary!AZ90</f>
        <v>80021</v>
      </c>
      <c r="B169" s="741" t="str">
        <f aca="false">Summary!BA90</f>
        <v>Supervision Expense</v>
      </c>
      <c r="C169" s="318"/>
      <c r="D169" s="1188" t="n">
        <f aca="false">SUM(N102)</f>
        <v>0</v>
      </c>
    </row>
    <row r="170" customFormat="false" ht="15" hidden="false" customHeight="false" outlineLevel="0" collapsed="false">
      <c r="A170" s="1404" t="n">
        <f aca="false">Summary!AZ91</f>
        <v>80022</v>
      </c>
      <c r="B170" s="741" t="str">
        <f aca="false">Summary!BA91</f>
        <v>Project Management</v>
      </c>
      <c r="C170" s="318"/>
      <c r="D170" s="1188" t="n">
        <f aca="false">N103</f>
        <v>0</v>
      </c>
    </row>
    <row r="171" customFormat="false" ht="15" hidden="false" customHeight="false" outlineLevel="0" collapsed="false">
      <c r="A171" s="1404" t="n">
        <f aca="false">Summary!AZ92</f>
        <v>80023</v>
      </c>
      <c r="B171" s="741" t="str">
        <f aca="false">Summary!BA92</f>
        <v>Labor Grade, Poly, Reinf.</v>
      </c>
      <c r="C171" s="318"/>
      <c r="D171" s="1188"/>
    </row>
    <row r="172" customFormat="false" ht="15" hidden="false" customHeight="false" outlineLevel="0" collapsed="false">
      <c r="A172" s="1404" t="n">
        <f aca="false">Summary!AZ93</f>
        <v>80024</v>
      </c>
      <c r="B172" s="741" t="str">
        <f aca="false">Summary!BA93</f>
        <v>Labor Place &amp; Finish</v>
      </c>
      <c r="C172" s="318"/>
      <c r="D172" s="1188" t="n">
        <f aca="false">K88</f>
        <v>0</v>
      </c>
    </row>
    <row r="173" customFormat="false" ht="15" hidden="false" customHeight="false" outlineLevel="0" collapsed="false">
      <c r="A173" s="1404" t="n">
        <f aca="false">Summary!AZ94</f>
        <v>80025</v>
      </c>
      <c r="B173" s="741" t="str">
        <f aca="false">Summary!BA94</f>
        <v>Labor Drops</v>
      </c>
      <c r="C173" s="318"/>
      <c r="D173" s="1188" t="n">
        <f aca="false">K92</f>
        <v>0</v>
      </c>
    </row>
    <row r="174" customFormat="false" ht="15" hidden="false" customHeight="false" outlineLevel="0" collapsed="false">
      <c r="A174" s="1404" t="n">
        <f aca="false">Summary!AZ95</f>
        <v>80026</v>
      </c>
      <c r="B174" s="741" t="str">
        <f aca="false">Summary!BA95</f>
        <v>Labor Strip Forms</v>
      </c>
      <c r="C174" s="318"/>
      <c r="D174" s="1188" t="n">
        <f aca="false">K89+K93</f>
        <v>0</v>
      </c>
    </row>
    <row r="175" customFormat="false" ht="15" hidden="false" customHeight="false" outlineLevel="0" collapsed="false">
      <c r="A175" s="1404" t="n">
        <f aca="false">Summary!AZ96</f>
        <v>80027</v>
      </c>
      <c r="B175" s="741" t="str">
        <f aca="false">Summary!BA96</f>
        <v>Labor Burden</v>
      </c>
      <c r="C175" s="318"/>
      <c r="D175" s="1188"/>
    </row>
    <row r="176" customFormat="false" ht="15" hidden="false" customHeight="false" outlineLevel="0" collapsed="false">
      <c r="A176" s="1404" t="n">
        <v>80030</v>
      </c>
      <c r="B176" s="741" t="s">
        <v>1130</v>
      </c>
      <c r="C176" s="318"/>
      <c r="D176" s="1188" t="n">
        <f aca="false">N114</f>
        <v>0</v>
      </c>
    </row>
    <row r="177" customFormat="false" ht="15" hidden="false" customHeight="false" outlineLevel="0" collapsed="false">
      <c r="A177" s="1404" t="n">
        <f aca="false">Summary!AZ99</f>
        <v>80031</v>
      </c>
      <c r="B177" s="741" t="str">
        <f aca="false">Summary!BA99</f>
        <v>Earth Work/Excavation</v>
      </c>
      <c r="C177" s="318"/>
      <c r="D177" s="1188"/>
    </row>
    <row r="178" customFormat="false" ht="15" hidden="false" customHeight="false" outlineLevel="0" collapsed="false">
      <c r="A178" s="1404" t="n">
        <f aca="false">Summary!AZ100</f>
        <v>80032</v>
      </c>
      <c r="B178" s="741" t="str">
        <f aca="false">Summary!BA100</f>
        <v>Drilling</v>
      </c>
      <c r="C178" s="318"/>
      <c r="D178" s="1188"/>
    </row>
    <row r="179" customFormat="false" ht="15" hidden="false" customHeight="false" outlineLevel="0" collapsed="false">
      <c r="A179" s="1404" t="n">
        <f aca="false">Summary!AZ101</f>
        <v>80033</v>
      </c>
      <c r="B179" s="741" t="str">
        <f aca="false">Summary!BA101</f>
        <v>Haul off</v>
      </c>
      <c r="C179" s="318"/>
      <c r="D179" s="1188"/>
    </row>
    <row r="180" customFormat="false" ht="15" hidden="false" customHeight="false" outlineLevel="0" collapsed="false">
      <c r="A180" s="1404" t="n">
        <f aca="false">Summary!AZ102</f>
        <v>80034</v>
      </c>
      <c r="B180" s="741" t="str">
        <f aca="false">Summary!BA102</f>
        <v>Saw Cutting/Sealing</v>
      </c>
      <c r="C180" s="318"/>
      <c r="D180" s="1188" t="n">
        <f aca="false">N113</f>
        <v>0</v>
      </c>
    </row>
    <row r="181" customFormat="false" ht="15" hidden="false" customHeight="false" outlineLevel="0" collapsed="false">
      <c r="A181" s="1404" t="n">
        <f aca="false">Summary!AZ103</f>
        <v>80035</v>
      </c>
      <c r="B181" s="741" t="str">
        <f aca="false">Summary!BA103</f>
        <v>Demolition</v>
      </c>
      <c r="C181" s="318"/>
      <c r="D181" s="1188"/>
    </row>
    <row r="182" customFormat="false" ht="15" hidden="false" customHeight="false" outlineLevel="0" collapsed="false">
      <c r="A182" s="1404" t="n">
        <f aca="false">Summary!AZ104</f>
        <v>80037</v>
      </c>
      <c r="B182" s="741" t="str">
        <f aca="false">Summary!BA104</f>
        <v>Waterproofing</v>
      </c>
      <c r="C182" s="318"/>
      <c r="D182" s="1188" t="n">
        <f aca="false">SUM(N116)</f>
        <v>0</v>
      </c>
    </row>
    <row r="183" customFormat="false" ht="15" hidden="false" customHeight="false" outlineLevel="0" collapsed="false">
      <c r="A183" s="1404" t="n">
        <f aca="false">Summary!AZ105</f>
        <v>80038</v>
      </c>
      <c r="B183" s="741" t="str">
        <f aca="false">Summary!BA105</f>
        <v>Crain/Hoisting</v>
      </c>
      <c r="C183" s="318"/>
      <c r="D183" s="1188" t="n">
        <f aca="false">N105+N106</f>
        <v>0</v>
      </c>
    </row>
    <row r="184" customFormat="false" ht="15" hidden="false" customHeight="false" outlineLevel="0" collapsed="false">
      <c r="A184" s="1406" t="n">
        <f aca="false">Summary!AZ106</f>
        <v>80039</v>
      </c>
      <c r="B184" s="788" t="str">
        <f aca="false">Summary!BA106</f>
        <v>Forming Systems</v>
      </c>
      <c r="C184" s="800"/>
      <c r="D184" s="1192" t="n">
        <f aca="false">SUM(N83:O84)</f>
        <v>0</v>
      </c>
    </row>
    <row r="185" customFormat="false" ht="15" hidden="false" customHeight="false" outlineLevel="0" collapsed="false">
      <c r="A185" s="2055" t="n">
        <f aca="false">Summary!AZ107</f>
        <v>80040</v>
      </c>
      <c r="B185" s="2056" t="str">
        <f aca="false">Summary!BA107</f>
        <v>Total Sub Labor</v>
      </c>
      <c r="C185" s="2057"/>
      <c r="D185" s="2143" t="n">
        <f aca="false">SUM(D186:D193)</f>
        <v>0</v>
      </c>
    </row>
    <row r="186" customFormat="false" ht="15" hidden="false" customHeight="false" outlineLevel="0" collapsed="false">
      <c r="A186" s="1404" t="n">
        <f aca="false">Summary!AZ108</f>
        <v>80041</v>
      </c>
      <c r="B186" s="741" t="str">
        <f aca="false">Summary!BA108</f>
        <v>Labor Forming</v>
      </c>
      <c r="C186" s="318"/>
      <c r="D186" s="1187" t="n">
        <f aca="false">N87</f>
        <v>0</v>
      </c>
    </row>
    <row r="187" customFormat="false" ht="15" hidden="false" customHeight="false" outlineLevel="0" collapsed="false">
      <c r="A187" s="1404" t="n">
        <f aca="false">Summary!AZ109</f>
        <v>80042</v>
      </c>
      <c r="B187" s="741" t="str">
        <f aca="false">Summary!BA109</f>
        <v>Labor Grade, Poly, Reinf.</v>
      </c>
      <c r="C187" s="318"/>
      <c r="D187" s="1188"/>
    </row>
    <row r="188" customFormat="false" ht="15" hidden="false" customHeight="false" outlineLevel="0" collapsed="false">
      <c r="A188" s="1404" t="n">
        <f aca="false">Summary!AZ110</f>
        <v>80043</v>
      </c>
      <c r="B188" s="741" t="str">
        <f aca="false">Summary!BA110</f>
        <v>Labor Place &amp; Finish</v>
      </c>
      <c r="C188" s="318"/>
      <c r="D188" s="1188" t="n">
        <f aca="false">N88</f>
        <v>0</v>
      </c>
    </row>
    <row r="189" customFormat="false" ht="15" hidden="false" customHeight="false" outlineLevel="0" collapsed="false">
      <c r="A189" s="1404" t="n">
        <f aca="false">Summary!AZ111</f>
        <v>80044</v>
      </c>
      <c r="B189" s="741" t="str">
        <f aca="false">Summary!BA111</f>
        <v>Labor Drops</v>
      </c>
      <c r="C189" s="318"/>
      <c r="D189" s="1188" t="n">
        <f aca="false">N90+N92+N91</f>
        <v>0</v>
      </c>
    </row>
    <row r="190" customFormat="false" ht="15" hidden="false" customHeight="false" outlineLevel="0" collapsed="false">
      <c r="A190" s="1404" t="n">
        <f aca="false">Summary!AZ112</f>
        <v>80045</v>
      </c>
      <c r="B190" s="741" t="str">
        <f aca="false">Summary!BA112</f>
        <v>Labor Strip Forms</v>
      </c>
      <c r="C190" s="318"/>
      <c r="D190" s="1188" t="n">
        <f aca="false">N89</f>
        <v>0</v>
      </c>
    </row>
    <row r="191" customFormat="false" ht="15" hidden="false" customHeight="false" outlineLevel="0" collapsed="false">
      <c r="A191" s="1404" t="n">
        <f aca="false">Summary!AZ113</f>
        <v>80046</v>
      </c>
      <c r="B191" s="741" t="str">
        <f aca="false">Summary!BA113</f>
        <v>Labor Burden</v>
      </c>
      <c r="C191" s="318"/>
      <c r="D191" s="1188" t="n">
        <f aca="false">N93</f>
        <v>0</v>
      </c>
    </row>
    <row r="192" customFormat="false" ht="15" hidden="false" customHeight="false" outlineLevel="0" collapsed="false">
      <c r="A192" s="1404" t="n">
        <f aca="false">Summary!AZ114</f>
        <v>80047</v>
      </c>
      <c r="B192" s="741" t="str">
        <f aca="false">Summary!BA114</f>
        <v>Rebar</v>
      </c>
      <c r="C192" s="318"/>
      <c r="D192" s="1188" t="n">
        <f aca="false">N96+N94</f>
        <v>0</v>
      </c>
    </row>
    <row r="193" customFormat="false" ht="15" hidden="false" customHeight="false" outlineLevel="0" collapsed="false">
      <c r="A193" s="1406" t="n">
        <f aca="false">Summary!AZ115</f>
        <v>80048</v>
      </c>
      <c r="B193" s="788" t="str">
        <f aca="false">Summary!BA115</f>
        <v>PT Installation</v>
      </c>
      <c r="C193" s="800"/>
      <c r="D193" s="1192" t="n">
        <f aca="false">N95</f>
        <v>0</v>
      </c>
    </row>
    <row r="194" customFormat="false" ht="15" hidden="false" customHeight="false" outlineLevel="0" collapsed="false">
      <c r="A194" s="1406" t="n">
        <f aca="false">Summary!AZ116</f>
        <v>80049</v>
      </c>
      <c r="B194" s="788" t="str">
        <f aca="false">Summary!BA116</f>
        <v>Extra Hours</v>
      </c>
      <c r="C194" s="800"/>
      <c r="D194" s="1192" t="n">
        <f aca="false">N97</f>
        <v>0</v>
      </c>
    </row>
    <row r="195" customFormat="false" ht="15" hidden="false" customHeight="false" outlineLevel="0" collapsed="false">
      <c r="A195" s="2055" t="n">
        <f aca="false">Summary!AZ117</f>
        <v>80060</v>
      </c>
      <c r="B195" s="2056" t="str">
        <f aca="false">Summary!BA117</f>
        <v>Total Equipment Rental</v>
      </c>
      <c r="C195" s="2057"/>
      <c r="D195" s="2143" t="n">
        <f aca="false">SUM(D196:D203)</f>
        <v>0</v>
      </c>
    </row>
    <row r="196" customFormat="false" ht="15" hidden="false" customHeight="false" outlineLevel="0" collapsed="false">
      <c r="A196" s="1404" t="n">
        <f aca="false">Summary!AZ118</f>
        <v>80061</v>
      </c>
      <c r="B196" s="741" t="str">
        <f aca="false">Summary!BA118</f>
        <v>SkyTrack</v>
      </c>
      <c r="C196" s="318"/>
      <c r="D196" s="1187" t="n">
        <f aca="false">N109/(1+V$64+I$107)</f>
        <v>0</v>
      </c>
    </row>
    <row r="197" customFormat="false" ht="15" hidden="false" customHeight="false" outlineLevel="0" collapsed="false">
      <c r="A197" s="1404" t="n">
        <f aca="false">Summary!AZ119</f>
        <v>80062</v>
      </c>
      <c r="B197" s="741" t="str">
        <f aca="false">Summary!BA119</f>
        <v>Mini Excavator</v>
      </c>
      <c r="C197" s="318"/>
      <c r="D197" s="1188"/>
    </row>
    <row r="198" customFormat="false" ht="15" hidden="false" customHeight="false" outlineLevel="0" collapsed="false">
      <c r="A198" s="1404" t="n">
        <f aca="false">Summary!AZ120</f>
        <v>80063</v>
      </c>
      <c r="B198" s="741" t="str">
        <f aca="false">Summary!BA120</f>
        <v>Trencher</v>
      </c>
      <c r="C198" s="318"/>
      <c r="D198" s="1188"/>
    </row>
    <row r="199" customFormat="false" ht="15" hidden="false" customHeight="false" outlineLevel="0" collapsed="false">
      <c r="A199" s="1404" t="n">
        <f aca="false">Summary!AZ121</f>
        <v>80064</v>
      </c>
      <c r="B199" s="741" t="str">
        <f aca="false">Summary!BA121</f>
        <v>Skid Steer</v>
      </c>
      <c r="C199" s="318"/>
      <c r="D199" s="1188" t="n">
        <f aca="false">N107/(1+V$64+I$107)</f>
        <v>0</v>
      </c>
    </row>
    <row r="200" customFormat="false" ht="15" hidden="false" customHeight="false" outlineLevel="0" collapsed="false">
      <c r="A200" s="1404" t="n">
        <f aca="false">Summary!AZ122</f>
        <v>80065</v>
      </c>
      <c r="B200" s="741" t="str">
        <f aca="false">Summary!BA122</f>
        <v>General Equipment Rental</v>
      </c>
      <c r="C200" s="318"/>
      <c r="D200" s="1188" t="n">
        <f aca="false">(N108+N110)/(1+V$64+I$107)</f>
        <v>0</v>
      </c>
    </row>
    <row r="201" customFormat="false" ht="15" hidden="false" customHeight="false" outlineLevel="0" collapsed="false">
      <c r="A201" s="1404" t="n">
        <f aca="false">Summary!AZ123</f>
        <v>80066</v>
      </c>
      <c r="B201" s="741" t="str">
        <f aca="false">Summary!BA123</f>
        <v>Fuel</v>
      </c>
      <c r="C201" s="318"/>
      <c r="D201" s="1188" t="n">
        <f aca="false">L107-D196-D199-D200-D202-D203-D183</f>
        <v>0</v>
      </c>
    </row>
    <row r="202" customFormat="false" ht="15" hidden="false" customHeight="false" outlineLevel="0" collapsed="false">
      <c r="A202" s="1404" t="n">
        <f aca="false">Summary!AZ124</f>
        <v>80067</v>
      </c>
      <c r="B202" s="741" t="str">
        <f aca="false">Summary!BA124</f>
        <v>Purchased Tools</v>
      </c>
      <c r="C202" s="318"/>
      <c r="D202" s="1188"/>
    </row>
    <row r="203" customFormat="false" ht="15" hidden="false" customHeight="false" outlineLevel="0" collapsed="false">
      <c r="A203" s="1404" t="n">
        <f aca="false">Summary!AZ125</f>
        <v>80068</v>
      </c>
      <c r="B203" s="741" t="str">
        <f aca="false">Summary!BA125</f>
        <v>Stolen/Damaged</v>
      </c>
      <c r="C203" s="318"/>
      <c r="D203" s="1188"/>
    </row>
    <row r="204" customFormat="false" ht="15" hidden="false" customHeight="false" outlineLevel="0" collapsed="false">
      <c r="A204" s="1404" t="n">
        <f aca="false">Summary!AZ126</f>
        <v>80070</v>
      </c>
      <c r="B204" s="741" t="str">
        <f aca="false">Summary!BA126</f>
        <v>Out of Town Expense</v>
      </c>
      <c r="C204" s="318"/>
      <c r="D204" s="1188" t="n">
        <f aca="false">N117</f>
        <v>0</v>
      </c>
    </row>
    <row r="205" customFormat="false" ht="15" hidden="false" customHeight="false" outlineLevel="0" collapsed="false">
      <c r="A205" s="1404" t="n">
        <f aca="false">Summary!AZ127</f>
        <v>80071</v>
      </c>
      <c r="B205" s="741" t="str">
        <f aca="false">Summary!BA127</f>
        <v>Miscellaneous</v>
      </c>
      <c r="C205" s="318"/>
      <c r="D205" s="1188" t="n">
        <f aca="false">N115+N118</f>
        <v>0</v>
      </c>
    </row>
    <row r="206" customFormat="false" ht="15" hidden="false" customHeight="false" outlineLevel="0" collapsed="false">
      <c r="A206" s="1404" t="n">
        <f aca="false">Summary!AZ128</f>
        <v>80072</v>
      </c>
      <c r="B206" s="741" t="str">
        <f aca="false">Summary!BA128</f>
        <v>Repairs</v>
      </c>
      <c r="C206" s="318"/>
      <c r="D206" s="1188"/>
    </row>
    <row r="207" customFormat="false" ht="15" hidden="false" customHeight="false" outlineLevel="0" collapsed="false">
      <c r="A207" s="1404" t="n">
        <f aca="false">Summary!AZ129</f>
        <v>80073</v>
      </c>
      <c r="B207" s="741" t="str">
        <f aca="false">Summary!BA129</f>
        <v>Engineering</v>
      </c>
      <c r="C207" s="318"/>
      <c r="D207" s="1188" t="n">
        <f aca="false">N112</f>
        <v>0</v>
      </c>
    </row>
    <row r="208" customFormat="false" ht="15" hidden="false" customHeight="false" outlineLevel="0" collapsed="false">
      <c r="A208" s="1404" t="n">
        <f aca="false">Summary!AZ130</f>
        <v>80090</v>
      </c>
      <c r="B208" s="741" t="str">
        <f aca="false">Summary!BA130</f>
        <v>Not Used</v>
      </c>
      <c r="C208" s="318"/>
      <c r="D208" s="1188"/>
    </row>
    <row r="209" customFormat="false" ht="15" hidden="false" customHeight="false" outlineLevel="0" collapsed="false">
      <c r="A209" s="1404" t="n">
        <f aca="false">Summary!AZ131</f>
        <v>80091</v>
      </c>
      <c r="B209" s="741" t="str">
        <f aca="false">Summary!BA131</f>
        <v>Margin Contingency</v>
      </c>
      <c r="C209" s="318"/>
      <c r="D209" s="1188" t="n">
        <f aca="false">N119</f>
        <v>0</v>
      </c>
    </row>
  </sheetData>
  <mergeCells count="274">
    <mergeCell ref="T1:U1"/>
    <mergeCell ref="V1:W1"/>
    <mergeCell ref="A2:D2"/>
    <mergeCell ref="N2:O2"/>
    <mergeCell ref="P2:Q2"/>
    <mergeCell ref="A3:D3"/>
    <mergeCell ref="G3:H3"/>
    <mergeCell ref="I3:M3"/>
    <mergeCell ref="N3:O3"/>
    <mergeCell ref="P3:Q3"/>
    <mergeCell ref="A4:D4"/>
    <mergeCell ref="G4:H4"/>
    <mergeCell ref="I4:M4"/>
    <mergeCell ref="N4:O4"/>
    <mergeCell ref="P4:Q4"/>
    <mergeCell ref="C5:D5"/>
    <mergeCell ref="I5:M5"/>
    <mergeCell ref="N5:O5"/>
    <mergeCell ref="P5:Q5"/>
    <mergeCell ref="C6:D6"/>
    <mergeCell ref="I6:M6"/>
    <mergeCell ref="N6:O6"/>
    <mergeCell ref="P6:Q6"/>
    <mergeCell ref="C7:D7"/>
    <mergeCell ref="F7:H7"/>
    <mergeCell ref="I7:M7"/>
    <mergeCell ref="A8:B9"/>
    <mergeCell ref="C8:D9"/>
    <mergeCell ref="E8:E9"/>
    <mergeCell ref="F8:F9"/>
    <mergeCell ref="G8:G9"/>
    <mergeCell ref="H8:H9"/>
    <mergeCell ref="I8:J8"/>
    <mergeCell ref="K8:L8"/>
    <mergeCell ref="M8:M9"/>
    <mergeCell ref="N8:S8"/>
    <mergeCell ref="T8:T9"/>
    <mergeCell ref="U8:U9"/>
    <mergeCell ref="V8:V9"/>
    <mergeCell ref="W8:X9"/>
    <mergeCell ref="AO8:AO9"/>
    <mergeCell ref="CP8:CT8"/>
    <mergeCell ref="W10:X10"/>
    <mergeCell ref="W11:X11"/>
    <mergeCell ref="W12:X12"/>
    <mergeCell ref="W13:X13"/>
    <mergeCell ref="W14:X14"/>
    <mergeCell ref="W15:X15"/>
    <mergeCell ref="W16:X16"/>
    <mergeCell ref="W17:X17"/>
    <mergeCell ref="W18:X18"/>
    <mergeCell ref="W19:X19"/>
    <mergeCell ref="W20:X20"/>
    <mergeCell ref="W21:X21"/>
    <mergeCell ref="W22:X22"/>
    <mergeCell ref="W23:X23"/>
    <mergeCell ref="W24:X24"/>
    <mergeCell ref="W25:X25"/>
    <mergeCell ref="W26:X26"/>
    <mergeCell ref="W27:X27"/>
    <mergeCell ref="W28:X28"/>
    <mergeCell ref="W29:X29"/>
    <mergeCell ref="W30:X30"/>
    <mergeCell ref="W31:X31"/>
    <mergeCell ref="W32:X32"/>
    <mergeCell ref="W33:X33"/>
    <mergeCell ref="W34:X34"/>
    <mergeCell ref="W35:X35"/>
    <mergeCell ref="W36:X36"/>
    <mergeCell ref="W37:X37"/>
    <mergeCell ref="W38:X38"/>
    <mergeCell ref="W39:X39"/>
    <mergeCell ref="W40:X40"/>
    <mergeCell ref="W41:X41"/>
    <mergeCell ref="W42:X42"/>
    <mergeCell ref="W43:X43"/>
    <mergeCell ref="W44:X44"/>
    <mergeCell ref="W45:X45"/>
    <mergeCell ref="W46:X46"/>
    <mergeCell ref="W47:X47"/>
    <mergeCell ref="W48:X48"/>
    <mergeCell ref="W49:X49"/>
    <mergeCell ref="C50:D50"/>
    <mergeCell ref="W50:X50"/>
    <mergeCell ref="D51:E51"/>
    <mergeCell ref="F51:G51"/>
    <mergeCell ref="H51:I51"/>
    <mergeCell ref="J51:K51"/>
    <mergeCell ref="L51:N51"/>
    <mergeCell ref="O51:P52"/>
    <mergeCell ref="Q51:R52"/>
    <mergeCell ref="W51:X51"/>
    <mergeCell ref="O53:P53"/>
    <mergeCell ref="Q53:R53"/>
    <mergeCell ref="O54:P54"/>
    <mergeCell ref="Q54:R54"/>
    <mergeCell ref="O55:P55"/>
    <mergeCell ref="Q55:R55"/>
    <mergeCell ref="O56:P56"/>
    <mergeCell ref="Q56:R56"/>
    <mergeCell ref="O57:P57"/>
    <mergeCell ref="Q57:R57"/>
    <mergeCell ref="O58:P58"/>
    <mergeCell ref="Q58:R58"/>
    <mergeCell ref="O59:P59"/>
    <mergeCell ref="Q59:R59"/>
    <mergeCell ref="O60:P60"/>
    <mergeCell ref="Q60:R60"/>
    <mergeCell ref="O61:P61"/>
    <mergeCell ref="Q61:R61"/>
    <mergeCell ref="O62:P62"/>
    <mergeCell ref="Q62:R62"/>
    <mergeCell ref="D63:E63"/>
    <mergeCell ref="A64:C64"/>
    <mergeCell ref="D64:E64"/>
    <mergeCell ref="F64:H64"/>
    <mergeCell ref="I64:K64"/>
    <mergeCell ref="L64:M64"/>
    <mergeCell ref="B65:C65"/>
    <mergeCell ref="D65:E65"/>
    <mergeCell ref="G65:H65"/>
    <mergeCell ref="I65:K65"/>
    <mergeCell ref="L65:O65"/>
    <mergeCell ref="T65:U65"/>
    <mergeCell ref="D66:E66"/>
    <mergeCell ref="J66:K66"/>
    <mergeCell ref="M66:N66"/>
    <mergeCell ref="T66:U66"/>
    <mergeCell ref="S67:T67"/>
    <mergeCell ref="N68:O68"/>
    <mergeCell ref="D69:E69"/>
    <mergeCell ref="B70:C70"/>
    <mergeCell ref="D70:E70"/>
    <mergeCell ref="D71:E71"/>
    <mergeCell ref="K72:L72"/>
    <mergeCell ref="H73:I77"/>
    <mergeCell ref="J73:J77"/>
    <mergeCell ref="K73:L73"/>
    <mergeCell ref="N73:O73"/>
    <mergeCell ref="K74:L74"/>
    <mergeCell ref="N74:O74"/>
    <mergeCell ref="K75:L75"/>
    <mergeCell ref="N75:O75"/>
    <mergeCell ref="K76:L76"/>
    <mergeCell ref="N76:O76"/>
    <mergeCell ref="K77:L77"/>
    <mergeCell ref="N77:O77"/>
    <mergeCell ref="H78:I78"/>
    <mergeCell ref="K78:L78"/>
    <mergeCell ref="N78:O78"/>
    <mergeCell ref="K79:L79"/>
    <mergeCell ref="N79:O79"/>
    <mergeCell ref="C80:D80"/>
    <mergeCell ref="I80:J80"/>
    <mergeCell ref="K80:L80"/>
    <mergeCell ref="N80:O80"/>
    <mergeCell ref="A81:E81"/>
    <mergeCell ref="H81:I81"/>
    <mergeCell ref="K81:L81"/>
    <mergeCell ref="N81:O81"/>
    <mergeCell ref="A82:E82"/>
    <mergeCell ref="K82:L82"/>
    <mergeCell ref="N82:O82"/>
    <mergeCell ref="A83:E83"/>
    <mergeCell ref="J83:J84"/>
    <mergeCell ref="K83:L83"/>
    <mergeCell ref="N83:O83"/>
    <mergeCell ref="A84:E84"/>
    <mergeCell ref="H84:I84"/>
    <mergeCell ref="K84:L84"/>
    <mergeCell ref="N84:O84"/>
    <mergeCell ref="K86:L86"/>
    <mergeCell ref="M86:O86"/>
    <mergeCell ref="D87:E87"/>
    <mergeCell ref="G87:G90"/>
    <mergeCell ref="H87:I90"/>
    <mergeCell ref="K87:L87"/>
    <mergeCell ref="N87:O87"/>
    <mergeCell ref="D88:E88"/>
    <mergeCell ref="K88:L88"/>
    <mergeCell ref="N88:O88"/>
    <mergeCell ref="D89:E89"/>
    <mergeCell ref="K89:L89"/>
    <mergeCell ref="N89:O89"/>
    <mergeCell ref="D90:E90"/>
    <mergeCell ref="K90:L90"/>
    <mergeCell ref="N90:O90"/>
    <mergeCell ref="D91:E91"/>
    <mergeCell ref="H91:I91"/>
    <mergeCell ref="K91:L91"/>
    <mergeCell ref="N91:O91"/>
    <mergeCell ref="D92:E92"/>
    <mergeCell ref="H92:I92"/>
    <mergeCell ref="K92:L92"/>
    <mergeCell ref="N92:O92"/>
    <mergeCell ref="D93:E93"/>
    <mergeCell ref="H93:I93"/>
    <mergeCell ref="K93:L93"/>
    <mergeCell ref="N93:O93"/>
    <mergeCell ref="D94:E94"/>
    <mergeCell ref="H94:I94"/>
    <mergeCell ref="K94:L94"/>
    <mergeCell ref="N94:O94"/>
    <mergeCell ref="D95:E95"/>
    <mergeCell ref="H95:I95"/>
    <mergeCell ref="K95:L95"/>
    <mergeCell ref="N95:O95"/>
    <mergeCell ref="D96:E96"/>
    <mergeCell ref="H96:I96"/>
    <mergeCell ref="K96:L96"/>
    <mergeCell ref="N96:O96"/>
    <mergeCell ref="D97:E97"/>
    <mergeCell ref="K97:L97"/>
    <mergeCell ref="N97:O97"/>
    <mergeCell ref="D98:E98"/>
    <mergeCell ref="H98:J98"/>
    <mergeCell ref="K98:L98"/>
    <mergeCell ref="N98:O98"/>
    <mergeCell ref="L100:M100"/>
    <mergeCell ref="N100:O100"/>
    <mergeCell ref="L101:M101"/>
    <mergeCell ref="N101:O101"/>
    <mergeCell ref="N102:O102"/>
    <mergeCell ref="L103:M103"/>
    <mergeCell ref="N103:O103"/>
    <mergeCell ref="A105:C105"/>
    <mergeCell ref="N105:O105"/>
    <mergeCell ref="A106:C106"/>
    <mergeCell ref="I106:J106"/>
    <mergeCell ref="L106:M106"/>
    <mergeCell ref="N106:O106"/>
    <mergeCell ref="A107:C107"/>
    <mergeCell ref="I107:J108"/>
    <mergeCell ref="L107:M107"/>
    <mergeCell ref="N107:O107"/>
    <mergeCell ref="A108:C108"/>
    <mergeCell ref="N108:O108"/>
    <mergeCell ref="A109:C109"/>
    <mergeCell ref="N109:O109"/>
    <mergeCell ref="A110:C110"/>
    <mergeCell ref="N110:O110"/>
    <mergeCell ref="A112:C112"/>
    <mergeCell ref="F112:G112"/>
    <mergeCell ref="N112:O112"/>
    <mergeCell ref="A113:C113"/>
    <mergeCell ref="F113:G113"/>
    <mergeCell ref="I113:J114"/>
    <mergeCell ref="K113:K114"/>
    <mergeCell ref="N113:O113"/>
    <mergeCell ref="A114:C114"/>
    <mergeCell ref="F114:G114"/>
    <mergeCell ref="N114:O114"/>
    <mergeCell ref="A115:C115"/>
    <mergeCell ref="F115:G115"/>
    <mergeCell ref="N115:O115"/>
    <mergeCell ref="A116:C116"/>
    <mergeCell ref="F116:G116"/>
    <mergeCell ref="N116:O116"/>
    <mergeCell ref="F117:G117"/>
    <mergeCell ref="N117:O117"/>
    <mergeCell ref="F118:G118"/>
    <mergeCell ref="N118:O118"/>
    <mergeCell ref="A119:C119"/>
    <mergeCell ref="F119:G119"/>
    <mergeCell ref="N119:O119"/>
    <mergeCell ref="A122:C122"/>
    <mergeCell ref="D122:E122"/>
    <mergeCell ref="F122:H122"/>
    <mergeCell ref="L122:M122"/>
    <mergeCell ref="B123:C123"/>
    <mergeCell ref="D123:E123"/>
    <mergeCell ref="G123:H123"/>
    <mergeCell ref="I123:K123"/>
    <mergeCell ref="T123:U123"/>
  </mergeCells>
  <conditionalFormatting sqref="K72:L72">
    <cfRule type="containsText" priority="2" operator="containsText" aboveAverage="0" equalAverage="0" bottom="0" percent="0" rank="0" text="Missing" dxfId="17">
      <formula>NOT(ISERROR(SEARCH("Missing",K72)))</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66" man="true" max="16383" min="0"/>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XFD175"/>
  <sheetViews>
    <sheetView showFormulas="false" showGridLines="true" showRowColHeaders="true" showZeros="true" rightToLeft="false" tabSelected="false" showOutlineSymbols="true" defaultGridColor="true" view="normal" topLeftCell="A8" colorId="64" zoomScale="65" zoomScaleNormal="65" zoomScalePageLayoutView="70" workbookViewId="0">
      <selection pane="topLeft" activeCell="B50" activeCellId="0" sqref="B50"/>
    </sheetView>
  </sheetViews>
  <sheetFormatPr defaultColWidth="9.18359375" defaultRowHeight="15" customHeight="false" zeroHeight="false" outlineLevelRow="0" outlineLevelCol="0"/>
  <cols>
    <col collapsed="false" customWidth="true" hidden="false" outlineLevel="0" max="1" min="1" style="16" width="5.18"/>
    <col collapsed="false" customWidth="true" hidden="false" outlineLevel="0" max="2" min="2" style="16" width="24.82"/>
    <col collapsed="false" customWidth="true" hidden="false" outlineLevel="0" max="3" min="3" style="16" width="10.82"/>
    <col collapsed="false" customWidth="true" hidden="false" outlineLevel="0" max="4" min="4" style="16" width="12.18"/>
    <col collapsed="false" customWidth="true" hidden="false" outlineLevel="0" max="5" min="5" style="16" width="13"/>
    <col collapsed="false" customWidth="true" hidden="false" outlineLevel="0" max="6" min="6" style="16" width="11.54"/>
    <col collapsed="false" customWidth="true" hidden="false" outlineLevel="0" max="7" min="7" style="16" width="13.54"/>
    <col collapsed="false" customWidth="true" hidden="false" outlineLevel="0" max="12" min="8" style="16" width="10.82"/>
    <col collapsed="false" customWidth="true" hidden="false" outlineLevel="0" max="13" min="13" style="16" width="10.45"/>
    <col collapsed="false" customWidth="true" hidden="false" outlineLevel="0" max="14" min="14" style="16" width="15.82"/>
    <col collapsed="false" customWidth="true" hidden="false" outlineLevel="0" max="15" min="15" style="16" width="12.82"/>
    <col collapsed="false" customWidth="true" hidden="false" outlineLevel="0" max="17" min="16" style="16" width="17.82"/>
    <col collapsed="false" customWidth="true" hidden="false" outlineLevel="0" max="18" min="18" style="16" width="15.54"/>
    <col collapsed="false" customWidth="true" hidden="false" outlineLevel="0" max="19" min="19" style="16" width="20.82"/>
    <col collapsed="false" customWidth="true" hidden="false" outlineLevel="0" max="20" min="20" style="16" width="13.54"/>
    <col collapsed="false" customWidth="true" hidden="false" outlineLevel="0" max="24" min="21" style="16" width="12.82"/>
    <col collapsed="false" customWidth="true" hidden="false" outlineLevel="0" max="25" min="25" style="0" width="12.82"/>
    <col collapsed="false" customWidth="true" hidden="false" outlineLevel="0" max="26" min="26" style="0" width="14.54"/>
    <col collapsed="false" customWidth="true" hidden="false" outlineLevel="0" max="27" min="27" style="0" width="12.82"/>
    <col collapsed="false" customWidth="true" hidden="false" outlineLevel="0" max="42" min="28" style="16" width="12.82"/>
    <col collapsed="false" customWidth="true" hidden="true" outlineLevel="0" max="58" min="43" style="16" width="25.82"/>
    <col collapsed="false" customWidth="true" hidden="true" outlineLevel="0" max="59" min="59" style="1411" width="25.82"/>
    <col collapsed="false" customWidth="true" hidden="true" outlineLevel="0" max="119" min="60" style="16" width="25.82"/>
    <col collapsed="false" customWidth="true" hidden="true" outlineLevel="0" max="130" min="120" style="16" width="20.82"/>
    <col collapsed="false" customWidth="true" hidden="false" outlineLevel="0" max="194" min="131" style="16" width="20.82"/>
    <col collapsed="false" customWidth="true" hidden="false" outlineLevel="0" max="214" min="195" style="0" width="20.82"/>
    <col collapsed="false" customWidth="false" hidden="false" outlineLevel="0" max="16384" min="251" style="16" width="9.18"/>
  </cols>
  <sheetData>
    <row r="1" customFormat="false" ht="15" hidden="false" customHeight="false" outlineLevel="0" collapsed="false">
      <c r="A1" s="2672"/>
      <c r="B1" s="829" t="s">
        <v>1355</v>
      </c>
      <c r="D1" s="654"/>
      <c r="E1" s="654"/>
      <c r="F1" s="654"/>
      <c r="G1" s="654"/>
      <c r="H1" s="654"/>
      <c r="I1" s="654"/>
      <c r="J1" s="654"/>
      <c r="K1" s="654"/>
      <c r="L1" s="654"/>
      <c r="M1" s="654"/>
      <c r="N1" s="654"/>
      <c r="O1" s="654"/>
      <c r="P1" s="654"/>
      <c r="Q1" s="654"/>
      <c r="R1" s="654"/>
      <c r="S1" s="654"/>
      <c r="T1" s="654"/>
      <c r="U1" s="1412" t="s">
        <v>1193</v>
      </c>
      <c r="V1" s="1412"/>
      <c r="W1" s="1413" t="n">
        <v>37456</v>
      </c>
      <c r="X1" s="1413"/>
      <c r="Y1" s="1414"/>
      <c r="Z1" s="1414"/>
      <c r="AI1" s="654"/>
      <c r="AJ1" s="654"/>
      <c r="AK1" s="654"/>
      <c r="AL1" s="654"/>
      <c r="AM1" s="654"/>
      <c r="AN1" s="654"/>
      <c r="AO1" s="654"/>
      <c r="AP1" s="654"/>
      <c r="AQ1" s="654"/>
      <c r="AR1" s="654"/>
      <c r="AS1" s="654"/>
      <c r="AT1" s="654"/>
      <c r="AU1" s="654"/>
      <c r="AV1" s="654"/>
      <c r="AW1" s="654"/>
      <c r="AX1" s="654"/>
      <c r="AY1" s="654"/>
      <c r="AZ1" s="654"/>
      <c r="BA1" s="654"/>
      <c r="BB1" s="654"/>
      <c r="BC1" s="654"/>
      <c r="BD1" s="654"/>
      <c r="BE1" s="654"/>
      <c r="BF1" s="654"/>
      <c r="BG1" s="654"/>
      <c r="BH1" s="1411"/>
      <c r="BI1" s="654"/>
      <c r="BJ1" s="654"/>
      <c r="BK1" s="654"/>
      <c r="BL1" s="654"/>
      <c r="BM1" s="654"/>
      <c r="BN1" s="654"/>
      <c r="BO1" s="654"/>
      <c r="BP1" s="654"/>
      <c r="BQ1" s="654"/>
      <c r="BR1" s="654"/>
      <c r="BS1" s="654"/>
      <c r="BT1" s="654"/>
      <c r="BU1" s="654"/>
      <c r="BV1" s="654"/>
      <c r="BW1" s="654"/>
      <c r="BX1" s="654"/>
      <c r="BY1" s="654"/>
      <c r="BZ1" s="654"/>
      <c r="CA1" s="654"/>
      <c r="CB1" s="654"/>
      <c r="CC1" s="654"/>
      <c r="CD1" s="654"/>
      <c r="CE1" s="654"/>
      <c r="CF1" s="654"/>
      <c r="CG1" s="654"/>
      <c r="CH1" s="654"/>
      <c r="CI1" s="654"/>
      <c r="CJ1" s="654"/>
      <c r="CK1" s="654"/>
      <c r="CL1" s="654"/>
      <c r="CM1" s="654"/>
      <c r="CN1" s="654"/>
      <c r="CO1" s="654"/>
      <c r="CP1" s="654"/>
      <c r="CQ1" s="654"/>
      <c r="CR1" s="654"/>
      <c r="CS1" s="654"/>
      <c r="CT1" s="654"/>
      <c r="CU1" s="654"/>
      <c r="CV1" s="654"/>
      <c r="CW1" s="654"/>
      <c r="CX1" s="654"/>
      <c r="CY1" s="654"/>
      <c r="CZ1" s="654"/>
      <c r="DA1" s="654"/>
      <c r="DB1" s="654"/>
      <c r="DC1" s="654"/>
      <c r="DD1" s="654"/>
      <c r="DE1" s="654"/>
      <c r="DF1" s="654"/>
      <c r="DG1" s="654"/>
      <c r="DH1" s="654"/>
      <c r="DI1" s="654"/>
      <c r="DJ1" s="654"/>
      <c r="DK1" s="654"/>
      <c r="DL1" s="654"/>
      <c r="DM1" s="654"/>
      <c r="DN1" s="654"/>
      <c r="DO1" s="654"/>
    </row>
    <row r="2" customFormat="false" ht="15" hidden="false" customHeight="false" outlineLevel="0" collapsed="false">
      <c r="A2" s="2672"/>
      <c r="B2" s="1415" t="str">
        <f aca="false">Summary!C1</f>
        <v>Trammell Crow – LBJ</v>
      </c>
      <c r="C2" s="1416"/>
      <c r="D2" s="1416"/>
      <c r="E2" s="1417"/>
      <c r="F2" s="1418" t="s">
        <v>1466</v>
      </c>
      <c r="G2" s="654"/>
      <c r="H2" s="836"/>
      <c r="I2" s="1419" t="s">
        <v>56</v>
      </c>
      <c r="J2" s="1068"/>
      <c r="K2" s="1202" t="s">
        <v>57</v>
      </c>
      <c r="L2" s="1068"/>
      <c r="M2" s="1068"/>
      <c r="N2" s="1068"/>
      <c r="O2" s="1202" t="s">
        <v>1</v>
      </c>
      <c r="P2" s="1202"/>
      <c r="Q2" s="1202" t="s">
        <v>1194</v>
      </c>
      <c r="R2" s="865"/>
      <c r="S2" s="654"/>
      <c r="T2" s="654"/>
      <c r="U2" s="836" t="s">
        <v>957</v>
      </c>
      <c r="V2" s="695"/>
      <c r="W2" s="837" t="n">
        <f aca="false">Information!C7</f>
        <v>0</v>
      </c>
      <c r="X2" s="838"/>
      <c r="Y2" s="1414"/>
      <c r="Z2" s="1414"/>
      <c r="AI2" s="654"/>
      <c r="AJ2" s="654"/>
      <c r="AK2" s="654"/>
      <c r="AL2" s="654"/>
      <c r="AM2" s="654"/>
      <c r="AN2" s="654"/>
      <c r="AO2" s="654"/>
      <c r="AP2" s="654"/>
      <c r="AQ2" s="654"/>
      <c r="AR2" s="654"/>
      <c r="AS2" s="654"/>
      <c r="AT2" s="654"/>
      <c r="AU2" s="654"/>
      <c r="AV2" s="654"/>
      <c r="AW2" s="654"/>
      <c r="AX2" s="654"/>
      <c r="AY2" s="654"/>
      <c r="AZ2" s="654"/>
      <c r="BA2" s="654"/>
      <c r="BB2" s="654"/>
      <c r="BC2" s="654"/>
      <c r="BD2" s="654"/>
      <c r="BE2" s="654"/>
      <c r="BF2" s="654"/>
      <c r="BG2" s="654"/>
      <c r="BH2" s="1411"/>
      <c r="BI2" s="654"/>
      <c r="BJ2" s="654"/>
      <c r="BK2" s="654"/>
      <c r="BL2" s="654"/>
      <c r="BM2" s="654"/>
      <c r="BN2" s="654"/>
      <c r="BO2" s="654"/>
      <c r="BP2" s="654"/>
      <c r="BQ2" s="654"/>
      <c r="BR2" s="654"/>
      <c r="BS2" s="654"/>
      <c r="BT2" s="654"/>
      <c r="BU2" s="654"/>
      <c r="BV2" s="654"/>
      <c r="BW2" s="654"/>
      <c r="BX2" s="654"/>
      <c r="BY2" s="654"/>
      <c r="BZ2" s="654"/>
      <c r="CA2" s="654"/>
      <c r="CB2" s="654"/>
      <c r="CC2" s="654"/>
      <c r="CD2" s="654"/>
      <c r="CE2" s="654"/>
      <c r="CF2" s="654"/>
      <c r="CG2" s="654"/>
      <c r="CH2" s="654"/>
      <c r="CI2" s="654"/>
      <c r="CJ2" s="654"/>
      <c r="CK2" s="654"/>
      <c r="CL2" s="654"/>
      <c r="CM2" s="654"/>
      <c r="CN2" s="654"/>
      <c r="CO2" s="654"/>
      <c r="CP2" s="654"/>
      <c r="CQ2" s="654"/>
      <c r="CR2" s="654"/>
      <c r="CS2" s="654"/>
      <c r="CT2" s="654"/>
      <c r="CU2" s="654"/>
      <c r="CV2" s="654"/>
      <c r="CW2" s="654"/>
      <c r="CX2" s="654"/>
      <c r="CY2" s="654"/>
      <c r="CZ2" s="654"/>
      <c r="DA2" s="654"/>
      <c r="DB2" s="654"/>
      <c r="DC2" s="654"/>
      <c r="DD2" s="654"/>
      <c r="DE2" s="654"/>
      <c r="DF2" s="654"/>
      <c r="DG2" s="654"/>
      <c r="DH2" s="654"/>
      <c r="DI2" s="654"/>
      <c r="DJ2" s="654"/>
      <c r="DK2" s="654"/>
      <c r="DL2" s="654"/>
      <c r="DM2" s="654"/>
      <c r="DN2" s="654"/>
      <c r="DO2" s="654"/>
    </row>
    <row r="3" customFormat="false" ht="19.5" hidden="false" customHeight="true" outlineLevel="0" collapsed="false">
      <c r="A3" s="2672"/>
      <c r="B3" s="1420" t="n">
        <f aca="false">Summary!C2</f>
        <v>0</v>
      </c>
      <c r="C3" s="1421"/>
      <c r="D3" s="1421"/>
      <c r="E3" s="1422"/>
      <c r="F3" s="1418" t="s">
        <v>1467</v>
      </c>
      <c r="G3" s="654"/>
      <c r="H3" s="599"/>
      <c r="I3" s="833" t="s">
        <v>955</v>
      </c>
      <c r="J3" s="1415" t="n">
        <f aca="false">Summary!K2</f>
        <v>0</v>
      </c>
      <c r="K3" s="1416"/>
      <c r="L3" s="1416"/>
      <c r="M3" s="1416"/>
      <c r="N3" s="1416"/>
      <c r="O3" s="1423" t="n">
        <f aca="false">Summary!O2</f>
        <v>0</v>
      </c>
      <c r="P3" s="1423"/>
      <c r="Q3" s="1423" t="n">
        <f aca="false">Summary!P2</f>
        <v>0</v>
      </c>
      <c r="R3" s="1424"/>
      <c r="S3" s="654"/>
      <c r="T3" s="654"/>
      <c r="U3" s="599"/>
      <c r="X3" s="843"/>
      <c r="Y3" s="1414"/>
      <c r="Z3" s="1414"/>
      <c r="AI3" s="654"/>
      <c r="AJ3" s="654"/>
      <c r="AK3" s="654"/>
      <c r="AL3" s="654"/>
      <c r="AM3" s="654"/>
      <c r="AN3" s="654"/>
      <c r="AO3" s="654"/>
      <c r="AP3" s="654"/>
      <c r="AQ3" s="654"/>
      <c r="AR3" s="654"/>
      <c r="AS3" s="654"/>
      <c r="AT3" s="654"/>
      <c r="AU3" s="654"/>
      <c r="AV3" s="654"/>
      <c r="AW3" s="654"/>
      <c r="AX3" s="654"/>
      <c r="AY3" s="654"/>
      <c r="AZ3" s="654"/>
      <c r="BA3" s="654"/>
      <c r="BB3" s="654"/>
      <c r="BC3" s="654"/>
      <c r="BD3" s="654"/>
      <c r="BE3" s="654"/>
      <c r="BF3" s="654"/>
      <c r="BG3" s="654"/>
      <c r="BH3" s="1411"/>
      <c r="BI3" s="654"/>
      <c r="BJ3" s="654"/>
      <c r="BK3" s="654"/>
      <c r="BL3" s="654"/>
      <c r="BM3" s="654"/>
      <c r="BN3" s="654"/>
      <c r="BO3" s="654"/>
      <c r="BP3" s="654"/>
      <c r="BQ3" s="654"/>
      <c r="BR3" s="654"/>
      <c r="BS3" s="654"/>
      <c r="BT3" s="654"/>
      <c r="BU3" s="654"/>
      <c r="BV3" s="654"/>
      <c r="BW3" s="654"/>
      <c r="BX3" s="654"/>
      <c r="BY3" s="654"/>
      <c r="BZ3" s="654"/>
      <c r="CA3" s="654"/>
      <c r="CB3" s="654"/>
      <c r="CC3" s="654"/>
      <c r="CD3" s="654"/>
      <c r="CE3" s="654"/>
      <c r="CF3" s="654"/>
      <c r="CG3" s="654"/>
      <c r="CH3" s="654"/>
      <c r="CI3" s="654"/>
      <c r="CJ3" s="654"/>
      <c r="CK3" s="654"/>
      <c r="CL3" s="654"/>
      <c r="CM3" s="654"/>
      <c r="CN3" s="654"/>
      <c r="CO3" s="654"/>
      <c r="CP3" s="654"/>
      <c r="CQ3" s="654"/>
      <c r="CR3" s="654"/>
      <c r="CS3" s="654"/>
      <c r="CT3" s="654"/>
      <c r="CU3" s="654"/>
      <c r="CV3" s="654"/>
      <c r="CW3" s="654"/>
      <c r="CX3" s="654"/>
      <c r="CY3" s="654"/>
      <c r="CZ3" s="654"/>
      <c r="DA3" s="654"/>
      <c r="DB3" s="654"/>
      <c r="DC3" s="654"/>
      <c r="DD3" s="654"/>
      <c r="DE3" s="654"/>
      <c r="DF3" s="654"/>
      <c r="DG3" s="654"/>
      <c r="DH3" s="654"/>
      <c r="DI3" s="654"/>
      <c r="DJ3" s="654"/>
      <c r="DK3" s="654"/>
      <c r="DL3" s="654"/>
      <c r="DM3" s="654"/>
      <c r="DN3" s="654"/>
      <c r="DO3" s="654"/>
    </row>
    <row r="4" customFormat="false" ht="19.5" hidden="false" customHeight="true" outlineLevel="0" collapsed="false">
      <c r="A4" s="2672"/>
      <c r="B4" s="1425" t="str">
        <f aca="false">Summary!C3</f>
        <v>Dallas, TX</v>
      </c>
      <c r="C4" s="1426"/>
      <c r="D4" s="1426"/>
      <c r="E4" s="1427"/>
      <c r="F4" s="1418" t="s">
        <v>1468</v>
      </c>
      <c r="G4" s="654"/>
      <c r="H4" s="421"/>
      <c r="I4" s="1004" t="s">
        <v>71</v>
      </c>
      <c r="J4" s="1420" t="n">
        <f aca="false">Summary!K3</f>
        <v>0</v>
      </c>
      <c r="K4" s="1421"/>
      <c r="L4" s="1421"/>
      <c r="M4" s="1421"/>
      <c r="N4" s="1421"/>
      <c r="O4" s="1428" t="n">
        <f aca="false">Summary!O3</f>
        <v>0</v>
      </c>
      <c r="P4" s="1428"/>
      <c r="Q4" s="1428" t="n">
        <f aca="false">Summary!P3</f>
        <v>0</v>
      </c>
      <c r="R4" s="1429"/>
      <c r="S4" s="654"/>
      <c r="T4" s="654"/>
      <c r="U4" s="599" t="s">
        <v>958</v>
      </c>
      <c r="W4" s="848"/>
      <c r="X4" s="849"/>
      <c r="Y4" s="1414"/>
      <c r="Z4" s="1414"/>
      <c r="AI4" s="654"/>
      <c r="AJ4" s="654"/>
      <c r="AK4" s="654"/>
      <c r="AL4" s="654"/>
      <c r="AM4" s="654"/>
      <c r="AN4" s="654"/>
      <c r="AO4" s="654"/>
      <c r="AP4" s="654"/>
      <c r="AQ4" s="654"/>
      <c r="AR4" s="654"/>
      <c r="AS4" s="654"/>
      <c r="AT4" s="654"/>
      <c r="AU4" s="654"/>
      <c r="AV4" s="654"/>
      <c r="AW4" s="654"/>
      <c r="AX4" s="654"/>
      <c r="AY4" s="654"/>
      <c r="AZ4" s="654"/>
      <c r="BA4" s="654"/>
      <c r="BB4" s="654"/>
      <c r="BC4" s="654"/>
      <c r="BD4" s="654"/>
      <c r="BE4" s="654"/>
      <c r="BF4" s="654"/>
      <c r="BG4" s="654"/>
      <c r="BH4" s="1411"/>
      <c r="BI4" s="654"/>
      <c r="BJ4" s="654"/>
      <c r="BK4" s="654"/>
      <c r="BL4" s="654"/>
      <c r="BM4" s="654"/>
      <c r="BN4" s="654"/>
      <c r="BO4" s="654"/>
      <c r="BP4" s="654"/>
      <c r="BQ4" s="654"/>
      <c r="BR4" s="654"/>
      <c r="BS4" s="654"/>
      <c r="BT4" s="654"/>
      <c r="BU4" s="654"/>
      <c r="BV4" s="654"/>
      <c r="BW4" s="654"/>
      <c r="BX4" s="654"/>
      <c r="BY4" s="654"/>
      <c r="BZ4" s="654"/>
      <c r="CA4" s="654"/>
      <c r="CB4" s="654"/>
      <c r="CC4" s="654"/>
      <c r="CD4" s="654"/>
      <c r="CE4" s="654"/>
      <c r="CF4" s="654"/>
      <c r="CG4" s="654"/>
      <c r="CH4" s="654"/>
      <c r="CI4" s="654"/>
      <c r="CJ4" s="654"/>
      <c r="CK4" s="654"/>
      <c r="CL4" s="654"/>
      <c r="CM4" s="654"/>
      <c r="CN4" s="654"/>
      <c r="CO4" s="654"/>
      <c r="CP4" s="654"/>
      <c r="CQ4" s="654"/>
      <c r="CR4" s="654"/>
      <c r="CS4" s="654"/>
      <c r="CT4" s="654"/>
      <c r="CU4" s="654"/>
      <c r="CV4" s="654"/>
      <c r="CW4" s="654"/>
      <c r="CX4" s="654"/>
      <c r="CY4" s="654"/>
      <c r="CZ4" s="654"/>
      <c r="DA4" s="654"/>
      <c r="DB4" s="654"/>
      <c r="DC4" s="654"/>
      <c r="DD4" s="654"/>
      <c r="DE4" s="654"/>
      <c r="DF4" s="654"/>
      <c r="DG4" s="654"/>
      <c r="DH4" s="654"/>
      <c r="DI4" s="654"/>
      <c r="DJ4" s="654"/>
      <c r="DK4" s="654"/>
      <c r="DL4" s="654"/>
      <c r="DM4" s="654"/>
      <c r="DN4" s="654"/>
      <c r="DO4" s="654"/>
    </row>
    <row r="5" customFormat="false" ht="19.5" hidden="false" customHeight="true" outlineLevel="0" collapsed="false">
      <c r="A5" s="2672"/>
      <c r="B5" s="405" t="s">
        <v>0</v>
      </c>
      <c r="D5" s="837" t="s">
        <v>1</v>
      </c>
      <c r="E5" s="837"/>
      <c r="F5" s="654"/>
      <c r="G5" s="654"/>
      <c r="H5" s="421"/>
      <c r="I5" s="1004" t="s">
        <v>79</v>
      </c>
      <c r="J5" s="1420" t="n">
        <f aca="false">Summary!K4</f>
        <v>0</v>
      </c>
      <c r="K5" s="1421"/>
      <c r="L5" s="1421"/>
      <c r="M5" s="1421"/>
      <c r="N5" s="1421"/>
      <c r="O5" s="1428" t="n">
        <f aca="false">Summary!O4</f>
        <v>0</v>
      </c>
      <c r="P5" s="1428"/>
      <c r="Q5" s="1428" t="n">
        <f aca="false">Summary!P4</f>
        <v>0</v>
      </c>
      <c r="R5" s="1429"/>
      <c r="S5" s="1430"/>
      <c r="T5" s="654"/>
      <c r="U5" s="599"/>
      <c r="X5" s="843"/>
      <c r="Y5" s="1414"/>
      <c r="Z5" s="1414"/>
      <c r="AI5" s="654"/>
      <c r="AJ5" s="654"/>
      <c r="AK5" s="654"/>
      <c r="AL5" s="654"/>
      <c r="AM5" s="654"/>
      <c r="AN5" s="654"/>
      <c r="AO5" s="654"/>
      <c r="AP5" s="654"/>
      <c r="AQ5" s="654"/>
      <c r="AR5" s="654"/>
      <c r="AS5" s="654"/>
      <c r="AT5" s="654"/>
      <c r="AU5" s="654"/>
      <c r="AV5" s="654"/>
      <c r="AW5" s="654"/>
      <c r="AX5" s="654"/>
      <c r="AY5" s="654"/>
      <c r="AZ5" s="654"/>
      <c r="BA5" s="654"/>
      <c r="BB5" s="654"/>
      <c r="BC5" s="654"/>
      <c r="BD5" s="654"/>
      <c r="BE5" s="654"/>
      <c r="BF5" s="654"/>
      <c r="BG5" s="654"/>
      <c r="BH5" s="1411"/>
      <c r="BI5" s="654"/>
      <c r="BJ5" s="654"/>
      <c r="BK5" s="654"/>
      <c r="BL5" s="654"/>
      <c r="BM5" s="654"/>
      <c r="BN5" s="654"/>
      <c r="BO5" s="654"/>
      <c r="BP5" s="654"/>
      <c r="BQ5" s="654"/>
      <c r="BR5" s="654"/>
      <c r="BS5" s="654"/>
      <c r="BT5" s="654"/>
      <c r="BU5" s="654"/>
      <c r="BV5" s="654"/>
      <c r="BW5" s="654"/>
      <c r="BX5" s="654"/>
      <c r="BY5" s="654"/>
      <c r="BZ5" s="654"/>
      <c r="CA5" s="654"/>
      <c r="CB5" s="654"/>
      <c r="CC5" s="654"/>
      <c r="CD5" s="654"/>
      <c r="CE5" s="654"/>
      <c r="CF5" s="654"/>
      <c r="CG5" s="654"/>
      <c r="CH5" s="654"/>
      <c r="CI5" s="654"/>
      <c r="CJ5" s="654"/>
      <c r="CK5" s="654"/>
      <c r="CL5" s="654"/>
      <c r="CM5" s="654"/>
      <c r="CN5" s="654"/>
      <c r="CO5" s="654"/>
      <c r="CP5" s="654"/>
      <c r="CQ5" s="654"/>
      <c r="CR5" s="654"/>
      <c r="CS5" s="654"/>
      <c r="CT5" s="654"/>
      <c r="CU5" s="654"/>
      <c r="CV5" s="654"/>
      <c r="CW5" s="654"/>
      <c r="CX5" s="654"/>
      <c r="CY5" s="654"/>
      <c r="CZ5" s="654"/>
      <c r="DA5" s="654"/>
      <c r="DB5" s="654"/>
      <c r="DC5" s="654"/>
      <c r="DD5" s="654"/>
      <c r="DE5" s="654"/>
      <c r="DF5" s="654"/>
      <c r="DG5" s="654"/>
      <c r="DH5" s="654"/>
      <c r="DI5" s="654"/>
      <c r="DJ5" s="654"/>
      <c r="DK5" s="654"/>
      <c r="DL5" s="654"/>
      <c r="DM5" s="654"/>
      <c r="DN5" s="654"/>
      <c r="DO5" s="654"/>
    </row>
    <row r="6" customFormat="false" ht="19.5" hidden="false" customHeight="true" outlineLevel="0" collapsed="false">
      <c r="A6" s="2672"/>
      <c r="B6" s="857" t="n">
        <v>0</v>
      </c>
      <c r="D6" s="1432" t="n">
        <v>0</v>
      </c>
      <c r="E6" s="1432"/>
      <c r="F6" s="654"/>
      <c r="G6" s="654"/>
      <c r="H6" s="685"/>
      <c r="I6" s="1212" t="s">
        <v>87</v>
      </c>
      <c r="J6" s="1425" t="n">
        <f aca="false">Summary!K5</f>
        <v>0</v>
      </c>
      <c r="K6" s="1426"/>
      <c r="L6" s="1426"/>
      <c r="M6" s="1426"/>
      <c r="N6" s="1426"/>
      <c r="O6" s="1433" t="n">
        <f aca="false">Summary!O5</f>
        <v>0</v>
      </c>
      <c r="P6" s="1433"/>
      <c r="Q6" s="1433" t="n">
        <f aca="false">Summary!P5</f>
        <v>0</v>
      </c>
      <c r="R6" s="1434"/>
      <c r="S6" s="654"/>
      <c r="T6" s="654"/>
      <c r="U6" s="602" t="s">
        <v>958</v>
      </c>
      <c r="V6" s="855"/>
      <c r="W6" s="855"/>
      <c r="X6" s="856"/>
      <c r="Y6" s="1414"/>
      <c r="Z6" s="1414"/>
      <c r="AI6" s="654"/>
      <c r="AJ6" s="1435"/>
      <c r="AK6" s="654"/>
      <c r="AL6" s="654"/>
      <c r="AM6" s="654"/>
      <c r="AN6" s="654"/>
      <c r="AO6" s="654"/>
      <c r="AP6" s="654"/>
      <c r="AQ6" s="654"/>
      <c r="AR6" s="654"/>
      <c r="AS6" s="654"/>
      <c r="AT6" s="654"/>
      <c r="AU6" s="654"/>
      <c r="AV6" s="654"/>
      <c r="AW6" s="654"/>
      <c r="AX6" s="654"/>
      <c r="AY6" s="654"/>
      <c r="AZ6" s="654"/>
      <c r="BA6" s="654"/>
      <c r="BB6" s="654"/>
      <c r="BC6" s="654"/>
      <c r="BD6" s="654"/>
      <c r="BE6" s="654"/>
      <c r="BF6" s="654"/>
      <c r="BG6" s="654"/>
      <c r="BH6" s="1411"/>
      <c r="BI6" s="654"/>
      <c r="BJ6" s="654"/>
      <c r="BK6" s="654"/>
      <c r="BL6" s="654"/>
      <c r="BM6" s="654"/>
      <c r="BN6" s="654"/>
      <c r="BO6" s="654"/>
      <c r="BP6" s="654"/>
      <c r="BQ6" s="654"/>
      <c r="BR6" s="654"/>
      <c r="BS6" s="654"/>
      <c r="BT6" s="654"/>
      <c r="BU6" s="654"/>
      <c r="BV6" s="654"/>
      <c r="BW6" s="654"/>
      <c r="BX6" s="654"/>
      <c r="BY6" s="654"/>
      <c r="BZ6" s="654"/>
      <c r="CA6" s="654"/>
      <c r="CB6" s="654"/>
      <c r="CC6" s="654"/>
      <c r="CD6" s="654"/>
      <c r="CE6" s="654"/>
      <c r="CF6" s="654"/>
      <c r="CG6" s="654"/>
      <c r="CH6" s="654"/>
      <c r="CI6" s="654"/>
      <c r="CJ6" s="654"/>
      <c r="CK6" s="654"/>
      <c r="CL6" s="654"/>
      <c r="CM6" s="654"/>
      <c r="CN6" s="654"/>
      <c r="CO6" s="654"/>
      <c r="CP6" s="654"/>
      <c r="CQ6" s="654"/>
      <c r="CR6" s="654"/>
      <c r="CS6" s="654"/>
      <c r="CT6" s="654"/>
      <c r="CU6" s="654"/>
      <c r="CV6" s="654"/>
      <c r="CW6" s="654"/>
      <c r="CX6" s="654"/>
      <c r="CY6" s="654"/>
      <c r="CZ6" s="654"/>
      <c r="DA6" s="654"/>
      <c r="DB6" s="654"/>
      <c r="DC6" s="654"/>
      <c r="DD6" s="654"/>
      <c r="DE6" s="654"/>
      <c r="DF6" s="654"/>
      <c r="DG6" s="654"/>
      <c r="DH6" s="654"/>
      <c r="DI6" s="654"/>
      <c r="DJ6" s="654"/>
      <c r="DK6" s="654"/>
      <c r="DL6" s="654"/>
      <c r="DM6" s="654"/>
      <c r="DN6" s="654"/>
      <c r="DO6" s="654"/>
    </row>
    <row r="7" customFormat="false" ht="19.5" hidden="false" customHeight="true" outlineLevel="0" collapsed="false">
      <c r="A7" s="2672"/>
      <c r="B7" s="1436" t="n">
        <v>0</v>
      </c>
      <c r="C7" s="1125"/>
      <c r="D7" s="1437" t="n">
        <v>0</v>
      </c>
      <c r="E7" s="1438"/>
      <c r="F7" s="726"/>
      <c r="G7" s="1212" t="s">
        <v>1196</v>
      </c>
      <c r="H7" s="1004"/>
      <c r="I7" s="1004"/>
      <c r="J7" s="15" t="str">
        <f aca="false">Pricing!A3</f>
        <v>SRM</v>
      </c>
      <c r="K7" s="15"/>
      <c r="L7" s="15"/>
      <c r="M7" s="15"/>
      <c r="N7" s="15"/>
      <c r="O7" s="654"/>
      <c r="P7" s="654"/>
      <c r="Q7" s="654"/>
      <c r="R7" s="654"/>
      <c r="S7" s="656" t="n">
        <f aca="false">S12+S13</f>
        <v>0</v>
      </c>
      <c r="T7" s="654"/>
      <c r="U7" s="654"/>
      <c r="V7" s="654"/>
      <c r="W7" s="654"/>
      <c r="X7" s="654"/>
      <c r="Y7" s="1414"/>
      <c r="Z7" s="1414"/>
      <c r="AI7" s="654"/>
      <c r="AJ7" s="654"/>
      <c r="AK7" s="654"/>
      <c r="AL7" s="406"/>
      <c r="AM7" s="614"/>
      <c r="AN7" s="614"/>
      <c r="AO7" s="614"/>
      <c r="AP7" s="614"/>
      <c r="AQ7" s="614"/>
      <c r="AR7" s="1439" t="s">
        <v>1469</v>
      </c>
      <c r="AS7" s="1439"/>
      <c r="AT7" s="1439"/>
      <c r="AU7" s="1439"/>
      <c r="AV7" s="1439"/>
      <c r="AW7" s="1439"/>
      <c r="AX7" s="1439"/>
      <c r="AY7" s="1439"/>
      <c r="AZ7" s="1439"/>
      <c r="BA7" s="1439"/>
      <c r="BB7" s="1439"/>
      <c r="BC7" s="1439" t="s">
        <v>721</v>
      </c>
      <c r="BD7" s="1439"/>
      <c r="BE7" s="1439"/>
      <c r="BF7" s="1439"/>
      <c r="BG7" s="1439"/>
      <c r="BH7" s="1439"/>
      <c r="BI7" s="1439"/>
      <c r="BJ7" s="1439"/>
      <c r="BK7" s="1439"/>
      <c r="BL7" s="1439"/>
      <c r="BM7" s="1439"/>
      <c r="BN7" s="654"/>
      <c r="BO7" s="654"/>
      <c r="BP7" s="654"/>
      <c r="BQ7" s="654"/>
      <c r="BR7" s="654"/>
      <c r="BS7" s="654"/>
      <c r="BT7" s="654"/>
      <c r="BU7" s="654"/>
      <c r="BV7" s="654"/>
      <c r="BW7" s="654"/>
      <c r="BX7" s="654"/>
      <c r="BY7" s="654"/>
      <c r="BZ7" s="654"/>
      <c r="CA7" s="654"/>
      <c r="CB7" s="654"/>
      <c r="CC7" s="654"/>
      <c r="CD7" s="654"/>
      <c r="CE7" s="656" t="n">
        <f aca="false">CM10-62808</f>
        <v>-62808</v>
      </c>
      <c r="CF7" s="654"/>
      <c r="CG7" s="654"/>
      <c r="CH7" s="654"/>
      <c r="CI7" s="654"/>
      <c r="CJ7" s="1537"/>
      <c r="CK7" s="654"/>
      <c r="CL7" s="654"/>
      <c r="CM7" s="654"/>
      <c r="CN7" s="654"/>
      <c r="CO7" s="654"/>
      <c r="CP7" s="654"/>
      <c r="CQ7" s="654"/>
      <c r="CR7" s="654"/>
      <c r="CS7" s="654"/>
      <c r="CT7" s="654"/>
      <c r="CU7" s="654"/>
      <c r="CV7" s="654"/>
      <c r="CW7" s="654"/>
      <c r="CX7" s="654"/>
      <c r="CY7" s="654"/>
      <c r="CZ7" s="654"/>
      <c r="DA7" s="654"/>
      <c r="DB7" s="654"/>
      <c r="DC7" s="654"/>
      <c r="DD7" s="654"/>
      <c r="DE7" s="654"/>
      <c r="DF7" s="654"/>
      <c r="DG7" s="654"/>
      <c r="DH7" s="654"/>
      <c r="DI7" s="654"/>
      <c r="DJ7" s="654"/>
      <c r="DK7" s="654"/>
      <c r="DL7" s="654"/>
      <c r="DM7" s="654"/>
      <c r="DN7" s="654"/>
      <c r="DO7" s="654"/>
    </row>
    <row r="8" customFormat="false" ht="39" hidden="false" customHeight="true" outlineLevel="0" collapsed="false">
      <c r="A8" s="2672"/>
      <c r="B8" s="2673" t="s">
        <v>1905</v>
      </c>
      <c r="C8" s="1441" t="s">
        <v>1473</v>
      </c>
      <c r="D8" s="1442" t="s">
        <v>1474</v>
      </c>
      <c r="E8" s="1443"/>
      <c r="F8" s="1444" t="s">
        <v>1475</v>
      </c>
      <c r="G8" s="1444" t="s">
        <v>1476</v>
      </c>
      <c r="H8" s="1447" t="s">
        <v>1477</v>
      </c>
      <c r="I8" s="1447" t="s">
        <v>1209</v>
      </c>
      <c r="J8" s="1444" t="s">
        <v>1478</v>
      </c>
      <c r="K8" s="1444" t="s">
        <v>1479</v>
      </c>
      <c r="L8" s="1448" t="s">
        <v>1480</v>
      </c>
      <c r="M8" s="1449" t="s">
        <v>1481</v>
      </c>
      <c r="N8" s="1450" t="s">
        <v>1482</v>
      </c>
      <c r="O8" s="1450" t="s">
        <v>598</v>
      </c>
      <c r="P8" s="1451" t="s">
        <v>1483</v>
      </c>
      <c r="Q8" s="1452" t="s">
        <v>1219</v>
      </c>
      <c r="R8" s="1453" t="s">
        <v>1484</v>
      </c>
      <c r="S8" s="1454" t="s">
        <v>1485</v>
      </c>
      <c r="T8" s="1455" t="s">
        <v>1486</v>
      </c>
      <c r="U8" s="1456" t="s">
        <v>1487</v>
      </c>
      <c r="V8" s="1454" t="s">
        <v>1250</v>
      </c>
      <c r="W8" s="1457" t="s">
        <v>1488</v>
      </c>
      <c r="X8" s="863"/>
      <c r="Y8" s="1458" t="s">
        <v>1489</v>
      </c>
      <c r="Z8" s="1459"/>
      <c r="AA8" s="1458" t="s">
        <v>1490</v>
      </c>
      <c r="AB8" s="1459"/>
      <c r="AC8" s="1458" t="s">
        <v>1491</v>
      </c>
      <c r="AD8" s="1460"/>
      <c r="AE8" s="1458" t="s">
        <v>1492</v>
      </c>
      <c r="AF8" s="1460"/>
      <c r="AG8" s="1458" t="s">
        <v>1493</v>
      </c>
      <c r="AH8" s="1460"/>
      <c r="AI8" s="1458" t="s">
        <v>1494</v>
      </c>
      <c r="AJ8" s="1460"/>
      <c r="AK8" s="1458" t="s">
        <v>1495</v>
      </c>
      <c r="AL8" s="1460"/>
      <c r="AM8" s="1458" t="s">
        <v>1496</v>
      </c>
      <c r="AN8" s="1460"/>
      <c r="AO8" s="1458" t="s">
        <v>1497</v>
      </c>
      <c r="AP8" s="1460"/>
      <c r="AQ8" s="654"/>
      <c r="AR8" s="1461" t="s">
        <v>1498</v>
      </c>
      <c r="AS8" s="1462" t="s">
        <v>1499</v>
      </c>
      <c r="AT8" s="1462" t="s">
        <v>1499</v>
      </c>
      <c r="AU8" s="1462" t="s">
        <v>1491</v>
      </c>
      <c r="AV8" s="1462" t="s">
        <v>1492</v>
      </c>
      <c r="AW8" s="1462" t="s">
        <v>1500</v>
      </c>
      <c r="AX8" s="1462" t="s">
        <v>1501</v>
      </c>
      <c r="AY8" s="1462" t="s">
        <v>1502</v>
      </c>
      <c r="AZ8" s="1462" t="s">
        <v>1503</v>
      </c>
      <c r="BA8" s="1462" t="s">
        <v>1504</v>
      </c>
      <c r="BB8" s="1463" t="s">
        <v>1505</v>
      </c>
      <c r="BC8" s="1464" t="s">
        <v>1498</v>
      </c>
      <c r="BD8" s="1465" t="str">
        <f aca="false">Y8</f>
        <v>Vertical Stems</v>
      </c>
      <c r="BE8" s="1465" t="str">
        <f aca="false">AA8</f>
        <v>Extended Beams</v>
      </c>
      <c r="BF8" s="1465" t="s">
        <v>1491</v>
      </c>
      <c r="BG8" s="1465" t="s">
        <v>1492</v>
      </c>
      <c r="BH8" s="1465" t="s">
        <v>1500</v>
      </c>
      <c r="BI8" s="1465" t="s">
        <v>1501</v>
      </c>
      <c r="BJ8" s="1465" t="s">
        <v>1502</v>
      </c>
      <c r="BK8" s="1465" t="s">
        <v>1503</v>
      </c>
      <c r="BL8" s="1465" t="s">
        <v>1504</v>
      </c>
      <c r="BM8" s="1218" t="s">
        <v>1506</v>
      </c>
      <c r="BN8" s="654"/>
      <c r="BO8" s="654"/>
      <c r="BP8" s="654"/>
      <c r="BQ8" s="654"/>
      <c r="BR8" s="1411"/>
      <c r="BS8" s="654"/>
      <c r="BT8" s="654"/>
      <c r="BU8" s="654"/>
      <c r="BV8" s="654"/>
      <c r="BW8" s="654"/>
      <c r="BX8" s="654"/>
      <c r="BY8" s="654"/>
      <c r="BZ8" s="654"/>
      <c r="CA8" s="654"/>
      <c r="CB8" s="1536"/>
      <c r="CC8" s="654"/>
      <c r="CD8" s="654"/>
      <c r="CE8" s="654"/>
      <c r="CF8" s="654"/>
      <c r="CG8" s="654"/>
      <c r="CH8" s="654"/>
      <c r="CI8" s="654"/>
      <c r="CJ8" s="654"/>
      <c r="CK8" s="654"/>
      <c r="CL8" s="654"/>
      <c r="CM8" s="1468" t="s">
        <v>1507</v>
      </c>
      <c r="CN8" s="1468"/>
      <c r="CO8" s="1468"/>
      <c r="CP8" s="1468"/>
      <c r="CQ8" s="1468"/>
      <c r="CR8" s="1468"/>
      <c r="CS8" s="1468"/>
      <c r="CT8" s="1468"/>
      <c r="CU8" s="1468"/>
      <c r="CV8" s="1468"/>
      <c r="CW8" s="1468"/>
      <c r="CX8" s="1468"/>
      <c r="CY8" s="1468"/>
      <c r="CZ8" s="1468"/>
      <c r="DA8" s="1468"/>
      <c r="DB8" s="1468"/>
      <c r="DC8" s="1468"/>
      <c r="DD8" s="1468"/>
      <c r="DE8" s="1469"/>
      <c r="DF8" s="1469"/>
      <c r="DG8" s="1469"/>
      <c r="DH8" s="1469" t="s">
        <v>1508</v>
      </c>
      <c r="DI8" s="1469"/>
      <c r="DJ8" s="1469"/>
      <c r="DK8" s="1469"/>
      <c r="DL8" s="1469"/>
      <c r="DM8" s="1469"/>
      <c r="DN8" s="1469"/>
      <c r="DO8" s="1470"/>
    </row>
    <row r="9" customFormat="false" ht="19.5" hidden="false" customHeight="true" outlineLevel="0" collapsed="false">
      <c r="A9" s="2672"/>
      <c r="B9" s="1471"/>
      <c r="C9" s="1472" t="s">
        <v>1510</v>
      </c>
      <c r="D9" s="1473" t="s">
        <v>1511</v>
      </c>
      <c r="E9" s="1474"/>
      <c r="F9" s="1225"/>
      <c r="G9" s="1225" t="s">
        <v>1512</v>
      </c>
      <c r="H9" s="1477"/>
      <c r="I9" s="1477"/>
      <c r="J9" s="1225" t="s">
        <v>1513</v>
      </c>
      <c r="K9" s="1225"/>
      <c r="L9" s="1229" t="s">
        <v>1215</v>
      </c>
      <c r="M9" s="1478" t="s">
        <v>1514</v>
      </c>
      <c r="N9" s="1475" t="s">
        <v>1515</v>
      </c>
      <c r="O9" s="1475" t="s">
        <v>868</v>
      </c>
      <c r="P9" s="1479"/>
      <c r="Q9" s="1480"/>
      <c r="R9" s="1481"/>
      <c r="S9" s="1482"/>
      <c r="T9" s="1483" t="s">
        <v>1516</v>
      </c>
      <c r="U9" s="1483"/>
      <c r="V9" s="1483"/>
      <c r="W9" s="1230" t="s">
        <v>1517</v>
      </c>
      <c r="X9" s="1478" t="s">
        <v>1259</v>
      </c>
      <c r="Y9" s="1484" t="s">
        <v>1208</v>
      </c>
      <c r="Z9" s="1485" t="s">
        <v>1259</v>
      </c>
      <c r="AA9" s="1484" t="s">
        <v>1208</v>
      </c>
      <c r="AB9" s="1485" t="s">
        <v>1259</v>
      </c>
      <c r="AC9" s="1484" t="s">
        <v>1517</v>
      </c>
      <c r="AD9" s="1486" t="s">
        <v>1259</v>
      </c>
      <c r="AE9" s="1487" t="s">
        <v>1517</v>
      </c>
      <c r="AF9" s="1486" t="s">
        <v>1259</v>
      </c>
      <c r="AG9" s="1484" t="s">
        <v>1208</v>
      </c>
      <c r="AH9" s="1486" t="s">
        <v>1259</v>
      </c>
      <c r="AI9" s="1484" t="s">
        <v>1517</v>
      </c>
      <c r="AJ9" s="1486" t="s">
        <v>1259</v>
      </c>
      <c r="AK9" s="1487" t="s">
        <v>1517</v>
      </c>
      <c r="AL9" s="1486" t="s">
        <v>1259</v>
      </c>
      <c r="AM9" s="1484" t="s">
        <v>1208</v>
      </c>
      <c r="AN9" s="1486" t="s">
        <v>1259</v>
      </c>
      <c r="AO9" s="1484" t="s">
        <v>1208</v>
      </c>
      <c r="AP9" s="1486" t="s">
        <v>1259</v>
      </c>
      <c r="AQ9" s="654"/>
      <c r="AR9" s="1488"/>
      <c r="AS9" s="1489"/>
      <c r="AT9" s="1489"/>
      <c r="AU9" s="1489"/>
      <c r="AV9" s="1489"/>
      <c r="AW9" s="1489"/>
      <c r="AX9" s="1489"/>
      <c r="AY9" s="397"/>
      <c r="AZ9" s="1489"/>
      <c r="BA9" s="1489"/>
      <c r="BB9" s="1490"/>
      <c r="BC9" s="1488"/>
      <c r="BD9" s="1489"/>
      <c r="BE9" s="1489"/>
      <c r="BF9" s="1489"/>
      <c r="BG9" s="1489"/>
      <c r="BH9" s="1489"/>
      <c r="BI9" s="1489"/>
      <c r="BJ9" s="397"/>
      <c r="BK9" s="1489"/>
      <c r="BL9" s="1489"/>
      <c r="BM9" s="1490"/>
      <c r="BN9" s="654" t="s">
        <v>1385</v>
      </c>
      <c r="BO9" s="654" t="s">
        <v>1518</v>
      </c>
      <c r="BP9" s="654" t="s">
        <v>1519</v>
      </c>
      <c r="BQ9" s="654" t="s">
        <v>1520</v>
      </c>
      <c r="BR9" s="1411" t="s">
        <v>1521</v>
      </c>
      <c r="BS9" s="1494" t="s">
        <v>1374</v>
      </c>
      <c r="BT9" s="1495" t="s">
        <v>1375</v>
      </c>
      <c r="BU9" s="1495" t="s">
        <v>1376</v>
      </c>
      <c r="BV9" s="1495" t="s">
        <v>1377</v>
      </c>
      <c r="BW9" s="1495" t="s">
        <v>1378</v>
      </c>
      <c r="BX9" s="1495" t="s">
        <v>1522</v>
      </c>
      <c r="BY9" s="1495" t="s">
        <v>1523</v>
      </c>
      <c r="BZ9" s="1495" t="s">
        <v>1524</v>
      </c>
      <c r="CA9" s="1495" t="s">
        <v>1525</v>
      </c>
      <c r="CB9" s="1496" t="s">
        <v>1526</v>
      </c>
      <c r="CC9" s="1496" t="s">
        <v>1527</v>
      </c>
      <c r="CD9" s="1497" t="s">
        <v>1528</v>
      </c>
      <c r="CE9" s="1497" t="s">
        <v>1529</v>
      </c>
      <c r="CF9" s="1497" t="s">
        <v>1530</v>
      </c>
      <c r="CG9" s="1497" t="s">
        <v>1531</v>
      </c>
      <c r="CH9" s="1497" t="s">
        <v>1532</v>
      </c>
      <c r="CI9" s="1497" t="s">
        <v>1533</v>
      </c>
      <c r="CJ9" s="1497" t="s">
        <v>1513</v>
      </c>
      <c r="CK9" s="1497" t="s">
        <v>1534</v>
      </c>
      <c r="CL9" s="1497"/>
      <c r="CM9" s="1498" t="s">
        <v>1535</v>
      </c>
      <c r="CN9" s="1492" t="s">
        <v>1384</v>
      </c>
      <c r="CO9" s="1492" t="s">
        <v>1385</v>
      </c>
      <c r="CP9" s="1492" t="s">
        <v>1536</v>
      </c>
      <c r="CQ9" s="1502" t="s">
        <v>1537</v>
      </c>
      <c r="CR9" s="1502" t="s">
        <v>1538</v>
      </c>
      <c r="CS9" s="1502" t="s">
        <v>1539</v>
      </c>
      <c r="CT9" s="1502" t="s">
        <v>1307</v>
      </c>
      <c r="CU9" s="1502" t="s">
        <v>1540</v>
      </c>
      <c r="CV9" s="1492" t="s">
        <v>1541</v>
      </c>
      <c r="CW9" s="1492" t="s">
        <v>976</v>
      </c>
      <c r="CX9" s="1492" t="s">
        <v>1542</v>
      </c>
      <c r="CY9" s="1492" t="s">
        <v>1543</v>
      </c>
      <c r="CZ9" s="1492" t="s">
        <v>1544</v>
      </c>
      <c r="DA9" s="1492" t="s">
        <v>1545</v>
      </c>
      <c r="DB9" s="1492" t="s">
        <v>598</v>
      </c>
      <c r="DC9" s="1492" t="s">
        <v>1513</v>
      </c>
      <c r="DD9" s="1493"/>
      <c r="DE9" s="784" t="s">
        <v>1486</v>
      </c>
      <c r="DF9" s="1503" t="str">
        <f aca="false">Y8</f>
        <v>Vertical Stems</v>
      </c>
      <c r="DG9" s="1503" t="str">
        <f aca="false">AA8</f>
        <v>Extended Beams</v>
      </c>
      <c r="DH9" s="1503" t="s">
        <v>1546</v>
      </c>
      <c r="DI9" s="1503" t="s">
        <v>1547</v>
      </c>
      <c r="DJ9" s="1503" t="s">
        <v>1548</v>
      </c>
      <c r="DK9" s="1503" t="s">
        <v>1549</v>
      </c>
      <c r="DL9" s="1503" t="s">
        <v>1550</v>
      </c>
      <c r="DM9" s="1503" t="s">
        <v>1551</v>
      </c>
      <c r="DN9" s="1503" t="s">
        <v>1552</v>
      </c>
      <c r="DO9" s="1504" t="s">
        <v>1418</v>
      </c>
    </row>
    <row r="10" customFormat="false" ht="19.5" hidden="false" customHeight="true" outlineLevel="0" collapsed="false">
      <c r="A10" s="2672" t="s">
        <v>1068</v>
      </c>
      <c r="B10" s="1505"/>
      <c r="C10" s="1506"/>
      <c r="D10" s="1856"/>
      <c r="E10" s="1857"/>
      <c r="F10" s="1352"/>
      <c r="G10" s="1509"/>
      <c r="H10" s="1352"/>
      <c r="I10" s="1509"/>
      <c r="J10" s="1352"/>
      <c r="K10" s="1510"/>
      <c r="L10" s="1511"/>
      <c r="M10" s="1512"/>
      <c r="N10" s="1513"/>
      <c r="O10" s="1514"/>
      <c r="P10" s="1515" t="n">
        <f aca="false">IF(BQ10=0,0,BN10/BQ10)</f>
        <v>0</v>
      </c>
      <c r="Q10" s="1516" t="n">
        <f aca="false">(D10*F10/324)*(1+K$65)+BB10</f>
        <v>0</v>
      </c>
      <c r="R10" s="1517" t="n">
        <f aca="false">IF(D10=0,0,S10/D10)</f>
        <v>0</v>
      </c>
      <c r="S10" s="1518" t="n">
        <f aca="false">SUM(CM10)*(1+M$45)</f>
        <v>0</v>
      </c>
      <c r="T10" s="1519" t="n">
        <f aca="false">ROUND((CF10+CG10+CH10),0)</f>
        <v>0</v>
      </c>
      <c r="U10" s="1520" t="n">
        <f aca="false">IF(P10-(D10*0.45)&lt;0,0,P10-(D10*0.45))</f>
        <v>0</v>
      </c>
      <c r="V10" s="1521" t="n">
        <f aca="false">IF(D10="",0,IF(D10/-30+Q10&lt;1,0,D10/-30+Q10))</f>
        <v>0</v>
      </c>
      <c r="W10" s="1511"/>
      <c r="X10" s="2674"/>
      <c r="Y10" s="1523"/>
      <c r="Z10" s="1524"/>
      <c r="AA10" s="1523"/>
      <c r="AB10" s="1524"/>
      <c r="AC10" s="1585"/>
      <c r="AD10" s="1858"/>
      <c r="AE10" s="528"/>
      <c r="AF10" s="1592"/>
      <c r="AG10" s="528"/>
      <c r="AH10" s="1592"/>
      <c r="AI10" s="4"/>
      <c r="AJ10" s="1858"/>
      <c r="AK10" s="528"/>
      <c r="AL10" s="1592"/>
      <c r="AM10" s="1523"/>
      <c r="AN10" s="1524"/>
      <c r="AO10" s="1523"/>
      <c r="AP10" s="1524"/>
      <c r="AQ10" s="654"/>
      <c r="AR10" s="1533" t="str">
        <f aca="false">IF(W10="","",LOOKUP(W10,$B$49:$B$59,$R$49:$R$59)*X10)</f>
        <v/>
      </c>
      <c r="AS10" s="1430" t="str">
        <f aca="false">IF(Y10="","",LOOKUP(Y10,$B$49:$B$59,$R$49:$R$59)*Z10)</f>
        <v/>
      </c>
      <c r="AT10" s="1534" t="str">
        <f aca="false">IF(AB10="","",LOOKUP(AA10,$B$49:$B$59,$R$49:$R$59)*AB10)</f>
        <v/>
      </c>
      <c r="AU10" s="1430" t="str">
        <f aca="false">IF(AC10="","",LOOKUP(AC10,$B$49:$B$59,$R$49:$R$59)*AD10)</f>
        <v/>
      </c>
      <c r="AV10" s="1430" t="str">
        <f aca="false">IF(AE10="","",LOOKUP(AE10,$B$49:$B$59,$R$49:$R$59)*AF10)</f>
        <v/>
      </c>
      <c r="AW10" s="1430" t="str">
        <f aca="false">IF(AG10="","",LOOKUP(AG10,$B$49:$B$59,$R$49:$R$59)*AH10)</f>
        <v/>
      </c>
      <c r="AX10" s="1430" t="str">
        <f aca="false">IF(AI10="","",LOOKUP(AI10,$B$49:$B$59,$R$49:$R$59)*AJ10)</f>
        <v/>
      </c>
      <c r="AY10" s="1430" t="str">
        <f aca="false">IF(AK10="","",LOOKUP(AK10,$B$49:$B$59,$R$49:$R$59)*AL10)</f>
        <v/>
      </c>
      <c r="AZ10" s="1430" t="str">
        <f aca="false">IF(AM10="","",LOOKUP(AM10,$B$49:$B$59,$R$49:$R$59)*AN10)</f>
        <v/>
      </c>
      <c r="BA10" s="1430" t="str">
        <f aca="false">IF(AO10="","",LOOKUP(AO10,$B$49:$B$59,$R$49:$R$59)*AP10)</f>
        <v/>
      </c>
      <c r="BB10" s="1535" t="n">
        <f aca="false">SUM(AR10:BA10)</f>
        <v>0</v>
      </c>
      <c r="BC10" s="1533" t="str">
        <f aca="false">IF(W10="","",LOOKUP(W10,$B$49:$B$59,$P$49:$P$59)*X10)</f>
        <v/>
      </c>
      <c r="BD10" s="1430" t="str">
        <f aca="false">IF(Y10="","",LOOKUP(Y10,$B$49:$B$59,$P$49:$P$59)*Z10)</f>
        <v/>
      </c>
      <c r="BE10" s="1430" t="str">
        <f aca="false">IF(AA10="","",LOOKUP(AA10,$B$49:$B$59,$P$49:$P$59)*AB10)</f>
        <v/>
      </c>
      <c r="BF10" s="1430" t="str">
        <f aca="false">IF(AC10="","",LOOKUP(AC10,$B$49:$B$59,$P$49:$P$59)*AD10)</f>
        <v/>
      </c>
      <c r="BG10" s="1430" t="str">
        <f aca="false">IF(AE10="","",LOOKUP(AE10,$B$49:$B$59,$P$49:$P$59)*AF10)</f>
        <v/>
      </c>
      <c r="BH10" s="1430" t="str">
        <f aca="false">IF(AG10="","",LOOKUP(AG10,$B$49:$B$59,$P$49:$P$59)*AH10)</f>
        <v/>
      </c>
      <c r="BI10" s="1430" t="str">
        <f aca="false">IF(AI10="","",LOOKUP(AI10,$B$49:$B$59,$P$49:$P$59)*AJ10)</f>
        <v/>
      </c>
      <c r="BJ10" s="1430" t="str">
        <f aca="false">IF(AK10="","",LOOKUP(AK10,$B$49:$B$59,$P$49:$P$59)*AL10)</f>
        <v/>
      </c>
      <c r="BK10" s="1430" t="str">
        <f aca="false">IF(AM10="","",LOOKUP(AM10,$B$49:$B$59,$P$49:$P$59)*AN10)</f>
        <v/>
      </c>
      <c r="BL10" s="1430" t="str">
        <f aca="false">IF(AO10="","",LOOKUP(AO10,$B$49:$B$59,$P$49:$P$59)*AP10)</f>
        <v/>
      </c>
      <c r="BM10" s="1535" t="n">
        <f aca="false">SUM(BC10:BL10)*BQ10</f>
        <v>0</v>
      </c>
      <c r="BN10" s="1536" t="n">
        <f aca="false">BM10+BO10</f>
        <v>0</v>
      </c>
      <c r="BO10" s="1537" t="n">
        <f aca="false">IF(M10=0,0,(M10/12+M10/12)/(M10/12*M10/12)*D10*((L10/16*L10/16)*10.6870159))*(1+K$70)*BQ10</f>
        <v>0</v>
      </c>
      <c r="BP10" s="1536" t="n">
        <f aca="false">IF(O10="Y",D10*(1+K$71)*BQ10,0)</f>
        <v>0</v>
      </c>
      <c r="BQ10" s="1538" t="n">
        <f aca="false">G10</f>
        <v>0</v>
      </c>
      <c r="BR10" s="1411" t="n">
        <f aca="false">IF(O10="y",D10,0)</f>
        <v>0</v>
      </c>
      <c r="BS10" s="1567" t="n">
        <f aca="false">IF($I10=1,$Q10,0)*BQ10</f>
        <v>0</v>
      </c>
      <c r="BT10" s="1536" t="n">
        <f aca="false">IF($I10=2,$Q10,0)*BQ10</f>
        <v>0</v>
      </c>
      <c r="BU10" s="1536" t="n">
        <f aca="false">IF($I10=3,$Q10,0)*BQ10</f>
        <v>0</v>
      </c>
      <c r="BV10" s="1536" t="n">
        <f aca="false">IF($I10=4,$Q10,0)*BQ10</f>
        <v>0</v>
      </c>
      <c r="BW10" s="1536" t="n">
        <f aca="false">IF($I10=5,$Q10,0)*BQ10</f>
        <v>0</v>
      </c>
      <c r="BX10" s="1537" t="n">
        <f aca="false">IF($I10=6,$Q10,0)*BQ10</f>
        <v>0</v>
      </c>
      <c r="BY10" s="1537" t="n">
        <f aca="false">IF($I10=7,$Q10,0)*BQ10</f>
        <v>0</v>
      </c>
      <c r="BZ10" s="1537" t="n">
        <f aca="false">IF($I10=8,$Q10,0)*BQ10</f>
        <v>0</v>
      </c>
      <c r="CA10" s="1537" t="n">
        <f aca="false">IF($I10=9,$Q10,0)*BQ10</f>
        <v>0</v>
      </c>
      <c r="CB10" s="1569" t="n">
        <f aca="false">IF($I10=10,$Q10,0)*BQ10</f>
        <v>0</v>
      </c>
      <c r="CC10" s="1538" t="n">
        <f aca="false">SUM(BS10:BW10)</f>
        <v>0</v>
      </c>
      <c r="CD10" s="1538" t="n">
        <f aca="false">IF(H10="N",0,D10)*BQ10</f>
        <v>0</v>
      </c>
      <c r="CE10" s="1538" t="n">
        <f aca="false">K10*BQ10</f>
        <v>0</v>
      </c>
      <c r="CF10" s="1542" t="n">
        <f aca="false">IF(W10="",0,LOOKUP(W10,B$49:B$59,D$49:D$59)*X10/12)</f>
        <v>0</v>
      </c>
      <c r="CG10" s="1542" t="n">
        <f aca="false">IF(Y10="",0,LOOKUP(Y10,B$49:B$59,D$49:D$59)*Z10/12)</f>
        <v>0</v>
      </c>
      <c r="CH10" s="1542" t="n">
        <f aca="false">IF(AA10="",0,LOOKUP(AA10,B$49:B$59,D$49:D$59)*AB10/12)</f>
        <v>0</v>
      </c>
      <c r="CI10" s="1538" t="n">
        <f aca="false">D10*BQ10</f>
        <v>0</v>
      </c>
      <c r="CJ10" s="1538" t="n">
        <f aca="false">D10*J10/324*(1+K$73)*G10</f>
        <v>0</v>
      </c>
      <c r="CK10" s="1538" t="str">
        <f aca="false">IF(N10="","",N10)</f>
        <v/>
      </c>
      <c r="CL10" s="1538" t="n">
        <f aca="false">P10*BQ10</f>
        <v>0</v>
      </c>
      <c r="CM10" s="1543" t="n">
        <f aca="false">IF(BQ10=0,0,SUM(CN10:DC10)/BQ10)</f>
        <v>0</v>
      </c>
      <c r="CN10" s="656" t="n">
        <f aca="false">(BS10*Pricing!F$3+BT10*Pricing!G$3+BU10*Pricing!H$3+BV10*Pricing!I$3+BW10*Pricing!J$3+BX10*Pricing!K$3+BY10*Pricing!L$3+BZ10*Pricing!M$3+CA10*Pricing!N$3+CB10*Pricing!O$3)*IF(W$44="N",(1+Y$44),1)</f>
        <v>0</v>
      </c>
      <c r="CO10" s="656" t="n">
        <f aca="false">BN10*G$70*IF(W$44="n",1+Y$44,1)</f>
        <v>0</v>
      </c>
      <c r="CP10" s="656" t="n">
        <f aca="false">C10*D10</f>
        <v>0</v>
      </c>
      <c r="CQ10" s="656" t="n">
        <f aca="false">IF(I$79=0,0,D10*(SUM(O$79:P$82)+O$85)/I$79*BQ10)</f>
        <v>0</v>
      </c>
      <c r="CR10" s="656" t="n">
        <f aca="false">IF(CF10="",0,CF10*E$83)+IF(CG10="",0,CG10*E$83)+IF(CH10="",0,CH10*E$83)</f>
        <v>0</v>
      </c>
      <c r="CS10" s="656"/>
      <c r="CT10" s="656" t="n">
        <f aca="false">IF(I$87=0,0,(P10-(D10*0.35))/2000*E$87)</f>
        <v>0</v>
      </c>
      <c r="CU10" s="656" t="n">
        <f aca="false">IF(D$42=0,0,SUM(O$91:P$93)/D$42*D10)*BQ10</f>
        <v>0</v>
      </c>
      <c r="CV10" s="656" t="n">
        <f aca="false">IF(D$42=0,0,SUM(Z$66:Z$97)/D$42*D10*BQ10)</f>
        <v>0</v>
      </c>
      <c r="CW10" s="656" t="n">
        <f aca="false">IF(D$42=0,0,SUM(O$96:P$101)/D$42*D10)*BQ10</f>
        <v>0</v>
      </c>
      <c r="CX10" s="656" t="n">
        <f aca="false">IF(D$42=0,0,SUM(O$103:O$110)/D$42)*D10*BQ10</f>
        <v>0</v>
      </c>
      <c r="CY10" s="656" t="n">
        <f aca="false">IF(I$79=0,0,IF(I$79=0,0,SUM(Z$98:Z$109)/I$79*D10))</f>
        <v>0</v>
      </c>
      <c r="CZ10" s="656" t="n">
        <f aca="false">IF(J$72&gt;0,J$72/D$42*D10*G10,CD10*(G$72*IF(W$44="n",(1+Y$44),1)))</f>
        <v>0</v>
      </c>
      <c r="DA10" s="656" t="str">
        <f aca="false">IF(CK10="","",CK10*E$86)</f>
        <v/>
      </c>
      <c r="DB10" s="656" t="n">
        <f aca="false">BP10*G$71*IF(W$44="Y",1,1+Y$44)</f>
        <v>0</v>
      </c>
      <c r="DC10" s="656" t="n">
        <f aca="false">CJ10*G$73*IF(W$44="Y",1,1+Y$44)</f>
        <v>0</v>
      </c>
      <c r="DD10" s="1546"/>
      <c r="DE10" s="1547" t="n">
        <f aca="false">IF(W10=1,X10*$AS$49,0)+IF(W10=2,X10*$AS$50,0)+IF(W10=3,X10*$AS$51,0)+IF(W10=4,X10*$AS$52,0)+IF(W10=5,X10*$AS$53,0)+IF(W10=6,X10*$AS$54)+IF(W10=7,X10*$AS$55)+IF(W10=8,X10*$AS$56)+IF(W10=9,X10*$AS$57)+IF(W10=10,X10*$AS$58)+IF(W10=11,X10*$AS$59,0)</f>
        <v>0</v>
      </c>
      <c r="DF10" s="1547" t="n">
        <f aca="false">IF(Y10=1,Z10*$AS$49,0)+IF(Y10=2,Z10*$AS$50,0)+IF(Y10=3,Z10*$AS$51,0)+IF(Y10=4,Z10*$AS$52,0)+IF(Y10=5,Z10*$AS$53,0)+IF(Y10=6,Z10*$AS$54)+IF(Y10=7,Z10*$AS$55)+IF(Y10=8,Z10*$AS$56)+IF(Y10=9,Z10*$AS$57)+IF(Y10=10,Z10*$AS$58)+IF(Y10=11,Z10*$AS$59,0)</f>
        <v>0</v>
      </c>
      <c r="DG10" s="1547" t="n">
        <f aca="false">IF(AA10=1,AB10*$AS$49,0)+IF(AA10=2,AB10*$AS$50,0)+IF(AA10=3,AB10*$AS$51,0)+IF(AA10=4,AB10*$AS$52,0)+IF(AA10=5,AB10*$AS$53,0)+IF(AA10=6,AB10*$AS$54)+IF(AA10=7,AB10*$AS$55)+IF(AA10=8,AB10*$AS$56)+IF(AA10=9,AB10*$AS$57)+IF(AA10=10,AB10*$AS$58)+IF(AA10=11,AB10*$AS$59,0)</f>
        <v>0</v>
      </c>
      <c r="DH10" s="1547" t="n">
        <f aca="false">IF(AC10=1,AD10*$AS$49,0)+IF(AC10=2,AD10*$AS$50,0)+IF(AC10=3,AD10*$AS$51,0)+IF(AC10=4,AD10*$AS$52,0)+IF(AC10=5,AD10*$AS$53,0)+IF(AC10=6,AD10*$AS$54)+IF(AC10=7,AD10*$AS$55)+IF(AC10=8,AD10*$AS$56)+IF(AC10=9,AD10*$AS$57)+IF(AC10=10,AD10*$AS$58)+IF(AC10=11,AD10*$AS$59,0)</f>
        <v>0</v>
      </c>
      <c r="DI10" s="1547" t="n">
        <f aca="false">IF(AE10=1,AF10*$AS$49,0)+IF(AE10=2,AF10*$AS$50,0)+IF(AE10=3,AF10*$AS$51,0)+IF(AE10=4,AF10*$AS$52,0)+IF(AE10=5,AF10*$AS$53,0)+IF(AE10=6,AF10*$AS$54)+IF(AE10=7,AF10*$AS$55)+IF(AE10=8,AF10*$AS$56)+IF(AE10=9,AF10*$AS$57)+IF(AE10=10,AF10*$AS$58)+IF(AE10=11,AF10*$AS$59,0)</f>
        <v>0</v>
      </c>
      <c r="DJ10" s="1547" t="n">
        <f aca="false">IF(AG10=1,AH10*$AS$49,0)+IF(AG10=2,AH10*$AS$50,0)+IF(AG10=3,AH10*$AS$51,0)+IF(AG10=4,AH10*$AS$52,0)+IF(AG10=5,AH10*$AS$53,0)+IF(AG10=6,AH10*$AS$54)+IF(AG10=7,AH10*$AS$55)+IF(AG10=8,AH10*$AS$56)+IF(AG10=9,AH10*$AS$57)+IF(AG10=10,AH10*$AS$58)+IF(AG10=11,AH10*$AS$59,0)</f>
        <v>0</v>
      </c>
      <c r="DK10" s="1547" t="n">
        <f aca="false">IF(AI10=1,AJ10*$AS$49,0)+IF(AI10=2,AJ10*$AS$50,0)+IF(AI10=3,AJ10*$AS$51,0)+IF(AI10=4,AJ10*$AS$52,0)+IF(AI10=5,AJ10*$AS$53,0)+IF(AI10=6,AJ10*$AS$54)+IF(AI10=7,AJ10*$AS$55)+IF(AI10=8,AJ10*$AS$56)+IF(AI10=9,AJ10*$AS$57)+IF(AI10=10,AJ10*$AS$58)+IF(AI10=11,AJ10*$AS$59,0)</f>
        <v>0</v>
      </c>
      <c r="DL10" s="1547" t="n">
        <f aca="false">IF(AK10=1,AL10*$AS$49,0)+IF(AK10=2,AL10*$AS$50,0)+IF(AK10=3,AL10*$AS$51,0)+IF(AK10=4,AL10*$AS$52,0)+IF(AK10=5,AL10*$AS$53,0)+IF(AK10=6,AL10*$AS$54)+IF(AK10=7,AL10*$AS$55)+IF(AK10=8,AL10*$AS$56)+IF(AK10=9,AL10*$AS$57)+IF(AK10=10,AL10*$AS$58)+IF(AK10=11,AL10*$AS$59,0)</f>
        <v>0</v>
      </c>
      <c r="DM10" s="1547" t="n">
        <f aca="false">IF(AM10=1,AN10*$AS$49,0)+IF(AM10=2,AN10*$AS$50,0)+IF(AM10=3,AN10*$AS$51,0)+IF(AM10=4,AN10*$AS$52,0)+IF(AM10=5,AN10*$AS$53,0)+IF(AM10=6,AN10*$AS$54)+IF(AM10=7,AN10*$AS$55)+IF(AM10=8,AN10*$AS$56)+IF(AM10=9,AN10*$AS$57)+IF(AM10=10,AN10*$AS$58)+IF(AM10=11,AN10*$AS$59,0)</f>
        <v>0</v>
      </c>
      <c r="DN10" s="1547" t="n">
        <f aca="false">IF(AO10=1,AP10*$AS$49,0)+IF(AO10=2,AP10*$AS$50,0)+IF(AO10=3,AP10*$AS$51,0)+IF(AO10=4,AP10*$AS$52,0)+IF(AO10=5,AP10*$AS$53,0)+IF(AO10=6,AP10*$AS$54)+IF(AO10=7,AP10*$AS$55)+IF(AO10=8,AP10*$AS$56)+IF(AO10=9,AP10*$AS$57)+IF(AO10=10,AP10*$AS$58)+IF(AO10=11,AP10*$AS$59,0)</f>
        <v>0</v>
      </c>
      <c r="DO10" s="1548" t="n">
        <f aca="false">D10</f>
        <v>0</v>
      </c>
    </row>
    <row r="11" customFormat="false" ht="19.5" hidden="false" customHeight="true" outlineLevel="0" collapsed="false">
      <c r="A11" s="2672" t="s">
        <v>1069</v>
      </c>
      <c r="B11" s="1549"/>
      <c r="C11" s="1550"/>
      <c r="D11" s="1860"/>
      <c r="E11" s="1861"/>
      <c r="F11" s="1074"/>
      <c r="G11" s="1553"/>
      <c r="H11" s="1074"/>
      <c r="I11" s="1553"/>
      <c r="J11" s="1074"/>
      <c r="K11" s="1554"/>
      <c r="L11" s="1555"/>
      <c r="M11" s="1556"/>
      <c r="N11" s="1557"/>
      <c r="O11" s="1558"/>
      <c r="P11" s="1515" t="n">
        <f aca="false">IF(BQ11=0,0,BN11/BQ11)</f>
        <v>0</v>
      </c>
      <c r="Q11" s="1516" t="n">
        <f aca="false">(D11*F11/324)*(1+K$65)+BB11</f>
        <v>0</v>
      </c>
      <c r="R11" s="1517" t="n">
        <f aca="false">IF(D11=0,0,S11/D11)</f>
        <v>0</v>
      </c>
      <c r="S11" s="1518" t="n">
        <f aca="false">SUM(CM11)*(1+M$45)</f>
        <v>0</v>
      </c>
      <c r="T11" s="1519" t="n">
        <f aca="false">ROUND((CF11+CG11+CH11),0)</f>
        <v>0</v>
      </c>
      <c r="U11" s="1520" t="n">
        <f aca="false">IF(P11-(D11*0.45)&lt;0,0,P11-(D11*0.45))</f>
        <v>0</v>
      </c>
      <c r="V11" s="1521" t="n">
        <f aca="false">IF(D11="",0,IF(D11/-30+Q11&lt;1,0,D11/-30+Q11))</f>
        <v>0</v>
      </c>
      <c r="W11" s="1559"/>
      <c r="X11" s="1862"/>
      <c r="Y11" s="1559"/>
      <c r="Z11" s="1561"/>
      <c r="AA11" s="1559"/>
      <c r="AB11" s="1561"/>
      <c r="AC11" s="1562"/>
      <c r="AD11" s="1862"/>
      <c r="AE11" s="1559"/>
      <c r="AF11" s="2675"/>
      <c r="AG11" s="1595"/>
      <c r="AH11" s="2675"/>
      <c r="AI11" s="1559"/>
      <c r="AJ11" s="1862"/>
      <c r="AK11" s="1559"/>
      <c r="AL11" s="2675"/>
      <c r="AM11" s="1559"/>
      <c r="AN11" s="1561"/>
      <c r="AO11" s="1559"/>
      <c r="AP11" s="1561"/>
      <c r="AQ11" s="654"/>
      <c r="AR11" s="1533" t="str">
        <f aca="false">IF(W11="","",LOOKUP(W11,$B$49:$B$59,$R$49:$R$59)*X11)</f>
        <v/>
      </c>
      <c r="AS11" s="1430" t="str">
        <f aca="false">IF(Y11="","",LOOKUP(Y11,$B$49:$B$59,$R$49:$R$59)*Z11)</f>
        <v/>
      </c>
      <c r="AT11" s="1430" t="str">
        <f aca="false">IF(AB11="","",LOOKUP(AA11,$B$49:$B$59,$R$49:$R$59)*AB11)</f>
        <v/>
      </c>
      <c r="AU11" s="1430" t="str">
        <f aca="false">IF(AC11="","",LOOKUP(AC11,$B$49:$B$59,$R$49:$R$59)*AD11)</f>
        <v/>
      </c>
      <c r="AV11" s="1430" t="str">
        <f aca="false">IF(AE11="","",LOOKUP(AE11,$B$49:$B$59,$R$49:$R$59)*AF11)</f>
        <v/>
      </c>
      <c r="AW11" s="1430" t="str">
        <f aca="false">IF(AG11="","",LOOKUP(AG11,$B$49:$B$59,$R$49:$R$59)*AH11)</f>
        <v/>
      </c>
      <c r="AX11" s="1430" t="str">
        <f aca="false">IF(AI11="","",LOOKUP(AI11,$B$49:$B$59,$R$49:$R$59)*AJ11)</f>
        <v/>
      </c>
      <c r="AY11" s="1430" t="str">
        <f aca="false">IF(AK11="","",LOOKUP(AK11,$B$49:$B$59,$R$49:$R$59)*AL11)</f>
        <v/>
      </c>
      <c r="AZ11" s="1430" t="str">
        <f aca="false">IF(AM11="","",LOOKUP(AM11,$B$49:$B$59,$R$49:$R$59)*AN11)</f>
        <v/>
      </c>
      <c r="BA11" s="1430" t="str">
        <f aca="false">IF(AO11="","",LOOKUP(AO11,$B$49:$B$59,$R$49:$R$59)*AP11)</f>
        <v/>
      </c>
      <c r="BB11" s="1535" t="n">
        <f aca="false">SUM(AR11:BA11)</f>
        <v>0</v>
      </c>
      <c r="BC11" s="1533" t="str">
        <f aca="false">IF(W11="","",LOOKUP(W11,$B$49:$B$59,$P$49:$P$59)*X11)</f>
        <v/>
      </c>
      <c r="BD11" s="1430" t="str">
        <f aca="false">IF(Y11="","",LOOKUP(Y11,$B$49:$B$59,$P$49:$P$59)*Z11)</f>
        <v/>
      </c>
      <c r="BE11" s="1430" t="str">
        <f aca="false">IF(AA11="","",LOOKUP(AA11,$B$49:$B$59,$P$49:$P$59)*AB11)</f>
        <v/>
      </c>
      <c r="BF11" s="1430" t="str">
        <f aca="false">IF(AC11="","",LOOKUP(AC11,$B$49:$B$59,$P$49:$P$59)*AD11)</f>
        <v/>
      </c>
      <c r="BG11" s="1430" t="str">
        <f aca="false">IF(AE11="","",LOOKUP(AE11,$B$49:$B$59,$P$49:$P$59)*AF11)</f>
        <v/>
      </c>
      <c r="BH11" s="1430" t="str">
        <f aca="false">IF(AG11="","",LOOKUP(AG11,$B$49:$B$59,$P$49:$P$59)*AH11)</f>
        <v/>
      </c>
      <c r="BI11" s="1430" t="str">
        <f aca="false">IF(AI11="","",LOOKUP(AI11,$B$49:$B$59,$P$49:$P$59)*AJ11)</f>
        <v/>
      </c>
      <c r="BJ11" s="1430" t="str">
        <f aca="false">IF(AK11="","",LOOKUP(AK11,$B$49:$B$59,$P$49:$P$59)*AL11)</f>
        <v/>
      </c>
      <c r="BK11" s="1430" t="str">
        <f aca="false">IF(AM11="","",LOOKUP(AM11,$B$49:$B$59,$P$49:$P$59)*AN11)</f>
        <v/>
      </c>
      <c r="BL11" s="1430" t="str">
        <f aca="false">IF(AO11="","",LOOKUP(AO11,$B$49:$B$59,$P$49:$P$59)*AP11)</f>
        <v/>
      </c>
      <c r="BM11" s="1535" t="n">
        <f aca="false">SUM(BC11:BL11)*BQ11</f>
        <v>0</v>
      </c>
      <c r="BN11" s="1536" t="n">
        <f aca="false">BM11+BO11</f>
        <v>0</v>
      </c>
      <c r="BO11" s="1536" t="n">
        <f aca="false">IF(M11=0,0,(M11/12+M11/12)/(M11/12*M11/12)*D11*((L11/16*L11/16)*10.6870159))*(1+K$70)*BQ11</f>
        <v>0</v>
      </c>
      <c r="BP11" s="1536" t="n">
        <f aca="false">IF(O11="Y",D11*(1+K$71)*BQ11,0)</f>
        <v>0</v>
      </c>
      <c r="BQ11" s="1538" t="n">
        <f aca="false">G11</f>
        <v>0</v>
      </c>
      <c r="BR11" s="1411" t="n">
        <f aca="false">IF(O11="y",D11,0)</f>
        <v>0</v>
      </c>
      <c r="BS11" s="1567" t="n">
        <f aca="false">IF($I11=1,$Q11,0)*BQ11</f>
        <v>0</v>
      </c>
      <c r="BT11" s="1536" t="n">
        <f aca="false">IF($I11=2,$Q11,0)*BQ11</f>
        <v>0</v>
      </c>
      <c r="BU11" s="1536" t="n">
        <f aca="false">IF($I11=3,$Q11,0)*BQ11</f>
        <v>0</v>
      </c>
      <c r="BV11" s="1536" t="n">
        <f aca="false">IF($I11=4,$Q11,0)*BQ11</f>
        <v>0</v>
      </c>
      <c r="BW11" s="1536" t="n">
        <f aca="false">IF($I11=5,$Q11,0)*BQ11</f>
        <v>0</v>
      </c>
      <c r="BX11" s="1537" t="n">
        <f aca="false">IF($I11=6,$Q11,0)*BQ11</f>
        <v>0</v>
      </c>
      <c r="BY11" s="1537" t="n">
        <f aca="false">IF($I11=7,$Q11,0)*BQ11</f>
        <v>0</v>
      </c>
      <c r="BZ11" s="1537" t="n">
        <f aca="false">IF($I11=8,$Q11,0)*BQ11</f>
        <v>0</v>
      </c>
      <c r="CA11" s="1537" t="n">
        <f aca="false">IF($I11=9,$Q11,0)*BQ11</f>
        <v>0</v>
      </c>
      <c r="CB11" s="1569" t="n">
        <f aca="false">IF($I11=10,$Q11,0)*BQ11</f>
        <v>0</v>
      </c>
      <c r="CC11" s="1538" t="n">
        <f aca="false">SUM(BS11:BX11)</f>
        <v>0</v>
      </c>
      <c r="CD11" s="1538" t="n">
        <f aca="false">IF(H11="N",0,D11)*BQ11</f>
        <v>0</v>
      </c>
      <c r="CE11" s="1538" t="n">
        <f aca="false">K11*BQ11</f>
        <v>0</v>
      </c>
      <c r="CF11" s="1542" t="n">
        <f aca="false">IF(W11="",0,LOOKUP(W11,B$49:B$59,D$49:D$59)*X11/12)</f>
        <v>0</v>
      </c>
      <c r="CG11" s="1542" t="n">
        <f aca="false">IF(Y11="",0,LOOKUP(Y11,B$49:B$59,D$49:D$59)*Z11/12)</f>
        <v>0</v>
      </c>
      <c r="CH11" s="1542" t="n">
        <f aca="false">IF(AA11="",0,LOOKUP(AA11,B$49:B$59,D$49:D$59)*AB11/12)</f>
        <v>0</v>
      </c>
      <c r="CI11" s="1538" t="n">
        <f aca="false">D11*BQ11</f>
        <v>0</v>
      </c>
      <c r="CJ11" s="1538" t="n">
        <f aca="false">D11*J11/324*(1+K$73)*G11</f>
        <v>0</v>
      </c>
      <c r="CK11" s="1538" t="str">
        <f aca="false">IF(N11="","",N11)</f>
        <v/>
      </c>
      <c r="CL11" s="1538" t="n">
        <f aca="false">P11*BQ11</f>
        <v>0</v>
      </c>
      <c r="CM11" s="1543" t="n">
        <f aca="false">IF(BQ11=0,0,SUM(CN11:DC11)/BQ11)</f>
        <v>0</v>
      </c>
      <c r="CN11" s="656" t="n">
        <f aca="false">(BS11*Pricing!F$3+BT11*Pricing!G$3+BU11*Pricing!H$3+BV11*Pricing!I$3+BW11*Pricing!J$3+BX11*Pricing!K$3)*IF(W$44="N",(1+Y$44),1)</f>
        <v>0</v>
      </c>
      <c r="CO11" s="656" t="n">
        <f aca="false">BN11*G$70*IF(W$44="n",1+Y$44,1)</f>
        <v>0</v>
      </c>
      <c r="CP11" s="656" t="n">
        <f aca="false">C11*D11</f>
        <v>0</v>
      </c>
      <c r="CQ11" s="656" t="n">
        <f aca="false">IF(I$79=0,0,D11*(SUM(O$79:P$82)+O$85)/I$79*BQ11)</f>
        <v>0</v>
      </c>
      <c r="CR11" s="656" t="n">
        <f aca="false">IF(CF11="",0,CF11*E$83)+IF(CG11="",0,CG11*E$83)+IF(CH11="",0,CH11*E$83)</f>
        <v>0</v>
      </c>
      <c r="CS11" s="656"/>
      <c r="CT11" s="656" t="n">
        <f aca="false">IF(I$87=0,0,(P11-(D11*0.35))/2000*E$87)</f>
        <v>0</v>
      </c>
      <c r="CU11" s="656" t="n">
        <f aca="false">IF(D$42=0,0,SUM(O$91:P$93)/D$42*D11)*BQ11</f>
        <v>0</v>
      </c>
      <c r="CV11" s="656" t="n">
        <f aca="false">IF(D$42=0,0,SUM(Z$66:Z$97)/D$42*D11*BQ11)</f>
        <v>0</v>
      </c>
      <c r="CW11" s="656" t="n">
        <f aca="false">IF(D$42=0,0,SUM(O$96:P$101)/D$42*D11)*BQ11</f>
        <v>0</v>
      </c>
      <c r="CX11" s="656" t="n">
        <f aca="false">IF(D$42=0,0,SUM(O$103:O$110)/D$42)*D11*BQ11</f>
        <v>0</v>
      </c>
      <c r="CY11" s="656" t="n">
        <f aca="false">IF(I$79=0,0,IF(I$79=0,0,SUM(Z$98:Z$109)/I$79*D11))</f>
        <v>0</v>
      </c>
      <c r="CZ11" s="656" t="n">
        <f aca="false">IF(J$72&gt;0,J$72/D$42*D11*G11,CD11*(G$72*IF(W$44="n",(1+Y$44),1)))</f>
        <v>0</v>
      </c>
      <c r="DA11" s="656" t="str">
        <f aca="false">IF(CK11="","",CK11*E$86)</f>
        <v/>
      </c>
      <c r="DB11" s="656" t="n">
        <f aca="false">BP11*G$71*IF(W$44="Y",1,1+Y$44)</f>
        <v>0</v>
      </c>
      <c r="DC11" s="656" t="n">
        <f aca="false">CJ11*G$73*IF(W$44="Y",1,1+Y$44)</f>
        <v>0</v>
      </c>
      <c r="DD11" s="1546"/>
      <c r="DE11" s="654" t="n">
        <f aca="false">IF(W11=1,X11*$AS$49,0)+IF(W11=2,X11*$AS$50,0)+IF(W11=3,X11*$AS$51,0)+IF(W11=4,X11*$AS$52,0)+IF(W11=5,X11*$AS$53,0)+IF(W11=6,X11*$AS$54)+IF(W11=7,X11*$AS$55)+IF(W11=8,X11*$AS$56)+IF(W11=9,X11*$AS$57)+IF(W11=10,X11*$AS$58)+IF(W11=11,X11*$AS$59,0)</f>
        <v>0</v>
      </c>
      <c r="DF11" s="654" t="n">
        <f aca="false">IF(Y11=1,Z11*$AS$49,0)+IF(Y11=2,Z11*$AS$50,0)+IF(Y11=3,Z11*$AS$51,0)+IF(Y11=4,Z11*$AS$52,0)+IF(Y11=5,Z11*$AS$53,0)+IF(Y11=6,Z11*$AS$54)+IF(Y11=7,Z11*$AS$55)+IF(Y11=8,Z11*$AS$56)+IF(Y11=9,Z11*$AS$57)+IF(Y11=10,Z11*$AS$58)+IF(Y11=11,Z11*$AS$59,0)</f>
        <v>0</v>
      </c>
      <c r="DG11" s="654" t="n">
        <f aca="false">IF(AA11=1,AB11*$AS$49,0)+IF(AA11=2,AB11*$AS$50,0)+IF(AA11=3,AB11*$AS$51,0)+IF(AA11=4,AB11*$AS$52,0)+IF(AA11=5,AB11*$AS$53,0)+IF(AA11=6,AB11*$AS$54)+IF(AA11=7,AB11*$AS$55)+IF(AA11=8,AB11*$AS$56)+IF(AA11=9,AB11*$AS$57)+IF(AA11=10,AB11*$AS$58)+IF(AA11=11,AB11*$AS$59,0)</f>
        <v>0</v>
      </c>
      <c r="DH11" s="654" t="n">
        <f aca="false">IF(AC11=1,AD11*$AS$49,0)+IF(AC11=2,AD11*$AS$50,0)+IF(AC11=3,AD11*$AS$51,0)+IF(AC11=4,AD11*$AS$52,0)+IF(AC11=5,AD11*$AS$53,0)+IF(AC11=6,AD11*$AS$54)+IF(AC11=7,AD11*$AS$55)+IF(AC11=8,AD11*$AS$56)+IF(AC11=9,AD11*$AS$57)+IF(AC11=10,AD11*$AS$58)+IF(AC11=11,AD11*$AS$59,0)</f>
        <v>0</v>
      </c>
      <c r="DI11" s="654" t="n">
        <f aca="false">IF(AE11=1,AF11*$AS$49,0)+IF(AE11=2,AF11*$AS$50,0)+IF(AE11=3,AF11*$AS$51,0)+IF(AE11=4,AF11*$AS$52,0)+IF(AE11=5,AF11*$AS$53,0)+IF(AE11=6,AF11*$AS$54)+IF(AE11=7,AF11*$AS$55)+IF(AE11=8,AF11*$AS$56)+IF(AE11=9,AF11*$AS$57)+IF(AE11=10,AF11*$AS$58)+IF(AE11=11,AF11*$AS$59,0)</f>
        <v>0</v>
      </c>
      <c r="DJ11" s="654" t="n">
        <f aca="false">IF(AG11=1,AH11*$AS$49,0)+IF(AG11=2,AH11*$AS$50,0)+IF(AG11=3,AH11*$AS$51,0)+IF(AG11=4,AH11*$AS$52,0)+IF(AG11=5,AH11*$AS$53,0)+IF(AG11=6,AH11*$AS$54)+IF(AG11=7,AH11*$AS$55)+IF(AG11=8,AH11*$AS$56)+IF(AG11=9,AH11*$AS$57)+IF(AG11=10,AH11*$AS$58)+IF(AG11=11,AH11*$AS$59,0)</f>
        <v>0</v>
      </c>
      <c r="DK11" s="654" t="n">
        <f aca="false">IF(AI11=1,AJ11*$AS$49,0)+IF(AI11=2,AJ11*$AS$50,0)+IF(AI11=3,AJ11*$AS$51,0)+IF(AI11=4,AJ11*$AS$52,0)+IF(AI11=5,AJ11*$AS$53,0)+IF(AI11=6,AJ11*$AS$54)+IF(AI11=7,AJ11*$AS$55)+IF(AI11=8,AJ11*$AS$56)+IF(AI11=9,AJ11*$AS$57)+IF(AI11=10,AJ11*$AS$58)+IF(AI11=11,AJ11*$AS$59,0)</f>
        <v>0</v>
      </c>
      <c r="DL11" s="654" t="n">
        <f aca="false">IF(AK11=1,AL11*$AS$49,0)+IF(AK11=2,AL11*$AS$50,0)+IF(AK11=3,AL11*$AS$51,0)+IF(AK11=4,AL11*$AS$52,0)+IF(AK11=5,AL11*$AS$53,0)+IF(AK11=6,AL11*$AS$54)+IF(AK11=7,AL11*$AS$55)+IF(AK11=8,AL11*$AS$56)+IF(AK11=9,AL11*$AS$57)+IF(AK11=10,AL11*$AS$58)+IF(AK11=11,AL11*$AS$59,0)</f>
        <v>0</v>
      </c>
      <c r="DM11" s="654" t="n">
        <f aca="false">IF(AM11=1,AN11*$AS$49,0)+IF(AM11=2,AN11*$AS$50,0)+IF(AM11=3,AN11*$AS$51,0)+IF(AM11=4,AN11*$AS$52,0)+IF(AM11=5,AN11*$AS$53,0)+IF(AM11=6,AN11*$AS$54)+IF(AM11=7,AN11*$AS$55)+IF(AM11=8,AN11*$AS$56)+IF(AM11=9,AN11*$AS$57)+IF(AM11=10,AN11*$AS$58)+IF(AM11=11,AN11*$AS$59,0)</f>
        <v>0</v>
      </c>
      <c r="DN11" s="654" t="n">
        <f aca="false">IF(AO11=1,AP11*$AS$49,0)+IF(AO11=2,AP11*$AS$50,0)+IF(AO11=3,AP11*$AS$51,0)+IF(AO11=4,AP11*$AS$52,0)+IF(AO11=5,AP11*$AS$53,0)+IF(AO11=6,AP11*$AS$54)+IF(AO11=7,AP11*$AS$55)+IF(AO11=8,AP11*$AS$56)+IF(AO11=9,AP11*$AS$57)+IF(AO11=10,AP11*$AS$58)+IF(AO11=11,AP11*$AS$59,0)</f>
        <v>0</v>
      </c>
      <c r="DO11" s="1569" t="n">
        <f aca="false">D11</f>
        <v>0</v>
      </c>
    </row>
    <row r="12" customFormat="false" ht="19.5" hidden="false" customHeight="true" outlineLevel="0" collapsed="false">
      <c r="A12" s="2672" t="s">
        <v>1070</v>
      </c>
      <c r="B12" s="1505"/>
      <c r="C12" s="1550"/>
      <c r="D12" s="1863"/>
      <c r="E12" s="1864"/>
      <c r="F12" s="1074"/>
      <c r="G12" s="1553"/>
      <c r="H12" s="1074"/>
      <c r="I12" s="1553"/>
      <c r="J12" s="1074"/>
      <c r="K12" s="1554"/>
      <c r="L12" s="1523"/>
      <c r="M12" s="1512"/>
      <c r="N12" s="1570"/>
      <c r="O12" s="1571"/>
      <c r="P12" s="1515" t="n">
        <f aca="false">IF(BQ12=0,0,BN12/BQ12)</f>
        <v>0</v>
      </c>
      <c r="Q12" s="1516" t="n">
        <f aca="false">(D12*F12/324)*(1+K$65)+BB12</f>
        <v>0</v>
      </c>
      <c r="R12" s="1517" t="n">
        <f aca="false">IF(D12=0,0,S12/D12)</f>
        <v>0</v>
      </c>
      <c r="S12" s="1518" t="n">
        <f aca="false">SUM(CM12)*(1+M$45)</f>
        <v>0</v>
      </c>
      <c r="T12" s="1519" t="n">
        <f aca="false">ROUND((CF12+CG12+CH12),0)</f>
        <v>0</v>
      </c>
      <c r="U12" s="1520" t="n">
        <f aca="false">IF(P12-(D12*0.45)&lt;0,0,P12-(D12*0.45))</f>
        <v>0</v>
      </c>
      <c r="V12" s="1521" t="n">
        <f aca="false">IF(D12="",0,IF(D12/-30+Q12&lt;1,0,D12/-30+Q12))</f>
        <v>0</v>
      </c>
      <c r="W12" s="1511"/>
      <c r="X12" s="1858"/>
      <c r="Y12" s="1511"/>
      <c r="Z12" s="1524"/>
      <c r="AA12" s="1511"/>
      <c r="AB12" s="1524"/>
      <c r="AC12" s="1525"/>
      <c r="AD12" s="1858"/>
      <c r="AE12" s="1511"/>
      <c r="AF12" s="2404"/>
      <c r="AG12" s="1593"/>
      <c r="AH12" s="1592"/>
      <c r="AI12" s="4"/>
      <c r="AJ12" s="1858"/>
      <c r="AK12" s="1511"/>
      <c r="AL12" s="2404"/>
      <c r="AM12" s="1511"/>
      <c r="AN12" s="1524"/>
      <c r="AO12" s="1511"/>
      <c r="AP12" s="1524"/>
      <c r="AQ12" s="654"/>
      <c r="AR12" s="1533" t="str">
        <f aca="false">IF(W12="","",LOOKUP(W12,$B$49:$B$59,$R$49:$R$59)*X12)</f>
        <v/>
      </c>
      <c r="AS12" s="1430" t="str">
        <f aca="false">IF(Y12="","",LOOKUP(Y12,$B$49:$B$59,$R$49:$R$59)*Z12)</f>
        <v/>
      </c>
      <c r="AT12" s="1430" t="str">
        <f aca="false">IF(AB12="","",LOOKUP(AA12,$B$49:$B$59,$R$49:$R$59)*AB12)</f>
        <v/>
      </c>
      <c r="AU12" s="1430" t="str">
        <f aca="false">IF(AC12="","",LOOKUP(AC12,$B$49:$B$59,$R$49:$R$59)*AD12)</f>
        <v/>
      </c>
      <c r="AV12" s="1430" t="str">
        <f aca="false">IF(AE12="","",LOOKUP(AE12,$B$49:$B$59,$R$49:$R$59)*AF12)</f>
        <v/>
      </c>
      <c r="AW12" s="1430" t="str">
        <f aca="false">IF(AG12="","",LOOKUP(AG12,$B$49:$B$59,$R$49:$R$59)*AH12)</f>
        <v/>
      </c>
      <c r="AX12" s="1430" t="str">
        <f aca="false">IF(AI12="","",LOOKUP(AI12,$B$49:$B$59,$R$49:$R$59)*AJ12)</f>
        <v/>
      </c>
      <c r="AY12" s="1430" t="str">
        <f aca="false">IF(AK12="","",LOOKUP(AK12,$B$49:$B$59,$R$49:$R$59)*AL12)</f>
        <v/>
      </c>
      <c r="AZ12" s="1430" t="str">
        <f aca="false">IF(AM12="","",LOOKUP(AM12,$B$49:$B$59,$R$49:$R$59)*AN12)</f>
        <v/>
      </c>
      <c r="BA12" s="1430" t="str">
        <f aca="false">IF(AO12="","",LOOKUP(AO12,$B$49:$B$59,$R$49:$R$59)*AP12)</f>
        <v/>
      </c>
      <c r="BB12" s="1535" t="n">
        <f aca="false">SUM(AR12:BA12)</f>
        <v>0</v>
      </c>
      <c r="BC12" s="1533" t="str">
        <f aca="false">IF(W12="","",LOOKUP(W12,$B$49:$B$59,$P$49:$P$59)*X12)</f>
        <v/>
      </c>
      <c r="BD12" s="1430" t="str">
        <f aca="false">IF(Y12="","",LOOKUP(Y12,$B$49:$B$59,$P$49:$P$59)*Z12)</f>
        <v/>
      </c>
      <c r="BE12" s="1430" t="str">
        <f aca="false">IF(AA12="","",LOOKUP(AA12,$B$49:$B$59,$P$49:$P$59)*AB12)</f>
        <v/>
      </c>
      <c r="BF12" s="1430" t="str">
        <f aca="false">IF(AC12="","",LOOKUP(AC12,$B$49:$B$59,$P$49:$P$59)*AD12)</f>
        <v/>
      </c>
      <c r="BG12" s="1430" t="str">
        <f aca="false">IF(AE12="","",LOOKUP(AE12,$B$49:$B$59,$P$49:$P$59)*AF12)</f>
        <v/>
      </c>
      <c r="BH12" s="1430" t="str">
        <f aca="false">IF(AG12="","",LOOKUP(AG12,$B$49:$B$59,$P$49:$P$59)*AH12)</f>
        <v/>
      </c>
      <c r="BI12" s="1430" t="str">
        <f aca="false">IF(AI12="","",LOOKUP(AI12,$B$49:$B$59,$P$49:$P$59)*AJ12)</f>
        <v/>
      </c>
      <c r="BJ12" s="1430" t="str">
        <f aca="false">IF(AK12="","",LOOKUP(AK12,$B$49:$B$59,$P$49:$P$59)*AL12)</f>
        <v/>
      </c>
      <c r="BK12" s="1430" t="str">
        <f aca="false">IF(AM12="","",LOOKUP(AM12,$B$49:$B$59,$P$49:$P$59)*AN12)</f>
        <v/>
      </c>
      <c r="BL12" s="1430" t="str">
        <f aca="false">IF(AO12="","",LOOKUP(AO12,$B$49:$B$59,$P$49:$P$59)*AP12)</f>
        <v/>
      </c>
      <c r="BM12" s="1535" t="n">
        <f aca="false">SUM(BC12:BL12)*BQ12</f>
        <v>0</v>
      </c>
      <c r="BN12" s="1536" t="n">
        <f aca="false">BM12+BO12</f>
        <v>0</v>
      </c>
      <c r="BO12" s="1536" t="n">
        <f aca="false">IF(M12=0,0,(M12/12+M12/12)/(M12/12*M12/12)*D12*((L12/16*L12/16)*10.6870159))*(1+K$70)*BQ12</f>
        <v>0</v>
      </c>
      <c r="BP12" s="1536" t="n">
        <f aca="false">IF(O12="Y",D12*(1+K$71)*BQ12,0)</f>
        <v>0</v>
      </c>
      <c r="BQ12" s="1538" t="n">
        <f aca="false">G12</f>
        <v>0</v>
      </c>
      <c r="BR12" s="1411" t="n">
        <f aca="false">IF(O12="y",D12,0)</f>
        <v>0</v>
      </c>
      <c r="BS12" s="1567" t="n">
        <f aca="false">IF($I12=1,$Q12,0)*BQ12</f>
        <v>0</v>
      </c>
      <c r="BT12" s="1536" t="n">
        <f aca="false">IF($I12=2,$Q12,0)*BQ12</f>
        <v>0</v>
      </c>
      <c r="BU12" s="1536" t="n">
        <f aca="false">IF($I12=3,$Q12,0)*BQ12</f>
        <v>0</v>
      </c>
      <c r="BV12" s="1536" t="n">
        <f aca="false">IF($I12=4,$Q12,0)*BQ12</f>
        <v>0</v>
      </c>
      <c r="BW12" s="1536" t="n">
        <f aca="false">IF($I12=5,$Q12,0)*BQ12</f>
        <v>0</v>
      </c>
      <c r="BX12" s="1537" t="n">
        <f aca="false">IF($I12=6,$Q12,0)*BQ12</f>
        <v>0</v>
      </c>
      <c r="BY12" s="1537" t="n">
        <f aca="false">IF($I12=7,$Q12,0)*BQ12</f>
        <v>0</v>
      </c>
      <c r="BZ12" s="1537" t="n">
        <f aca="false">IF($I12=8,$Q12,0)*BQ12</f>
        <v>0</v>
      </c>
      <c r="CA12" s="1537" t="n">
        <f aca="false">IF($I12=9,$Q12,0)*BQ12</f>
        <v>0</v>
      </c>
      <c r="CB12" s="1569" t="n">
        <f aca="false">IF($I12=10,$Q12,0)*BQ12</f>
        <v>0</v>
      </c>
      <c r="CC12" s="1538" t="n">
        <f aca="false">SUM(BS12:BX12)</f>
        <v>0</v>
      </c>
      <c r="CD12" s="1538" t="n">
        <f aca="false">IF(H12="N",0,D12)*BQ12</f>
        <v>0</v>
      </c>
      <c r="CE12" s="1538" t="n">
        <f aca="false">K12*BQ12</f>
        <v>0</v>
      </c>
      <c r="CF12" s="1542" t="n">
        <f aca="false">IF(W12="",0,LOOKUP(W12,B$49:B$59,D$49:D$59)*X12/12)</f>
        <v>0</v>
      </c>
      <c r="CG12" s="1542" t="n">
        <f aca="false">IF(Y12="",0,LOOKUP(Y12,B$49:B$59,D$49:D$59)*Z12/12)</f>
        <v>0</v>
      </c>
      <c r="CH12" s="1542" t="n">
        <f aca="false">IF(AA12="",0,LOOKUP(AA12,B$49:B$59,D$49:D$59)*AB12/12)</f>
        <v>0</v>
      </c>
      <c r="CI12" s="1538" t="n">
        <f aca="false">D12*BQ12</f>
        <v>0</v>
      </c>
      <c r="CJ12" s="1538" t="n">
        <f aca="false">D12*J12/324*(1+K$73)*G12</f>
        <v>0</v>
      </c>
      <c r="CK12" s="1538" t="str">
        <f aca="false">IF(N12="","",N12)</f>
        <v/>
      </c>
      <c r="CL12" s="1538" t="n">
        <f aca="false">P12*BQ12</f>
        <v>0</v>
      </c>
      <c r="CM12" s="1543" t="n">
        <f aca="false">IF(BQ12=0,0,SUM(CN12:DC12)/BQ12)</f>
        <v>0</v>
      </c>
      <c r="CN12" s="656" t="n">
        <f aca="false">(BS12*Pricing!F$3+BT12*Pricing!G$3+BU12*Pricing!H$3+BV12*Pricing!I$3+BW12*Pricing!J$3+BX12*Pricing!K$3)*IF(W$44="N",(1+Y$44),1)</f>
        <v>0</v>
      </c>
      <c r="CO12" s="656" t="n">
        <f aca="false">BN12*G$70*IF(W$44="n",1+Y$44,1)</f>
        <v>0</v>
      </c>
      <c r="CP12" s="656" t="n">
        <f aca="false">C12*D12</f>
        <v>0</v>
      </c>
      <c r="CQ12" s="656" t="n">
        <f aca="false">IF(I$79=0,0,D12*(SUM(O$79:P$82)+O$85)/I$79*BQ12)</f>
        <v>0</v>
      </c>
      <c r="CR12" s="656" t="n">
        <f aca="false">IF(CF12="",0,CF12*E$83)+IF(CG12="",0,CG12*E$83)+IF(CH12="",0,CH12*E$83)</f>
        <v>0</v>
      </c>
      <c r="CS12" s="656"/>
      <c r="CT12" s="656" t="n">
        <f aca="false">IF(I$87=0,0,(P12-(D12*0.35))/2000*E$87)</f>
        <v>0</v>
      </c>
      <c r="CU12" s="656" t="n">
        <f aca="false">IF(D$42=0,0,SUM(O$91:P$93)/D$42*D12)*BQ12</f>
        <v>0</v>
      </c>
      <c r="CV12" s="656" t="n">
        <f aca="false">IF(D$42=0,0,SUM(Z$66:Z$97)/D$42*D12*BQ12)</f>
        <v>0</v>
      </c>
      <c r="CW12" s="656" t="n">
        <f aca="false">IF(D$42=0,0,SUM(O$96:P$101)/D$42*D12)*BQ12</f>
        <v>0</v>
      </c>
      <c r="CX12" s="656" t="n">
        <f aca="false">IF(D$42=0,0,SUM(O$103:O$110)/D$42)*D12*BQ12</f>
        <v>0</v>
      </c>
      <c r="CY12" s="656" t="n">
        <f aca="false">IF(I$79=0,0,IF(I$79=0,0,SUM(Z$98:Z$109)/I$79*D12))</f>
        <v>0</v>
      </c>
      <c r="CZ12" s="656" t="n">
        <f aca="false">IF(J$72&gt;0,J$72/D$42*D12*G12,CD12*(G$72*IF(W$44="n",(1+Y$44),1)))</f>
        <v>0</v>
      </c>
      <c r="DA12" s="656" t="str">
        <f aca="false">IF(CK12="","",CK12*E$86)</f>
        <v/>
      </c>
      <c r="DB12" s="656" t="n">
        <f aca="false">BP12*G$71*IF(W$44="Y",1,1+Y$44)</f>
        <v>0</v>
      </c>
      <c r="DC12" s="656" t="n">
        <f aca="false">CJ12*G$73*IF(W$44="Y",1,1+Y$44)</f>
        <v>0</v>
      </c>
      <c r="DD12" s="1546"/>
      <c r="DE12" s="654" t="n">
        <f aca="false">IF(W12=1,X12*$AS$49,0)+IF(W12=2,X12*$AS$50,0)+IF(W12=3,X12*$AS$51,0)+IF(W12=4,X12*$AS$52,0)+IF(W12=5,X12*$AS$53,0)+IF(W12=6,X12*$AS$54)+IF(W12=7,X12*$AS$55)+IF(W12=8,X12*$AS$56)+IF(W12=9,X12*$AS$57)+IF(W12=10,X12*$AS$58)+IF(W12=11,X12*$AS$59,0)</f>
        <v>0</v>
      </c>
      <c r="DF12" s="654" t="n">
        <f aca="false">IF(Y12=1,Z12*$AS$49,0)+IF(Y12=2,Z12*$AS$50,0)+IF(Y12=3,Z12*$AS$51,0)+IF(Y12=4,Z12*$AS$52,0)+IF(Y12=5,Z12*$AS$53,0)+IF(Y12=6,Z12*$AS$54)+IF(Y12=7,Z12*$AS$55)+IF(Y12=8,Z12*$AS$56)+IF(Y12=9,Z12*$AS$57)+IF(Y12=10,Z12*$AS$58)+IF(Y12=11,Z12*$AS$59,0)</f>
        <v>0</v>
      </c>
      <c r="DG12" s="654" t="n">
        <f aca="false">IF(AA12=1,AB12*$AS$49,0)+IF(AA12=2,AB12*$AS$50,0)+IF(AA12=3,AB12*$AS$51,0)+IF(AA12=4,AB12*$AS$52,0)+IF(AA12=5,AB12*$AS$53,0)+IF(AA12=6,AB12*$AS$54)+IF(AA12=7,AB12*$AS$55)+IF(AA12=8,AB12*$AS$56)+IF(AA12=9,AB12*$AS$57)+IF(AA12=10,AB12*$AS$58)+IF(AA12=11,AB12*$AS$59,0)</f>
        <v>0</v>
      </c>
      <c r="DH12" s="654" t="n">
        <f aca="false">IF(AC12=1,AD12*$AS$49,0)+IF(AC12=2,AD12*$AS$50,0)+IF(AC12=3,AD12*$AS$51,0)+IF(AC12=4,AD12*$AS$52,0)+IF(AC12=5,AD12*$AS$53,0)+IF(AC12=6,AD12*$AS$54)+IF(AC12=7,AD12*$AS$55)+IF(AC12=8,AD12*$AS$56)+IF(AC12=9,AD12*$AS$57)+IF(AC12=10,AD12*$AS$58)+IF(AC12=11,AD12*$AS$59,0)</f>
        <v>0</v>
      </c>
      <c r="DI12" s="654" t="n">
        <f aca="false">IF(AE12=1,AF12*$AS$49,0)+IF(AE12=2,AF12*$AS$50,0)+IF(AE12=3,AF12*$AS$51,0)+IF(AE12=4,AF12*$AS$52,0)+IF(AE12=5,AF12*$AS$53,0)+IF(AE12=6,AF12*$AS$54)+IF(AE12=7,AF12*$AS$55)+IF(AE12=8,AF12*$AS$56)+IF(AE12=9,AF12*$AS$57)+IF(AE12=10,AF12*$AS$58)+IF(AE12=11,AF12*$AS$59,0)</f>
        <v>0</v>
      </c>
      <c r="DJ12" s="654" t="n">
        <f aca="false">IF(AG12=1,AH12*$AS$49,0)+IF(AG12=2,AH12*$AS$50,0)+IF(AG12=3,AH12*$AS$51,0)+IF(AG12=4,AH12*$AS$52,0)+IF(AG12=5,AH12*$AS$53,0)+IF(AG12=6,AH12*$AS$54)+IF(AG12=7,AH12*$AS$55)+IF(AG12=8,AH12*$AS$56)+IF(AG12=9,AH12*$AS$57)+IF(AG12=10,AH12*$AS$58)+IF(AG12=11,AH12*$AS$59,0)</f>
        <v>0</v>
      </c>
      <c r="DK12" s="654" t="n">
        <f aca="false">IF(AI12=1,AJ12*$AS$49,0)+IF(AI12=2,AJ12*$AS$50,0)+IF(AI12=3,AJ12*$AS$51,0)+IF(AI12=4,AJ12*$AS$52,0)+IF(AI12=5,AJ12*$AS$53,0)+IF(AI12=6,AJ12*$AS$54)+IF(AI12=7,AJ12*$AS$55)+IF(AI12=8,AJ12*$AS$56)+IF(AI12=9,AJ12*$AS$57)+IF(AI12=10,AJ12*$AS$58)+IF(AI12=11,AJ12*$AS$59,0)</f>
        <v>0</v>
      </c>
      <c r="DL12" s="654" t="n">
        <f aca="false">IF(AK12=1,AL12*$AS$49,0)+IF(AK12=2,AL12*$AS$50,0)+IF(AK12=3,AL12*$AS$51,0)+IF(AK12=4,AL12*$AS$52,0)+IF(AK12=5,AL12*$AS$53,0)+IF(AK12=6,AL12*$AS$54)+IF(AK12=7,AL12*$AS$55)+IF(AK12=8,AL12*$AS$56)+IF(AK12=9,AL12*$AS$57)+IF(AK12=10,AL12*$AS$58)+IF(AK12=11,AL12*$AS$59,0)</f>
        <v>0</v>
      </c>
      <c r="DM12" s="654" t="n">
        <f aca="false">IF(AM12=1,AN12*$AS$49,0)+IF(AM12=2,AN12*$AS$50,0)+IF(AM12=3,AN12*$AS$51,0)+IF(AM12=4,AN12*$AS$52,0)+IF(AM12=5,AN12*$AS$53,0)+IF(AM12=6,AN12*$AS$54)+IF(AM12=7,AN12*$AS$55)+IF(AM12=8,AN12*$AS$56)+IF(AM12=9,AN12*$AS$57)+IF(AM12=10,AN12*$AS$58)+IF(AM12=11,AN12*$AS$59,0)</f>
        <v>0</v>
      </c>
      <c r="DN12" s="654" t="n">
        <f aca="false">IF(AO12=1,AP12*$AS$49,0)+IF(AO12=2,AP12*$AS$50,0)+IF(AO12=3,AP12*$AS$51,0)+IF(AO12=4,AP12*$AS$52,0)+IF(AO12=5,AP12*$AS$53,0)+IF(AO12=6,AP12*$AS$54)+IF(AO12=7,AP12*$AS$55)+IF(AO12=8,AP12*$AS$56)+IF(AO12=9,AP12*$AS$57)+IF(AO12=10,AP12*$AS$58)+IF(AO12=11,AP12*$AS$59,0)</f>
        <v>0</v>
      </c>
      <c r="DO12" s="1569" t="n">
        <f aca="false">D12</f>
        <v>0</v>
      </c>
    </row>
    <row r="13" customFormat="false" ht="19.5" hidden="false" customHeight="true" outlineLevel="0" collapsed="false">
      <c r="A13" s="2672" t="s">
        <v>1071</v>
      </c>
      <c r="B13" s="1549"/>
      <c r="C13" s="1550"/>
      <c r="D13" s="1860"/>
      <c r="E13" s="1861"/>
      <c r="F13" s="1074"/>
      <c r="G13" s="1553"/>
      <c r="H13" s="1074"/>
      <c r="I13" s="1553"/>
      <c r="J13" s="1074"/>
      <c r="K13" s="1554"/>
      <c r="L13" s="1555"/>
      <c r="M13" s="1556"/>
      <c r="N13" s="1557"/>
      <c r="O13" s="1558"/>
      <c r="P13" s="1515" t="n">
        <f aca="false">IF(BQ13=0,0,BN13/BQ13)</f>
        <v>0</v>
      </c>
      <c r="Q13" s="1516" t="n">
        <f aca="false">(D13*F13/324)*(1+K$65)+BB13</f>
        <v>0</v>
      </c>
      <c r="R13" s="1517" t="n">
        <f aca="false">IF(D13=0,0,S13/D13)</f>
        <v>0</v>
      </c>
      <c r="S13" s="1518" t="n">
        <f aca="false">SUM(CM13)*(1+M$45)</f>
        <v>0</v>
      </c>
      <c r="T13" s="1519" t="n">
        <f aca="false">ROUND((CF13+CG13+CH13),0)</f>
        <v>0</v>
      </c>
      <c r="U13" s="1520" t="n">
        <f aca="false">IF(P13-(D13*0.45)&lt;0,0,P13-(D13*0.45))</f>
        <v>0</v>
      </c>
      <c r="V13" s="1521" t="n">
        <f aca="false">IF(D13="",0,IF(D13/-30+Q13&lt;1,0,D13/-30+Q13))</f>
        <v>0</v>
      </c>
      <c r="W13" s="1559"/>
      <c r="X13" s="1862"/>
      <c r="Y13" s="1559"/>
      <c r="Z13" s="1561"/>
      <c r="AA13" s="1559"/>
      <c r="AB13" s="1561"/>
      <c r="AC13" s="1562"/>
      <c r="AD13" s="1862"/>
      <c r="AE13" s="1559"/>
      <c r="AF13" s="2675"/>
      <c r="AG13" s="1595"/>
      <c r="AH13" s="2675"/>
      <c r="AI13" s="1559"/>
      <c r="AJ13" s="1862"/>
      <c r="AK13" s="1559"/>
      <c r="AL13" s="2675"/>
      <c r="AM13" s="1559"/>
      <c r="AN13" s="1561"/>
      <c r="AO13" s="1559"/>
      <c r="AP13" s="1561"/>
      <c r="AQ13" s="654"/>
      <c r="AR13" s="1533" t="str">
        <f aca="false">IF(W13="","",LOOKUP(W13,$B$49:$B$59,$R$49:$R$59)*X13)</f>
        <v/>
      </c>
      <c r="AS13" s="1430" t="str">
        <f aca="false">IF(Y13="","",LOOKUP(Y13,$B$49:$B$59,$R$49:$R$59)*Z13)</f>
        <v/>
      </c>
      <c r="AT13" s="1430" t="str">
        <f aca="false">IF(AB13="","",LOOKUP(AA13,$B$49:$B$59,$R$49:$R$59)*AB13)</f>
        <v/>
      </c>
      <c r="AU13" s="1430" t="str">
        <f aca="false">IF(AC13="","",LOOKUP(AC13,$B$49:$B$59,$R$49:$R$59)*AD13)</f>
        <v/>
      </c>
      <c r="AV13" s="1430" t="str">
        <f aca="false">IF(AE13="","",LOOKUP(AE13,$B$49:$B$59,$R$49:$R$59)*AF13)</f>
        <v/>
      </c>
      <c r="AW13" s="1430" t="str">
        <f aca="false">IF(AG13="","",LOOKUP(AG13,$B$49:$B$59,$R$49:$R$59)*AH13)</f>
        <v/>
      </c>
      <c r="AX13" s="1430" t="str">
        <f aca="false">IF(AI13="","",LOOKUP(AI13,$B$49:$B$59,$R$49:$R$59)*AJ13)</f>
        <v/>
      </c>
      <c r="AY13" s="1430" t="str">
        <f aca="false">IF(AK13="","",LOOKUP(AK13,$B$49:$B$59,$R$49:$R$59)*AL13)</f>
        <v/>
      </c>
      <c r="AZ13" s="1430" t="str">
        <f aca="false">IF(AM13="","",LOOKUP(AM13,$B$49:$B$59,$R$49:$R$59)*AN13)</f>
        <v/>
      </c>
      <c r="BA13" s="1430" t="str">
        <f aca="false">IF(AO13="","",LOOKUP(AO13,$B$49:$B$59,$R$49:$R$59)*AP13)</f>
        <v/>
      </c>
      <c r="BB13" s="1535" t="n">
        <f aca="false">SUM(AR13:BA13)</f>
        <v>0</v>
      </c>
      <c r="BC13" s="1533" t="str">
        <f aca="false">IF(W13="","",LOOKUP(W13,$B$49:$B$59,$P$49:$P$59)*X13)</f>
        <v/>
      </c>
      <c r="BD13" s="1430" t="str">
        <f aca="false">IF(Y13="","",LOOKUP(Y13,$B$49:$B$59,$P$49:$P$59)*Z13)</f>
        <v/>
      </c>
      <c r="BE13" s="1430" t="str">
        <f aca="false">IF(AA13="","",LOOKUP(AA13,$B$49:$B$59,$P$49:$P$59)*AB13)</f>
        <v/>
      </c>
      <c r="BF13" s="1430" t="str">
        <f aca="false">IF(AC13="","",LOOKUP(AC13,$B$49:$B$59,$P$49:$P$59)*AD13)</f>
        <v/>
      </c>
      <c r="BG13" s="1430" t="str">
        <f aca="false">IF(AE13="","",LOOKUP(AE13,$B$49:$B$59,$P$49:$P$59)*AF13)</f>
        <v/>
      </c>
      <c r="BH13" s="1430" t="str">
        <f aca="false">IF(AG13="","",LOOKUP(AG13,$B$49:$B$59,$P$49:$P$59)*AH13)</f>
        <v/>
      </c>
      <c r="BI13" s="1430" t="str">
        <f aca="false">IF(AI13="","",LOOKUP(AI13,$B$49:$B$59,$P$49:$P$59)*AJ13)</f>
        <v/>
      </c>
      <c r="BJ13" s="1430" t="str">
        <f aca="false">IF(AK13="","",LOOKUP(AK13,$B$49:$B$59,$P$49:$P$59)*AL13)</f>
        <v/>
      </c>
      <c r="BK13" s="1430" t="str">
        <f aca="false">IF(AM13="","",LOOKUP(AM13,$B$49:$B$59,$P$49:$P$59)*AN13)</f>
        <v/>
      </c>
      <c r="BL13" s="1430" t="str">
        <f aca="false">IF(AO13="","",LOOKUP(AO13,$B$49:$B$59,$P$49:$P$59)*AP13)</f>
        <v/>
      </c>
      <c r="BM13" s="1535" t="n">
        <f aca="false">SUM(BC13:BL13)*BQ13</f>
        <v>0</v>
      </c>
      <c r="BN13" s="1536" t="n">
        <f aca="false">BM13+BO13</f>
        <v>0</v>
      </c>
      <c r="BO13" s="1536" t="n">
        <f aca="false">IF(M13=0,0,(M13/12+M13/12)/(M13/12*M13/12)*D13*((L13/16*L13/16)*10.6870159))*(1+K$70)*BQ13</f>
        <v>0</v>
      </c>
      <c r="BP13" s="1536" t="n">
        <f aca="false">IF(O13="Y",D13*(1+K$71)*BQ13,0)</f>
        <v>0</v>
      </c>
      <c r="BQ13" s="1538" t="n">
        <f aca="false">G13</f>
        <v>0</v>
      </c>
      <c r="BR13" s="1411" t="n">
        <f aca="false">IF(O13="y",D13,0)</f>
        <v>0</v>
      </c>
      <c r="BS13" s="1567" t="n">
        <f aca="false">IF($I13=1,$Q13,0)*BQ13</f>
        <v>0</v>
      </c>
      <c r="BT13" s="1536" t="n">
        <f aca="false">IF($I13=2,$Q13,0)*BQ13</f>
        <v>0</v>
      </c>
      <c r="BU13" s="1536" t="n">
        <f aca="false">IF($I13=3,$Q13,0)*BQ13</f>
        <v>0</v>
      </c>
      <c r="BV13" s="1536" t="n">
        <f aca="false">IF($I13=4,$Q13,0)*BQ13</f>
        <v>0</v>
      </c>
      <c r="BW13" s="1536" t="n">
        <f aca="false">IF($I13=5,$Q13,0)*BQ13</f>
        <v>0</v>
      </c>
      <c r="BX13" s="1537" t="n">
        <f aca="false">IF($I13=6,$Q13,0)*BQ13</f>
        <v>0</v>
      </c>
      <c r="BY13" s="1537" t="n">
        <f aca="false">IF($I13=7,$Q13,0)*BQ13</f>
        <v>0</v>
      </c>
      <c r="BZ13" s="1537" t="n">
        <f aca="false">IF($I13=8,$Q13,0)*BQ13</f>
        <v>0</v>
      </c>
      <c r="CA13" s="1537" t="n">
        <f aca="false">IF($I13=9,$Q13,0)*BQ13</f>
        <v>0</v>
      </c>
      <c r="CB13" s="1569" t="n">
        <f aca="false">IF($I13=10,$Q13,0)*BQ13</f>
        <v>0</v>
      </c>
      <c r="CC13" s="1538" t="n">
        <f aca="false">SUM(BS13:BX13)</f>
        <v>0</v>
      </c>
      <c r="CD13" s="1538" t="n">
        <f aca="false">IF(H13="N",0,D13)*BQ13</f>
        <v>0</v>
      </c>
      <c r="CE13" s="1538" t="n">
        <f aca="false">K13*BQ13</f>
        <v>0</v>
      </c>
      <c r="CF13" s="1542" t="n">
        <f aca="false">IF(W13="",0,LOOKUP(W13,B$49:B$59,D$49:D$59)*X13/12)</f>
        <v>0</v>
      </c>
      <c r="CG13" s="1542" t="n">
        <f aca="false">IF(Y13="",0,LOOKUP(Y13,B$49:B$59,D$49:D$59)*Z13/12)</f>
        <v>0</v>
      </c>
      <c r="CH13" s="1542" t="n">
        <f aca="false">IF(AA13="",0,LOOKUP(AA13,B$49:B$59,D$49:D$59)*AB13/12)</f>
        <v>0</v>
      </c>
      <c r="CI13" s="1538" t="n">
        <f aca="false">D13*BQ13</f>
        <v>0</v>
      </c>
      <c r="CJ13" s="1538" t="n">
        <f aca="false">D13*J13/324*(1+K$73)*G13</f>
        <v>0</v>
      </c>
      <c r="CK13" s="1538" t="str">
        <f aca="false">IF(N13="","",N13)</f>
        <v/>
      </c>
      <c r="CL13" s="1538" t="n">
        <f aca="false">P13*BQ13</f>
        <v>0</v>
      </c>
      <c r="CM13" s="1543" t="n">
        <f aca="false">IF(BQ13=0,0,SUM(CN13:DC13)/BQ13)</f>
        <v>0</v>
      </c>
      <c r="CN13" s="656" t="n">
        <f aca="false">(BS13*Pricing!F$3+BT13*Pricing!G$3+BU13*Pricing!H$3+BV13*Pricing!I$3+BW13*Pricing!J$3+BX13*Pricing!K$3)*IF(W$44="N",(1+Y$44),1)</f>
        <v>0</v>
      </c>
      <c r="CO13" s="656" t="n">
        <f aca="false">BN13*G$70*IF(W$44="n",1+Y$44,1)</f>
        <v>0</v>
      </c>
      <c r="CP13" s="656" t="n">
        <f aca="false">C13*D13</f>
        <v>0</v>
      </c>
      <c r="CQ13" s="656" t="n">
        <f aca="false">IF(I$79=0,0,D13*(SUM(O$79:P$82)+O$85)/I$79*BQ13)</f>
        <v>0</v>
      </c>
      <c r="CR13" s="656" t="n">
        <f aca="false">IF(CF13="",0,CF13*E$83)+IF(CG13="",0,CG13*E$83)+IF(CH13="",0,CH13*E$83)</f>
        <v>0</v>
      </c>
      <c r="CS13" s="656"/>
      <c r="CT13" s="656" t="n">
        <f aca="false">IF(I$87=0,0,(P13-(D13*0.35))/2000*E$87)</f>
        <v>0</v>
      </c>
      <c r="CU13" s="656" t="n">
        <f aca="false">IF(D$42=0,0,SUM(O$91:P$93)/D$42*D13)*BQ13</f>
        <v>0</v>
      </c>
      <c r="CV13" s="656" t="n">
        <f aca="false">IF(D$42=0,0,SUM(Z$66:Z$97)/D$42*D13*BQ13)</f>
        <v>0</v>
      </c>
      <c r="CW13" s="656" t="n">
        <f aca="false">IF(D$42=0,0,SUM(O$96:P$101)/D$42*D13)*BQ13</f>
        <v>0</v>
      </c>
      <c r="CX13" s="656" t="n">
        <f aca="false">IF(D$42=0,0,SUM(O$103:O$110)/D$42)*D13*BQ13</f>
        <v>0</v>
      </c>
      <c r="CY13" s="656" t="n">
        <f aca="false">IF(I$79=0,0,IF(I$79=0,0,SUM(Z$98:Z$109)/I$79*D13))</f>
        <v>0</v>
      </c>
      <c r="CZ13" s="656" t="n">
        <f aca="false">IF(J$72&gt;0,J$72/D$42*D13*G13,CD13*(G$72*IF(W$44="n",(1+Y$44),1)))</f>
        <v>0</v>
      </c>
      <c r="DA13" s="656" t="str">
        <f aca="false">IF(CK13="","",CK13*E$86)</f>
        <v/>
      </c>
      <c r="DB13" s="656" t="n">
        <f aca="false">BP13*G$71*IF(W$44="Y",1,1+Y$44)</f>
        <v>0</v>
      </c>
      <c r="DC13" s="656" t="n">
        <f aca="false">CJ13*G$73*IF(W$44="Y",1,1+Y$44)</f>
        <v>0</v>
      </c>
      <c r="DD13" s="1546"/>
      <c r="DE13" s="654" t="n">
        <f aca="false">IF(W13=1,X13*$AS$49,0)+IF(W13=2,X13*$AS$50,0)+IF(W13=3,X13*$AS$51,0)+IF(W13=4,X13*$AS$52,0)+IF(W13=5,X13*$AS$53,0)+IF(W13=6,X13*$AS$54)+IF(W13=7,X13*$AS$55)+IF(W13=8,X13*$AS$56)+IF(W13=9,X13*$AS$57)+IF(W13=10,X13*$AS$58)+IF(W13=11,X13*$AS$59,0)</f>
        <v>0</v>
      </c>
      <c r="DF13" s="654" t="n">
        <f aca="false">IF(Y13=1,Z13*$AS$49,0)+IF(Y13=2,Z13*$AS$50,0)+IF(Y13=3,Z13*$AS$51,0)+IF(Y13=4,Z13*$AS$52,0)+IF(Y13=5,Z13*$AS$53,0)+IF(Y13=6,Z13*$AS$54)+IF(Y13=7,Z13*$AS$55)+IF(Y13=8,Z13*$AS$56)+IF(Y13=9,Z13*$AS$57)+IF(Y13=10,Z13*$AS$58)+IF(Y13=11,Z13*$AS$59,0)</f>
        <v>0</v>
      </c>
      <c r="DG13" s="654" t="n">
        <f aca="false">IF(AA13=1,AB13*$AS$49,0)+IF(AA13=2,AB13*$AS$50,0)+IF(AA13=3,AB13*$AS$51,0)+IF(AA13=4,AB13*$AS$52,0)+IF(AA13=5,AB13*$AS$53,0)+IF(AA13=6,AB13*$AS$54)+IF(AA13=7,AB13*$AS$55)+IF(AA13=8,AB13*$AS$56)+IF(AA13=9,AB13*$AS$57)+IF(AA13=10,AB13*$AS$58)+IF(AA13=11,AB13*$AS$59,0)</f>
        <v>0</v>
      </c>
      <c r="DH13" s="654" t="n">
        <f aca="false">IF(AC13=1,AD13*$AS$49,0)+IF(AC13=2,AD13*$AS$50,0)+IF(AC13=3,AD13*$AS$51,0)+IF(AC13=4,AD13*$AS$52,0)+IF(AC13=5,AD13*$AS$53,0)+IF(AC13=6,AD13*$AS$54)+IF(AC13=7,AD13*$AS$55)+IF(AC13=8,AD13*$AS$56)+IF(AC13=9,AD13*$AS$57)+IF(AC13=10,AD13*$AS$58)+IF(AC13=11,AD13*$AS$59,0)</f>
        <v>0</v>
      </c>
      <c r="DI13" s="654" t="n">
        <f aca="false">IF(AE13=1,AF13*$AS$49,0)+IF(AE13=2,AF13*$AS$50,0)+IF(AE13=3,AF13*$AS$51,0)+IF(AE13=4,AF13*$AS$52,0)+IF(AE13=5,AF13*$AS$53,0)+IF(AE13=6,AF13*$AS$54)+IF(AE13=7,AF13*$AS$55)+IF(AE13=8,AF13*$AS$56)+IF(AE13=9,AF13*$AS$57)+IF(AE13=10,AF13*$AS$58)+IF(AE13=11,AF13*$AS$59,0)</f>
        <v>0</v>
      </c>
      <c r="DJ13" s="654" t="n">
        <f aca="false">IF(AG13=1,AH13*$AS$49,0)+IF(AG13=2,AH13*$AS$50,0)+IF(AG13=3,AH13*$AS$51,0)+IF(AG13=4,AH13*$AS$52,0)+IF(AG13=5,AH13*$AS$53,0)+IF(AG13=6,AH13*$AS$54)+IF(AG13=7,AH13*$AS$55)+IF(AG13=8,AH13*$AS$56)+IF(AG13=9,AH13*$AS$57)+IF(AG13=10,AH13*$AS$58)+IF(AG13=11,AH13*$AS$59,0)</f>
        <v>0</v>
      </c>
      <c r="DK13" s="654" t="n">
        <f aca="false">IF(AI13=1,AJ13*$AS$49,0)+IF(AI13=2,AJ13*$AS$50,0)+IF(AI13=3,AJ13*$AS$51,0)+IF(AI13=4,AJ13*$AS$52,0)+IF(AI13=5,AJ13*$AS$53,0)+IF(AI13=6,AJ13*$AS$54)+IF(AI13=7,AJ13*$AS$55)+IF(AI13=8,AJ13*$AS$56)+IF(AI13=9,AJ13*$AS$57)+IF(AI13=10,AJ13*$AS$58)+IF(AI13=11,AJ13*$AS$59,0)</f>
        <v>0</v>
      </c>
      <c r="DL13" s="654" t="n">
        <f aca="false">IF(AK13=1,AL13*$AS$49,0)+IF(AK13=2,AL13*$AS$50,0)+IF(AK13=3,AL13*$AS$51,0)+IF(AK13=4,AL13*$AS$52,0)+IF(AK13=5,AL13*$AS$53,0)+IF(AK13=6,AL13*$AS$54)+IF(AK13=7,AL13*$AS$55)+IF(AK13=8,AL13*$AS$56)+IF(AK13=9,AL13*$AS$57)+IF(AK13=10,AL13*$AS$58)+IF(AK13=11,AL13*$AS$59,0)</f>
        <v>0</v>
      </c>
      <c r="DM13" s="654" t="n">
        <f aca="false">IF(AM13=1,AN13*$AS$49,0)+IF(AM13=2,AN13*$AS$50,0)+IF(AM13=3,AN13*$AS$51,0)+IF(AM13=4,AN13*$AS$52,0)+IF(AM13=5,AN13*$AS$53,0)+IF(AM13=6,AN13*$AS$54)+IF(AM13=7,AN13*$AS$55)+IF(AM13=8,AN13*$AS$56)+IF(AM13=9,AN13*$AS$57)+IF(AM13=10,AN13*$AS$58)+IF(AM13=11,AN13*$AS$59,0)</f>
        <v>0</v>
      </c>
      <c r="DN13" s="654" t="n">
        <f aca="false">IF(AO13=1,AP13*$AS$49,0)+IF(AO13=2,AP13*$AS$50,0)+IF(AO13=3,AP13*$AS$51,0)+IF(AO13=4,AP13*$AS$52,0)+IF(AO13=5,AP13*$AS$53,0)+IF(AO13=6,AP13*$AS$54)+IF(AO13=7,AP13*$AS$55)+IF(AO13=8,AP13*$AS$56)+IF(AO13=9,AP13*$AS$57)+IF(AO13=10,AP13*$AS$58)+IF(AO13=11,AP13*$AS$59,0)</f>
        <v>0</v>
      </c>
      <c r="DO13" s="1569" t="n">
        <f aca="false">D13</f>
        <v>0</v>
      </c>
    </row>
    <row r="14" customFormat="false" ht="19.5" hidden="false" customHeight="true" outlineLevel="0" collapsed="false">
      <c r="A14" s="2672" t="s">
        <v>1072</v>
      </c>
      <c r="B14" s="1505"/>
      <c r="C14" s="1550"/>
      <c r="D14" s="1863"/>
      <c r="E14" s="1864"/>
      <c r="F14" s="1074"/>
      <c r="G14" s="1553"/>
      <c r="H14" s="1074"/>
      <c r="I14" s="1553"/>
      <c r="J14" s="1074"/>
      <c r="K14" s="1554"/>
      <c r="L14" s="1523"/>
      <c r="M14" s="1512"/>
      <c r="N14" s="1570"/>
      <c r="O14" s="1571"/>
      <c r="P14" s="1515" t="n">
        <f aca="false">IF(BQ14=0,0,BN14/BQ14)</f>
        <v>0</v>
      </c>
      <c r="Q14" s="1516" t="n">
        <f aca="false">(D14*F14/324)*(1+K$65)+BB14</f>
        <v>0</v>
      </c>
      <c r="R14" s="1517" t="n">
        <f aca="false">IF(D14=0,0,S14/D14)</f>
        <v>0</v>
      </c>
      <c r="S14" s="1518" t="n">
        <f aca="false">SUM(CM14)*(1+M$45)</f>
        <v>0</v>
      </c>
      <c r="T14" s="1519" t="n">
        <f aca="false">ROUND((CF14+CG14+CH14),0)</f>
        <v>0</v>
      </c>
      <c r="U14" s="1520" t="n">
        <f aca="false">IF(P14-(D14*0.45)&lt;0,0,P14-(D14*0.45))</f>
        <v>0</v>
      </c>
      <c r="V14" s="1521" t="n">
        <f aca="false">IF(D14="",0,IF(D14/-30+Q14&lt;1,0,D14/-30+Q14))</f>
        <v>0</v>
      </c>
      <c r="W14" s="528"/>
      <c r="X14" s="2676"/>
      <c r="Y14" s="528"/>
      <c r="Z14" s="1574"/>
      <c r="AA14" s="528"/>
      <c r="AB14" s="1574"/>
      <c r="AC14" s="1585"/>
      <c r="AD14" s="2676"/>
      <c r="AE14" s="528"/>
      <c r="AF14" s="1592"/>
      <c r="AG14" s="528"/>
      <c r="AH14" s="1592"/>
      <c r="AI14" s="4"/>
      <c r="AJ14" s="1858"/>
      <c r="AK14" s="528"/>
      <c r="AL14" s="1592"/>
      <c r="AM14" s="528"/>
      <c r="AN14" s="1574"/>
      <c r="AO14" s="528"/>
      <c r="AP14" s="1574"/>
      <c r="AQ14" s="654"/>
      <c r="AR14" s="1533" t="str">
        <f aca="false">IF(W14="","",LOOKUP(W14,$B$49:$B$59,$R$49:$R$59)*X14)</f>
        <v/>
      </c>
      <c r="AS14" s="1430" t="str">
        <f aca="false">IF(Y14="","",LOOKUP(Y14,$B$49:$B$59,$R$49:$R$59)*Z14)</f>
        <v/>
      </c>
      <c r="AT14" s="1430" t="str">
        <f aca="false">IF(AB14="","",LOOKUP(AA14,$B$49:$B$59,$R$49:$R$59)*AB14)</f>
        <v/>
      </c>
      <c r="AU14" s="1430" t="str">
        <f aca="false">IF(AC14="","",LOOKUP(AC14,$B$49:$B$59,$R$49:$R$59)*AD14)</f>
        <v/>
      </c>
      <c r="AV14" s="1430" t="str">
        <f aca="false">IF(AE14="","",LOOKUP(AE14,$B$49:$B$59,$R$49:$R$59)*AF14)</f>
        <v/>
      </c>
      <c r="AW14" s="1430" t="str">
        <f aca="false">IF(AG14="","",LOOKUP(AG14,$B$49:$B$59,$R$49:$R$59)*AH14)</f>
        <v/>
      </c>
      <c r="AX14" s="1430" t="str">
        <f aca="false">IF(AI14="","",LOOKUP(AI14,$B$49:$B$59,$R$49:$R$59)*AJ14)</f>
        <v/>
      </c>
      <c r="AY14" s="1430" t="str">
        <f aca="false">IF(AK14="","",LOOKUP(AK14,$B$49:$B$59,$R$49:$R$59)*AL14)</f>
        <v/>
      </c>
      <c r="AZ14" s="1430" t="str">
        <f aca="false">IF(AM14="","",LOOKUP(AM14,$B$49:$B$59,$R$49:$R$59)*AN14)</f>
        <v/>
      </c>
      <c r="BA14" s="1430" t="str">
        <f aca="false">IF(AO14="","",LOOKUP(AO14,$B$49:$B$59,$R$49:$R$59)*AP14)</f>
        <v/>
      </c>
      <c r="BB14" s="1535" t="n">
        <f aca="false">SUM(AR14:BA14)</f>
        <v>0</v>
      </c>
      <c r="BC14" s="1533" t="str">
        <f aca="false">IF(W14="","",LOOKUP(W14,$B$49:$B$59,$P$49:$P$59)*X14)</f>
        <v/>
      </c>
      <c r="BD14" s="1430" t="str">
        <f aca="false">IF(Y14="","",LOOKUP(Y14,$B$49:$B$59,$P$49:$P$59)*Z14)</f>
        <v/>
      </c>
      <c r="BE14" s="1430" t="str">
        <f aca="false">IF(AA14="","",LOOKUP(AA14,$B$49:$B$59,$P$49:$P$59)*AB14)</f>
        <v/>
      </c>
      <c r="BF14" s="1430" t="str">
        <f aca="false">IF(AC14="","",LOOKUP(AC14,$B$49:$B$59,$P$49:$P$59)*AD14)</f>
        <v/>
      </c>
      <c r="BG14" s="1430" t="str">
        <f aca="false">IF(AE14="","",LOOKUP(AE14,$B$49:$B$59,$P$49:$P$59)*AF14)</f>
        <v/>
      </c>
      <c r="BH14" s="1430" t="str">
        <f aca="false">IF(AG14="","",LOOKUP(AG14,$B$49:$B$59,$P$49:$P$59)*AH14)</f>
        <v/>
      </c>
      <c r="BI14" s="1430" t="str">
        <f aca="false">IF(AI14="","",LOOKUP(AI14,$B$49:$B$59,$P$49:$P$59)*AJ14)</f>
        <v/>
      </c>
      <c r="BJ14" s="1430" t="str">
        <f aca="false">IF(AK14="","",LOOKUP(AK14,$B$49:$B$59,$P$49:$P$59)*AL14)</f>
        <v/>
      </c>
      <c r="BK14" s="1430" t="str">
        <f aca="false">IF(AM14="","",LOOKUP(AM14,$B$49:$B$59,$P$49:$P$59)*AN14)</f>
        <v/>
      </c>
      <c r="BL14" s="1430" t="str">
        <f aca="false">IF(AO14="","",LOOKUP(AO14,$B$49:$B$59,$P$49:$P$59)*AP14)</f>
        <v/>
      </c>
      <c r="BM14" s="1535" t="n">
        <f aca="false">SUM(BC14:BL14)*BQ14</f>
        <v>0</v>
      </c>
      <c r="BN14" s="1536" t="n">
        <f aca="false">BM14+BO14</f>
        <v>0</v>
      </c>
      <c r="BO14" s="1536" t="n">
        <f aca="false">IF(M14=0,0,(M14/12+M14/12)/(M14/12*M14/12)*D14*((L14/16*L14/16)*10.6870159))*(1+K$70)*BQ14</f>
        <v>0</v>
      </c>
      <c r="BP14" s="1536" t="n">
        <f aca="false">IF(O14="Y",D14*(1+K$71)*BQ14,0)</f>
        <v>0</v>
      </c>
      <c r="BQ14" s="1538" t="n">
        <f aca="false">G14</f>
        <v>0</v>
      </c>
      <c r="BR14" s="1411" t="n">
        <f aca="false">IF(O14="y",D14,0)</f>
        <v>0</v>
      </c>
      <c r="BS14" s="1567" t="n">
        <f aca="false">IF($I14=1,$Q14,0)*BQ14</f>
        <v>0</v>
      </c>
      <c r="BT14" s="1536" t="n">
        <f aca="false">IF($I14=2,$Q14,0)*BQ14</f>
        <v>0</v>
      </c>
      <c r="BU14" s="1536" t="n">
        <f aca="false">IF($I14=3,$Q14,0)*BQ14</f>
        <v>0</v>
      </c>
      <c r="BV14" s="1536" t="n">
        <f aca="false">IF($I14=4,$Q14,0)*BQ14</f>
        <v>0</v>
      </c>
      <c r="BW14" s="1536" t="n">
        <f aca="false">IF($I14=5,$Q14,0)*BQ14</f>
        <v>0</v>
      </c>
      <c r="BX14" s="1537" t="n">
        <f aca="false">IF($I14=6,$Q14,0)*BQ14</f>
        <v>0</v>
      </c>
      <c r="BY14" s="1537" t="n">
        <f aca="false">IF($I14=7,$Q14,0)*BQ14</f>
        <v>0</v>
      </c>
      <c r="BZ14" s="1537" t="n">
        <f aca="false">IF($I14=8,$Q14,0)*BQ14</f>
        <v>0</v>
      </c>
      <c r="CA14" s="1537" t="n">
        <f aca="false">IF($I14=9,$Q14,0)*BQ14</f>
        <v>0</v>
      </c>
      <c r="CB14" s="1569" t="n">
        <f aca="false">IF($I14=10,$Q14,0)*BQ14</f>
        <v>0</v>
      </c>
      <c r="CC14" s="1538" t="n">
        <f aca="false">SUM(BS14:BX14)</f>
        <v>0</v>
      </c>
      <c r="CD14" s="1538" t="n">
        <f aca="false">IF(H14="N",0,D14)*BQ14</f>
        <v>0</v>
      </c>
      <c r="CE14" s="1538" t="n">
        <f aca="false">K14*BQ14</f>
        <v>0</v>
      </c>
      <c r="CF14" s="1542" t="n">
        <f aca="false">IF(W14="",0,LOOKUP(W14,B$49:B$59,D$49:D$59)*X14/12)</f>
        <v>0</v>
      </c>
      <c r="CG14" s="1542" t="n">
        <f aca="false">IF(Y14="",0,LOOKUP(Y14,B$49:B$59,D$49:D$59)*Z14/12)</f>
        <v>0</v>
      </c>
      <c r="CH14" s="1542" t="n">
        <f aca="false">IF(AA14="",0,LOOKUP(AA14,B$49:B$59,D$49:D$59)*AB14/12)</f>
        <v>0</v>
      </c>
      <c r="CI14" s="1538" t="n">
        <f aca="false">D14*BQ14</f>
        <v>0</v>
      </c>
      <c r="CJ14" s="1538" t="n">
        <f aca="false">D14*J14/324*(1+K$73)*G14</f>
        <v>0</v>
      </c>
      <c r="CK14" s="1538" t="str">
        <f aca="false">IF(N14="","",N14)</f>
        <v/>
      </c>
      <c r="CL14" s="1538" t="n">
        <f aca="false">P14*BQ14</f>
        <v>0</v>
      </c>
      <c r="CM14" s="1543" t="n">
        <f aca="false">IF(BQ14=0,0,SUM(CN14:DC14)/BQ14)</f>
        <v>0</v>
      </c>
      <c r="CN14" s="656" t="n">
        <f aca="false">(BS14*Pricing!F$3+BT14*Pricing!G$3+BU14*Pricing!H$3+BV14*Pricing!I$3+BW14*Pricing!J$3+BX14*Pricing!K$3)*IF(W$44="N",(1+Y$44),1)</f>
        <v>0</v>
      </c>
      <c r="CO14" s="656" t="n">
        <f aca="false">BN14*G$70*IF(W$44="n",1+Y$44,1)</f>
        <v>0</v>
      </c>
      <c r="CP14" s="656" t="n">
        <f aca="false">C14*D14</f>
        <v>0</v>
      </c>
      <c r="CQ14" s="656" t="n">
        <f aca="false">IF(I$79=0,0,D14*(SUM(O$79:P$82)+O$85)/I$79*BQ14)</f>
        <v>0</v>
      </c>
      <c r="CR14" s="656" t="n">
        <f aca="false">IF(CF14="",0,CF14*E$83)+IF(CG14="",0,CG14*E$83)+IF(CH14="",0,CH14*E$83)</f>
        <v>0</v>
      </c>
      <c r="CS14" s="656"/>
      <c r="CT14" s="656" t="n">
        <f aca="false">IF(I$87=0,0,(P14-(D14*0.35))/2000*E$87)</f>
        <v>0</v>
      </c>
      <c r="CU14" s="656" t="n">
        <f aca="false">IF(D$42=0,0,SUM(O$91:P$93)/D$42*D14)*BQ14</f>
        <v>0</v>
      </c>
      <c r="CV14" s="656" t="n">
        <f aca="false">IF(D$42=0,0,SUM(Z$66:Z$97)/D$42*D14*BQ14)</f>
        <v>0</v>
      </c>
      <c r="CW14" s="656" t="n">
        <f aca="false">IF(D$42=0,0,SUM(O$96:P$101)/D$42*D14)*BQ14</f>
        <v>0</v>
      </c>
      <c r="CX14" s="656" t="n">
        <f aca="false">IF(D$42=0,0,SUM(O$103:O$110)/D$42)*D14*BQ14</f>
        <v>0</v>
      </c>
      <c r="CY14" s="656" t="n">
        <f aca="false">IF(I$79=0,0,IF(I$79=0,0,SUM(Z$98:Z$109)/I$79*D14))</f>
        <v>0</v>
      </c>
      <c r="CZ14" s="656" t="n">
        <f aca="false">IF(J$72&gt;0,J$72/D$42*D14*G14,CD14*(G$72*IF(W$44="n",(1+Y$44),1)))</f>
        <v>0</v>
      </c>
      <c r="DA14" s="656" t="str">
        <f aca="false">IF(CK14="","",CK14*E$86)</f>
        <v/>
      </c>
      <c r="DB14" s="656" t="n">
        <f aca="false">BP14*G$71*IF(W$44="Y",1,1+Y$44)</f>
        <v>0</v>
      </c>
      <c r="DC14" s="656" t="n">
        <f aca="false">CJ14*G$73*IF(W$44="Y",1,1+Y$44)</f>
        <v>0</v>
      </c>
      <c r="DD14" s="1546"/>
      <c r="DE14" s="654" t="n">
        <f aca="false">IF(W14=1,X14*$AS$49,0)+IF(W14=2,X14*$AS$50,0)+IF(W14=3,X14*$AS$51,0)+IF(W14=4,X14*$AS$52,0)+IF(W14=5,X14*$AS$53,0)+IF(W14=6,X14*$AS$54)+IF(W14=7,X14*$AS$55)+IF(W14=8,X14*$AS$56)+IF(W14=9,X14*$AS$57)+IF(W14=10,X14*$AS$58)+IF(W14=11,X14*$AS$59,0)</f>
        <v>0</v>
      </c>
      <c r="DF14" s="654" t="n">
        <f aca="false">IF(Y14=1,Z14*$AS$49,0)+IF(Y14=2,Z14*$AS$50,0)+IF(Y14=3,Z14*$AS$51,0)+IF(Y14=4,Z14*$AS$52,0)+IF(Y14=5,Z14*$AS$53,0)+IF(Y14=6,Z14*$AS$54)+IF(Y14=7,Z14*$AS$55)+IF(Y14=8,Z14*$AS$56)+IF(Y14=9,Z14*$AS$57)+IF(Y14=10,Z14*$AS$58)+IF(Y14=11,Z14*$AS$59,0)</f>
        <v>0</v>
      </c>
      <c r="DG14" s="654" t="n">
        <f aca="false">IF(AA14=1,AB14*$AS$49,0)+IF(AA14=2,AB14*$AS$50,0)+IF(AA14=3,AB14*$AS$51,0)+IF(AA14=4,AB14*$AS$52,0)+IF(AA14=5,AB14*$AS$53,0)+IF(AA14=6,AB14*$AS$54)+IF(AA14=7,AB14*$AS$55)+IF(AA14=8,AB14*$AS$56)+IF(AA14=9,AB14*$AS$57)+IF(AA14=10,AB14*$AS$58)+IF(AA14=11,AB14*$AS$59,0)</f>
        <v>0</v>
      </c>
      <c r="DH14" s="654" t="n">
        <f aca="false">IF(AC14=1,AD14*$AS$49,0)+IF(AC14=2,AD14*$AS$50,0)+IF(AC14=3,AD14*$AS$51,0)+IF(AC14=4,AD14*$AS$52,0)+IF(AC14=5,AD14*$AS$53,0)+IF(AC14=6,AD14*$AS$54)+IF(AC14=7,AD14*$AS$55)+IF(AC14=8,AD14*$AS$56)+IF(AC14=9,AD14*$AS$57)+IF(AC14=10,AD14*$AS$58)+IF(AC14=11,AD14*$AS$59,0)</f>
        <v>0</v>
      </c>
      <c r="DI14" s="654" t="n">
        <f aca="false">IF(AE14=1,AF14*$AS$49,0)+IF(AE14=2,AF14*$AS$50,0)+IF(AE14=3,AF14*$AS$51,0)+IF(AE14=4,AF14*$AS$52,0)+IF(AE14=5,AF14*$AS$53,0)+IF(AE14=6,AF14*$AS$54)+IF(AE14=7,AF14*$AS$55)+IF(AE14=8,AF14*$AS$56)+IF(AE14=9,AF14*$AS$57)+IF(AE14=10,AF14*$AS$58)+IF(AE14=11,AF14*$AS$59,0)</f>
        <v>0</v>
      </c>
      <c r="DJ14" s="654" t="n">
        <f aca="false">IF(AG14=1,AH14*$AS$49,0)+IF(AG14=2,AH14*$AS$50,0)+IF(AG14=3,AH14*$AS$51,0)+IF(AG14=4,AH14*$AS$52,0)+IF(AG14=5,AH14*$AS$53,0)+IF(AG14=6,AH14*$AS$54)+IF(AG14=7,AH14*$AS$55)+IF(AG14=8,AH14*$AS$56)+IF(AG14=9,AH14*$AS$57)+IF(AG14=10,AH14*$AS$58)+IF(AG14=11,AH14*$AS$59,0)</f>
        <v>0</v>
      </c>
      <c r="DK14" s="654" t="n">
        <f aca="false">IF(AI14=1,AJ14*$AS$49,0)+IF(AI14=2,AJ14*$AS$50,0)+IF(AI14=3,AJ14*$AS$51,0)+IF(AI14=4,AJ14*$AS$52,0)+IF(AI14=5,AJ14*$AS$53,0)+IF(AI14=6,AJ14*$AS$54)+IF(AI14=7,AJ14*$AS$55)+IF(AI14=8,AJ14*$AS$56)+IF(AI14=9,AJ14*$AS$57)+IF(AI14=10,AJ14*$AS$58)+IF(AI14=11,AJ14*$AS$59,0)</f>
        <v>0</v>
      </c>
      <c r="DL14" s="654" t="n">
        <f aca="false">IF(AK14=1,AL14*$AS$49,0)+IF(AK14=2,AL14*$AS$50,0)+IF(AK14=3,AL14*$AS$51,0)+IF(AK14=4,AL14*$AS$52,0)+IF(AK14=5,AL14*$AS$53,0)+IF(AK14=6,AL14*$AS$54)+IF(AK14=7,AL14*$AS$55)+IF(AK14=8,AL14*$AS$56)+IF(AK14=9,AL14*$AS$57)+IF(AK14=10,AL14*$AS$58)+IF(AK14=11,AL14*$AS$59,0)</f>
        <v>0</v>
      </c>
      <c r="DM14" s="654" t="n">
        <f aca="false">IF(AM14=1,AN14*$AS$49,0)+IF(AM14=2,AN14*$AS$50,0)+IF(AM14=3,AN14*$AS$51,0)+IF(AM14=4,AN14*$AS$52,0)+IF(AM14=5,AN14*$AS$53,0)+IF(AM14=6,AN14*$AS$54)+IF(AM14=7,AN14*$AS$55)+IF(AM14=8,AN14*$AS$56)+IF(AM14=9,AN14*$AS$57)+IF(AM14=10,AN14*$AS$58)+IF(AM14=11,AN14*$AS$59,0)</f>
        <v>0</v>
      </c>
      <c r="DN14" s="654" t="n">
        <f aca="false">IF(AO14=1,AP14*$AS$49,0)+IF(AO14=2,AP14*$AS$50,0)+IF(AO14=3,AP14*$AS$51,0)+IF(AO14=4,AP14*$AS$52,0)+IF(AO14=5,AP14*$AS$53,0)+IF(AO14=6,AP14*$AS$54)+IF(AO14=7,AP14*$AS$55)+IF(AO14=8,AP14*$AS$56)+IF(AO14=9,AP14*$AS$57)+IF(AO14=10,AP14*$AS$58)+IF(AO14=11,AP14*$AS$59,0)</f>
        <v>0</v>
      </c>
      <c r="DO14" s="1569" t="n">
        <f aca="false">D14</f>
        <v>0</v>
      </c>
    </row>
    <row r="15" customFormat="false" ht="19.5" hidden="false" customHeight="true" outlineLevel="0" collapsed="false">
      <c r="A15" s="2672" t="s">
        <v>1073</v>
      </c>
      <c r="B15" s="1549"/>
      <c r="C15" s="1550"/>
      <c r="D15" s="1860"/>
      <c r="E15" s="1861"/>
      <c r="F15" s="1074"/>
      <c r="G15" s="1553"/>
      <c r="H15" s="1074"/>
      <c r="I15" s="1553"/>
      <c r="J15" s="1074"/>
      <c r="K15" s="1554"/>
      <c r="L15" s="1555"/>
      <c r="M15" s="1556"/>
      <c r="N15" s="1557"/>
      <c r="O15" s="1558"/>
      <c r="P15" s="1515" t="n">
        <f aca="false">IF(BQ15=0,0,BN15/BQ15)</f>
        <v>0</v>
      </c>
      <c r="Q15" s="1516" t="n">
        <f aca="false">(D15*F15/324)*(1+K$65)+BB15</f>
        <v>0</v>
      </c>
      <c r="R15" s="1517" t="n">
        <f aca="false">IF(D15=0,0,S15/D15)</f>
        <v>0</v>
      </c>
      <c r="S15" s="1518" t="n">
        <f aca="false">SUM(CM15)*(1+M$45)</f>
        <v>0</v>
      </c>
      <c r="T15" s="1519" t="n">
        <f aca="false">ROUND((CF15+CG15+CH15),0)</f>
        <v>0</v>
      </c>
      <c r="U15" s="1520" t="n">
        <f aca="false">IF(P15-(D15*0.45)&lt;0,0,P15-(D15*0.45))</f>
        <v>0</v>
      </c>
      <c r="V15" s="1521" t="n">
        <f aca="false">IF(D15="",0,IF(D15/-30+Q15&lt;1,0,D15/-30+Q15))</f>
        <v>0</v>
      </c>
      <c r="W15" s="1559"/>
      <c r="X15" s="1862"/>
      <c r="Y15" s="528"/>
      <c r="Z15" s="1574"/>
      <c r="AA15" s="528"/>
      <c r="AB15" s="1574"/>
      <c r="AC15" s="1562"/>
      <c r="AD15" s="1862"/>
      <c r="AE15" s="1559"/>
      <c r="AF15" s="2675"/>
      <c r="AG15" s="1595"/>
      <c r="AH15" s="2675"/>
      <c r="AI15" s="1559"/>
      <c r="AJ15" s="1862"/>
      <c r="AK15" s="1555"/>
      <c r="AL15" s="2675"/>
      <c r="AM15" s="528"/>
      <c r="AN15" s="1574"/>
      <c r="AO15" s="528"/>
      <c r="AP15" s="1574"/>
      <c r="AQ15" s="654"/>
      <c r="AR15" s="1533" t="str">
        <f aca="false">IF(W15="","",LOOKUP(W15,$B$49:$B$59,$R$49:$R$59)*X15)</f>
        <v/>
      </c>
      <c r="AS15" s="1430" t="str">
        <f aca="false">IF(Y15="","",LOOKUP(Y15,$B$49:$B$59,$R$49:$R$59)*Z15)</f>
        <v/>
      </c>
      <c r="AT15" s="1430" t="str">
        <f aca="false">IF(AB15="","",LOOKUP(AA15,$B$49:$B$59,$R$49:$R$59)*AB15)</f>
        <v/>
      </c>
      <c r="AU15" s="1430" t="str">
        <f aca="false">IF(AC15="","",LOOKUP(AC15,$B$49:$B$59,$R$49:$R$59)*AD15)</f>
        <v/>
      </c>
      <c r="AV15" s="1430" t="str">
        <f aca="false">IF(AE15="","",LOOKUP(AE15,$B$49:$B$59,$R$49:$R$59)*AF15)</f>
        <v/>
      </c>
      <c r="AW15" s="1430" t="str">
        <f aca="false">IF(AG15="","",LOOKUP(AG15,$B$49:$B$59,$R$49:$R$59)*AH15)</f>
        <v/>
      </c>
      <c r="AX15" s="1430" t="str">
        <f aca="false">IF(AI15="","",LOOKUP(AI15,$B$49:$B$59,$R$49:$R$59)*AJ15)</f>
        <v/>
      </c>
      <c r="AY15" s="1430" t="str">
        <f aca="false">IF(AK15="","",LOOKUP(AK15,$B$49:$B$59,$R$49:$R$59)*AL15)</f>
        <v/>
      </c>
      <c r="AZ15" s="1430" t="str">
        <f aca="false">IF(AM15="","",LOOKUP(AM15,$B$49:$B$59,$R$49:$R$59)*AN15)</f>
        <v/>
      </c>
      <c r="BA15" s="1430" t="str">
        <f aca="false">IF(AO15="","",LOOKUP(AO15,$B$49:$B$59,$R$49:$R$59)*AP15)</f>
        <v/>
      </c>
      <c r="BB15" s="1535" t="n">
        <f aca="false">SUM(AR15:BA15)</f>
        <v>0</v>
      </c>
      <c r="BC15" s="1533" t="str">
        <f aca="false">IF(W15="","",LOOKUP(W15,$B$49:$B$59,$P$49:$P$59)*X15)</f>
        <v/>
      </c>
      <c r="BD15" s="1430" t="str">
        <f aca="false">IF(Y15="","",LOOKUP(Y15,$B$49:$B$59,$P$49:$P$59)*Z15)</f>
        <v/>
      </c>
      <c r="BE15" s="1430" t="str">
        <f aca="false">IF(AA15="","",LOOKUP(AA15,$B$49:$B$59,$P$49:$P$59)*AB15)</f>
        <v/>
      </c>
      <c r="BF15" s="1430" t="str">
        <f aca="false">IF(AC15="","",LOOKUP(AC15,$B$49:$B$59,$P$49:$P$59)*AD15)</f>
        <v/>
      </c>
      <c r="BG15" s="1430" t="str">
        <f aca="false">IF(AE15="","",LOOKUP(AE15,$B$49:$B$59,$P$49:$P$59)*AF15)</f>
        <v/>
      </c>
      <c r="BH15" s="1430" t="str">
        <f aca="false">IF(AG15="","",LOOKUP(AG15,$B$49:$B$59,$P$49:$P$59)*AH15)</f>
        <v/>
      </c>
      <c r="BI15" s="1430" t="str">
        <f aca="false">IF(AI15="","",LOOKUP(AI15,$B$49:$B$59,$P$49:$P$59)*AJ15)</f>
        <v/>
      </c>
      <c r="BJ15" s="1430" t="str">
        <f aca="false">IF(AK15="","",LOOKUP(AK15,$B$49:$B$59,$P$49:$P$59)*AL15)</f>
        <v/>
      </c>
      <c r="BK15" s="1430" t="str">
        <f aca="false">IF(AM15="","",LOOKUP(AM15,$B$49:$B$59,$P$49:$P$59)*AN15)</f>
        <v/>
      </c>
      <c r="BL15" s="1430" t="str">
        <f aca="false">IF(AO15="","",LOOKUP(AO15,$B$49:$B$59,$P$49:$P$59)*AP15)</f>
        <v/>
      </c>
      <c r="BM15" s="1535" t="n">
        <f aca="false">SUM(BC15:BL15)*BQ15</f>
        <v>0</v>
      </c>
      <c r="BN15" s="1536" t="n">
        <f aca="false">BM15+BO15</f>
        <v>0</v>
      </c>
      <c r="BO15" s="1536" t="n">
        <f aca="false">IF(M15=0,0,(M15/12+M15/12)/(M15/12*M15/12)*D15*((L15/16*L15/16)*10.6870159))*(1+K$70)*BQ15</f>
        <v>0</v>
      </c>
      <c r="BP15" s="1536" t="n">
        <f aca="false">IF(O15="Y",D15*(1+K$71)*BQ15,0)</f>
        <v>0</v>
      </c>
      <c r="BQ15" s="1538" t="n">
        <f aca="false">G15</f>
        <v>0</v>
      </c>
      <c r="BR15" s="1411" t="n">
        <f aca="false">IF(O15="y",D15,0)</f>
        <v>0</v>
      </c>
      <c r="BS15" s="1567" t="n">
        <f aca="false">IF($I15=1,$Q15,0)*BQ15</f>
        <v>0</v>
      </c>
      <c r="BT15" s="1536" t="n">
        <f aca="false">IF($I15=2,$Q15,0)*BQ15</f>
        <v>0</v>
      </c>
      <c r="BU15" s="1536" t="n">
        <f aca="false">IF($I15=3,$Q15,0)*BQ15</f>
        <v>0</v>
      </c>
      <c r="BV15" s="1536" t="n">
        <f aca="false">IF($I15=4,$Q15,0)*BQ15</f>
        <v>0</v>
      </c>
      <c r="BW15" s="1536" t="n">
        <f aca="false">IF($I15=5,$Q15,0)*BQ15</f>
        <v>0</v>
      </c>
      <c r="BX15" s="1537" t="n">
        <f aca="false">IF($I15=6,$Q15,0)*BQ15</f>
        <v>0</v>
      </c>
      <c r="BY15" s="1537" t="n">
        <f aca="false">IF($I15=7,$Q15,0)*BQ15</f>
        <v>0</v>
      </c>
      <c r="BZ15" s="1537" t="n">
        <f aca="false">IF($I15=8,$Q15,0)*BQ15</f>
        <v>0</v>
      </c>
      <c r="CA15" s="1537" t="n">
        <f aca="false">IF($I15=9,$Q15,0)*BQ15</f>
        <v>0</v>
      </c>
      <c r="CB15" s="1569" t="n">
        <f aca="false">IF($I15=10,$Q15,0)*BQ15</f>
        <v>0</v>
      </c>
      <c r="CC15" s="1538" t="n">
        <f aca="false">SUM(BS15:BX15)</f>
        <v>0</v>
      </c>
      <c r="CD15" s="1538" t="n">
        <f aca="false">IF(H15="N",0,D15)*BQ15</f>
        <v>0</v>
      </c>
      <c r="CE15" s="1538" t="n">
        <f aca="false">K15*BQ15</f>
        <v>0</v>
      </c>
      <c r="CF15" s="1542" t="n">
        <f aca="false">IF(W15="",0,LOOKUP(W15,B$49:B$59,D$49:D$59)*X15/12)</f>
        <v>0</v>
      </c>
      <c r="CG15" s="1542" t="n">
        <f aca="false">IF(Y15="",0,LOOKUP(Y15,B$49:B$59,D$49:D$59)*Z15/12)</f>
        <v>0</v>
      </c>
      <c r="CH15" s="1542" t="n">
        <f aca="false">IF(AA15="",0,LOOKUP(AA15,B$49:B$59,D$49:D$59)*AB15/12)</f>
        <v>0</v>
      </c>
      <c r="CI15" s="1538" t="n">
        <f aca="false">D15*BQ15</f>
        <v>0</v>
      </c>
      <c r="CJ15" s="1538" t="n">
        <f aca="false">D15*J15/324*(1+K$73)*G15</f>
        <v>0</v>
      </c>
      <c r="CK15" s="1538" t="str">
        <f aca="false">IF(N15="","",N15)</f>
        <v/>
      </c>
      <c r="CL15" s="1538" t="n">
        <f aca="false">P15*BQ15</f>
        <v>0</v>
      </c>
      <c r="CM15" s="1543" t="n">
        <f aca="false">IF(BQ15=0,0,SUM(CN15:DC15)/BQ15)</f>
        <v>0</v>
      </c>
      <c r="CN15" s="656" t="n">
        <f aca="false">(BS15*Pricing!F$3+BT15*Pricing!G$3+BU15*Pricing!H$3+BV15*Pricing!I$3+BW15*Pricing!J$3+BX15*Pricing!K$3)*IF(W$44="N",(1+Y$44),1)</f>
        <v>0</v>
      </c>
      <c r="CO15" s="656" t="n">
        <f aca="false">BN15*G$70*IF(W$44="n",1+Y$44,1)</f>
        <v>0</v>
      </c>
      <c r="CP15" s="656" t="n">
        <f aca="false">C15*D15</f>
        <v>0</v>
      </c>
      <c r="CQ15" s="656" t="n">
        <f aca="false">IF(I$79=0,0,D15*(SUM(O$79:P$82)+O$85)/I$79*BQ15)</f>
        <v>0</v>
      </c>
      <c r="CR15" s="656" t="n">
        <f aca="false">IF(CF15="",0,CF15*E$83)+IF(CG15="",0,CG15*E$83)+IF(CH15="",0,CH15*E$83)</f>
        <v>0</v>
      </c>
      <c r="CS15" s="656"/>
      <c r="CT15" s="656" t="n">
        <f aca="false">IF(I$87=0,0,(P15-(D15*0.35))/2000*E$87)</f>
        <v>0</v>
      </c>
      <c r="CU15" s="656" t="n">
        <f aca="false">IF(D$42=0,0,SUM(O$91:P$93)/D$42*D15)*BQ15</f>
        <v>0</v>
      </c>
      <c r="CV15" s="656" t="n">
        <f aca="false">IF(D$42=0,0,SUM(Z$66:Z$97)/D$42*D15*BQ15)</f>
        <v>0</v>
      </c>
      <c r="CW15" s="656" t="n">
        <f aca="false">IF(D$42=0,0,SUM(O$96:P$101)/D$42*D15)*BQ15</f>
        <v>0</v>
      </c>
      <c r="CX15" s="656" t="n">
        <f aca="false">IF(D$42=0,0,SUM(O$103:O$110)/D$42)*D15*BQ15</f>
        <v>0</v>
      </c>
      <c r="CY15" s="656" t="n">
        <f aca="false">IF(I$79=0,0,IF(I$79=0,0,SUM(Z$98:Z$109)/I$79*D15))</f>
        <v>0</v>
      </c>
      <c r="CZ15" s="656" t="n">
        <f aca="false">IF(J$72&gt;0,J$72/D$42*D15*G15,CD15*(G$72*IF(W$44="n",(1+Y$44),1)))</f>
        <v>0</v>
      </c>
      <c r="DA15" s="656" t="str">
        <f aca="false">IF(CK15="","",CK15*E$86)</f>
        <v/>
      </c>
      <c r="DB15" s="656" t="n">
        <f aca="false">BP15*G$71*IF(W$44="Y",1,1+Y$44)</f>
        <v>0</v>
      </c>
      <c r="DC15" s="656" t="n">
        <f aca="false">CJ15*G$73*IF(W$44="Y",1,1+Y$44)</f>
        <v>0</v>
      </c>
      <c r="DD15" s="1546"/>
      <c r="DE15" s="654" t="n">
        <f aca="false">IF(W15=1,X15*$AS$49,0)+IF(W15=2,X15*$AS$50,0)+IF(W15=3,X15*$AS$51,0)+IF(W15=4,X15*$AS$52,0)+IF(W15=5,X15*$AS$53,0)+IF(W15=6,X15*$AS$54)+IF(W15=7,X15*$AS$55)+IF(W15=8,X15*$AS$56)+IF(W15=9,X15*$AS$57)+IF(W15=10,X15*$AS$58)+IF(W15=11,X15*$AS$59,0)</f>
        <v>0</v>
      </c>
      <c r="DF15" s="654" t="n">
        <f aca="false">IF(Y15=1,Z15*$AS$49,0)+IF(Y15=2,Z15*$AS$50,0)+IF(Y15=3,Z15*$AS$51,0)+IF(Y15=4,Z15*$AS$52,0)+IF(Y15=5,Z15*$AS$53,0)+IF(Y15=6,Z15*$AS$54)+IF(Y15=7,Z15*$AS$55)+IF(Y15=8,Z15*$AS$56)+IF(Y15=9,Z15*$AS$57)+IF(Y15=10,Z15*$AS$58)+IF(Y15=11,Z15*$AS$59,0)</f>
        <v>0</v>
      </c>
      <c r="DG15" s="654" t="n">
        <f aca="false">IF(AA15=1,AB15*$AS$49,0)+IF(AA15=2,AB15*$AS$50,0)+IF(AA15=3,AB15*$AS$51,0)+IF(AA15=4,AB15*$AS$52,0)+IF(AA15=5,AB15*$AS$53,0)+IF(AA15=6,AB15*$AS$54)+IF(AA15=7,AB15*$AS$55)+IF(AA15=8,AB15*$AS$56)+IF(AA15=9,AB15*$AS$57)+IF(AA15=10,AB15*$AS$58)+IF(AA15=11,AB15*$AS$59,0)</f>
        <v>0</v>
      </c>
      <c r="DH15" s="654" t="n">
        <f aca="false">IF(AC15=1,AD15*$AS$49,0)+IF(AC15=2,AD15*$AS$50,0)+IF(AC15=3,AD15*$AS$51,0)+IF(AC15=4,AD15*$AS$52,0)+IF(AC15=5,AD15*$AS$53,0)+IF(AC15=6,AD15*$AS$54)+IF(AC15=7,AD15*$AS$55)+IF(AC15=8,AD15*$AS$56)+IF(AC15=9,AD15*$AS$57)+IF(AC15=10,AD15*$AS$58)+IF(AC15=11,AD15*$AS$59,0)</f>
        <v>0</v>
      </c>
      <c r="DI15" s="654" t="n">
        <f aca="false">IF(AE15=1,AF15*$AS$49,0)+IF(AE15=2,AF15*$AS$50,0)+IF(AE15=3,AF15*$AS$51,0)+IF(AE15=4,AF15*$AS$52,0)+IF(AE15=5,AF15*$AS$53,0)+IF(AE15=6,AF15*$AS$54)+IF(AE15=7,AF15*$AS$55)+IF(AE15=8,AF15*$AS$56)+IF(AE15=9,AF15*$AS$57)+IF(AE15=10,AF15*$AS$58)+IF(AE15=11,AF15*$AS$59,0)</f>
        <v>0</v>
      </c>
      <c r="DJ15" s="654" t="n">
        <f aca="false">IF(AG15=1,AH15*$AS$49,0)+IF(AG15=2,AH15*$AS$50,0)+IF(AG15=3,AH15*$AS$51,0)+IF(AG15=4,AH15*$AS$52,0)+IF(AG15=5,AH15*$AS$53,0)+IF(AG15=6,AH15*$AS$54)+IF(AG15=7,AH15*$AS$55)+IF(AG15=8,AH15*$AS$56)+IF(AG15=9,AH15*$AS$57)+IF(AG15=10,AH15*$AS$58)+IF(AG15=11,AH15*$AS$59,0)</f>
        <v>0</v>
      </c>
      <c r="DK15" s="654" t="n">
        <f aca="false">IF(AI15=1,AJ15*$AS$49,0)+IF(AI15=2,AJ15*$AS$50,0)+IF(AI15=3,AJ15*$AS$51,0)+IF(AI15=4,AJ15*$AS$52,0)+IF(AI15=5,AJ15*$AS$53,0)+IF(AI15=6,AJ15*$AS$54)+IF(AI15=7,AJ15*$AS$55)+IF(AI15=8,AJ15*$AS$56)+IF(AI15=9,AJ15*$AS$57)+IF(AI15=10,AJ15*$AS$58)+IF(AI15=11,AJ15*$AS$59,0)</f>
        <v>0</v>
      </c>
      <c r="DL15" s="654" t="n">
        <f aca="false">IF(AK15=1,AL15*$AS$49,0)+IF(AK15=2,AL15*$AS$50,0)+IF(AK15=3,AL15*$AS$51,0)+IF(AK15=4,AL15*$AS$52,0)+IF(AK15=5,AL15*$AS$53,0)+IF(AK15=6,AL15*$AS$54)+IF(AK15=7,AL15*$AS$55)+IF(AK15=8,AL15*$AS$56)+IF(AK15=9,AL15*$AS$57)+IF(AK15=10,AL15*$AS$58)+IF(AK15=11,AL15*$AS$59,0)</f>
        <v>0</v>
      </c>
      <c r="DM15" s="654" t="n">
        <f aca="false">IF(AM15=1,AN15*$AS$49,0)+IF(AM15=2,AN15*$AS$50,0)+IF(AM15=3,AN15*$AS$51,0)+IF(AM15=4,AN15*$AS$52,0)+IF(AM15=5,AN15*$AS$53,0)+IF(AM15=6,AN15*$AS$54)+IF(AM15=7,AN15*$AS$55)+IF(AM15=8,AN15*$AS$56)+IF(AM15=9,AN15*$AS$57)+IF(AM15=10,AN15*$AS$58)+IF(AM15=11,AN15*$AS$59,0)</f>
        <v>0</v>
      </c>
      <c r="DN15" s="654" t="n">
        <f aca="false">IF(AO15=1,AP15*$AS$49,0)+IF(AO15=2,AP15*$AS$50,0)+IF(AO15=3,AP15*$AS$51,0)+IF(AO15=4,AP15*$AS$52,0)+IF(AO15=5,AP15*$AS$53,0)+IF(AO15=6,AP15*$AS$54)+IF(AO15=7,AP15*$AS$55)+IF(AO15=8,AP15*$AS$56)+IF(AO15=9,AP15*$AS$57)+IF(AO15=10,AP15*$AS$58)+IF(AO15=11,AP15*$AS$59,0)</f>
        <v>0</v>
      </c>
      <c r="DO15" s="1569" t="n">
        <f aca="false">D15</f>
        <v>0</v>
      </c>
    </row>
    <row r="16" customFormat="false" ht="18" hidden="false" customHeight="true" outlineLevel="0" collapsed="false">
      <c r="A16" s="2672" t="s">
        <v>1074</v>
      </c>
      <c r="B16" s="920"/>
      <c r="C16" s="1506"/>
      <c r="D16" s="1863"/>
      <c r="E16" s="1864"/>
      <c r="F16" s="1074"/>
      <c r="G16" s="1553"/>
      <c r="H16" s="1074"/>
      <c r="I16" s="1553"/>
      <c r="J16" s="1074"/>
      <c r="K16" s="1554"/>
      <c r="L16" s="528"/>
      <c r="M16" s="895"/>
      <c r="N16" s="1513"/>
      <c r="O16" s="1514"/>
      <c r="P16" s="1515" t="n">
        <f aca="false">IF(BQ16=0,0,BN16/BQ16)</f>
        <v>0</v>
      </c>
      <c r="Q16" s="1516" t="n">
        <f aca="false">(D16*F16/324)*(1+K$65)+BB16</f>
        <v>0</v>
      </c>
      <c r="R16" s="1517" t="n">
        <f aca="false">IF(D16=0,0,S16/D16)</f>
        <v>0</v>
      </c>
      <c r="S16" s="1518" t="n">
        <f aca="false">SUM(CM16)*(1+M$45)</f>
        <v>0</v>
      </c>
      <c r="T16" s="1519" t="n">
        <f aca="false">ROUND((CF16+CG16+CH16),0)</f>
        <v>0</v>
      </c>
      <c r="U16" s="1520" t="n">
        <f aca="false">IF(P16-(D16*0.45)&lt;0,0,P16-(D16*0.45))</f>
        <v>0</v>
      </c>
      <c r="V16" s="1521" t="n">
        <f aca="false">IF(D16="",0,IF(D16/-30+Q16&lt;1,0,D16/-30+Q16))</f>
        <v>0</v>
      </c>
      <c r="W16" s="528"/>
      <c r="X16" s="2676"/>
      <c r="Y16" s="1511"/>
      <c r="Z16" s="1524"/>
      <c r="AA16" s="1511"/>
      <c r="AB16" s="1524"/>
      <c r="AC16" s="1585"/>
      <c r="AD16" s="2676"/>
      <c r="AE16" s="528"/>
      <c r="AF16" s="1592"/>
      <c r="AG16" s="528"/>
      <c r="AH16" s="1592"/>
      <c r="AI16" s="4"/>
      <c r="AJ16" s="1858"/>
      <c r="AK16" s="528"/>
      <c r="AL16" s="1592"/>
      <c r="AM16" s="1511"/>
      <c r="AN16" s="1524"/>
      <c r="AO16" s="1511"/>
      <c r="AP16" s="1524"/>
      <c r="AQ16" s="654"/>
      <c r="AR16" s="1533" t="str">
        <f aca="false">IF(W16="","",LOOKUP(W16,$B$49:$B$59,$R$49:$R$59)*X16)</f>
        <v/>
      </c>
      <c r="AS16" s="1430" t="str">
        <f aca="false">IF(Y16="","",LOOKUP(Y16,$B$49:$B$59,$R$49:$R$59)*Z16)</f>
        <v/>
      </c>
      <c r="AT16" s="1430" t="str">
        <f aca="false">IF(AB16="","",LOOKUP(AA16,$B$49:$B$59,$R$49:$R$59)*AB16)</f>
        <v/>
      </c>
      <c r="AU16" s="1430" t="str">
        <f aca="false">IF(AC16="","",LOOKUP(AC16,$B$49:$B$59,$R$49:$R$59)*AD16)</f>
        <v/>
      </c>
      <c r="AV16" s="1430" t="str">
        <f aca="false">IF(AE16="","",LOOKUP(AE16,$B$49:$B$59,$R$49:$R$59)*AF16)</f>
        <v/>
      </c>
      <c r="AW16" s="1430" t="str">
        <f aca="false">IF(AG16="","",LOOKUP(AG16,$B$49:$B$59,$R$49:$R$59)*AH16)</f>
        <v/>
      </c>
      <c r="AX16" s="1430" t="str">
        <f aca="false">IF(AI16="","",LOOKUP(AI16,$B$49:$B$59,$R$49:$R$59)*AJ16)</f>
        <v/>
      </c>
      <c r="AY16" s="1430" t="str">
        <f aca="false">IF(AK16="","",LOOKUP(AK16,$B$49:$B$59,$R$49:$R$59)*AL16)</f>
        <v/>
      </c>
      <c r="AZ16" s="1430" t="str">
        <f aca="false">IF(AM16="","",LOOKUP(AM16,$B$49:$B$59,$R$49:$R$59)*AN16)</f>
        <v/>
      </c>
      <c r="BA16" s="1430" t="str">
        <f aca="false">IF(AO16="","",LOOKUP(AO16,$B$49:$B$59,$R$49:$R$59)*AP16)</f>
        <v/>
      </c>
      <c r="BB16" s="1535" t="n">
        <f aca="false">SUM(AR16:BA16)</f>
        <v>0</v>
      </c>
      <c r="BC16" s="1533" t="str">
        <f aca="false">IF(W16="","",LOOKUP(W16,$B$49:$B$59,$P$49:$P$59)*X16)</f>
        <v/>
      </c>
      <c r="BD16" s="1430" t="str">
        <f aca="false">IF(Y16="","",LOOKUP(Y16,$B$49:$B$59,$P$49:$P$59)*Z16)</f>
        <v/>
      </c>
      <c r="BE16" s="1430" t="str">
        <f aca="false">IF(AA16="","",LOOKUP(AA16,$B$49:$B$59,$P$49:$P$59)*AB16)</f>
        <v/>
      </c>
      <c r="BF16" s="1430" t="str">
        <f aca="false">IF(AC16="","",LOOKUP(AC16,$B$49:$B$59,$P$49:$P$59)*AD16)</f>
        <v/>
      </c>
      <c r="BG16" s="1430" t="str">
        <f aca="false">IF(AE16="","",LOOKUP(AE16,$B$49:$B$59,$P$49:$P$59)*AF16)</f>
        <v/>
      </c>
      <c r="BH16" s="1430" t="str">
        <f aca="false">IF(AG16="","",LOOKUP(AG16,$B$49:$B$59,$P$49:$P$59)*AH16)</f>
        <v/>
      </c>
      <c r="BI16" s="1430" t="str">
        <f aca="false">IF(AI16="","",LOOKUP(AI16,$B$49:$B$59,$P$49:$P$59)*AJ16)</f>
        <v/>
      </c>
      <c r="BJ16" s="1430" t="str">
        <f aca="false">IF(AK16="","",LOOKUP(AK16,$B$49:$B$59,$P$49:$P$59)*AL16)</f>
        <v/>
      </c>
      <c r="BK16" s="1430" t="str">
        <f aca="false">IF(AM16="","",LOOKUP(AM16,$B$49:$B$59,$P$49:$P$59)*AN16)</f>
        <v/>
      </c>
      <c r="BL16" s="1430" t="str">
        <f aca="false">IF(AO16="","",LOOKUP(AO16,$B$49:$B$59,$P$49:$P$59)*AP16)</f>
        <v/>
      </c>
      <c r="BM16" s="1535" t="n">
        <f aca="false">SUM(BC16:BL16)*BQ16</f>
        <v>0</v>
      </c>
      <c r="BN16" s="1536" t="n">
        <f aca="false">BM16+BO16</f>
        <v>0</v>
      </c>
      <c r="BO16" s="1536" t="n">
        <f aca="false">IF(M16=0,0,(M16/12+M16/12)/(M16/12*M16/12)*D16*((L16/16*L16/16)*10.6870159))*(1+K$70)*BQ16</f>
        <v>0</v>
      </c>
      <c r="BP16" s="1536" t="n">
        <f aca="false">IF(O16="Y",D16*(1+K$71)*BQ16,0)</f>
        <v>0</v>
      </c>
      <c r="BQ16" s="1538" t="n">
        <f aca="false">G16</f>
        <v>0</v>
      </c>
      <c r="BR16" s="1411" t="n">
        <f aca="false">IF(O16="y",D16,0)</f>
        <v>0</v>
      </c>
      <c r="BS16" s="1567" t="n">
        <f aca="false">IF($I16=1,$Q16,0)*BQ16</f>
        <v>0</v>
      </c>
      <c r="BT16" s="1536" t="n">
        <f aca="false">IF($I16=2,$Q16,0)*BQ16</f>
        <v>0</v>
      </c>
      <c r="BU16" s="1536" t="n">
        <f aca="false">IF($I16=3,$Q16,0)*BQ16</f>
        <v>0</v>
      </c>
      <c r="BV16" s="1536" t="n">
        <f aca="false">IF($I16=4,$Q16,0)*BQ16</f>
        <v>0</v>
      </c>
      <c r="BW16" s="1536" t="n">
        <f aca="false">IF($I16=5,$Q16,0)*BQ16</f>
        <v>0</v>
      </c>
      <c r="BX16" s="1537" t="n">
        <f aca="false">IF($I16=6,$Q16,0)*BQ16</f>
        <v>0</v>
      </c>
      <c r="BY16" s="1537" t="n">
        <f aca="false">IF($I16=7,$Q16,0)*BQ16</f>
        <v>0</v>
      </c>
      <c r="BZ16" s="1537" t="n">
        <f aca="false">IF($I16=8,$Q16,0)*BQ16</f>
        <v>0</v>
      </c>
      <c r="CA16" s="1537" t="n">
        <f aca="false">IF($I16=9,$Q16,0)*BQ16</f>
        <v>0</v>
      </c>
      <c r="CB16" s="1569" t="n">
        <f aca="false">IF($I16=10,$Q16,0)*BQ16</f>
        <v>0</v>
      </c>
      <c r="CC16" s="1538" t="n">
        <f aca="false">SUM(BS16:BX16)</f>
        <v>0</v>
      </c>
      <c r="CD16" s="1538" t="n">
        <f aca="false">IF(H16="N",0,D16)*BQ16</f>
        <v>0</v>
      </c>
      <c r="CE16" s="1538" t="n">
        <f aca="false">K16*BQ16</f>
        <v>0</v>
      </c>
      <c r="CF16" s="1542" t="n">
        <f aca="false">IF(W16="",0,LOOKUP(W16,B$49:B$59,D$49:D$59)*X16/12)</f>
        <v>0</v>
      </c>
      <c r="CG16" s="1542" t="n">
        <f aca="false">IF(Y16="",0,LOOKUP(Y16,B$49:B$59,D$49:D$59)*Z16/12)</f>
        <v>0</v>
      </c>
      <c r="CH16" s="1542" t="n">
        <f aca="false">IF(AA16="",0,LOOKUP(AA16,B$49:B$59,D$49:D$59)*AB16/12)</f>
        <v>0</v>
      </c>
      <c r="CI16" s="1538" t="n">
        <f aca="false">D16*BQ16</f>
        <v>0</v>
      </c>
      <c r="CJ16" s="1538" t="n">
        <f aca="false">D16*J16/324*(1+K$73)*G16</f>
        <v>0</v>
      </c>
      <c r="CK16" s="1538" t="str">
        <f aca="false">IF(N16="","",N16)</f>
        <v/>
      </c>
      <c r="CL16" s="1538" t="n">
        <f aca="false">P16*BQ16</f>
        <v>0</v>
      </c>
      <c r="CM16" s="1543" t="n">
        <f aca="false">IF(BQ16=0,0,SUM(CN16:DC16)/BQ16)</f>
        <v>0</v>
      </c>
      <c r="CN16" s="656" t="n">
        <f aca="false">(BS16*Pricing!F$3+BT16*Pricing!G$3+BU16*Pricing!H$3+BV16*Pricing!I$3+BW16*Pricing!J$3+BX16*Pricing!K$3)*IF(W$44="N",(1+Y$44),1)</f>
        <v>0</v>
      </c>
      <c r="CO16" s="656" t="n">
        <f aca="false">BN16*G$70*IF(W$44="n",1+Y$44,1)</f>
        <v>0</v>
      </c>
      <c r="CP16" s="656" t="n">
        <f aca="false">C16*D16</f>
        <v>0</v>
      </c>
      <c r="CQ16" s="656" t="n">
        <f aca="false">IF(I$79=0,0,D16*(SUM(O$79:P$82)+O$85)/I$79*BQ16)</f>
        <v>0</v>
      </c>
      <c r="CR16" s="656" t="n">
        <f aca="false">IF(CF16="",0,CF16*E$83)+IF(CG16="",0,CG16*E$83)+IF(CH16="",0,CH16*E$83)</f>
        <v>0</v>
      </c>
      <c r="CS16" s="656"/>
      <c r="CT16" s="656" t="n">
        <f aca="false">IF(I$87=0,0,(P16-(D16*0.35))/2000*E$87)</f>
        <v>0</v>
      </c>
      <c r="CU16" s="656" t="n">
        <f aca="false">IF(D$42=0,0,SUM(O$91:P$93)/D$42*D16)*BQ16</f>
        <v>0</v>
      </c>
      <c r="CV16" s="656" t="n">
        <f aca="false">IF(D$42=0,0,SUM(Z$66:Z$97)/D$42*D16*BQ16)</f>
        <v>0</v>
      </c>
      <c r="CW16" s="656" t="n">
        <f aca="false">IF(D$42=0,0,SUM(O$96:P$101)/D$42*D16)*BQ16</f>
        <v>0</v>
      </c>
      <c r="CX16" s="656" t="n">
        <f aca="false">IF(D$42=0,0,SUM(O$103:O$110)/D$42)*D16*BQ16</f>
        <v>0</v>
      </c>
      <c r="CY16" s="656" t="n">
        <f aca="false">IF(I$79=0,0,IF(I$79=0,0,SUM(Z$98:Z$109)/I$79*D16))</f>
        <v>0</v>
      </c>
      <c r="CZ16" s="656" t="n">
        <f aca="false">IF(J$72&gt;0,J$72/D$42*D16*G16,CD16*(G$72*IF(W$44="n",(1+Y$44),1)))</f>
        <v>0</v>
      </c>
      <c r="DA16" s="656" t="str">
        <f aca="false">IF(CK16="","",CK16*E$86)</f>
        <v/>
      </c>
      <c r="DB16" s="656" t="n">
        <f aca="false">BP16*G$71*IF(W$44="Y",1,1+Y$44)</f>
        <v>0</v>
      </c>
      <c r="DC16" s="656" t="n">
        <f aca="false">CJ16*G$73*IF(W$44="Y",1,1+Y$44)</f>
        <v>0</v>
      </c>
      <c r="DD16" s="1546"/>
      <c r="DE16" s="654" t="n">
        <f aca="false">IF(W16=1,X16*$AS$49,0)+IF(W16=2,X16*$AS$50,0)+IF(W16=3,X16*$AS$51,0)+IF(W16=4,X16*$AS$52,0)+IF(W16=5,X16*$AS$53,0)+IF(W16=6,X16*$AS$54)+IF(W16=7,X16*$AS$55)+IF(W16=8,X16*$AS$56)+IF(W16=9,X16*$AS$57)+IF(W16=10,X16*$AS$58)+IF(W16=11,X16*$AS$59,0)</f>
        <v>0</v>
      </c>
      <c r="DF16" s="654" t="n">
        <f aca="false">IF(Y16=1,Z16*$AS$49,0)+IF(Y16=2,Z16*$AS$50,0)+IF(Y16=3,Z16*$AS$51,0)+IF(Y16=4,Z16*$AS$52,0)+IF(Y16=5,Z16*$AS$53,0)+IF(Y16=6,Z16*$AS$54)+IF(Y16=7,Z16*$AS$55)+IF(Y16=8,Z16*$AS$56)+IF(Y16=9,Z16*$AS$57)+IF(Y16=10,Z16*$AS$58)+IF(Y16=11,Z16*$AS$59,0)</f>
        <v>0</v>
      </c>
      <c r="DG16" s="654" t="n">
        <f aca="false">IF(AA16=1,AB16*$AS$49,0)+IF(AA16=2,AB16*$AS$50,0)+IF(AA16=3,AB16*$AS$51,0)+IF(AA16=4,AB16*$AS$52,0)+IF(AA16=5,AB16*$AS$53,0)+IF(AA16=6,AB16*$AS$54)+IF(AA16=7,AB16*$AS$55)+IF(AA16=8,AB16*$AS$56)+IF(AA16=9,AB16*$AS$57)+IF(AA16=10,AB16*$AS$58)+IF(AA16=11,AB16*$AS$59,0)</f>
        <v>0</v>
      </c>
      <c r="DH16" s="654" t="n">
        <f aca="false">IF(AC16=1,AD16*$AS$49,0)+IF(AC16=2,AD16*$AS$50,0)+IF(AC16=3,AD16*$AS$51,0)+IF(AC16=4,AD16*$AS$52,0)+IF(AC16=5,AD16*$AS$53,0)+IF(AC16=6,AD16*$AS$54)+IF(AC16=7,AD16*$AS$55)+IF(AC16=8,AD16*$AS$56)+IF(AC16=9,AD16*$AS$57)+IF(AC16=10,AD16*$AS$58)+IF(AC16=11,AD16*$AS$59,0)</f>
        <v>0</v>
      </c>
      <c r="DI16" s="654" t="n">
        <f aca="false">IF(AE16=1,AF16*$AS$49,0)+IF(AE16=2,AF16*$AS$50,0)+IF(AE16=3,AF16*$AS$51,0)+IF(AE16=4,AF16*$AS$52,0)+IF(AE16=5,AF16*$AS$53,0)+IF(AE16=6,AF16*$AS$54)+IF(AE16=7,AF16*$AS$55)+IF(AE16=8,AF16*$AS$56)+IF(AE16=9,AF16*$AS$57)+IF(AE16=10,AF16*$AS$58)+IF(AE16=11,AF16*$AS$59,0)</f>
        <v>0</v>
      </c>
      <c r="DJ16" s="654" t="n">
        <f aca="false">IF(AG16=1,AH16*$AS$49,0)+IF(AG16=2,AH16*$AS$50,0)+IF(AG16=3,AH16*$AS$51,0)+IF(AG16=4,AH16*$AS$52,0)+IF(AG16=5,AH16*$AS$53,0)+IF(AG16=6,AH16*$AS$54)+IF(AG16=7,AH16*$AS$55)+IF(AG16=8,AH16*$AS$56)+IF(AG16=9,AH16*$AS$57)+IF(AG16=10,AH16*$AS$58)+IF(AG16=11,AH16*$AS$59,0)</f>
        <v>0</v>
      </c>
      <c r="DK16" s="654" t="n">
        <f aca="false">IF(AI16=1,AJ16*$AS$49,0)+IF(AI16=2,AJ16*$AS$50,0)+IF(AI16=3,AJ16*$AS$51,0)+IF(AI16=4,AJ16*$AS$52,0)+IF(AI16=5,AJ16*$AS$53,0)+IF(AI16=6,AJ16*$AS$54)+IF(AI16=7,AJ16*$AS$55)+IF(AI16=8,AJ16*$AS$56)+IF(AI16=9,AJ16*$AS$57)+IF(AI16=10,AJ16*$AS$58)+IF(AI16=11,AJ16*$AS$59,0)</f>
        <v>0</v>
      </c>
      <c r="DL16" s="654" t="n">
        <f aca="false">IF(AK16=1,AL16*$AS$49,0)+IF(AK16=2,AL16*$AS$50,0)+IF(AK16=3,AL16*$AS$51,0)+IF(AK16=4,AL16*$AS$52,0)+IF(AK16=5,AL16*$AS$53,0)+IF(AK16=6,AL16*$AS$54)+IF(AK16=7,AL16*$AS$55)+IF(AK16=8,AL16*$AS$56)+IF(AK16=9,AL16*$AS$57)+IF(AK16=10,AL16*$AS$58)+IF(AK16=11,AL16*$AS$59,0)</f>
        <v>0</v>
      </c>
      <c r="DM16" s="654" t="n">
        <f aca="false">IF(AM16=1,AN16*$AS$49,0)+IF(AM16=2,AN16*$AS$50,0)+IF(AM16=3,AN16*$AS$51,0)+IF(AM16=4,AN16*$AS$52,0)+IF(AM16=5,AN16*$AS$53,0)+IF(AM16=6,AN16*$AS$54)+IF(AM16=7,AN16*$AS$55)+IF(AM16=8,AN16*$AS$56)+IF(AM16=9,AN16*$AS$57)+IF(AM16=10,AN16*$AS$58)+IF(AM16=11,AN16*$AS$59,0)</f>
        <v>0</v>
      </c>
      <c r="DN16" s="654" t="n">
        <f aca="false">IF(AO16=1,AP16*$AS$49,0)+IF(AO16=2,AP16*$AS$50,0)+IF(AO16=3,AP16*$AS$51,0)+IF(AO16=4,AP16*$AS$52,0)+IF(AO16=5,AP16*$AS$53,0)+IF(AO16=6,AP16*$AS$54)+IF(AO16=7,AP16*$AS$55)+IF(AO16=8,AP16*$AS$56)+IF(AO16=9,AP16*$AS$57)+IF(AO16=10,AP16*$AS$58)+IF(AO16=11,AP16*$AS$59,0)</f>
        <v>0</v>
      </c>
      <c r="DO16" s="1569" t="n">
        <f aca="false">D16</f>
        <v>0</v>
      </c>
    </row>
    <row r="17" customFormat="false" ht="19.5" hidden="false" customHeight="true" outlineLevel="0" collapsed="false">
      <c r="A17" s="2672" t="s">
        <v>1075</v>
      </c>
      <c r="B17" s="1549"/>
      <c r="C17" s="1550"/>
      <c r="D17" s="1551"/>
      <c r="E17" s="1552"/>
      <c r="F17" s="1074"/>
      <c r="G17" s="1553"/>
      <c r="H17" s="1074"/>
      <c r="I17" s="1553"/>
      <c r="J17" s="1074"/>
      <c r="K17" s="1554"/>
      <c r="L17" s="1559"/>
      <c r="M17" s="1556"/>
      <c r="N17" s="1557"/>
      <c r="O17" s="1558"/>
      <c r="P17" s="1515" t="n">
        <f aca="false">IF(BQ17=0,0,BN17/BQ17)</f>
        <v>0</v>
      </c>
      <c r="Q17" s="1516" t="n">
        <f aca="false">(D17*F17/324)*(1+K$65)+BB17</f>
        <v>0</v>
      </c>
      <c r="R17" s="1517" t="n">
        <f aca="false">IF(D17=0,0,S17/D17)</f>
        <v>0</v>
      </c>
      <c r="S17" s="1518" t="n">
        <f aca="false">SUM(CM17)*(1+M$45)</f>
        <v>0</v>
      </c>
      <c r="T17" s="1519" t="n">
        <f aca="false">ROUND((CF17+CG17+CH17),0)</f>
        <v>0</v>
      </c>
      <c r="U17" s="1520" t="n">
        <f aca="false">IF(P17-(D17*0.45)&lt;0,0,P17-(D17*0.45))</f>
        <v>0</v>
      </c>
      <c r="V17" s="1521" t="n">
        <f aca="false">IF(D17="",0,IF(D17/-30+Q17&lt;1,0,D17/-30+Q17))</f>
        <v>0</v>
      </c>
      <c r="W17" s="1559"/>
      <c r="X17" s="1862"/>
      <c r="Y17" s="1559"/>
      <c r="Z17" s="1561"/>
      <c r="AA17" s="1559"/>
      <c r="AB17" s="1561"/>
      <c r="AC17" s="1865"/>
      <c r="AD17" s="1862"/>
      <c r="AE17" s="1559"/>
      <c r="AF17" s="2675"/>
      <c r="AG17" s="1595"/>
      <c r="AH17" s="2675"/>
      <c r="AI17" s="1559"/>
      <c r="AJ17" s="1862"/>
      <c r="AK17" s="1559"/>
      <c r="AL17" s="2675"/>
      <c r="AM17" s="1559"/>
      <c r="AN17" s="1561"/>
      <c r="AO17" s="1559"/>
      <c r="AP17" s="1561"/>
      <c r="AQ17" s="654"/>
      <c r="AR17" s="1533" t="str">
        <f aca="false">IF(W17="","",LOOKUP(W17,$B$49:$B$59,$R$49:$R$59)*X17)</f>
        <v/>
      </c>
      <c r="AS17" s="1430" t="str">
        <f aca="false">IF(Y17="","",LOOKUP(Y17,$B$49:$B$59,$R$49:$R$59)*Z17)</f>
        <v/>
      </c>
      <c r="AT17" s="1430" t="str">
        <f aca="false">IF(AB17="","",LOOKUP(AA17,$B$49:$B$59,$R$49:$R$59)*AB17)</f>
        <v/>
      </c>
      <c r="AU17" s="1430" t="str">
        <f aca="false">IF(AC17="","",LOOKUP(AC17,$B$49:$B$59,$R$49:$R$59)*AD17)</f>
        <v/>
      </c>
      <c r="AV17" s="1430" t="str">
        <f aca="false">IF(AE17="","",LOOKUP(AE17,$B$49:$B$59,$R$49:$R$59)*AF17)</f>
        <v/>
      </c>
      <c r="AW17" s="1430" t="str">
        <f aca="false">IF(AG17="","",LOOKUP(AG17,$B$49:$B$59,$R$49:$R$59)*AH17)</f>
        <v/>
      </c>
      <c r="AX17" s="1430" t="str">
        <f aca="false">IF(AI17="","",LOOKUP(AI17,$B$49:$B$59,$R$49:$R$59)*AJ17)</f>
        <v/>
      </c>
      <c r="AY17" s="1430" t="str">
        <f aca="false">IF(AK17="","",LOOKUP(AK17,$B$49:$B$59,$R$49:$R$59)*AL17)</f>
        <v/>
      </c>
      <c r="AZ17" s="1430" t="str">
        <f aca="false">IF(AM17="","",LOOKUP(AM17,$B$49:$B$59,$R$49:$R$59)*AN17)</f>
        <v/>
      </c>
      <c r="BA17" s="1430" t="str">
        <f aca="false">IF(AO17="","",LOOKUP(AO17,$B$49:$B$59,$R$49:$R$59)*AP17)</f>
        <v/>
      </c>
      <c r="BB17" s="1535" t="n">
        <f aca="false">SUM(AR17:BA17)</f>
        <v>0</v>
      </c>
      <c r="BC17" s="1533" t="str">
        <f aca="false">IF(W17="","",LOOKUP(W17,$B$49:$B$59,$P$49:$P$59)*X17)</f>
        <v/>
      </c>
      <c r="BD17" s="1430" t="str">
        <f aca="false">IF(Y17="","",LOOKUP(Y17,$B$49:$B$59,$P$49:$P$59)*Z17)</f>
        <v/>
      </c>
      <c r="BE17" s="1430" t="str">
        <f aca="false">IF(AA17="","",LOOKUP(AA17,$B$49:$B$59,$P$49:$P$59)*AB17)</f>
        <v/>
      </c>
      <c r="BF17" s="1430" t="str">
        <f aca="false">IF(AC17="","",LOOKUP(AC17,$B$49:$B$59,$P$49:$P$59)*AD17)</f>
        <v/>
      </c>
      <c r="BG17" s="1430" t="str">
        <f aca="false">IF(AE17="","",LOOKUP(AE17,$B$49:$B$59,$P$49:$P$59)*AF17)</f>
        <v/>
      </c>
      <c r="BH17" s="1430" t="str">
        <f aca="false">IF(AG17="","",LOOKUP(AG17,$B$49:$B$59,$P$49:$P$59)*AH17)</f>
        <v/>
      </c>
      <c r="BI17" s="1430" t="str">
        <f aca="false">IF(AI17="","",LOOKUP(AI17,$B$49:$B$59,$P$49:$P$59)*AJ17)</f>
        <v/>
      </c>
      <c r="BJ17" s="1430" t="str">
        <f aca="false">IF(AK17="","",LOOKUP(AK17,$B$49:$B$59,$P$49:$P$59)*AL17)</f>
        <v/>
      </c>
      <c r="BK17" s="1430" t="str">
        <f aca="false">IF(AM17="","",LOOKUP(AM17,$B$49:$B$59,$P$49:$P$59)*AN17)</f>
        <v/>
      </c>
      <c r="BL17" s="1430" t="str">
        <f aca="false">IF(AO17="","",LOOKUP(AO17,$B$49:$B$59,$P$49:$P$59)*AP17)</f>
        <v/>
      </c>
      <c r="BM17" s="1535" t="n">
        <f aca="false">SUM(BC17:BL17)*BQ17</f>
        <v>0</v>
      </c>
      <c r="BN17" s="1536" t="n">
        <f aca="false">BM17+BO17</f>
        <v>0</v>
      </c>
      <c r="BO17" s="1536" t="n">
        <f aca="false">IF(M17=0,0,(M17/12+M17/12)/(M17/12*M17/12)*D17*((L17/16*L17/16)*10.6870159))*(1+K$70)*BQ17</f>
        <v>0</v>
      </c>
      <c r="BP17" s="1536" t="n">
        <f aca="false">IF(O17="Y",D17*(1+K$71)*BQ17,0)</f>
        <v>0</v>
      </c>
      <c r="BQ17" s="1538" t="n">
        <f aca="false">G17</f>
        <v>0</v>
      </c>
      <c r="BR17" s="1411" t="n">
        <f aca="false">IF(O17="y",D17,0)</f>
        <v>0</v>
      </c>
      <c r="BS17" s="1567" t="n">
        <f aca="false">IF($I17=1,$Q17,0)*BQ17</f>
        <v>0</v>
      </c>
      <c r="BT17" s="1536" t="n">
        <f aca="false">IF($I17=2,$Q17,0)*BQ17</f>
        <v>0</v>
      </c>
      <c r="BU17" s="1536" t="n">
        <f aca="false">IF($I17=3,$Q17,0)*BQ17</f>
        <v>0</v>
      </c>
      <c r="BV17" s="1536" t="n">
        <f aca="false">IF($I17=4,$Q17,0)*BQ17</f>
        <v>0</v>
      </c>
      <c r="BW17" s="1536" t="n">
        <f aca="false">IF($I17=5,$Q17,0)*BQ17</f>
        <v>0</v>
      </c>
      <c r="BX17" s="1537" t="n">
        <f aca="false">IF($I17=6,$Q17,0)*BQ17</f>
        <v>0</v>
      </c>
      <c r="BY17" s="1537" t="n">
        <f aca="false">IF($I17=7,$Q17,0)*BQ17</f>
        <v>0</v>
      </c>
      <c r="BZ17" s="1537" t="n">
        <f aca="false">IF($I17=8,$Q17,0)*BQ17</f>
        <v>0</v>
      </c>
      <c r="CA17" s="1537" t="n">
        <f aca="false">IF($I17=9,$Q17,0)*BQ17</f>
        <v>0</v>
      </c>
      <c r="CB17" s="1569" t="n">
        <f aca="false">IF($I17=10,$Q17,0)*BQ17</f>
        <v>0</v>
      </c>
      <c r="CC17" s="1538" t="n">
        <f aca="false">SUM(BS17:BX17)</f>
        <v>0</v>
      </c>
      <c r="CD17" s="1538" t="n">
        <f aca="false">IF(H17="N",0,D17)*BQ17</f>
        <v>0</v>
      </c>
      <c r="CE17" s="1538" t="n">
        <f aca="false">K17*BQ17</f>
        <v>0</v>
      </c>
      <c r="CF17" s="1542" t="n">
        <f aca="false">IF(W17="",0,LOOKUP(W17,B$49:B$59,D$49:D$59)*X17/12)</f>
        <v>0</v>
      </c>
      <c r="CG17" s="1542" t="n">
        <f aca="false">IF(Y17="",0,LOOKUP(Y17,B$49:B$59,D$49:D$59)*Z17/12)</f>
        <v>0</v>
      </c>
      <c r="CH17" s="1542" t="n">
        <f aca="false">IF(AA17="",0,LOOKUP(AA17,B$49:B$59,D$49:D$59)*AB17/12)</f>
        <v>0</v>
      </c>
      <c r="CI17" s="1538" t="n">
        <f aca="false">D17*BQ17</f>
        <v>0</v>
      </c>
      <c r="CJ17" s="1538" t="n">
        <f aca="false">D17*J17/324*(1+K$73)*G17</f>
        <v>0</v>
      </c>
      <c r="CK17" s="1538" t="str">
        <f aca="false">IF(N17="","",N17)</f>
        <v/>
      </c>
      <c r="CL17" s="1538" t="n">
        <f aca="false">P17*BQ17</f>
        <v>0</v>
      </c>
      <c r="CM17" s="1543" t="n">
        <f aca="false">IF(BQ17=0,0,SUM(CN17:DC17)/BQ17)</f>
        <v>0</v>
      </c>
      <c r="CN17" s="656" t="n">
        <f aca="false">(BS17*Pricing!F$3+BT17*Pricing!G$3+BU17*Pricing!H$3+BV17*Pricing!I$3+BW17*Pricing!J$3+BX17*Pricing!K$3)*IF(W$44="N",(1+Y$44),1)</f>
        <v>0</v>
      </c>
      <c r="CO17" s="656" t="n">
        <f aca="false">BN17*G$70*IF(W$44="n",1+Y$44,1)</f>
        <v>0</v>
      </c>
      <c r="CP17" s="656" t="n">
        <f aca="false">C17*D17</f>
        <v>0</v>
      </c>
      <c r="CQ17" s="656" t="n">
        <f aca="false">IF(I$79=0,0,D17*(SUM(O$79:P$82)+O$85)/I$79*BQ17)</f>
        <v>0</v>
      </c>
      <c r="CR17" s="656" t="n">
        <f aca="false">IF(CF17="",0,CF17*E$83)+IF(CG17="",0,CG17*E$83)+IF(CH17="",0,CH17*E$83)</f>
        <v>0</v>
      </c>
      <c r="CS17" s="656"/>
      <c r="CT17" s="656" t="n">
        <f aca="false">IF(I$87=0,0,(P17-(D17*0.35))/2000*E$87)</f>
        <v>0</v>
      </c>
      <c r="CU17" s="656" t="n">
        <f aca="false">IF(D$42=0,0,SUM(O$91:P$93)/D$42*D17)*BQ17</f>
        <v>0</v>
      </c>
      <c r="CV17" s="656" t="n">
        <f aca="false">IF(D$42=0,0,SUM(Z$66:Z$97)/D$42*D17*BQ17)</f>
        <v>0</v>
      </c>
      <c r="CW17" s="656" t="n">
        <f aca="false">IF(D$42=0,0,SUM(O$96:P$101)/D$42*D17)*BQ17</f>
        <v>0</v>
      </c>
      <c r="CX17" s="656" t="n">
        <f aca="false">IF(D$42=0,0,SUM(O$103:O$110)/D$42)*D17*BQ17</f>
        <v>0</v>
      </c>
      <c r="CY17" s="656" t="n">
        <f aca="false">IF(I$79=0,0,IF(I$79=0,0,SUM(Z$98:Z$109)/I$79*D17))</f>
        <v>0</v>
      </c>
      <c r="CZ17" s="656" t="n">
        <f aca="false">IF(J$72&gt;0,J$72/D$42*D17*G17,CD17*(G$72*IF(W$44="n",(1+Y$44),1)))</f>
        <v>0</v>
      </c>
      <c r="DA17" s="656" t="str">
        <f aca="false">IF(CK17="","",CK17*E$86)</f>
        <v/>
      </c>
      <c r="DB17" s="656" t="n">
        <f aca="false">BP17*G$71*IF(W$44="Y",1,1+Y$44)</f>
        <v>0</v>
      </c>
      <c r="DC17" s="656" t="n">
        <f aca="false">CJ17*G$73*IF(W$44="Y",1,1+Y$44)</f>
        <v>0</v>
      </c>
      <c r="DD17" s="1546"/>
      <c r="DE17" s="654" t="n">
        <f aca="false">IF(W17=1,X17*$AS$49,0)+IF(W17=2,X17*$AS$50,0)+IF(W17=3,X17*$AS$51,0)+IF(W17=4,X17*$AS$52,0)+IF(W17=5,X17*$AS$53,0)+IF(W17=6,X17*$AS$54)+IF(W17=7,X17*$AS$55)+IF(W17=8,X17*$AS$56)+IF(W17=9,X17*$AS$57)+IF(W17=10,X17*$AS$58)+IF(W17=11,X17*$AS$59,0)</f>
        <v>0</v>
      </c>
      <c r="DF17" s="654" t="n">
        <f aca="false">IF(Y17=1,Z17*$AS$49,0)+IF(Y17=2,Z17*$AS$50,0)+IF(Y17=3,Z17*$AS$51,0)+IF(Y17=4,Z17*$AS$52,0)+IF(Y17=5,Z17*$AS$53,0)+IF(Y17=6,Z17*$AS$54)+IF(Y17=7,Z17*$AS$55)+IF(Y17=8,Z17*$AS$56)+IF(Y17=9,Z17*$AS$57)+IF(Y17=10,Z17*$AS$58)+IF(Y17=11,Z17*$AS$59,0)</f>
        <v>0</v>
      </c>
      <c r="DG17" s="654" t="n">
        <f aca="false">IF(AA17=1,AB17*$AS$49,0)+IF(AA17=2,AB17*$AS$50,0)+IF(AA17=3,AB17*$AS$51,0)+IF(AA17=4,AB17*$AS$52,0)+IF(AA17=5,AB17*$AS$53,0)+IF(AA17=6,AB17*$AS$54)+IF(AA17=7,AB17*$AS$55)+IF(AA17=8,AB17*$AS$56)+IF(AA17=9,AB17*$AS$57)+IF(AA17=10,AB17*$AS$58)+IF(AA17=11,AB17*$AS$59,0)</f>
        <v>0</v>
      </c>
      <c r="DH17" s="654" t="n">
        <f aca="false">IF(AC17=1,AD17*$AS$49,0)+IF(AC17=2,AD17*$AS$50,0)+IF(AC17=3,AD17*$AS$51,0)+IF(AC17=4,AD17*$AS$52,0)+IF(AC17=5,AD17*$AS$53,0)+IF(AC17=6,AD17*$AS$54)+IF(AC17=7,AD17*$AS$55)+IF(AC17=8,AD17*$AS$56)+IF(AC17=9,AD17*$AS$57)+IF(AC17=10,AD17*$AS$58)+IF(AC17=11,AD17*$AS$59,0)</f>
        <v>0</v>
      </c>
      <c r="DI17" s="654" t="n">
        <f aca="false">IF(AE17=1,AF17*$AS$49,0)+IF(AE17=2,AF17*$AS$50,0)+IF(AE17=3,AF17*$AS$51,0)+IF(AE17=4,AF17*$AS$52,0)+IF(AE17=5,AF17*$AS$53,0)+IF(AE17=6,AF17*$AS$54)+IF(AE17=7,AF17*$AS$55)+IF(AE17=8,AF17*$AS$56)+IF(AE17=9,AF17*$AS$57)+IF(AE17=10,AF17*$AS$58)+IF(AE17=11,AF17*$AS$59,0)</f>
        <v>0</v>
      </c>
      <c r="DJ17" s="654" t="n">
        <f aca="false">IF(AG17=1,AH17*$AS$49,0)+IF(AG17=2,AH17*$AS$50,0)+IF(AG17=3,AH17*$AS$51,0)+IF(AG17=4,AH17*$AS$52,0)+IF(AG17=5,AH17*$AS$53,0)+IF(AG17=6,AH17*$AS$54)+IF(AG17=7,AH17*$AS$55)+IF(AG17=8,AH17*$AS$56)+IF(AG17=9,AH17*$AS$57)+IF(AG17=10,AH17*$AS$58)+IF(AG17=11,AH17*$AS$59,0)</f>
        <v>0</v>
      </c>
      <c r="DK17" s="654" t="n">
        <f aca="false">IF(AI17=1,AJ17*$AS$49,0)+IF(AI17=2,AJ17*$AS$50,0)+IF(AI17=3,AJ17*$AS$51,0)+IF(AI17=4,AJ17*$AS$52,0)+IF(AI17=5,AJ17*$AS$53,0)+IF(AI17=6,AJ17*$AS$54)+IF(AI17=7,AJ17*$AS$55)+IF(AI17=8,AJ17*$AS$56)+IF(AI17=9,AJ17*$AS$57)+IF(AI17=10,AJ17*$AS$58)+IF(AI17=11,AJ17*$AS$59,0)</f>
        <v>0</v>
      </c>
      <c r="DL17" s="654" t="n">
        <f aca="false">IF(AK17=1,AL17*$AS$49,0)+IF(AK17=2,AL17*$AS$50,0)+IF(AK17=3,AL17*$AS$51,0)+IF(AK17=4,AL17*$AS$52,0)+IF(AK17=5,AL17*$AS$53,0)+IF(AK17=6,AL17*$AS$54)+IF(AK17=7,AL17*$AS$55)+IF(AK17=8,AL17*$AS$56)+IF(AK17=9,AL17*$AS$57)+IF(AK17=10,AL17*$AS$58)+IF(AK17=11,AL17*$AS$59,0)</f>
        <v>0</v>
      </c>
      <c r="DM17" s="654" t="n">
        <f aca="false">IF(AM17=1,AN17*$AS$49,0)+IF(AM17=2,AN17*$AS$50,0)+IF(AM17=3,AN17*$AS$51,0)+IF(AM17=4,AN17*$AS$52,0)+IF(AM17=5,AN17*$AS$53,0)+IF(AM17=6,AN17*$AS$54)+IF(AM17=7,AN17*$AS$55)+IF(AM17=8,AN17*$AS$56)+IF(AM17=9,AN17*$AS$57)+IF(AM17=10,AN17*$AS$58)+IF(AM17=11,AN17*$AS$59,0)</f>
        <v>0</v>
      </c>
      <c r="DN17" s="654" t="n">
        <f aca="false">IF(AO17=1,AP17*$AS$49,0)+IF(AO17=2,AP17*$AS$50,0)+IF(AO17=3,AP17*$AS$51,0)+IF(AO17=4,AP17*$AS$52,0)+IF(AO17=5,AP17*$AS$53,0)+IF(AO17=6,AP17*$AS$54)+IF(AO17=7,AP17*$AS$55)+IF(AO17=8,AP17*$AS$56)+IF(AO17=9,AP17*$AS$57)+IF(AO17=10,AP17*$AS$58)+IF(AO17=11,AP17*$AS$59,0)</f>
        <v>0</v>
      </c>
      <c r="DO17" s="1569" t="n">
        <f aca="false">D17</f>
        <v>0</v>
      </c>
    </row>
    <row r="18" customFormat="false" ht="19.5" hidden="false" customHeight="true" outlineLevel="0" collapsed="false">
      <c r="A18" s="2672" t="s">
        <v>1076</v>
      </c>
      <c r="B18" s="920"/>
      <c r="C18" s="1506"/>
      <c r="D18" s="1586"/>
      <c r="E18" s="1587"/>
      <c r="F18" s="1074"/>
      <c r="G18" s="1509"/>
      <c r="H18" s="1074"/>
      <c r="I18" s="1509"/>
      <c r="J18" s="1074"/>
      <c r="K18" s="1510"/>
      <c r="L18" s="528"/>
      <c r="M18" s="895"/>
      <c r="N18" s="1513"/>
      <c r="O18" s="1514"/>
      <c r="P18" s="1515" t="n">
        <f aca="false">IF(BQ18=0,0,BN18/BQ18)</f>
        <v>0</v>
      </c>
      <c r="Q18" s="1516" t="n">
        <f aca="false">(D18*F18/324)*(1+K$65)+BB18</f>
        <v>0</v>
      </c>
      <c r="R18" s="1517" t="n">
        <f aca="false">IF(D18=0,0,S18/D18)</f>
        <v>0</v>
      </c>
      <c r="S18" s="1518" t="n">
        <f aca="false">SUM(CM18)*(1+M$45)</f>
        <v>0</v>
      </c>
      <c r="T18" s="1519" t="n">
        <f aca="false">ROUND((CF18+CG18+CH18),0)</f>
        <v>0</v>
      </c>
      <c r="U18" s="1520" t="n">
        <f aca="false">IF(P18-(D18*0.45)&lt;0,0,P18-(D18*0.45))</f>
        <v>0</v>
      </c>
      <c r="V18" s="1521" t="n">
        <f aca="false">IF(D18="",0,IF(D18/-30+Q18&lt;1,0,D18/-30+Q18))</f>
        <v>0</v>
      </c>
      <c r="W18" s="528"/>
      <c r="X18" s="2676"/>
      <c r="Y18" s="528"/>
      <c r="Z18" s="1574"/>
      <c r="AA18" s="528"/>
      <c r="AB18" s="1574"/>
      <c r="AC18" s="1585"/>
      <c r="AD18" s="2676"/>
      <c r="AE18" s="528"/>
      <c r="AF18" s="1592"/>
      <c r="AG18" s="528"/>
      <c r="AH18" s="1592"/>
      <c r="AI18" s="4"/>
      <c r="AJ18" s="1858"/>
      <c r="AK18" s="528"/>
      <c r="AL18" s="1592"/>
      <c r="AM18" s="528"/>
      <c r="AN18" s="1574"/>
      <c r="AO18" s="528"/>
      <c r="AP18" s="1574"/>
      <c r="AQ18" s="654"/>
      <c r="AR18" s="1533" t="str">
        <f aca="false">IF(W18="","",LOOKUP(W18,$B$49:$B$59,$R$49:$R$59)*X18)</f>
        <v/>
      </c>
      <c r="AS18" s="1430" t="str">
        <f aca="false">IF(Y18="","",LOOKUP(Y18,$B$49:$B$59,$R$49:$R$59)*Z18)</f>
        <v/>
      </c>
      <c r="AT18" s="1430" t="str">
        <f aca="false">IF(AB18="","",LOOKUP(AA18,$B$49:$B$59,$R$49:$R$59)*AB18)</f>
        <v/>
      </c>
      <c r="AU18" s="1430" t="str">
        <f aca="false">IF(AC18="","",LOOKUP(AC18,$B$49:$B$59,$R$49:$R$59)*AD18)</f>
        <v/>
      </c>
      <c r="AV18" s="1430" t="str">
        <f aca="false">IF(AE18="","",LOOKUP(AE18,$B$49:$B$59,$R$49:$R$59)*AF18)</f>
        <v/>
      </c>
      <c r="AW18" s="1430" t="str">
        <f aca="false">IF(AG18="","",LOOKUP(AG18,$B$49:$B$59,$R$49:$R$59)*AH18)</f>
        <v/>
      </c>
      <c r="AX18" s="1430" t="str">
        <f aca="false">IF(AI18="","",LOOKUP(AI18,$B$49:$B$59,$R$49:$R$59)*AJ18)</f>
        <v/>
      </c>
      <c r="AY18" s="1430" t="str">
        <f aca="false">IF(AK18="","",LOOKUP(AK18,$B$49:$B$59,$R$49:$R$59)*AL18)</f>
        <v/>
      </c>
      <c r="AZ18" s="1430" t="str">
        <f aca="false">IF(AM18="","",LOOKUP(AM18,$B$49:$B$59,$R$49:$R$59)*AN18)</f>
        <v/>
      </c>
      <c r="BA18" s="1430" t="str">
        <f aca="false">IF(AO18="","",LOOKUP(AO18,$B$49:$B$59,$R$49:$R$59)*AP18)</f>
        <v/>
      </c>
      <c r="BB18" s="1535" t="n">
        <f aca="false">SUM(AR18:BA18)</f>
        <v>0</v>
      </c>
      <c r="BC18" s="1533" t="str">
        <f aca="false">IF(W18="","",LOOKUP(W18,$B$49:$B$59,$P$49:$P$59)*X18)</f>
        <v/>
      </c>
      <c r="BD18" s="1430" t="str">
        <f aca="false">IF(Y18="","",LOOKUP(Y18,$B$49:$B$59,$P$49:$P$59)*Z18)</f>
        <v/>
      </c>
      <c r="BE18" s="1430" t="str">
        <f aca="false">IF(AA18="","",LOOKUP(AA18,$B$49:$B$59,$P$49:$P$59)*AB18)</f>
        <v/>
      </c>
      <c r="BF18" s="1430" t="str">
        <f aca="false">IF(AC18="","",LOOKUP(AC18,$B$49:$B$59,$P$49:$P$59)*AD18)</f>
        <v/>
      </c>
      <c r="BG18" s="1430" t="str">
        <f aca="false">IF(AE18="","",LOOKUP(AE18,$B$49:$B$59,$P$49:$P$59)*AF18)</f>
        <v/>
      </c>
      <c r="BH18" s="1430" t="str">
        <f aca="false">IF(AG18="","",LOOKUP(AG18,$B$49:$B$59,$P$49:$P$59)*AH18)</f>
        <v/>
      </c>
      <c r="BI18" s="1430" t="str">
        <f aca="false">IF(AI18="","",LOOKUP(AI18,$B$49:$B$59,$P$49:$P$59)*AJ18)</f>
        <v/>
      </c>
      <c r="BJ18" s="1430" t="str">
        <f aca="false">IF(AK18="","",LOOKUP(AK18,$B$49:$B$59,$P$49:$P$59)*AL18)</f>
        <v/>
      </c>
      <c r="BK18" s="1430" t="str">
        <f aca="false">IF(AM18="","",LOOKUP(AM18,$B$49:$B$59,$P$49:$P$59)*AN18)</f>
        <v/>
      </c>
      <c r="BL18" s="1430" t="str">
        <f aca="false">IF(AO18="","",LOOKUP(AO18,$B$49:$B$59,$P$49:$P$59)*AP18)</f>
        <v/>
      </c>
      <c r="BM18" s="1535" t="n">
        <f aca="false">SUM(BC18:BL18)*BQ18</f>
        <v>0</v>
      </c>
      <c r="BN18" s="1536" t="n">
        <f aca="false">BM18+BO18</f>
        <v>0</v>
      </c>
      <c r="BO18" s="1536" t="n">
        <f aca="false">IF(M18=0,0,(M18/12+M18/12)/(M18/12*M18/12)*D18*((L18/16*L18/16)*10.6870159))*(1+K$70)*BQ18</f>
        <v>0</v>
      </c>
      <c r="BP18" s="1536" t="n">
        <f aca="false">IF(O18="Y",D18*(1+K$71)*BQ18,0)</f>
        <v>0</v>
      </c>
      <c r="BQ18" s="1538" t="n">
        <f aca="false">G18</f>
        <v>0</v>
      </c>
      <c r="BR18" s="1411" t="n">
        <f aca="false">IF(O18="y",D18,0)</f>
        <v>0</v>
      </c>
      <c r="BS18" s="1567" t="n">
        <f aca="false">IF($I18=1,$Q18,0)*BQ18</f>
        <v>0</v>
      </c>
      <c r="BT18" s="1536" t="n">
        <f aca="false">IF($I18=2,$Q18,0)*BQ18</f>
        <v>0</v>
      </c>
      <c r="BU18" s="1536" t="n">
        <f aca="false">IF($I18=3,$Q18,0)*BQ18</f>
        <v>0</v>
      </c>
      <c r="BV18" s="1536" t="n">
        <f aca="false">IF($I18=4,$Q18,0)*BQ18</f>
        <v>0</v>
      </c>
      <c r="BW18" s="1536" t="n">
        <f aca="false">IF($I18=5,$Q18,0)*BQ18</f>
        <v>0</v>
      </c>
      <c r="BX18" s="1537" t="n">
        <f aca="false">IF($I18=6,$Q18,0)*BQ18</f>
        <v>0</v>
      </c>
      <c r="BY18" s="1537" t="n">
        <f aca="false">IF($I18=7,$Q18,0)*BQ18</f>
        <v>0</v>
      </c>
      <c r="BZ18" s="1537" t="n">
        <f aca="false">IF($I18=8,$Q18,0)*BQ18</f>
        <v>0</v>
      </c>
      <c r="CA18" s="1537" t="n">
        <f aca="false">IF($I18=9,$Q18,0)*BQ18</f>
        <v>0</v>
      </c>
      <c r="CB18" s="1569" t="n">
        <f aca="false">IF($I18=10,$Q18,0)*BQ18</f>
        <v>0</v>
      </c>
      <c r="CC18" s="1538" t="n">
        <f aca="false">SUM(BS18:BX18)</f>
        <v>0</v>
      </c>
      <c r="CD18" s="1538" t="n">
        <f aca="false">IF(H18="N",0,D18)*BQ18</f>
        <v>0</v>
      </c>
      <c r="CE18" s="1538" t="n">
        <f aca="false">K18*BQ18</f>
        <v>0</v>
      </c>
      <c r="CF18" s="1542" t="n">
        <f aca="false">IF(W18="",0,LOOKUP(W18,B$49:B$59,D$49:D$59)*X18/12)</f>
        <v>0</v>
      </c>
      <c r="CG18" s="1542" t="n">
        <f aca="false">IF(Y18="",0,LOOKUP(Y18,B$49:B$59,D$49:D$59)*Z18/12)</f>
        <v>0</v>
      </c>
      <c r="CH18" s="1542" t="n">
        <f aca="false">IF(AA18="",0,LOOKUP(AA18,B$49:B$59,D$49:D$59)*AB18/12)</f>
        <v>0</v>
      </c>
      <c r="CI18" s="1538" t="n">
        <f aca="false">D18*BQ18</f>
        <v>0</v>
      </c>
      <c r="CJ18" s="1538" t="n">
        <f aca="false">D18*J18/324*(1+K$73)*G18</f>
        <v>0</v>
      </c>
      <c r="CK18" s="1538" t="str">
        <f aca="false">IF(N18="","",N18)</f>
        <v/>
      </c>
      <c r="CL18" s="1538" t="n">
        <f aca="false">P18*BQ18</f>
        <v>0</v>
      </c>
      <c r="CM18" s="1543" t="n">
        <f aca="false">IF(BQ18=0,0,SUM(CN18:DC18)/BQ18)</f>
        <v>0</v>
      </c>
      <c r="CN18" s="656" t="n">
        <f aca="false">(BS18*Pricing!F$3+BT18*Pricing!G$3+BU18*Pricing!H$3+BV18*Pricing!I$3+BW18*Pricing!J$3+BX18*Pricing!K$3)*IF(W$44="N",(1+Y$44),1)</f>
        <v>0</v>
      </c>
      <c r="CO18" s="656" t="n">
        <f aca="false">BN18*G$70*IF(W$44="n",1+Y$44,1)</f>
        <v>0</v>
      </c>
      <c r="CP18" s="656" t="n">
        <f aca="false">C18*D18</f>
        <v>0</v>
      </c>
      <c r="CQ18" s="656" t="n">
        <f aca="false">IF(I$79=0,0,D18*(SUM(O$79:P$82)+O$85)/I$79*BQ18)</f>
        <v>0</v>
      </c>
      <c r="CR18" s="656" t="n">
        <f aca="false">IF(CF18="",0,CF18*E$83)+IF(CG18="",0,CG18*E$83)+IF(CH18="",0,CH18*E$83)</f>
        <v>0</v>
      </c>
      <c r="CS18" s="656"/>
      <c r="CT18" s="656" t="n">
        <f aca="false">IF(I$87=0,0,(P18-(D18*0.35))/2000*E$87)</f>
        <v>0</v>
      </c>
      <c r="CU18" s="656" t="n">
        <f aca="false">IF(D$42=0,0,SUM(O$91:P$93)/D$42*D18)*BQ18</f>
        <v>0</v>
      </c>
      <c r="CV18" s="656" t="n">
        <f aca="false">IF(D$42=0,0,SUM(Z$66:Z$97)/D$42*D18*BQ18)</f>
        <v>0</v>
      </c>
      <c r="CW18" s="656" t="n">
        <f aca="false">IF(D$42=0,0,SUM(O$96:P$101)/D$42*D18)*BQ18</f>
        <v>0</v>
      </c>
      <c r="CX18" s="656" t="n">
        <f aca="false">IF(D$42=0,0,SUM(O$103:O$110)/D$42)*D18*BQ18</f>
        <v>0</v>
      </c>
      <c r="CY18" s="656" t="n">
        <f aca="false">IF(I$79=0,0,IF(I$79=0,0,SUM(Z$98:Z$109)/I$79*D18))</f>
        <v>0</v>
      </c>
      <c r="CZ18" s="656" t="n">
        <f aca="false">IF(J$72&gt;0,J$72/D$42*D18*G18,CD18*(G$72*IF(W$44="n",(1+Y$44),1)))</f>
        <v>0</v>
      </c>
      <c r="DA18" s="656" t="str">
        <f aca="false">IF(CK18="","",CK18*E$86)</f>
        <v/>
      </c>
      <c r="DB18" s="656" t="n">
        <f aca="false">BP18*G$71*IF(W$44="Y",1,1+Y$44)</f>
        <v>0</v>
      </c>
      <c r="DC18" s="656" t="n">
        <f aca="false">CJ18*G$73*IF(W$44="Y",1,1+Y$44)</f>
        <v>0</v>
      </c>
      <c r="DD18" s="1546"/>
      <c r="DE18" s="654" t="n">
        <f aca="false">IF(W18=1,X18*$AS$49,0)+IF(W18=2,X18*$AS$50,0)+IF(W18=3,X18*$AS$51,0)+IF(W18=4,X18*$AS$52,0)+IF(W18=5,X18*$AS$53,0)+IF(W18=6,X18*$AS$54)+IF(W18=7,X18*$AS$55)+IF(W18=8,X18*$AS$56)+IF(W18=9,X18*$AS$57)+IF(W18=10,X18*$AS$58)+IF(W18=11,X18*$AS$59,0)</f>
        <v>0</v>
      </c>
      <c r="DF18" s="654" t="n">
        <f aca="false">IF(Y18=1,Z18*$AS$49,0)+IF(Y18=2,Z18*$AS$50,0)+IF(Y18=3,Z18*$AS$51,0)+IF(Y18=4,Z18*$AS$52,0)+IF(Y18=5,Z18*$AS$53,0)+IF(Y18=6,Z18*$AS$54)+IF(Y18=7,Z18*$AS$55)+IF(Y18=8,Z18*$AS$56)+IF(Y18=9,Z18*$AS$57)+IF(Y18=10,Z18*$AS$58)+IF(Y18=11,Z18*$AS$59,0)</f>
        <v>0</v>
      </c>
      <c r="DG18" s="654" t="n">
        <f aca="false">IF(AA18=1,AB18*$AS$49,0)+IF(AA18=2,AB18*$AS$50,0)+IF(AA18=3,AB18*$AS$51,0)+IF(AA18=4,AB18*$AS$52,0)+IF(AA18=5,AB18*$AS$53,0)+IF(AA18=6,AB18*$AS$54)+IF(AA18=7,AB18*$AS$55)+IF(AA18=8,AB18*$AS$56)+IF(AA18=9,AB18*$AS$57)+IF(AA18=10,AB18*$AS$58)+IF(AA18=11,AB18*$AS$59,0)</f>
        <v>0</v>
      </c>
      <c r="DH18" s="654" t="n">
        <f aca="false">IF(AC18=1,AD18*$AS$49,0)+IF(AC18=2,AD18*$AS$50,0)+IF(AC18=3,AD18*$AS$51,0)+IF(AC18=4,AD18*$AS$52,0)+IF(AC18=5,AD18*$AS$53,0)+IF(AC18=6,AD18*$AS$54)+IF(AC18=7,AD18*$AS$55)+IF(AC18=8,AD18*$AS$56)+IF(AC18=9,AD18*$AS$57)+IF(AC18=10,AD18*$AS$58)+IF(AC18=11,AD18*$AS$59,0)</f>
        <v>0</v>
      </c>
      <c r="DI18" s="654" t="n">
        <f aca="false">IF(AE18=1,AF18*$AS$49,0)+IF(AE18=2,AF18*$AS$50,0)+IF(AE18=3,AF18*$AS$51,0)+IF(AE18=4,AF18*$AS$52,0)+IF(AE18=5,AF18*$AS$53,0)+IF(AE18=6,AF18*$AS$54)+IF(AE18=7,AF18*$AS$55)+IF(AE18=8,AF18*$AS$56)+IF(AE18=9,AF18*$AS$57)+IF(AE18=10,AF18*$AS$58)+IF(AE18=11,AF18*$AS$59,0)</f>
        <v>0</v>
      </c>
      <c r="DJ18" s="654" t="n">
        <f aca="false">IF(AG18=1,AH18*$AS$49,0)+IF(AG18=2,AH18*$AS$50,0)+IF(AG18=3,AH18*$AS$51,0)+IF(AG18=4,AH18*$AS$52,0)+IF(AG18=5,AH18*$AS$53,0)+IF(AG18=6,AH18*$AS$54)+IF(AG18=7,AH18*$AS$55)+IF(AG18=8,AH18*$AS$56)+IF(AG18=9,AH18*$AS$57)+IF(AG18=10,AH18*$AS$58)+IF(AG18=11,AH18*$AS$59,0)</f>
        <v>0</v>
      </c>
      <c r="DK18" s="654" t="n">
        <f aca="false">IF(AI18=1,AJ18*$AS$49,0)+IF(AI18=2,AJ18*$AS$50,0)+IF(AI18=3,AJ18*$AS$51,0)+IF(AI18=4,AJ18*$AS$52,0)+IF(AI18=5,AJ18*$AS$53,0)+IF(AI18=6,AJ18*$AS$54)+IF(AI18=7,AJ18*$AS$55)+IF(AI18=8,AJ18*$AS$56)+IF(AI18=9,AJ18*$AS$57)+IF(AI18=10,AJ18*$AS$58)+IF(AI18=11,AJ18*$AS$59,0)</f>
        <v>0</v>
      </c>
      <c r="DL18" s="654" t="n">
        <f aca="false">IF(AK18=1,AL18*$AS$49,0)+IF(AK18=2,AL18*$AS$50,0)+IF(AK18=3,AL18*$AS$51,0)+IF(AK18=4,AL18*$AS$52,0)+IF(AK18=5,AL18*$AS$53,0)+IF(AK18=6,AL18*$AS$54)+IF(AK18=7,AL18*$AS$55)+IF(AK18=8,AL18*$AS$56)+IF(AK18=9,AL18*$AS$57)+IF(AK18=10,AL18*$AS$58)+IF(AK18=11,AL18*$AS$59,0)</f>
        <v>0</v>
      </c>
      <c r="DM18" s="654" t="n">
        <f aca="false">IF(AM18=1,AN18*$AS$49,0)+IF(AM18=2,AN18*$AS$50,0)+IF(AM18=3,AN18*$AS$51,0)+IF(AM18=4,AN18*$AS$52,0)+IF(AM18=5,AN18*$AS$53,0)+IF(AM18=6,AN18*$AS$54)+IF(AM18=7,AN18*$AS$55)+IF(AM18=8,AN18*$AS$56)+IF(AM18=9,AN18*$AS$57)+IF(AM18=10,AN18*$AS$58)+IF(AM18=11,AN18*$AS$59,0)</f>
        <v>0</v>
      </c>
      <c r="DN18" s="654" t="n">
        <f aca="false">IF(AO18=1,AP18*$AS$49,0)+IF(AO18=2,AP18*$AS$50,0)+IF(AO18=3,AP18*$AS$51,0)+IF(AO18=4,AP18*$AS$52,0)+IF(AO18=5,AP18*$AS$53,0)+IF(AO18=6,AP18*$AS$54)+IF(AO18=7,AP18*$AS$55)+IF(AO18=8,AP18*$AS$56)+IF(AO18=9,AP18*$AS$57)+IF(AO18=10,AP18*$AS$58)+IF(AO18=11,AP18*$AS$59,0)</f>
        <v>0</v>
      </c>
      <c r="DO18" s="1569" t="n">
        <f aca="false">D18</f>
        <v>0</v>
      </c>
    </row>
    <row r="19" customFormat="false" ht="19.5" hidden="false" customHeight="true" outlineLevel="0" collapsed="false">
      <c r="A19" s="2672" t="s">
        <v>1342</v>
      </c>
      <c r="B19" s="1549"/>
      <c r="C19" s="1550"/>
      <c r="D19" s="1551"/>
      <c r="E19" s="1552"/>
      <c r="F19" s="1074"/>
      <c r="G19" s="1553"/>
      <c r="H19" s="1074"/>
      <c r="I19" s="1553"/>
      <c r="J19" s="1074"/>
      <c r="K19" s="1554"/>
      <c r="L19" s="1559"/>
      <c r="M19" s="1556"/>
      <c r="N19" s="1557"/>
      <c r="O19" s="1558"/>
      <c r="P19" s="1515" t="n">
        <f aca="false">IF(BQ19=0,0,BN19/BQ19)</f>
        <v>0</v>
      </c>
      <c r="Q19" s="1516" t="n">
        <f aca="false">(D19*F19/324)*(1+K$65)+BB19</f>
        <v>0</v>
      </c>
      <c r="R19" s="1517" t="n">
        <f aca="false">IF(D19=0,0,S19/D19)</f>
        <v>0</v>
      </c>
      <c r="S19" s="1518" t="n">
        <f aca="false">SUM(CM19)*(1+M$45)</f>
        <v>0</v>
      </c>
      <c r="T19" s="1519" t="n">
        <f aca="false">ROUND((CF19+CG19+CH19),0)</f>
        <v>0</v>
      </c>
      <c r="U19" s="1520" t="n">
        <f aca="false">IF(P19-(D19*0.45)&lt;0,0,P19-(D19*0.45))</f>
        <v>0</v>
      </c>
      <c r="V19" s="1521" t="n">
        <f aca="false">IF(D19="",0,IF(D19/-30+Q19&lt;1,0,D19/-30+Q19))</f>
        <v>0</v>
      </c>
      <c r="W19" s="1559"/>
      <c r="X19" s="1862"/>
      <c r="Y19" s="1559"/>
      <c r="Z19" s="1577"/>
      <c r="AA19" s="1559"/>
      <c r="AB19" s="1577"/>
      <c r="AC19" s="1562"/>
      <c r="AD19" s="1862"/>
      <c r="AE19" s="1559"/>
      <c r="AF19" s="2675"/>
      <c r="AG19" s="1595"/>
      <c r="AH19" s="2675"/>
      <c r="AI19" s="1559"/>
      <c r="AJ19" s="1862"/>
      <c r="AK19" s="1559"/>
      <c r="AL19" s="2675"/>
      <c r="AM19" s="1559"/>
      <c r="AN19" s="1577"/>
      <c r="AO19" s="1559"/>
      <c r="AP19" s="1577"/>
      <c r="AQ19" s="654"/>
      <c r="AR19" s="1533" t="str">
        <f aca="false">IF(W19="","",LOOKUP(W19,$B$49:$B$59,$R$49:$R$59)*X19)</f>
        <v/>
      </c>
      <c r="AS19" s="1430" t="str">
        <f aca="false">IF(Y19="","",LOOKUP(Y19,$B$49:$B$59,$R$49:$R$59)*Z19)</f>
        <v/>
      </c>
      <c r="AT19" s="1430" t="str">
        <f aca="false">IF(AB19="","",LOOKUP(AA19,$B$49:$B$59,$R$49:$R$59)*AB19)</f>
        <v/>
      </c>
      <c r="AU19" s="1430" t="str">
        <f aca="false">IF(AC19="","",LOOKUP(AC19,$B$49:$B$59,$R$49:$R$59)*AD19)</f>
        <v/>
      </c>
      <c r="AV19" s="1430" t="str">
        <f aca="false">IF(AE19="","",LOOKUP(AE19,$B$49:$B$59,$R$49:$R$59)*AF19)</f>
        <v/>
      </c>
      <c r="AW19" s="1430" t="str">
        <f aca="false">IF(AG19="","",LOOKUP(AG19,$B$49:$B$59,$R$49:$R$59)*AH19)</f>
        <v/>
      </c>
      <c r="AX19" s="1430" t="str">
        <f aca="false">IF(AI19="","",LOOKUP(AI19,$B$49:$B$59,$R$49:$R$59)*AJ19)</f>
        <v/>
      </c>
      <c r="AY19" s="1430" t="str">
        <f aca="false">IF(AK19="","",LOOKUP(AK19,$B$49:$B$59,$R$49:$R$59)*AL19)</f>
        <v/>
      </c>
      <c r="AZ19" s="1430" t="str">
        <f aca="false">IF(AM19="","",LOOKUP(AM19,$B$49:$B$59,$R$49:$R$59)*AN19)</f>
        <v/>
      </c>
      <c r="BA19" s="1430" t="str">
        <f aca="false">IF(AO19="","",LOOKUP(AO19,$B$49:$B$59,$R$49:$R$59)*AP19)</f>
        <v/>
      </c>
      <c r="BB19" s="1535" t="n">
        <f aca="false">SUM(AR19:BA19)</f>
        <v>0</v>
      </c>
      <c r="BC19" s="1533" t="str">
        <f aca="false">IF(W19="","",LOOKUP(W19,$B$49:$B$59,$P$49:$P$59)*X19)</f>
        <v/>
      </c>
      <c r="BD19" s="1430" t="str">
        <f aca="false">IF(Y19="","",LOOKUP(Y19,$B$49:$B$59,$P$49:$P$59)*Z19)</f>
        <v/>
      </c>
      <c r="BE19" s="1430" t="str">
        <f aca="false">IF(AA19="","",LOOKUP(AA19,$B$49:$B$59,$P$49:$P$59)*AB19)</f>
        <v/>
      </c>
      <c r="BF19" s="1430" t="str">
        <f aca="false">IF(AC19="","",LOOKUP(AC19,$B$49:$B$59,$P$49:$P$59)*AD19)</f>
        <v/>
      </c>
      <c r="BG19" s="1430" t="str">
        <f aca="false">IF(AE19="","",LOOKUP(AE19,$B$49:$B$59,$P$49:$P$59)*AF19)</f>
        <v/>
      </c>
      <c r="BH19" s="1430" t="str">
        <f aca="false">IF(AG19="","",LOOKUP(AG19,$B$49:$B$59,$P$49:$P$59)*AH19)</f>
        <v/>
      </c>
      <c r="BI19" s="1430" t="str">
        <f aca="false">IF(AI19="","",LOOKUP(AI19,$B$49:$B$59,$P$49:$P$59)*AJ19)</f>
        <v/>
      </c>
      <c r="BJ19" s="1430" t="str">
        <f aca="false">IF(AK19="","",LOOKUP(AK19,$B$49:$B$59,$P$49:$P$59)*AL19)</f>
        <v/>
      </c>
      <c r="BK19" s="1430" t="str">
        <f aca="false">IF(AM19="","",LOOKUP(AM19,$B$49:$B$59,$P$49:$P$59)*AN19)</f>
        <v/>
      </c>
      <c r="BL19" s="1430" t="str">
        <f aca="false">IF(AO19="","",LOOKUP(AO19,$B$49:$B$59,$P$49:$P$59)*AP19)</f>
        <v/>
      </c>
      <c r="BM19" s="1535" t="n">
        <f aca="false">SUM(BC19:BL19)*BQ19</f>
        <v>0</v>
      </c>
      <c r="BN19" s="1536" t="n">
        <f aca="false">BM19+BO19</f>
        <v>0</v>
      </c>
      <c r="BO19" s="1536" t="n">
        <f aca="false">IF(M19=0,0,(M19/12+M19/12)/(M19/12*M19/12)*D19*((L19/16*L19/16)*10.6870159))*(1+K$70)*BQ19</f>
        <v>0</v>
      </c>
      <c r="BP19" s="1536" t="n">
        <f aca="false">IF(O19="Y",D19*(1+K$71)*BQ19,0)</f>
        <v>0</v>
      </c>
      <c r="BQ19" s="1538" t="n">
        <f aca="false">G19</f>
        <v>0</v>
      </c>
      <c r="BR19" s="1411" t="n">
        <f aca="false">IF(O19="y",D19,0)</f>
        <v>0</v>
      </c>
      <c r="BS19" s="1567" t="n">
        <f aca="false">IF($I19=1,$Q19,0)*BQ19</f>
        <v>0</v>
      </c>
      <c r="BT19" s="1536" t="n">
        <f aca="false">IF($I19=2,$Q19,0)*BQ19</f>
        <v>0</v>
      </c>
      <c r="BU19" s="1536" t="n">
        <f aca="false">IF($I19=3,$Q19,0)*BQ19</f>
        <v>0</v>
      </c>
      <c r="BV19" s="1536" t="n">
        <f aca="false">IF($I19=4,$Q19,0)*BQ19</f>
        <v>0</v>
      </c>
      <c r="BW19" s="1536" t="n">
        <f aca="false">IF($I19=5,$Q19,0)*BQ19</f>
        <v>0</v>
      </c>
      <c r="BX19" s="1537" t="n">
        <f aca="false">IF($I19=6,$Q19,0)*BQ19</f>
        <v>0</v>
      </c>
      <c r="BY19" s="1537" t="n">
        <f aca="false">IF($I19=7,$Q19,0)*BQ19</f>
        <v>0</v>
      </c>
      <c r="BZ19" s="1537" t="n">
        <f aca="false">IF($I19=8,$Q19,0)*BQ19</f>
        <v>0</v>
      </c>
      <c r="CA19" s="1537" t="n">
        <f aca="false">IF($I19=9,$Q19,0)*BQ19</f>
        <v>0</v>
      </c>
      <c r="CB19" s="1569" t="n">
        <f aca="false">IF($I19=10,$Q19,0)*BQ19</f>
        <v>0</v>
      </c>
      <c r="CC19" s="1538" t="n">
        <f aca="false">SUM(BS19:BX19)</f>
        <v>0</v>
      </c>
      <c r="CD19" s="1538" t="n">
        <f aca="false">IF(H19="N",0,D19)*BQ19</f>
        <v>0</v>
      </c>
      <c r="CE19" s="1538" t="n">
        <f aca="false">K19*BQ19</f>
        <v>0</v>
      </c>
      <c r="CF19" s="1542" t="n">
        <f aca="false">IF(W19="",0,LOOKUP(W19,B$49:B$59,D$49:D$59)*X19/12)</f>
        <v>0</v>
      </c>
      <c r="CG19" s="1542" t="n">
        <f aca="false">IF(Y19="",0,LOOKUP(Y19,B$49:B$59,D$49:D$59)*Z19/12)</f>
        <v>0</v>
      </c>
      <c r="CH19" s="1542" t="n">
        <f aca="false">IF(AA19="",0,LOOKUP(AA19,B$49:B$59,D$49:D$59)*AB19/12)</f>
        <v>0</v>
      </c>
      <c r="CI19" s="1538" t="n">
        <f aca="false">D19*BQ19</f>
        <v>0</v>
      </c>
      <c r="CJ19" s="1538" t="n">
        <f aca="false">D19*J19/324*(1+K$73)*G19</f>
        <v>0</v>
      </c>
      <c r="CK19" s="1538" t="str">
        <f aca="false">IF(N19="","",N19)</f>
        <v/>
      </c>
      <c r="CL19" s="1538" t="n">
        <f aca="false">P19*BQ19</f>
        <v>0</v>
      </c>
      <c r="CM19" s="1543" t="n">
        <f aca="false">IF(BQ19=0,0,SUM(CN19:DC19)/BQ19)</f>
        <v>0</v>
      </c>
      <c r="CN19" s="656" t="n">
        <f aca="false">(BS19*Pricing!F$3+BT19*Pricing!G$3+BU19*Pricing!H$3+BV19*Pricing!I$3+BW19*Pricing!J$3+BX19*Pricing!K$3)*IF(W$44="N",(1+Y$44),1)</f>
        <v>0</v>
      </c>
      <c r="CO19" s="656" t="n">
        <f aca="false">BN19*G$70*IF(W$44="n",1+Y$44,1)</f>
        <v>0</v>
      </c>
      <c r="CP19" s="656" t="n">
        <f aca="false">C19*D19</f>
        <v>0</v>
      </c>
      <c r="CQ19" s="656" t="n">
        <f aca="false">IF(I$79=0,0,D19*(SUM(O$79:P$82)+O$85)/I$79*BQ19)</f>
        <v>0</v>
      </c>
      <c r="CR19" s="656" t="n">
        <f aca="false">IF(CF19="",0,CF19*E$83)+IF(CG19="",0,CG19*E$83)+IF(CH19="",0,CH19*E$83)</f>
        <v>0</v>
      </c>
      <c r="CS19" s="656"/>
      <c r="CT19" s="656" t="n">
        <f aca="false">IF(I$87=0,0,(P19-(D19*0.35))/2000*E$87)</f>
        <v>0</v>
      </c>
      <c r="CU19" s="656" t="n">
        <f aca="false">IF(D$42=0,0,SUM(O$91:P$93)/D$42*D19)*BQ19</f>
        <v>0</v>
      </c>
      <c r="CV19" s="656" t="n">
        <f aca="false">IF(D$42=0,0,SUM(Z$66:Z$97)/D$42*D19*BQ19)</f>
        <v>0</v>
      </c>
      <c r="CW19" s="656" t="n">
        <f aca="false">IF(D$42=0,0,SUM(O$96:P$101)/D$42*D19)*BQ19</f>
        <v>0</v>
      </c>
      <c r="CX19" s="656" t="n">
        <f aca="false">IF(D$42=0,0,SUM(O$103:O$110)/D$42)*D19*BQ19</f>
        <v>0</v>
      </c>
      <c r="CY19" s="656" t="n">
        <f aca="false">IF(I$79=0,0,IF(I$79=0,0,SUM(Z$98:Z$109)/I$79*D19))</f>
        <v>0</v>
      </c>
      <c r="CZ19" s="656" t="n">
        <f aca="false">IF(J$72&gt;0,J$72/D$42*D19*G19,CD19*(G$72*IF(W$44="n",(1+Y$44),1)))</f>
        <v>0</v>
      </c>
      <c r="DA19" s="656" t="str">
        <f aca="false">IF(CK19="","",CK19*E$86)</f>
        <v/>
      </c>
      <c r="DB19" s="656" t="n">
        <f aca="false">BP19*G$71*IF(W$44="Y",1,1+Y$44)</f>
        <v>0</v>
      </c>
      <c r="DC19" s="656" t="n">
        <f aca="false">CJ19*G$73*IF(W$44="Y",1,1+Y$44)</f>
        <v>0</v>
      </c>
      <c r="DD19" s="1546"/>
      <c r="DE19" s="654" t="n">
        <f aca="false">IF(W19=1,X19*$AS$49,0)+IF(W19=2,X19*$AS$50,0)+IF(W19=3,X19*$AS$51,0)+IF(W19=4,X19*$AS$52,0)+IF(W19=5,X19*$AS$53,0)+IF(W19=6,X19*$AS$54)+IF(W19=7,X19*$AS$55)+IF(W19=8,X19*$AS$56)+IF(W19=9,X19*$AS$57)+IF(W19=10,X19*$AS$58)+IF(W19=11,X19*$AS$59,0)</f>
        <v>0</v>
      </c>
      <c r="DF19" s="654" t="n">
        <f aca="false">IF(Y19=1,Z19*$AS$49,0)+IF(Y19=2,Z19*$AS$50,0)+IF(Y19=3,Z19*$AS$51,0)+IF(Y19=4,Z19*$AS$52,0)+IF(Y19=5,Z19*$AS$53,0)+IF(Y19=6,Z19*$AS$54)+IF(Y19=7,Z19*$AS$55)+IF(Y19=8,Z19*$AS$56)+IF(Y19=9,Z19*$AS$57)+IF(Y19=10,Z19*$AS$58)+IF(Y19=11,Z19*$AS$59,0)</f>
        <v>0</v>
      </c>
      <c r="DG19" s="654" t="n">
        <f aca="false">IF(AA19=1,AB19*$AS$49,0)+IF(AA19=2,AB19*$AS$50,0)+IF(AA19=3,AB19*$AS$51,0)+IF(AA19=4,AB19*$AS$52,0)+IF(AA19=5,AB19*$AS$53,0)+IF(AA19=6,AB19*$AS$54)+IF(AA19=7,AB19*$AS$55)+IF(AA19=8,AB19*$AS$56)+IF(AA19=9,AB19*$AS$57)+IF(AA19=10,AB19*$AS$58)+IF(AA19=11,AB19*$AS$59,0)</f>
        <v>0</v>
      </c>
      <c r="DH19" s="654" t="n">
        <f aca="false">IF(AC19=1,AD19*$AS$49,0)+IF(AC19=2,AD19*$AS$50,0)+IF(AC19=3,AD19*$AS$51,0)+IF(AC19=4,AD19*$AS$52,0)+IF(AC19=5,AD19*$AS$53,0)+IF(AC19=6,AD19*$AS$54)+IF(AC19=7,AD19*$AS$55)+IF(AC19=8,AD19*$AS$56)+IF(AC19=9,AD19*$AS$57)+IF(AC19=10,AD19*$AS$58)+IF(AC19=11,AD19*$AS$59,0)</f>
        <v>0</v>
      </c>
      <c r="DI19" s="654" t="n">
        <f aca="false">IF(AE19=1,AF19*$AS$49,0)+IF(AE19=2,AF19*$AS$50,0)+IF(AE19=3,AF19*$AS$51,0)+IF(AE19=4,AF19*$AS$52,0)+IF(AE19=5,AF19*$AS$53,0)+IF(AE19=6,AF19*$AS$54)+IF(AE19=7,AF19*$AS$55)+IF(AE19=8,AF19*$AS$56)+IF(AE19=9,AF19*$AS$57)+IF(AE19=10,AF19*$AS$58)+IF(AE19=11,AF19*$AS$59,0)</f>
        <v>0</v>
      </c>
      <c r="DJ19" s="654" t="n">
        <f aca="false">IF(AG19=1,AH19*$AS$49,0)+IF(AG19=2,AH19*$AS$50,0)+IF(AG19=3,AH19*$AS$51,0)+IF(AG19=4,AH19*$AS$52,0)+IF(AG19=5,AH19*$AS$53,0)+IF(AG19=6,AH19*$AS$54)+IF(AG19=7,AH19*$AS$55)+IF(AG19=8,AH19*$AS$56)+IF(AG19=9,AH19*$AS$57)+IF(AG19=10,AH19*$AS$58)+IF(AG19=11,AH19*$AS$59,0)</f>
        <v>0</v>
      </c>
      <c r="DK19" s="654" t="n">
        <f aca="false">IF(AI19=1,AJ19*$AS$49,0)+IF(AI19=2,AJ19*$AS$50,0)+IF(AI19=3,AJ19*$AS$51,0)+IF(AI19=4,AJ19*$AS$52,0)+IF(AI19=5,AJ19*$AS$53,0)+IF(AI19=6,AJ19*$AS$54)+IF(AI19=7,AJ19*$AS$55)+IF(AI19=8,AJ19*$AS$56)+IF(AI19=9,AJ19*$AS$57)+IF(AI19=10,AJ19*$AS$58)+IF(AI19=11,AJ19*$AS$59,0)</f>
        <v>0</v>
      </c>
      <c r="DL19" s="654" t="n">
        <f aca="false">IF(AK19=1,AL19*$AS$49,0)+IF(AK19=2,AL19*$AS$50,0)+IF(AK19=3,AL19*$AS$51,0)+IF(AK19=4,AL19*$AS$52,0)+IF(AK19=5,AL19*$AS$53,0)+IF(AK19=6,AL19*$AS$54)+IF(AK19=7,AL19*$AS$55)+IF(AK19=8,AL19*$AS$56)+IF(AK19=9,AL19*$AS$57)+IF(AK19=10,AL19*$AS$58)+IF(AK19=11,AL19*$AS$59,0)</f>
        <v>0</v>
      </c>
      <c r="DM19" s="654" t="n">
        <f aca="false">IF(AM19=1,AN19*$AS$49,0)+IF(AM19=2,AN19*$AS$50,0)+IF(AM19=3,AN19*$AS$51,0)+IF(AM19=4,AN19*$AS$52,0)+IF(AM19=5,AN19*$AS$53,0)+IF(AM19=6,AN19*$AS$54)+IF(AM19=7,AN19*$AS$55)+IF(AM19=8,AN19*$AS$56)+IF(AM19=9,AN19*$AS$57)+IF(AM19=10,AN19*$AS$58)+IF(AM19=11,AN19*$AS$59,0)</f>
        <v>0</v>
      </c>
      <c r="DN19" s="654" t="n">
        <f aca="false">IF(AO19=1,AP19*$AS$49,0)+IF(AO19=2,AP19*$AS$50,0)+IF(AO19=3,AP19*$AS$51,0)+IF(AO19=4,AP19*$AS$52,0)+IF(AO19=5,AP19*$AS$53,0)+IF(AO19=6,AP19*$AS$54)+IF(AO19=7,AP19*$AS$55)+IF(AO19=8,AP19*$AS$56)+IF(AO19=9,AP19*$AS$57)+IF(AO19=10,AP19*$AS$58)+IF(AO19=11,AP19*$AS$59,0)</f>
        <v>0</v>
      </c>
      <c r="DO19" s="1569" t="n">
        <f aca="false">D19</f>
        <v>0</v>
      </c>
    </row>
    <row r="20" customFormat="false" ht="19.5" hidden="false" customHeight="true" outlineLevel="0" collapsed="false">
      <c r="A20" s="2672" t="s">
        <v>1451</v>
      </c>
      <c r="B20" s="920"/>
      <c r="C20" s="1506"/>
      <c r="D20" s="1586"/>
      <c r="E20" s="1587"/>
      <c r="F20" s="1074"/>
      <c r="G20" s="1509"/>
      <c r="H20" s="1074"/>
      <c r="I20" s="1509"/>
      <c r="J20" s="1074"/>
      <c r="K20" s="1510"/>
      <c r="L20" s="528"/>
      <c r="M20" s="895"/>
      <c r="N20" s="1513"/>
      <c r="O20" s="1514"/>
      <c r="P20" s="1515" t="n">
        <f aca="false">IF(BQ20=0,0,BN20/BQ20)</f>
        <v>0</v>
      </c>
      <c r="Q20" s="1516" t="n">
        <f aca="false">(D20*F20/324)*(1+K$65)+BB20</f>
        <v>0</v>
      </c>
      <c r="R20" s="1517" t="n">
        <f aca="false">IF(D20=0,0,S20/D20)</f>
        <v>0</v>
      </c>
      <c r="S20" s="1518" t="n">
        <f aca="false">SUM(CM20)*(1+M$45)</f>
        <v>0</v>
      </c>
      <c r="T20" s="1519" t="n">
        <f aca="false">ROUND((CF20+CG20+CH20),0)</f>
        <v>0</v>
      </c>
      <c r="U20" s="1520" t="n">
        <f aca="false">IF(P20-(D20*0.45)&lt;0,0,P20-(D20*0.45))</f>
        <v>0</v>
      </c>
      <c r="V20" s="1521" t="n">
        <f aca="false">IF(D20="",0,IF(D20/-30+Q20&lt;1,0,D20/-30+Q20))</f>
        <v>0</v>
      </c>
      <c r="W20" s="528"/>
      <c r="X20" s="2676"/>
      <c r="Y20" s="528"/>
      <c r="Z20" s="1579"/>
      <c r="AA20" s="528"/>
      <c r="AB20" s="1579"/>
      <c r="AC20" s="1525"/>
      <c r="AD20" s="2676"/>
      <c r="AE20" s="1511"/>
      <c r="AF20" s="1592"/>
      <c r="AG20" s="1593"/>
      <c r="AH20" s="1592"/>
      <c r="AI20" s="4"/>
      <c r="AJ20" s="1858"/>
      <c r="AK20" s="528"/>
      <c r="AL20" s="1592"/>
      <c r="AM20" s="528"/>
      <c r="AN20" s="1579"/>
      <c r="AO20" s="528"/>
      <c r="AP20" s="1579"/>
      <c r="AQ20" s="654"/>
      <c r="AR20" s="1533" t="str">
        <f aca="false">IF(W20="","",LOOKUP(W20,$B$49:$B$59,$R$49:$R$59)*X20)</f>
        <v/>
      </c>
      <c r="AS20" s="1430" t="str">
        <f aca="false">IF(Y20="","",LOOKUP(Y20,$B$49:$B$59,$R$49:$R$59)*Z20)</f>
        <v/>
      </c>
      <c r="AT20" s="1430" t="str">
        <f aca="false">IF(AB20="","",LOOKUP(AA20,$B$49:$B$59,$R$49:$R$59)*AB20)</f>
        <v/>
      </c>
      <c r="AU20" s="1430" t="str">
        <f aca="false">IF(AC20="","",LOOKUP(AC20,$B$49:$B$59,$R$49:$R$59)*AD20)</f>
        <v/>
      </c>
      <c r="AV20" s="1430" t="str">
        <f aca="false">IF(AE20="","",LOOKUP(AE20,$B$49:$B$59,$R$49:$R$59)*AF20)</f>
        <v/>
      </c>
      <c r="AW20" s="1430" t="str">
        <f aca="false">IF(AG20="","",LOOKUP(AG20,$B$49:$B$59,$R$49:$R$59)*AH20)</f>
        <v/>
      </c>
      <c r="AX20" s="1430" t="str">
        <f aca="false">IF(AI20="","",LOOKUP(AI20,$B$49:$B$59,$R$49:$R$59)*AJ20)</f>
        <v/>
      </c>
      <c r="AY20" s="1430" t="str">
        <f aca="false">IF(AK20="","",LOOKUP(AK20,$B$49:$B$59,$R$49:$R$59)*AL20)</f>
        <v/>
      </c>
      <c r="AZ20" s="1430" t="str">
        <f aca="false">IF(AM20="","",LOOKUP(AM20,$B$49:$B$59,$R$49:$R$59)*AN20)</f>
        <v/>
      </c>
      <c r="BA20" s="1430" t="str">
        <f aca="false">IF(AO20="","",LOOKUP(AO20,$B$49:$B$59,$R$49:$R$59)*AP20)</f>
        <v/>
      </c>
      <c r="BB20" s="1535" t="n">
        <f aca="false">SUM(AR20:BA20)</f>
        <v>0</v>
      </c>
      <c r="BC20" s="1533" t="str">
        <f aca="false">IF(W20="","",LOOKUP(W20,$B$49:$B$59,$P$49:$P$59)*X20)</f>
        <v/>
      </c>
      <c r="BD20" s="1430" t="str">
        <f aca="false">IF(Y20="","",LOOKUP(Y20,$B$49:$B$59,$P$49:$P$59)*Z20)</f>
        <v/>
      </c>
      <c r="BE20" s="1430" t="str">
        <f aca="false">IF(AA20="","",LOOKUP(AA20,$B$49:$B$59,$P$49:$P$59)*AB20)</f>
        <v/>
      </c>
      <c r="BF20" s="1430" t="str">
        <f aca="false">IF(AC20="","",LOOKUP(AC20,$B$49:$B$59,$P$49:$P$59)*AD20)</f>
        <v/>
      </c>
      <c r="BG20" s="1430" t="str">
        <f aca="false">IF(AE20="","",LOOKUP(AE20,$B$49:$B$59,$P$49:$P$59)*AF20)</f>
        <v/>
      </c>
      <c r="BH20" s="1430" t="str">
        <f aca="false">IF(AG20="","",LOOKUP(AG20,$B$49:$B$59,$P$49:$P$59)*AH20)</f>
        <v/>
      </c>
      <c r="BI20" s="1430" t="str">
        <f aca="false">IF(AI20="","",LOOKUP(AI20,$B$49:$B$59,$P$49:$P$59)*AJ20)</f>
        <v/>
      </c>
      <c r="BJ20" s="1430" t="str">
        <f aca="false">IF(AK20="","",LOOKUP(AK20,$B$49:$B$59,$P$49:$P$59)*AL20)</f>
        <v/>
      </c>
      <c r="BK20" s="1430" t="str">
        <f aca="false">IF(AM20="","",LOOKUP(AM20,$B$49:$B$59,$P$49:$P$59)*AN20)</f>
        <v/>
      </c>
      <c r="BL20" s="1430" t="str">
        <f aca="false">IF(AO20="","",LOOKUP(AO20,$B$49:$B$59,$P$49:$P$59)*AP20)</f>
        <v/>
      </c>
      <c r="BM20" s="1535" t="n">
        <f aca="false">SUM(BC20:BL20)*BQ20</f>
        <v>0</v>
      </c>
      <c r="BN20" s="1536" t="n">
        <f aca="false">BM20+BO20</f>
        <v>0</v>
      </c>
      <c r="BO20" s="1536" t="n">
        <f aca="false">IF(M20=0,0,(M20/12+M20/12)/(M20/12*M20/12)*D20*((L20/16*L20/16)*10.6870159))*(1+K$70)*BQ20</f>
        <v>0</v>
      </c>
      <c r="BP20" s="1536" t="n">
        <f aca="false">IF(O20="Y",D20*(1+K$71)*BQ20,0)</f>
        <v>0</v>
      </c>
      <c r="BQ20" s="1538" t="n">
        <f aca="false">G20</f>
        <v>0</v>
      </c>
      <c r="BR20" s="1411" t="n">
        <f aca="false">IF(O20="y",D20,0)</f>
        <v>0</v>
      </c>
      <c r="BS20" s="1567" t="n">
        <f aca="false">IF($I20=1,$Q20,0)*BQ20</f>
        <v>0</v>
      </c>
      <c r="BT20" s="1536" t="n">
        <f aca="false">IF($I20=2,$Q20,0)*BQ20</f>
        <v>0</v>
      </c>
      <c r="BU20" s="1536" t="n">
        <f aca="false">IF($I20=3,$Q20,0)*BQ20</f>
        <v>0</v>
      </c>
      <c r="BV20" s="1536" t="n">
        <f aca="false">IF($I20=4,$Q20,0)*BQ20</f>
        <v>0</v>
      </c>
      <c r="BW20" s="1536" t="n">
        <f aca="false">IF($I20=5,$Q20,0)*BQ20</f>
        <v>0</v>
      </c>
      <c r="BX20" s="1537" t="n">
        <f aca="false">IF($I20=6,$Q20,0)*BQ20</f>
        <v>0</v>
      </c>
      <c r="BY20" s="1537" t="n">
        <f aca="false">IF($I20=7,$Q20,0)*BQ20</f>
        <v>0</v>
      </c>
      <c r="BZ20" s="1537" t="n">
        <f aca="false">IF($I20=8,$Q20,0)*BQ20</f>
        <v>0</v>
      </c>
      <c r="CA20" s="1537" t="n">
        <f aca="false">IF($I20=9,$Q20,0)*BQ20</f>
        <v>0</v>
      </c>
      <c r="CB20" s="1569" t="n">
        <f aca="false">IF($I20=10,$Q20,0)*BQ20</f>
        <v>0</v>
      </c>
      <c r="CC20" s="1538" t="n">
        <f aca="false">SUM(BS20:BX20)</f>
        <v>0</v>
      </c>
      <c r="CD20" s="1538" t="n">
        <f aca="false">IF(H20="N",0,D20)*BQ20</f>
        <v>0</v>
      </c>
      <c r="CE20" s="1538" t="n">
        <f aca="false">K20*BQ20</f>
        <v>0</v>
      </c>
      <c r="CF20" s="1542" t="n">
        <f aca="false">IF(W20="",0,LOOKUP(W20,B$49:B$59,D$49:D$59)*X20/12)</f>
        <v>0</v>
      </c>
      <c r="CG20" s="1542" t="n">
        <f aca="false">IF(Y20="",0,LOOKUP(Y20,B$49:B$59,D$49:D$59)*Z20/12)</f>
        <v>0</v>
      </c>
      <c r="CH20" s="1542" t="n">
        <f aca="false">IF(AA20="",0,LOOKUP(AA20,B$49:B$59,D$49:D$59)*AB20/12)</f>
        <v>0</v>
      </c>
      <c r="CI20" s="1538" t="n">
        <f aca="false">D20*BQ20</f>
        <v>0</v>
      </c>
      <c r="CJ20" s="1538" t="n">
        <f aca="false">D20*J20/324*(1+K$73)*G20</f>
        <v>0</v>
      </c>
      <c r="CK20" s="1538" t="str">
        <f aca="false">IF(N20="","",N20)</f>
        <v/>
      </c>
      <c r="CL20" s="1538" t="n">
        <f aca="false">P20*BQ20</f>
        <v>0</v>
      </c>
      <c r="CM20" s="1543" t="n">
        <f aca="false">IF(BQ20=0,0,SUM(CN20:DC20)/BQ20)</f>
        <v>0</v>
      </c>
      <c r="CN20" s="656" t="n">
        <f aca="false">(BS20*Pricing!F$3+BT20*Pricing!G$3+BU20*Pricing!H$3+BV20*Pricing!I$3+BW20*Pricing!J$3+BX20*Pricing!K$3)*IF(W$44="N",(1+Y$44),1)</f>
        <v>0</v>
      </c>
      <c r="CO20" s="656" t="n">
        <f aca="false">BN20*G$70*IF(W$44="n",1+Y$44,1)</f>
        <v>0</v>
      </c>
      <c r="CP20" s="656" t="n">
        <f aca="false">C20*D20</f>
        <v>0</v>
      </c>
      <c r="CQ20" s="656" t="n">
        <f aca="false">IF(I$79=0,0,D20*(SUM(O$79:P$82)+O$85)/I$79*BQ20)</f>
        <v>0</v>
      </c>
      <c r="CR20" s="656" t="n">
        <f aca="false">IF(CF20="",0,CF20*E$83)+IF(CG20="",0,CG20*E$83)+IF(CH20="",0,CH20*E$83)</f>
        <v>0</v>
      </c>
      <c r="CS20" s="656"/>
      <c r="CT20" s="656" t="n">
        <f aca="false">IF(I$87=0,0,(P20-(D20*0.35))/2000*E$87)</f>
        <v>0</v>
      </c>
      <c r="CU20" s="656" t="n">
        <f aca="false">IF(D$42=0,0,SUM(O$91:P$93)/D$42*D20)*BQ20</f>
        <v>0</v>
      </c>
      <c r="CV20" s="656" t="n">
        <f aca="false">IF(D$42=0,0,SUM(Z$66:Z$97)/D$42*D20*BQ20)</f>
        <v>0</v>
      </c>
      <c r="CW20" s="656" t="n">
        <f aca="false">IF(D$42=0,0,SUM(O$96:P$101)/D$42*D20)*BQ20</f>
        <v>0</v>
      </c>
      <c r="CX20" s="656" t="n">
        <f aca="false">IF(D$42=0,0,SUM(O$103:O$110)/D$42)*D20*BQ20</f>
        <v>0</v>
      </c>
      <c r="CY20" s="656" t="n">
        <f aca="false">IF(I$79=0,0,IF(I$79=0,0,SUM(Z$98:Z$109)/I$79*D20))</f>
        <v>0</v>
      </c>
      <c r="CZ20" s="656" t="n">
        <f aca="false">IF(J$72&gt;0,J$72/D$42*D20*G20,CD20*(G$72*IF(W$44="n",(1+Y$44),1)))</f>
        <v>0</v>
      </c>
      <c r="DA20" s="656" t="str">
        <f aca="false">IF(CK20="","",CK20*E$86)</f>
        <v/>
      </c>
      <c r="DB20" s="656" t="n">
        <f aca="false">BP20*G$71*IF(W$44="Y",1,1+Y$44)</f>
        <v>0</v>
      </c>
      <c r="DC20" s="656" t="n">
        <f aca="false">CJ20*G$73*IF(W$44="Y",1,1+Y$44)</f>
        <v>0</v>
      </c>
      <c r="DD20" s="1546"/>
      <c r="DE20" s="654" t="n">
        <f aca="false">IF(W20=1,X20*$AS$49,0)+IF(W20=2,X20*$AS$50,0)+IF(W20=3,X20*$AS$51,0)+IF(W20=4,X20*$AS$52,0)+IF(W20=5,X20*$AS$53,0)+IF(W20=6,X20*$AS$54)+IF(W20=7,X20*$AS$55)+IF(W20=8,X20*$AS$56)+IF(W20=9,X20*$AS$57)+IF(W20=10,X20*$AS$58)+IF(W20=11,X20*$AS$59,0)</f>
        <v>0</v>
      </c>
      <c r="DF20" s="654" t="n">
        <f aca="false">IF(Y20=1,Z20*$AS$49,0)+IF(Y20=2,Z20*$AS$50,0)+IF(Y20=3,Z20*$AS$51,0)+IF(Y20=4,Z20*$AS$52,0)+IF(Y20=5,Z20*$AS$53,0)+IF(Y20=6,Z20*$AS$54)+IF(Y20=7,Z20*$AS$55)+IF(Y20=8,Z20*$AS$56)+IF(Y20=9,Z20*$AS$57)+IF(Y20=10,Z20*$AS$58)+IF(Y20=11,Z20*$AS$59,0)</f>
        <v>0</v>
      </c>
      <c r="DG20" s="654" t="n">
        <f aca="false">IF(AA20=1,AB20*$AS$49,0)+IF(AA20=2,AB20*$AS$50,0)+IF(AA20=3,AB20*$AS$51,0)+IF(AA20=4,AB20*$AS$52,0)+IF(AA20=5,AB20*$AS$53,0)+IF(AA20=6,AB20*$AS$54)+IF(AA20=7,AB20*$AS$55)+IF(AA20=8,AB20*$AS$56)+IF(AA20=9,AB20*$AS$57)+IF(AA20=10,AB20*$AS$58)+IF(AA20=11,AB20*$AS$59,0)</f>
        <v>0</v>
      </c>
      <c r="DH20" s="654" t="n">
        <f aca="false">IF(AC20=1,AD20*$AS$49,0)+IF(AC20=2,AD20*$AS$50,0)+IF(AC20=3,AD20*$AS$51,0)+IF(AC20=4,AD20*$AS$52,0)+IF(AC20=5,AD20*$AS$53,0)+IF(AC20=6,AD20*$AS$54)+IF(AC20=7,AD20*$AS$55)+IF(AC20=8,AD20*$AS$56)+IF(AC20=9,AD20*$AS$57)+IF(AC20=10,AD20*$AS$58)+IF(AC20=11,AD20*$AS$59,0)</f>
        <v>0</v>
      </c>
      <c r="DI20" s="654" t="n">
        <f aca="false">IF(AE20=1,AF20*$AS$49,0)+IF(AE20=2,AF20*$AS$50,0)+IF(AE20=3,AF20*$AS$51,0)+IF(AE20=4,AF20*$AS$52,0)+IF(AE20=5,AF20*$AS$53,0)+IF(AE20=6,AF20*$AS$54)+IF(AE20=7,AF20*$AS$55)+IF(AE20=8,AF20*$AS$56)+IF(AE20=9,AF20*$AS$57)+IF(AE20=10,AF20*$AS$58)+IF(AE20=11,AF20*$AS$59,0)</f>
        <v>0</v>
      </c>
      <c r="DJ20" s="654" t="n">
        <f aca="false">IF(AG20=1,AH20*$AS$49,0)+IF(AG20=2,AH20*$AS$50,0)+IF(AG20=3,AH20*$AS$51,0)+IF(AG20=4,AH20*$AS$52,0)+IF(AG20=5,AH20*$AS$53,0)+IF(AG20=6,AH20*$AS$54)+IF(AG20=7,AH20*$AS$55)+IF(AG20=8,AH20*$AS$56)+IF(AG20=9,AH20*$AS$57)+IF(AG20=10,AH20*$AS$58)+IF(AG20=11,AH20*$AS$59,0)</f>
        <v>0</v>
      </c>
      <c r="DK20" s="654" t="n">
        <f aca="false">IF(AI20=1,AJ20*$AS$49,0)+IF(AI20=2,AJ20*$AS$50,0)+IF(AI20=3,AJ20*$AS$51,0)+IF(AI20=4,AJ20*$AS$52,0)+IF(AI20=5,AJ20*$AS$53,0)+IF(AI20=6,AJ20*$AS$54)+IF(AI20=7,AJ20*$AS$55)+IF(AI20=8,AJ20*$AS$56)+IF(AI20=9,AJ20*$AS$57)+IF(AI20=10,AJ20*$AS$58)+IF(AI20=11,AJ20*$AS$59,0)</f>
        <v>0</v>
      </c>
      <c r="DL20" s="654" t="n">
        <f aca="false">IF(AK20=1,AL20*$AS$49,0)+IF(AK20=2,AL20*$AS$50,0)+IF(AK20=3,AL20*$AS$51,0)+IF(AK20=4,AL20*$AS$52,0)+IF(AK20=5,AL20*$AS$53,0)+IF(AK20=6,AL20*$AS$54)+IF(AK20=7,AL20*$AS$55)+IF(AK20=8,AL20*$AS$56)+IF(AK20=9,AL20*$AS$57)+IF(AK20=10,AL20*$AS$58)+IF(AK20=11,AL20*$AS$59,0)</f>
        <v>0</v>
      </c>
      <c r="DM20" s="654" t="n">
        <f aca="false">IF(AM20=1,AN20*$AS$49,0)+IF(AM20=2,AN20*$AS$50,0)+IF(AM20=3,AN20*$AS$51,0)+IF(AM20=4,AN20*$AS$52,0)+IF(AM20=5,AN20*$AS$53,0)+IF(AM20=6,AN20*$AS$54)+IF(AM20=7,AN20*$AS$55)+IF(AM20=8,AN20*$AS$56)+IF(AM20=9,AN20*$AS$57)+IF(AM20=10,AN20*$AS$58)+IF(AM20=11,AN20*$AS$59,0)</f>
        <v>0</v>
      </c>
      <c r="DN20" s="654" t="n">
        <f aca="false">IF(AO20=1,AP20*$AS$49,0)+IF(AO20=2,AP20*$AS$50,0)+IF(AO20=3,AP20*$AS$51,0)+IF(AO20=4,AP20*$AS$52,0)+IF(AO20=5,AP20*$AS$53,0)+IF(AO20=6,AP20*$AS$54)+IF(AO20=7,AP20*$AS$55)+IF(AO20=8,AP20*$AS$56)+IF(AO20=9,AP20*$AS$57)+IF(AO20=10,AP20*$AS$58)+IF(AO20=11,AP20*$AS$59,0)</f>
        <v>0</v>
      </c>
      <c r="DO20" s="1569" t="n">
        <f aca="false">D20</f>
        <v>0</v>
      </c>
    </row>
    <row r="21" customFormat="false" ht="19.5" hidden="false" customHeight="true" outlineLevel="0" collapsed="false">
      <c r="A21" s="2672" t="s">
        <v>1077</v>
      </c>
      <c r="B21" s="1549"/>
      <c r="C21" s="1550"/>
      <c r="D21" s="1551"/>
      <c r="E21" s="1552"/>
      <c r="F21" s="1074"/>
      <c r="G21" s="1553"/>
      <c r="H21" s="1074"/>
      <c r="I21" s="1553"/>
      <c r="J21" s="1074"/>
      <c r="K21" s="1554"/>
      <c r="L21" s="1555"/>
      <c r="M21" s="1556"/>
      <c r="N21" s="1557"/>
      <c r="O21" s="1558"/>
      <c r="P21" s="1515" t="n">
        <f aca="false">IF(BQ21=0,0,BN21/BQ21)</f>
        <v>0</v>
      </c>
      <c r="Q21" s="1516" t="n">
        <f aca="false">(D21*F21/324)*(1+K$65)+BB21</f>
        <v>0</v>
      </c>
      <c r="R21" s="1517" t="n">
        <f aca="false">IF(D21=0,0,S21/D21)</f>
        <v>0</v>
      </c>
      <c r="S21" s="1518" t="n">
        <f aca="false">SUM(CM21)*(1+M$45)</f>
        <v>0</v>
      </c>
      <c r="T21" s="1519" t="n">
        <f aca="false">ROUND((CF21+CG21+CH21),0)</f>
        <v>0</v>
      </c>
      <c r="U21" s="1520" t="n">
        <f aca="false">IF(P21-(D21*0.45)&lt;0,0,P21-(D21*0.45))</f>
        <v>0</v>
      </c>
      <c r="V21" s="1521" t="n">
        <f aca="false">IF(D21="",0,IF(D21/-30+Q21&lt;1,0,D21/-30+Q21))</f>
        <v>0</v>
      </c>
      <c r="W21" s="1559"/>
      <c r="X21" s="1862"/>
      <c r="Y21" s="1559"/>
      <c r="Z21" s="1577"/>
      <c r="AA21" s="1559"/>
      <c r="AB21" s="1577"/>
      <c r="AC21" s="1562"/>
      <c r="AD21" s="1862"/>
      <c r="AE21" s="1559"/>
      <c r="AF21" s="2675"/>
      <c r="AG21" s="1595"/>
      <c r="AH21" s="2675"/>
      <c r="AI21" s="1559"/>
      <c r="AJ21" s="1862"/>
      <c r="AK21" s="1559"/>
      <c r="AL21" s="2675"/>
      <c r="AM21" s="1559"/>
      <c r="AN21" s="1577"/>
      <c r="AO21" s="1559"/>
      <c r="AP21" s="1577"/>
      <c r="AQ21" s="654"/>
      <c r="AR21" s="1533" t="str">
        <f aca="false">IF(W21="","",LOOKUP(W21,$B$49:$B$59,$R$49:$R$59)*X21)</f>
        <v/>
      </c>
      <c r="AS21" s="1430" t="str">
        <f aca="false">IF(Y21="","",LOOKUP(Y21,$B$49:$B$59,$R$49:$R$59)*Z21)</f>
        <v/>
      </c>
      <c r="AT21" s="1430" t="str">
        <f aca="false">IF(AB21="","",LOOKUP(AA21,$B$49:$B$59,$R$49:$R$59)*AB21)</f>
        <v/>
      </c>
      <c r="AU21" s="1430" t="str">
        <f aca="false">IF(AC21="","",LOOKUP(AC21,$B$49:$B$59,$R$49:$R$59)*AD21)</f>
        <v/>
      </c>
      <c r="AV21" s="1430" t="str">
        <f aca="false">IF(AE21="","",LOOKUP(AE21,$B$49:$B$59,$R$49:$R$59)*AF21)</f>
        <v/>
      </c>
      <c r="AW21" s="1430" t="str">
        <f aca="false">IF(AG21="","",LOOKUP(AG21,$B$49:$B$59,$R$49:$R$59)*AH21)</f>
        <v/>
      </c>
      <c r="AX21" s="1430" t="str">
        <f aca="false">IF(AI21="","",LOOKUP(AI21,$B$49:$B$59,$R$49:$R$59)*AJ21)</f>
        <v/>
      </c>
      <c r="AY21" s="1430" t="str">
        <f aca="false">IF(AK21="","",LOOKUP(AK21,$B$49:$B$59,$R$49:$R$59)*AL21)</f>
        <v/>
      </c>
      <c r="AZ21" s="1430" t="str">
        <f aca="false">IF(AM21="","",LOOKUP(AM21,$B$49:$B$59,$R$49:$R$59)*AN21)</f>
        <v/>
      </c>
      <c r="BA21" s="1430" t="str">
        <f aca="false">IF(AO21="","",LOOKUP(AO21,$B$49:$B$59,$R$49:$R$59)*AP21)</f>
        <v/>
      </c>
      <c r="BB21" s="1535" t="n">
        <f aca="false">SUM(AR21:BA21)</f>
        <v>0</v>
      </c>
      <c r="BC21" s="1533" t="str">
        <f aca="false">IF(W21="","",LOOKUP(W21,$B$49:$B$59,$P$49:$P$59)*X21)</f>
        <v/>
      </c>
      <c r="BD21" s="1430" t="str">
        <f aca="false">IF(Y21="","",LOOKUP(Y21,$B$49:$B$59,$P$49:$P$59)*Z21)</f>
        <v/>
      </c>
      <c r="BE21" s="1430" t="str">
        <f aca="false">IF(AA21="","",LOOKUP(AA21,$B$49:$B$59,$P$49:$P$59)*AB21)</f>
        <v/>
      </c>
      <c r="BF21" s="1430" t="str">
        <f aca="false">IF(AC21="","",LOOKUP(AC21,$B$49:$B$59,$P$49:$P$59)*AD21)</f>
        <v/>
      </c>
      <c r="BG21" s="1430" t="str">
        <f aca="false">IF(AE21="","",LOOKUP(AE21,$B$49:$B$59,$P$49:$P$59)*AF21)</f>
        <v/>
      </c>
      <c r="BH21" s="1430" t="str">
        <f aca="false">IF(AG21="","",LOOKUP(AG21,$B$49:$B$59,$P$49:$P$59)*AH21)</f>
        <v/>
      </c>
      <c r="BI21" s="1430" t="str">
        <f aca="false">IF(AI21="","",LOOKUP(AI21,$B$49:$B$59,$P$49:$P$59)*AJ21)</f>
        <v/>
      </c>
      <c r="BJ21" s="1430" t="str">
        <f aca="false">IF(AK21="","",LOOKUP(AK21,$B$49:$B$59,$P$49:$P$59)*AL21)</f>
        <v/>
      </c>
      <c r="BK21" s="1430" t="str">
        <f aca="false">IF(AM21="","",LOOKUP(AM21,$B$49:$B$59,$P$49:$P$59)*AN21)</f>
        <v/>
      </c>
      <c r="BL21" s="1430" t="str">
        <f aca="false">IF(AO21="","",LOOKUP(AO21,$B$49:$B$59,$P$49:$P$59)*AP21)</f>
        <v/>
      </c>
      <c r="BM21" s="1535" t="n">
        <f aca="false">SUM(BC21:BL21)*BQ21</f>
        <v>0</v>
      </c>
      <c r="BN21" s="1536" t="n">
        <f aca="false">BM21+BO21</f>
        <v>0</v>
      </c>
      <c r="BO21" s="1536" t="n">
        <f aca="false">IF(M21=0,0,(M21/12+M21/12)/(M21/12*M21/12)*D21*((L21/16*L21/16)*10.6870159))*(1+K$70)*BQ21</f>
        <v>0</v>
      </c>
      <c r="BP21" s="1536" t="n">
        <f aca="false">IF(O21="Y",D21*(1+K$71)*BQ21,0)</f>
        <v>0</v>
      </c>
      <c r="BQ21" s="1538" t="n">
        <f aca="false">G21</f>
        <v>0</v>
      </c>
      <c r="BR21" s="1411" t="n">
        <f aca="false">IF(O21="y",D21,0)</f>
        <v>0</v>
      </c>
      <c r="BS21" s="1567" t="n">
        <f aca="false">IF($I21=1,$Q21,0)*BQ21</f>
        <v>0</v>
      </c>
      <c r="BT21" s="1536" t="n">
        <f aca="false">IF($I21=2,$Q21,0)*BQ21</f>
        <v>0</v>
      </c>
      <c r="BU21" s="1536" t="n">
        <f aca="false">IF($I21=3,$Q21,0)*BQ21</f>
        <v>0</v>
      </c>
      <c r="BV21" s="1536" t="n">
        <f aca="false">IF($I21=4,$Q21,0)*BQ21</f>
        <v>0</v>
      </c>
      <c r="BW21" s="1536" t="n">
        <f aca="false">IF($I21=5,$Q21,0)*BQ21</f>
        <v>0</v>
      </c>
      <c r="BX21" s="1537" t="n">
        <f aca="false">IF($I21=6,$Q21,0)*BQ21</f>
        <v>0</v>
      </c>
      <c r="BY21" s="1537" t="n">
        <f aca="false">IF($I21=7,$Q21,0)*BQ21</f>
        <v>0</v>
      </c>
      <c r="BZ21" s="1537" t="n">
        <f aca="false">IF($I21=8,$Q21,0)*BQ21</f>
        <v>0</v>
      </c>
      <c r="CA21" s="1537" t="n">
        <f aca="false">IF($I21=9,$Q21,0)*BQ21</f>
        <v>0</v>
      </c>
      <c r="CB21" s="1569" t="n">
        <f aca="false">IF($I21=10,$Q21,0)*BQ21</f>
        <v>0</v>
      </c>
      <c r="CC21" s="1538" t="n">
        <f aca="false">SUM(BS21:BX21)</f>
        <v>0</v>
      </c>
      <c r="CD21" s="1538" t="n">
        <f aca="false">IF(H21="N",0,D21)*BQ21</f>
        <v>0</v>
      </c>
      <c r="CE21" s="1538" t="n">
        <f aca="false">K21*BQ21</f>
        <v>0</v>
      </c>
      <c r="CF21" s="1542" t="n">
        <f aca="false">IF(W21="",0,LOOKUP(W21,B$49:B$59,D$49:D$59)*X21/12)</f>
        <v>0</v>
      </c>
      <c r="CG21" s="1542" t="n">
        <f aca="false">IF(Y21="",0,LOOKUP(Y21,B$49:B$59,D$49:D$59)*Z21/12)</f>
        <v>0</v>
      </c>
      <c r="CH21" s="1542" t="n">
        <f aca="false">IF(AA21="",0,LOOKUP(AA21,B$49:B$59,D$49:D$59)*AB21/12)</f>
        <v>0</v>
      </c>
      <c r="CI21" s="1538" t="n">
        <f aca="false">D21*BQ21</f>
        <v>0</v>
      </c>
      <c r="CJ21" s="1538" t="n">
        <f aca="false">D21*J21/324*(1+K$73)*G21</f>
        <v>0</v>
      </c>
      <c r="CK21" s="1538" t="str">
        <f aca="false">IF(N21="","",N21)</f>
        <v/>
      </c>
      <c r="CL21" s="1538" t="n">
        <f aca="false">P21*BQ21</f>
        <v>0</v>
      </c>
      <c r="CM21" s="1543" t="n">
        <f aca="false">IF(BQ21=0,0,SUM(CN21:DC21)/BQ21)</f>
        <v>0</v>
      </c>
      <c r="CN21" s="656" t="n">
        <f aca="false">(BS21*Pricing!F$3+BT21*Pricing!G$3+BU21*Pricing!H$3+BV21*Pricing!I$3+BW21*Pricing!J$3+BX21*Pricing!K$3)*IF(W$44="N",(1+Y$44),1)</f>
        <v>0</v>
      </c>
      <c r="CO21" s="656" t="n">
        <f aca="false">BN21*G$70*IF(W$44="n",1+Y$44,1)</f>
        <v>0</v>
      </c>
      <c r="CP21" s="656" t="n">
        <f aca="false">C21*D21</f>
        <v>0</v>
      </c>
      <c r="CQ21" s="656" t="n">
        <f aca="false">IF(I$79=0,0,D21*(SUM(O$79:P$82)+O$85)/I$79*BQ21)</f>
        <v>0</v>
      </c>
      <c r="CR21" s="656" t="n">
        <f aca="false">IF(CF21="",0,CF21*E$83)+IF(CG21="",0,CG21*E$83)+IF(CH21="",0,CH21*E$83)</f>
        <v>0</v>
      </c>
      <c r="CS21" s="656"/>
      <c r="CT21" s="656" t="n">
        <f aca="false">IF(I$87=0,0,(P21-(D21*0.35))/2000*E$87)</f>
        <v>0</v>
      </c>
      <c r="CU21" s="656" t="n">
        <f aca="false">IF(D$42=0,0,SUM(O$91:P$93)/D$42*D21)*BQ21</f>
        <v>0</v>
      </c>
      <c r="CV21" s="656" t="n">
        <f aca="false">IF(D$42=0,0,SUM(Z$66:Z$97)/D$42*D21*BQ21)</f>
        <v>0</v>
      </c>
      <c r="CW21" s="656" t="n">
        <f aca="false">IF(D$42=0,0,SUM(O$96:P$101)/D$42*D21)*BQ21</f>
        <v>0</v>
      </c>
      <c r="CX21" s="656" t="n">
        <f aca="false">IF(D$42=0,0,SUM(O$103:O$110)/D$42)*D21*BQ21</f>
        <v>0</v>
      </c>
      <c r="CY21" s="656" t="n">
        <f aca="false">IF(I$79=0,0,IF(I$79=0,0,SUM(Z$98:Z$109)/I$79*D21))</f>
        <v>0</v>
      </c>
      <c r="CZ21" s="656" t="n">
        <f aca="false">IF(J$72&gt;0,J$72/D$42*D21*G21,CD21*(G$72*IF(W$44="n",(1+Y$44),1)))</f>
        <v>0</v>
      </c>
      <c r="DA21" s="656" t="str">
        <f aca="false">IF(CK21="","",CK21*E$86)</f>
        <v/>
      </c>
      <c r="DB21" s="656" t="n">
        <f aca="false">BP21*G$71*IF(W$44="Y",1,1+Y$44)</f>
        <v>0</v>
      </c>
      <c r="DC21" s="656" t="n">
        <f aca="false">CJ21*G$73*IF(W$44="Y",1,1+Y$44)</f>
        <v>0</v>
      </c>
      <c r="DD21" s="1546"/>
      <c r="DE21" s="654" t="n">
        <f aca="false">IF(W21=1,X21*$AS$49,0)+IF(W21=2,X21*$AS$50,0)+IF(W21=3,X21*$AS$51,0)+IF(W21=4,X21*$AS$52,0)+IF(W21=5,X21*$AS$53,0)+IF(W21=6,X21*$AS$54)+IF(W21=7,X21*$AS$55)+IF(W21=8,X21*$AS$56)+IF(W21=9,X21*$AS$57)+IF(W21=10,X21*$AS$58)+IF(W21=11,X21*$AS$59,0)</f>
        <v>0</v>
      </c>
      <c r="DF21" s="654" t="n">
        <f aca="false">IF(Y21=1,Z21*$AS$49,0)+IF(Y21=2,Z21*$AS$50,0)+IF(Y21=3,Z21*$AS$51,0)+IF(Y21=4,Z21*$AS$52,0)+IF(Y21=5,Z21*$AS$53,0)+IF(Y21=6,Z21*$AS$54)+IF(Y21=7,Z21*$AS$55)+IF(Y21=8,Z21*$AS$56)+IF(Y21=9,Z21*$AS$57)+IF(Y21=10,Z21*$AS$58)+IF(Y21=11,Z21*$AS$59,0)</f>
        <v>0</v>
      </c>
      <c r="DG21" s="654" t="n">
        <f aca="false">IF(AA21=1,AB21*$AS$49,0)+IF(AA21=2,AB21*$AS$50,0)+IF(AA21=3,AB21*$AS$51,0)+IF(AA21=4,AB21*$AS$52,0)+IF(AA21=5,AB21*$AS$53,0)+IF(AA21=6,AB21*$AS$54)+IF(AA21=7,AB21*$AS$55)+IF(AA21=8,AB21*$AS$56)+IF(AA21=9,AB21*$AS$57)+IF(AA21=10,AB21*$AS$58)+IF(AA21=11,AB21*$AS$59,0)</f>
        <v>0</v>
      </c>
      <c r="DH21" s="654" t="n">
        <f aca="false">IF(AC21=1,AD21*$AS$49,0)+IF(AC21=2,AD21*$AS$50,0)+IF(AC21=3,AD21*$AS$51,0)+IF(AC21=4,AD21*$AS$52,0)+IF(AC21=5,AD21*$AS$53,0)+IF(AC21=6,AD21*$AS$54)+IF(AC21=7,AD21*$AS$55)+IF(AC21=8,AD21*$AS$56)+IF(AC21=9,AD21*$AS$57)+IF(AC21=10,AD21*$AS$58)+IF(AC21=11,AD21*$AS$59,0)</f>
        <v>0</v>
      </c>
      <c r="DI21" s="654" t="n">
        <f aca="false">IF(AE21=1,AF21*$AS$49,0)+IF(AE21=2,AF21*$AS$50,0)+IF(AE21=3,AF21*$AS$51,0)+IF(AE21=4,AF21*$AS$52,0)+IF(AE21=5,AF21*$AS$53,0)+IF(AE21=6,AF21*$AS$54)+IF(AE21=7,AF21*$AS$55)+IF(AE21=8,AF21*$AS$56)+IF(AE21=9,AF21*$AS$57)+IF(AE21=10,AF21*$AS$58)+IF(AE21=11,AF21*$AS$59,0)</f>
        <v>0</v>
      </c>
      <c r="DJ21" s="654" t="n">
        <f aca="false">IF(AG21=1,AH21*$AS$49,0)+IF(AG21=2,AH21*$AS$50,0)+IF(AG21=3,AH21*$AS$51,0)+IF(AG21=4,AH21*$AS$52,0)+IF(AG21=5,AH21*$AS$53,0)+IF(AG21=6,AH21*$AS$54)+IF(AG21=7,AH21*$AS$55)+IF(AG21=8,AH21*$AS$56)+IF(AG21=9,AH21*$AS$57)+IF(AG21=10,AH21*$AS$58)+IF(AG21=11,AH21*$AS$59,0)</f>
        <v>0</v>
      </c>
      <c r="DK21" s="654" t="n">
        <f aca="false">IF(AI21=1,AJ21*$AS$49,0)+IF(AI21=2,AJ21*$AS$50,0)+IF(AI21=3,AJ21*$AS$51,0)+IF(AI21=4,AJ21*$AS$52,0)+IF(AI21=5,AJ21*$AS$53,0)+IF(AI21=6,AJ21*$AS$54)+IF(AI21=7,AJ21*$AS$55)+IF(AI21=8,AJ21*$AS$56)+IF(AI21=9,AJ21*$AS$57)+IF(AI21=10,AJ21*$AS$58)+IF(AI21=11,AJ21*$AS$59,0)</f>
        <v>0</v>
      </c>
      <c r="DL21" s="654" t="n">
        <f aca="false">IF(AK21=1,AL21*$AS$49,0)+IF(AK21=2,AL21*$AS$50,0)+IF(AK21=3,AL21*$AS$51,0)+IF(AK21=4,AL21*$AS$52,0)+IF(AK21=5,AL21*$AS$53,0)+IF(AK21=6,AL21*$AS$54)+IF(AK21=7,AL21*$AS$55)+IF(AK21=8,AL21*$AS$56)+IF(AK21=9,AL21*$AS$57)+IF(AK21=10,AL21*$AS$58)+IF(AK21=11,AL21*$AS$59,0)</f>
        <v>0</v>
      </c>
      <c r="DM21" s="654" t="n">
        <f aca="false">IF(AM21=1,AN21*$AS$49,0)+IF(AM21=2,AN21*$AS$50,0)+IF(AM21=3,AN21*$AS$51,0)+IF(AM21=4,AN21*$AS$52,0)+IF(AM21=5,AN21*$AS$53,0)+IF(AM21=6,AN21*$AS$54)+IF(AM21=7,AN21*$AS$55)+IF(AM21=8,AN21*$AS$56)+IF(AM21=9,AN21*$AS$57)+IF(AM21=10,AN21*$AS$58)+IF(AM21=11,AN21*$AS$59,0)</f>
        <v>0</v>
      </c>
      <c r="DN21" s="654" t="n">
        <f aca="false">IF(AO21=1,AP21*$AS$49,0)+IF(AO21=2,AP21*$AS$50,0)+IF(AO21=3,AP21*$AS$51,0)+IF(AO21=4,AP21*$AS$52,0)+IF(AO21=5,AP21*$AS$53,0)+IF(AO21=6,AP21*$AS$54)+IF(AO21=7,AP21*$AS$55)+IF(AO21=8,AP21*$AS$56)+IF(AO21=9,AP21*$AS$57)+IF(AO21=10,AP21*$AS$58)+IF(AO21=11,AP21*$AS$59,0)</f>
        <v>0</v>
      </c>
      <c r="DO21" s="1569" t="n">
        <f aca="false">D21</f>
        <v>0</v>
      </c>
    </row>
    <row r="22" customFormat="false" ht="19.5" hidden="false" customHeight="true" outlineLevel="0" collapsed="false">
      <c r="A22" s="2672" t="s">
        <v>1078</v>
      </c>
      <c r="B22" s="920"/>
      <c r="C22" s="1506"/>
      <c r="D22" s="1507"/>
      <c r="E22" s="1508"/>
      <c r="F22" s="1074"/>
      <c r="G22" s="1553"/>
      <c r="H22" s="1074"/>
      <c r="I22" s="1553"/>
      <c r="J22" s="1074"/>
      <c r="K22" s="1583"/>
      <c r="L22" s="528"/>
      <c r="M22" s="895"/>
      <c r="N22" s="1513"/>
      <c r="O22" s="1514"/>
      <c r="P22" s="1515" t="n">
        <f aca="false">IF(BQ22=0,0,BN22/BQ22)</f>
        <v>0</v>
      </c>
      <c r="Q22" s="1516" t="n">
        <f aca="false">(D22*F22/324)*(1+K$65)+BB22</f>
        <v>0</v>
      </c>
      <c r="R22" s="1517" t="n">
        <f aca="false">IF(D22=0,0,S22/D22)</f>
        <v>0</v>
      </c>
      <c r="S22" s="1518" t="n">
        <f aca="false">SUM(CM22)*(1+M$45)</f>
        <v>0</v>
      </c>
      <c r="T22" s="1519" t="n">
        <f aca="false">ROUND((CF22+CG22+CH22),0)</f>
        <v>0</v>
      </c>
      <c r="U22" s="1520" t="n">
        <f aca="false">IF(P22-(D22*0.45)&lt;0,0,P22-(D22*0.45))</f>
        <v>0</v>
      </c>
      <c r="V22" s="1521" t="n">
        <f aca="false">IF(D22="",0,IF(D22/-30+Q22&lt;1,0,D22/-30+Q22))</f>
        <v>0</v>
      </c>
      <c r="W22" s="1511"/>
      <c r="X22" s="2676"/>
      <c r="Y22" s="528"/>
      <c r="Z22" s="1574"/>
      <c r="AA22" s="528"/>
      <c r="AB22" s="1574"/>
      <c r="AC22" s="1585"/>
      <c r="AD22" s="2676"/>
      <c r="AE22" s="528"/>
      <c r="AF22" s="1592"/>
      <c r="AG22" s="528"/>
      <c r="AH22" s="1592"/>
      <c r="AI22" s="4"/>
      <c r="AJ22" s="1858"/>
      <c r="AK22" s="528"/>
      <c r="AL22" s="1592"/>
      <c r="AM22" s="528"/>
      <c r="AN22" s="1574"/>
      <c r="AO22" s="528"/>
      <c r="AP22" s="1574"/>
      <c r="AQ22" s="654"/>
      <c r="AR22" s="1533" t="str">
        <f aca="false">IF(W22="","",LOOKUP(W22,$B$49:$B$59,$R$49:$R$59)*X22)</f>
        <v/>
      </c>
      <c r="AS22" s="1430" t="str">
        <f aca="false">IF(Y22="","",LOOKUP(Y22,$B$49:$B$59,$R$49:$R$59)*Z22)</f>
        <v/>
      </c>
      <c r="AT22" s="1430" t="str">
        <f aca="false">IF(AB22="","",LOOKUP(AA22,$B$49:$B$59,$R$49:$R$59)*AB22)</f>
        <v/>
      </c>
      <c r="AU22" s="1430" t="str">
        <f aca="false">IF(AC22="","",LOOKUP(AC22,$B$49:$B$59,$R$49:$R$59)*AD22)</f>
        <v/>
      </c>
      <c r="AV22" s="1430" t="str">
        <f aca="false">IF(AE22="","",LOOKUP(AE22,$B$49:$B$59,$R$49:$R$59)*AF22)</f>
        <v/>
      </c>
      <c r="AW22" s="1430" t="str">
        <f aca="false">IF(AG22="","",LOOKUP(AG22,$B$49:$B$59,$R$49:$R$59)*AH22)</f>
        <v/>
      </c>
      <c r="AX22" s="1430" t="str">
        <f aca="false">IF(AI22="","",LOOKUP(AI22,$B$49:$B$59,$R$49:$R$59)*AJ22)</f>
        <v/>
      </c>
      <c r="AY22" s="1430" t="str">
        <f aca="false">IF(AK22="","",LOOKUP(AK22,$B$49:$B$59,$R$49:$R$59)*AL22)</f>
        <v/>
      </c>
      <c r="AZ22" s="1430" t="str">
        <f aca="false">IF(AM22="","",LOOKUP(AM22,$B$49:$B$59,$R$49:$R$59)*AN22)</f>
        <v/>
      </c>
      <c r="BA22" s="1430" t="str">
        <f aca="false">IF(AO22="","",LOOKUP(AO22,$B$49:$B$59,$R$49:$R$59)*AP22)</f>
        <v/>
      </c>
      <c r="BB22" s="1535" t="n">
        <f aca="false">SUM(AR22:BA22)</f>
        <v>0</v>
      </c>
      <c r="BC22" s="1533" t="str">
        <f aca="false">IF(W22="","",LOOKUP(W22,$B$49:$B$59,$P$49:$P$59)*X22)</f>
        <v/>
      </c>
      <c r="BD22" s="1430" t="str">
        <f aca="false">IF(Y22="","",LOOKUP(Y22,$B$49:$B$59,$P$49:$P$59)*Z22)</f>
        <v/>
      </c>
      <c r="BE22" s="1430" t="str">
        <f aca="false">IF(AA22="","",LOOKUP(AA22,$B$49:$B$59,$P$49:$P$59)*AB22)</f>
        <v/>
      </c>
      <c r="BF22" s="1430" t="str">
        <f aca="false">IF(AC22="","",LOOKUP(AC22,$B$49:$B$59,$P$49:$P$59)*AD22)</f>
        <v/>
      </c>
      <c r="BG22" s="1430" t="str">
        <f aca="false">IF(AE22="","",LOOKUP(AE22,$B$49:$B$59,$P$49:$P$59)*AF22)</f>
        <v/>
      </c>
      <c r="BH22" s="1430" t="str">
        <f aca="false">IF(AG22="","",LOOKUP(AG22,$B$49:$B$59,$P$49:$P$59)*AH22)</f>
        <v/>
      </c>
      <c r="BI22" s="1430" t="str">
        <f aca="false">IF(AI22="","",LOOKUP(AI22,$B$49:$B$59,$P$49:$P$59)*AJ22)</f>
        <v/>
      </c>
      <c r="BJ22" s="1430" t="str">
        <f aca="false">IF(AK22="","",LOOKUP(AK22,$B$49:$B$59,$P$49:$P$59)*AL22)</f>
        <v/>
      </c>
      <c r="BK22" s="1430" t="str">
        <f aca="false">IF(AM22="","",LOOKUP(AM22,$B$49:$B$59,$P$49:$P$59)*AN22)</f>
        <v/>
      </c>
      <c r="BL22" s="1430" t="str">
        <f aca="false">IF(AO22="","",LOOKUP(AO22,$B$49:$B$59,$P$49:$P$59)*AP22)</f>
        <v/>
      </c>
      <c r="BM22" s="1535" t="n">
        <f aca="false">SUM(BC22:BL22)*BQ22</f>
        <v>0</v>
      </c>
      <c r="BN22" s="1536" t="n">
        <f aca="false">BM22+BO22</f>
        <v>0</v>
      </c>
      <c r="BO22" s="1536" t="n">
        <f aca="false">IF(M22=0,0,(M22/12+M22/12)/(M22/12*M22/12)*D22*((L22/16*L22/16)*10.6870159))*(1+K$70)*BQ22</f>
        <v>0</v>
      </c>
      <c r="BP22" s="1536" t="n">
        <f aca="false">IF(O22="Y",D22*(1+K$71)*BQ22,0)</f>
        <v>0</v>
      </c>
      <c r="BQ22" s="1538" t="n">
        <f aca="false">G22</f>
        <v>0</v>
      </c>
      <c r="BR22" s="1411" t="n">
        <f aca="false">IF(O22="y",D22,0)</f>
        <v>0</v>
      </c>
      <c r="BS22" s="1567" t="n">
        <f aca="false">IF($I22=1,$Q22,0)*BQ22</f>
        <v>0</v>
      </c>
      <c r="BT22" s="1536" t="n">
        <f aca="false">IF($I22=2,$Q22,0)*BQ22</f>
        <v>0</v>
      </c>
      <c r="BU22" s="1536" t="n">
        <f aca="false">IF($I22=3,$Q22,0)*BQ22</f>
        <v>0</v>
      </c>
      <c r="BV22" s="1536" t="n">
        <f aca="false">IF($I22=4,$Q22,0)*BQ22</f>
        <v>0</v>
      </c>
      <c r="BW22" s="1536" t="n">
        <f aca="false">IF($I22=5,$Q22,0)*BQ22</f>
        <v>0</v>
      </c>
      <c r="BX22" s="1537" t="n">
        <f aca="false">IF($I22=6,$Q22,0)*BQ22</f>
        <v>0</v>
      </c>
      <c r="BY22" s="1537" t="n">
        <f aca="false">IF($I22=7,$Q22,0)*BQ22</f>
        <v>0</v>
      </c>
      <c r="BZ22" s="1537" t="n">
        <f aca="false">IF($I22=8,$Q22,0)*BQ22</f>
        <v>0</v>
      </c>
      <c r="CA22" s="1537" t="n">
        <f aca="false">IF($I22=9,$Q22,0)*BQ22</f>
        <v>0</v>
      </c>
      <c r="CB22" s="1569" t="n">
        <f aca="false">IF($I22=10,$Q22,0)*BQ22</f>
        <v>0</v>
      </c>
      <c r="CC22" s="1538" t="n">
        <f aca="false">SUM(BS22:BX22)</f>
        <v>0</v>
      </c>
      <c r="CD22" s="1538" t="n">
        <f aca="false">IF(H22="N",0,D22)*BQ22</f>
        <v>0</v>
      </c>
      <c r="CE22" s="1538" t="n">
        <f aca="false">K22*BQ22</f>
        <v>0</v>
      </c>
      <c r="CF22" s="1542" t="n">
        <f aca="false">IF(W22="",0,LOOKUP(W22,B$49:B$59,D$49:D$59)*X22/12)</f>
        <v>0</v>
      </c>
      <c r="CG22" s="1542" t="n">
        <f aca="false">IF(Y22="",0,LOOKUP(Y22,B$49:B$59,D$49:D$59)*Z22/12)</f>
        <v>0</v>
      </c>
      <c r="CH22" s="1542" t="n">
        <f aca="false">IF(AA22="",0,LOOKUP(AA22,B$49:B$59,D$49:D$59)*AB22/12)</f>
        <v>0</v>
      </c>
      <c r="CI22" s="1538" t="n">
        <f aca="false">D22*BQ22</f>
        <v>0</v>
      </c>
      <c r="CJ22" s="1538" t="n">
        <f aca="false">D22*J22/324*(1+K$73)*G22</f>
        <v>0</v>
      </c>
      <c r="CK22" s="1538" t="str">
        <f aca="false">IF(N22="","",N22)</f>
        <v/>
      </c>
      <c r="CL22" s="1538" t="n">
        <f aca="false">P22*BQ22</f>
        <v>0</v>
      </c>
      <c r="CM22" s="1543" t="n">
        <f aca="false">IF(BQ22=0,0,SUM(CN22:DC22)/BQ22)</f>
        <v>0</v>
      </c>
      <c r="CN22" s="656" t="n">
        <f aca="false">(BS22*Pricing!F$3+BT22*Pricing!G$3+BU22*Pricing!H$3+BV22*Pricing!I$3+BW22*Pricing!J$3+BX22*Pricing!K$3)*IF(W$44="N",(1+Y$44),1)</f>
        <v>0</v>
      </c>
      <c r="CO22" s="656" t="n">
        <f aca="false">BN22*G$70*IF(W$44="n",1+Y$44,1)</f>
        <v>0</v>
      </c>
      <c r="CP22" s="656" t="n">
        <f aca="false">C22*D22</f>
        <v>0</v>
      </c>
      <c r="CQ22" s="656" t="n">
        <f aca="false">IF(I$79=0,0,D22*(SUM(O$79:P$82)+O$85)/I$79*BQ22)</f>
        <v>0</v>
      </c>
      <c r="CR22" s="656" t="n">
        <f aca="false">IF(CF22="",0,CF22*E$83)+IF(CG22="",0,CG22*E$83)+IF(CH22="",0,CH22*E$83)</f>
        <v>0</v>
      </c>
      <c r="CS22" s="656"/>
      <c r="CT22" s="656" t="n">
        <f aca="false">IF(I$87=0,0,(P22-(D22*0.35))/2000*E$87)</f>
        <v>0</v>
      </c>
      <c r="CU22" s="656" t="n">
        <f aca="false">IF(D$42=0,0,SUM(O$91:P$93)/D$42*D22)*BQ22</f>
        <v>0</v>
      </c>
      <c r="CV22" s="656" t="n">
        <f aca="false">IF(D$42=0,0,SUM(Z$66:Z$97)/D$42*D22*BQ22)</f>
        <v>0</v>
      </c>
      <c r="CW22" s="656" t="n">
        <f aca="false">IF(D$42=0,0,SUM(O$96:P$101)/D$42*D22)*BQ22</f>
        <v>0</v>
      </c>
      <c r="CX22" s="656" t="n">
        <f aca="false">IF(D$42=0,0,SUM(O$103:O$110)/D$42)*D22*BQ22</f>
        <v>0</v>
      </c>
      <c r="CY22" s="656" t="n">
        <f aca="false">IF(I$79=0,0,IF(I$79=0,0,SUM(Z$98:Z$109)/I$79*D22))</f>
        <v>0</v>
      </c>
      <c r="CZ22" s="656" t="n">
        <f aca="false">IF(J$72&gt;0,J$72/D$42*D22*G22,CD22*(G$72*IF(W$44="n",(1+Y$44),1)))</f>
        <v>0</v>
      </c>
      <c r="DA22" s="656" t="str">
        <f aca="false">IF(CK22="","",CK22*E$86)</f>
        <v/>
      </c>
      <c r="DB22" s="656" t="n">
        <f aca="false">BP22*G$71*IF(W$44="Y",1,1+Y$44)</f>
        <v>0</v>
      </c>
      <c r="DC22" s="656" t="n">
        <f aca="false">CJ22*G$73*IF(W$44="Y",1,1+Y$44)</f>
        <v>0</v>
      </c>
      <c r="DD22" s="1546"/>
      <c r="DE22" s="654" t="n">
        <f aca="false">IF(W22=1,X22*$AS$49,0)+IF(W22=2,X22*$AS$50,0)+IF(W22=3,X22*$AS$51,0)+IF(W22=4,X22*$AS$52,0)+IF(W22=5,X22*$AS$53,0)+IF(W22=6,X22*$AS$54)+IF(W22=7,X22*$AS$55)+IF(W22=8,X22*$AS$56)+IF(W22=9,X22*$AS$57)+IF(W22=10,X22*$AS$58)+IF(W22=11,X22*$AS$59,0)</f>
        <v>0</v>
      </c>
      <c r="DF22" s="654" t="n">
        <f aca="false">IF(Y22=1,Z22*$AS$49,0)+IF(Y22=2,Z22*$AS$50,0)+IF(Y22=3,Z22*$AS$51,0)+IF(Y22=4,Z22*$AS$52,0)+IF(Y22=5,Z22*$AS$53,0)+IF(Y22=6,Z22*$AS$54)+IF(Y22=7,Z22*$AS$55)+IF(Y22=8,Z22*$AS$56)+IF(Y22=9,Z22*$AS$57)+IF(Y22=10,Z22*$AS$58)+IF(Y22=11,Z22*$AS$59,0)</f>
        <v>0</v>
      </c>
      <c r="DG22" s="654" t="n">
        <f aca="false">IF(AA22=1,AB22*$AS$49,0)+IF(AA22=2,AB22*$AS$50,0)+IF(AA22=3,AB22*$AS$51,0)+IF(AA22=4,AB22*$AS$52,0)+IF(AA22=5,AB22*$AS$53,0)+IF(AA22=6,AB22*$AS$54)+IF(AA22=7,AB22*$AS$55)+IF(AA22=8,AB22*$AS$56)+IF(AA22=9,AB22*$AS$57)+IF(AA22=10,AB22*$AS$58)+IF(AA22=11,AB22*$AS$59,0)</f>
        <v>0</v>
      </c>
      <c r="DH22" s="654" t="n">
        <f aca="false">IF(AC22=1,AD22*$AS$49,0)+IF(AC22=2,AD22*$AS$50,0)+IF(AC22=3,AD22*$AS$51,0)+IF(AC22=4,AD22*$AS$52,0)+IF(AC22=5,AD22*$AS$53,0)+IF(AC22=6,AD22*$AS$54)+IF(AC22=7,AD22*$AS$55)+IF(AC22=8,AD22*$AS$56)+IF(AC22=9,AD22*$AS$57)+IF(AC22=10,AD22*$AS$58)+IF(AC22=11,AD22*$AS$59,0)</f>
        <v>0</v>
      </c>
      <c r="DI22" s="654" t="n">
        <f aca="false">IF(AE22=1,AF22*$AS$49,0)+IF(AE22=2,AF22*$AS$50,0)+IF(AE22=3,AF22*$AS$51,0)+IF(AE22=4,AF22*$AS$52,0)+IF(AE22=5,AF22*$AS$53,0)+IF(AE22=6,AF22*$AS$54)+IF(AE22=7,AF22*$AS$55)+IF(AE22=8,AF22*$AS$56)+IF(AE22=9,AF22*$AS$57)+IF(AE22=10,AF22*$AS$58)+IF(AE22=11,AF22*$AS$59,0)</f>
        <v>0</v>
      </c>
      <c r="DJ22" s="654" t="n">
        <f aca="false">IF(AG22=1,AH22*$AS$49,0)+IF(AG22=2,AH22*$AS$50,0)+IF(AG22=3,AH22*$AS$51,0)+IF(AG22=4,AH22*$AS$52,0)+IF(AG22=5,AH22*$AS$53,0)+IF(AG22=6,AH22*$AS$54)+IF(AG22=7,AH22*$AS$55)+IF(AG22=8,AH22*$AS$56)+IF(AG22=9,AH22*$AS$57)+IF(AG22=10,AH22*$AS$58)+IF(AG22=11,AH22*$AS$59,0)</f>
        <v>0</v>
      </c>
      <c r="DK22" s="654" t="n">
        <f aca="false">IF(AI22=1,AJ22*$AS$49,0)+IF(AI22=2,AJ22*$AS$50,0)+IF(AI22=3,AJ22*$AS$51,0)+IF(AI22=4,AJ22*$AS$52,0)+IF(AI22=5,AJ22*$AS$53,0)+IF(AI22=6,AJ22*$AS$54)+IF(AI22=7,AJ22*$AS$55)+IF(AI22=8,AJ22*$AS$56)+IF(AI22=9,AJ22*$AS$57)+IF(AI22=10,AJ22*$AS$58)+IF(AI22=11,AJ22*$AS$59,0)</f>
        <v>0</v>
      </c>
      <c r="DL22" s="654" t="n">
        <f aca="false">IF(AK22=1,AL22*$AS$49,0)+IF(AK22=2,AL22*$AS$50,0)+IF(AK22=3,AL22*$AS$51,0)+IF(AK22=4,AL22*$AS$52,0)+IF(AK22=5,AL22*$AS$53,0)+IF(AK22=6,AL22*$AS$54)+IF(AK22=7,AL22*$AS$55)+IF(AK22=8,AL22*$AS$56)+IF(AK22=9,AL22*$AS$57)+IF(AK22=10,AL22*$AS$58)+IF(AK22=11,AL22*$AS$59,0)</f>
        <v>0</v>
      </c>
      <c r="DM22" s="654" t="n">
        <f aca="false">IF(AM22=1,AN22*$AS$49,0)+IF(AM22=2,AN22*$AS$50,0)+IF(AM22=3,AN22*$AS$51,0)+IF(AM22=4,AN22*$AS$52,0)+IF(AM22=5,AN22*$AS$53,0)+IF(AM22=6,AN22*$AS$54)+IF(AM22=7,AN22*$AS$55)+IF(AM22=8,AN22*$AS$56)+IF(AM22=9,AN22*$AS$57)+IF(AM22=10,AN22*$AS$58)+IF(AM22=11,AN22*$AS$59,0)</f>
        <v>0</v>
      </c>
      <c r="DN22" s="654" t="n">
        <f aca="false">IF(AO22=1,AP22*$AS$49,0)+IF(AO22=2,AP22*$AS$50,0)+IF(AO22=3,AP22*$AS$51,0)+IF(AO22=4,AP22*$AS$52,0)+IF(AO22=5,AP22*$AS$53,0)+IF(AO22=6,AP22*$AS$54)+IF(AO22=7,AP22*$AS$55)+IF(AO22=8,AP22*$AS$56)+IF(AO22=9,AP22*$AS$57)+IF(AO22=10,AP22*$AS$58)+IF(AO22=11,AP22*$AS$59,0)</f>
        <v>0</v>
      </c>
      <c r="DO22" s="1569" t="n">
        <f aca="false">D22</f>
        <v>0</v>
      </c>
    </row>
    <row r="23" customFormat="false" ht="19.5" hidden="false" customHeight="true" outlineLevel="0" collapsed="false">
      <c r="A23" s="2672" t="s">
        <v>1328</v>
      </c>
      <c r="B23" s="1549"/>
      <c r="C23" s="1550"/>
      <c r="D23" s="1551"/>
      <c r="E23" s="1552"/>
      <c r="F23" s="1074"/>
      <c r="G23" s="1553"/>
      <c r="H23" s="1074"/>
      <c r="I23" s="1553"/>
      <c r="J23" s="1074"/>
      <c r="K23" s="1583"/>
      <c r="L23" s="1555"/>
      <c r="M23" s="1556"/>
      <c r="N23" s="1557"/>
      <c r="O23" s="1558"/>
      <c r="P23" s="1515" t="n">
        <f aca="false">IF(BQ23=0,0,BN23/BQ23)</f>
        <v>0</v>
      </c>
      <c r="Q23" s="1516" t="n">
        <f aca="false">(D23*F23/324)*(1+K$65)+BB23</f>
        <v>0</v>
      </c>
      <c r="R23" s="1517" t="n">
        <f aca="false">IF(D23=0,0,S23/D23)</f>
        <v>0</v>
      </c>
      <c r="S23" s="1518" t="n">
        <f aca="false">SUM(CM23)*(1+M$45)</f>
        <v>0</v>
      </c>
      <c r="T23" s="1519" t="n">
        <f aca="false">ROUND((CF23+CG23+CH23),0)</f>
        <v>0</v>
      </c>
      <c r="U23" s="1520" t="n">
        <f aca="false">IF(P23-(D23*0.45)&lt;0,0,P23-(D23*0.45))</f>
        <v>0</v>
      </c>
      <c r="V23" s="1521" t="n">
        <f aca="false">IF(D23="",0,IF(D23/-30+Q23&lt;1,0,D23/-30+Q23))</f>
        <v>0</v>
      </c>
      <c r="W23" s="1559"/>
      <c r="X23" s="1862"/>
      <c r="Y23" s="1559"/>
      <c r="Z23" s="1561"/>
      <c r="AA23" s="1559"/>
      <c r="AB23" s="1561"/>
      <c r="AC23" s="1562"/>
      <c r="AD23" s="1862"/>
      <c r="AE23" s="1559"/>
      <c r="AF23" s="2675"/>
      <c r="AG23" s="1595"/>
      <c r="AH23" s="2675"/>
      <c r="AI23" s="1559"/>
      <c r="AJ23" s="1862"/>
      <c r="AK23" s="1559"/>
      <c r="AL23" s="1556"/>
      <c r="AM23" s="1559"/>
      <c r="AN23" s="1561"/>
      <c r="AO23" s="1559"/>
      <c r="AP23" s="1561"/>
      <c r="AQ23" s="654"/>
      <c r="AR23" s="1533" t="str">
        <f aca="false">IF(W23="","",LOOKUP(W23,$B$49:$B$59,$R$49:$R$59)*X23)</f>
        <v/>
      </c>
      <c r="AS23" s="1430" t="str">
        <f aca="false">IF(Y23="","",LOOKUP(Y23,$B$49:$B$59,$R$49:$R$59)*Z23)</f>
        <v/>
      </c>
      <c r="AT23" s="1430" t="str">
        <f aca="false">IF(AB23="","",LOOKUP(AA23,$B$49:$B$59,$R$49:$R$59)*AB23)</f>
        <v/>
      </c>
      <c r="AU23" s="1430" t="str">
        <f aca="false">IF(AC23="","",LOOKUP(AC23,$B$49:$B$59,$R$49:$R$59)*AD23)</f>
        <v/>
      </c>
      <c r="AV23" s="1430" t="str">
        <f aca="false">IF(AE23="","",LOOKUP(AE23,$B$49:$B$59,$R$49:$R$59)*AF23)</f>
        <v/>
      </c>
      <c r="AW23" s="1430" t="str">
        <f aca="false">IF(AG23="","",LOOKUP(AG23,$B$49:$B$59,$R$49:$R$59)*AH23)</f>
        <v/>
      </c>
      <c r="AX23" s="1430" t="str">
        <f aca="false">IF(AI23="","",LOOKUP(AI23,$B$49:$B$59,$R$49:$R$59)*AJ23)</f>
        <v/>
      </c>
      <c r="AY23" s="1430" t="str">
        <f aca="false">IF(AK23="","",LOOKUP(AK23,$B$49:$B$59,$R$49:$R$59)*AL23)</f>
        <v/>
      </c>
      <c r="AZ23" s="1430" t="str">
        <f aca="false">IF(AM23="","",LOOKUP(AM23,$B$49:$B$59,$R$49:$R$59)*AN23)</f>
        <v/>
      </c>
      <c r="BA23" s="1430" t="str">
        <f aca="false">IF(AO23="","",LOOKUP(AO23,$B$49:$B$59,$R$49:$R$59)*AP23)</f>
        <v/>
      </c>
      <c r="BB23" s="1535" t="n">
        <f aca="false">SUM(AR23:BA23)</f>
        <v>0</v>
      </c>
      <c r="BC23" s="1533" t="str">
        <f aca="false">IF(W23="","",LOOKUP(W23,$B$49:$B$59,$P$49:$P$59)*X23)</f>
        <v/>
      </c>
      <c r="BD23" s="1430" t="str">
        <f aca="false">IF(Y23="","",LOOKUP(Y23,$B$49:$B$59,$P$49:$P$59)*Z23)</f>
        <v/>
      </c>
      <c r="BE23" s="1430" t="str">
        <f aca="false">IF(AA23="","",LOOKUP(AA23,$B$49:$B$59,$P$49:$P$59)*AB23)</f>
        <v/>
      </c>
      <c r="BF23" s="1430" t="str">
        <f aca="false">IF(AC23="","",LOOKUP(AC23,$B$49:$B$59,$P$49:$P$59)*AD23)</f>
        <v/>
      </c>
      <c r="BG23" s="1430" t="str">
        <f aca="false">IF(AE23="","",LOOKUP(AE23,$B$49:$B$59,$P$49:$P$59)*AF23)</f>
        <v/>
      </c>
      <c r="BH23" s="1430" t="str">
        <f aca="false">IF(AG23="","",LOOKUP(AG23,$B$49:$B$59,$P$49:$P$59)*AH23)</f>
        <v/>
      </c>
      <c r="BI23" s="1430" t="str">
        <f aca="false">IF(AI23="","",LOOKUP(AI23,$B$49:$B$59,$P$49:$P$59)*AJ23)</f>
        <v/>
      </c>
      <c r="BJ23" s="1430" t="str">
        <f aca="false">IF(AK23="","",LOOKUP(AK23,$B$49:$B$59,$P$49:$P$59)*AL23)</f>
        <v/>
      </c>
      <c r="BK23" s="1430" t="str">
        <f aca="false">IF(AM23="","",LOOKUP(AM23,$B$49:$B$59,$P$49:$P$59)*AN23)</f>
        <v/>
      </c>
      <c r="BL23" s="1430" t="str">
        <f aca="false">IF(AO23="","",LOOKUP(AO23,$B$49:$B$59,$P$49:$P$59)*AP23)</f>
        <v/>
      </c>
      <c r="BM23" s="1535" t="n">
        <f aca="false">SUM(BC23:BL23)*BQ23</f>
        <v>0</v>
      </c>
      <c r="BN23" s="1536" t="n">
        <f aca="false">BM23+BO23</f>
        <v>0</v>
      </c>
      <c r="BO23" s="1536" t="n">
        <f aca="false">IF(M23=0,0,(M23/12+M23/12)/(M23/12*M23/12)*D23*((L23/16*L23/16)*10.6870159))*(1+K$70)*BQ23</f>
        <v>0</v>
      </c>
      <c r="BP23" s="1536" t="n">
        <f aca="false">IF(O23="Y",D23*(1+K$71)*BQ23,0)</f>
        <v>0</v>
      </c>
      <c r="BQ23" s="1538" t="n">
        <f aca="false">G23</f>
        <v>0</v>
      </c>
      <c r="BR23" s="1411" t="n">
        <f aca="false">IF(O23="y",D23,0)</f>
        <v>0</v>
      </c>
      <c r="BS23" s="1567" t="n">
        <f aca="false">IF($I23=1,$Q23,0)*BQ23</f>
        <v>0</v>
      </c>
      <c r="BT23" s="1536" t="n">
        <f aca="false">IF($I23=2,$Q23,0)*BQ23</f>
        <v>0</v>
      </c>
      <c r="BU23" s="1536" t="n">
        <f aca="false">IF($I23=3,$Q23,0)*BQ23</f>
        <v>0</v>
      </c>
      <c r="BV23" s="1536" t="n">
        <f aca="false">IF($I23=4,$Q23,0)*BQ23</f>
        <v>0</v>
      </c>
      <c r="BW23" s="1536" t="n">
        <f aca="false">IF($I23=5,$Q23,0)*BQ23</f>
        <v>0</v>
      </c>
      <c r="BX23" s="1537" t="n">
        <f aca="false">IF($I23=6,$Q23,0)*BQ23</f>
        <v>0</v>
      </c>
      <c r="BY23" s="1537" t="n">
        <f aca="false">IF($I23=7,$Q23,0)*BQ23</f>
        <v>0</v>
      </c>
      <c r="BZ23" s="1537" t="n">
        <f aca="false">IF($I23=8,$Q23,0)*BQ23</f>
        <v>0</v>
      </c>
      <c r="CA23" s="1537" t="n">
        <f aca="false">IF($I23=9,$Q23,0)*BQ23</f>
        <v>0</v>
      </c>
      <c r="CB23" s="1569" t="n">
        <f aca="false">IF($I23=10,$Q23,0)*BQ23</f>
        <v>0</v>
      </c>
      <c r="CC23" s="1538" t="n">
        <f aca="false">SUM(BS23:BX23)</f>
        <v>0</v>
      </c>
      <c r="CD23" s="1538" t="n">
        <f aca="false">IF(H23="N",0,D23)*BQ23</f>
        <v>0</v>
      </c>
      <c r="CE23" s="1538" t="n">
        <f aca="false">K23*BQ23</f>
        <v>0</v>
      </c>
      <c r="CF23" s="1542" t="n">
        <f aca="false">IF(W23="",0,LOOKUP(W23,B$49:B$59,D$49:D$59)*X23/12)</f>
        <v>0</v>
      </c>
      <c r="CG23" s="1542" t="n">
        <f aca="false">IF(Y23="",0,LOOKUP(Y23,B$49:B$59,D$49:D$59)*Z23/12)</f>
        <v>0</v>
      </c>
      <c r="CH23" s="1542" t="n">
        <f aca="false">IF(AA23="",0,LOOKUP(AA23,B$49:B$59,D$49:D$59)*AB23/12)</f>
        <v>0</v>
      </c>
      <c r="CI23" s="1538" t="n">
        <f aca="false">D23*BQ23</f>
        <v>0</v>
      </c>
      <c r="CJ23" s="1538" t="n">
        <f aca="false">D23*J23/324*(1+K$73)*G23</f>
        <v>0</v>
      </c>
      <c r="CK23" s="1538" t="str">
        <f aca="false">IF(N23="","",N23)</f>
        <v/>
      </c>
      <c r="CL23" s="1538" t="n">
        <f aca="false">P23*BQ23</f>
        <v>0</v>
      </c>
      <c r="CM23" s="1543" t="n">
        <f aca="false">IF(BQ23=0,0,SUM(CN23:DC23)/BQ23)</f>
        <v>0</v>
      </c>
      <c r="CN23" s="656" t="n">
        <f aca="false">(BS23*Pricing!F$3+BT23*Pricing!G$3+BU23*Pricing!H$3+BV23*Pricing!I$3+BW23*Pricing!J$3+BX23*Pricing!K$3)*IF(W$44="N",(1+Y$44),1)</f>
        <v>0</v>
      </c>
      <c r="CO23" s="656" t="n">
        <f aca="false">BN23*G$70*IF(W$44="n",1+Y$44,1)</f>
        <v>0</v>
      </c>
      <c r="CP23" s="656" t="n">
        <f aca="false">C23*D23</f>
        <v>0</v>
      </c>
      <c r="CQ23" s="656" t="n">
        <f aca="false">IF(I$79=0,0,D23*(SUM(O$79:P$82)+O$85)/I$79*BQ23)</f>
        <v>0</v>
      </c>
      <c r="CR23" s="656" t="n">
        <f aca="false">IF(CF23="",0,CF23*E$83)+IF(CG23="",0,CG23*E$83)+IF(CH23="",0,CH23*E$83)</f>
        <v>0</v>
      </c>
      <c r="CS23" s="656"/>
      <c r="CT23" s="656" t="n">
        <f aca="false">IF(I$87=0,0,(P23-(D23*0.35))/2000*E$87)</f>
        <v>0</v>
      </c>
      <c r="CU23" s="656" t="n">
        <f aca="false">IF(D$42=0,0,SUM(O$91:P$93)/D$42*D23)*BQ23</f>
        <v>0</v>
      </c>
      <c r="CV23" s="656" t="n">
        <f aca="false">IF(D$42=0,0,SUM(Z$66:Z$97)/D$42*D23*BQ23)</f>
        <v>0</v>
      </c>
      <c r="CW23" s="656" t="n">
        <f aca="false">IF(D$42=0,0,SUM(O$96:P$101)/D$42*D23)*BQ23</f>
        <v>0</v>
      </c>
      <c r="CX23" s="656" t="n">
        <f aca="false">IF(D$42=0,0,SUM(O$103:O$110)/D$42)*D23*BQ23</f>
        <v>0</v>
      </c>
      <c r="CY23" s="656" t="n">
        <f aca="false">IF(I$79=0,0,IF(I$79=0,0,SUM(Z$98:Z$109)/I$79*D23))</f>
        <v>0</v>
      </c>
      <c r="CZ23" s="656" t="n">
        <f aca="false">IF(J$72&gt;0,J$72/D$42*D23*G23,CD23*(G$72*IF(W$44="n",(1+Y$44),1)))</f>
        <v>0</v>
      </c>
      <c r="DA23" s="656" t="str">
        <f aca="false">IF(CK23="","",CK23*E$86)</f>
        <v/>
      </c>
      <c r="DB23" s="656" t="n">
        <f aca="false">BP23*G$71*IF(W$44="Y",1,1+Y$44)</f>
        <v>0</v>
      </c>
      <c r="DC23" s="656" t="n">
        <f aca="false">CJ23*G$73*IF(W$44="Y",1,1+Y$44)</f>
        <v>0</v>
      </c>
      <c r="DD23" s="1546"/>
      <c r="DE23" s="654" t="n">
        <f aca="false">IF(W23=1,X23*$AS$49,0)+IF(W23=2,X23*$AS$50,0)+IF(W23=3,X23*$AS$51,0)+IF(W23=4,X23*$AS$52,0)+IF(W23=5,X23*$AS$53,0)+IF(W23=6,X23*$AS$54)+IF(W23=7,X23*$AS$55)+IF(W23=8,X23*$AS$56)+IF(W23=9,X23*$AS$57)+IF(W23=10,X23*$AS$58)+IF(W23=11,X23*$AS$59,0)</f>
        <v>0</v>
      </c>
      <c r="DF23" s="654" t="n">
        <f aca="false">IF(Y23=1,Z23*$AS$49,0)+IF(Y23=2,Z23*$AS$50,0)+IF(Y23=3,Z23*$AS$51,0)+IF(Y23=4,Z23*$AS$52,0)+IF(Y23=5,Z23*$AS$53,0)+IF(Y23=6,Z23*$AS$54)+IF(Y23=7,Z23*$AS$55)+IF(Y23=8,Z23*$AS$56)+IF(Y23=9,Z23*$AS$57)+IF(Y23=10,Z23*$AS$58)+IF(Y23=11,Z23*$AS$59,0)</f>
        <v>0</v>
      </c>
      <c r="DG23" s="654" t="n">
        <f aca="false">IF(AA23=1,AB23*$AS$49,0)+IF(AA23=2,AB23*$AS$50,0)+IF(AA23=3,AB23*$AS$51,0)+IF(AA23=4,AB23*$AS$52,0)+IF(AA23=5,AB23*$AS$53,0)+IF(AA23=6,AB23*$AS$54)+IF(AA23=7,AB23*$AS$55)+IF(AA23=8,AB23*$AS$56)+IF(AA23=9,AB23*$AS$57)+IF(AA23=10,AB23*$AS$58)+IF(AA23=11,AB23*$AS$59,0)</f>
        <v>0</v>
      </c>
      <c r="DH23" s="654" t="n">
        <f aca="false">IF(AC23=1,AD23*$AS$49,0)+IF(AC23=2,AD23*$AS$50,0)+IF(AC23=3,AD23*$AS$51,0)+IF(AC23=4,AD23*$AS$52,0)+IF(AC23=5,AD23*$AS$53,0)+IF(AC23=6,AD23*$AS$54)+IF(AC23=7,AD23*$AS$55)+IF(AC23=8,AD23*$AS$56)+IF(AC23=9,AD23*$AS$57)+IF(AC23=10,AD23*$AS$58)+IF(AC23=11,AD23*$AS$59,0)</f>
        <v>0</v>
      </c>
      <c r="DI23" s="654" t="n">
        <f aca="false">IF(AE23=1,AF23*$AS$49,0)+IF(AE23=2,AF23*$AS$50,0)+IF(AE23=3,AF23*$AS$51,0)+IF(AE23=4,AF23*$AS$52,0)+IF(AE23=5,AF23*$AS$53,0)+IF(AE23=6,AF23*$AS$54)+IF(AE23=7,AF23*$AS$55)+IF(AE23=8,AF23*$AS$56)+IF(AE23=9,AF23*$AS$57)+IF(AE23=10,AF23*$AS$58)+IF(AE23=11,AF23*$AS$59,0)</f>
        <v>0</v>
      </c>
      <c r="DJ23" s="654" t="n">
        <f aca="false">IF(AG23=1,AH23*$AS$49,0)+IF(AG23=2,AH23*$AS$50,0)+IF(AG23=3,AH23*$AS$51,0)+IF(AG23=4,AH23*$AS$52,0)+IF(AG23=5,AH23*$AS$53,0)+IF(AG23=6,AH23*$AS$54)+IF(AG23=7,AH23*$AS$55)+IF(AG23=8,AH23*$AS$56)+IF(AG23=9,AH23*$AS$57)+IF(AG23=10,AH23*$AS$58)+IF(AG23=11,AH23*$AS$59,0)</f>
        <v>0</v>
      </c>
      <c r="DK23" s="654" t="n">
        <f aca="false">IF(AI23=1,AJ23*$AS$49,0)+IF(AI23=2,AJ23*$AS$50,0)+IF(AI23=3,AJ23*$AS$51,0)+IF(AI23=4,AJ23*$AS$52,0)+IF(AI23=5,AJ23*$AS$53,0)+IF(AI23=6,AJ23*$AS$54)+IF(AI23=7,AJ23*$AS$55)+IF(AI23=8,AJ23*$AS$56)+IF(AI23=9,AJ23*$AS$57)+IF(AI23=10,AJ23*$AS$58)+IF(AI23=11,AJ23*$AS$59,0)</f>
        <v>0</v>
      </c>
      <c r="DL23" s="654" t="n">
        <f aca="false">IF(AK23=1,AL23*$AS$49,0)+IF(AK23=2,AL23*$AS$50,0)+IF(AK23=3,AL23*$AS$51,0)+IF(AK23=4,AL23*$AS$52,0)+IF(AK23=5,AL23*$AS$53,0)+IF(AK23=6,AL23*$AS$54)+IF(AK23=7,AL23*$AS$55)+IF(AK23=8,AL23*$AS$56)+IF(AK23=9,AL23*$AS$57)+IF(AK23=10,AL23*$AS$58)+IF(AK23=11,AL23*$AS$59,0)</f>
        <v>0</v>
      </c>
      <c r="DM23" s="654" t="n">
        <f aca="false">IF(AM23=1,AN23*$AS$49,0)+IF(AM23=2,AN23*$AS$50,0)+IF(AM23=3,AN23*$AS$51,0)+IF(AM23=4,AN23*$AS$52,0)+IF(AM23=5,AN23*$AS$53,0)+IF(AM23=6,AN23*$AS$54)+IF(AM23=7,AN23*$AS$55)+IF(AM23=8,AN23*$AS$56)+IF(AM23=9,AN23*$AS$57)+IF(AM23=10,AN23*$AS$58)+IF(AM23=11,AN23*$AS$59,0)</f>
        <v>0</v>
      </c>
      <c r="DN23" s="654" t="n">
        <f aca="false">IF(AO23=1,AP23*$AS$49,0)+IF(AO23=2,AP23*$AS$50,0)+IF(AO23=3,AP23*$AS$51,0)+IF(AO23=4,AP23*$AS$52,0)+IF(AO23=5,AP23*$AS$53,0)+IF(AO23=6,AP23*$AS$54)+IF(AO23=7,AP23*$AS$55)+IF(AO23=8,AP23*$AS$56)+IF(AO23=9,AP23*$AS$57)+IF(AO23=10,AP23*$AS$58)+IF(AO23=11,AP23*$AS$59,0)</f>
        <v>0</v>
      </c>
      <c r="DO23" s="1569" t="n">
        <f aca="false">D23</f>
        <v>0</v>
      </c>
    </row>
    <row r="24" customFormat="false" ht="19.5" hidden="false" customHeight="true" outlineLevel="0" collapsed="false">
      <c r="A24" s="2672" t="s">
        <v>1330</v>
      </c>
      <c r="B24" s="920"/>
      <c r="C24" s="1506"/>
      <c r="D24" s="1586"/>
      <c r="E24" s="1587"/>
      <c r="F24" s="1074"/>
      <c r="G24" s="1553"/>
      <c r="H24" s="1074"/>
      <c r="I24" s="1553"/>
      <c r="J24" s="1074"/>
      <c r="K24" s="1590"/>
      <c r="L24" s="528"/>
      <c r="M24" s="895"/>
      <c r="N24" s="1513"/>
      <c r="O24" s="1514"/>
      <c r="P24" s="1515" t="n">
        <f aca="false">IF(BQ24=0,0,BN24/BQ24)</f>
        <v>0</v>
      </c>
      <c r="Q24" s="1516" t="n">
        <f aca="false">(D24*F24/324)*(1+K$65)+BB24</f>
        <v>0</v>
      </c>
      <c r="R24" s="1517" t="n">
        <f aca="false">IF(D24=0,0,S24/D24)</f>
        <v>0</v>
      </c>
      <c r="S24" s="1518" t="n">
        <f aca="false">SUM(CM24)*(1+M$45)</f>
        <v>0</v>
      </c>
      <c r="T24" s="1519" t="n">
        <f aca="false">ROUND((CF24+CG24+CH24),0)</f>
        <v>0</v>
      </c>
      <c r="U24" s="1520" t="n">
        <f aca="false">IF(P24-(D24*0.45)&lt;0,0,P24-(D24*0.45))</f>
        <v>0</v>
      </c>
      <c r="V24" s="1521" t="n">
        <f aca="false">IF(D24="",0,IF(D24/-30+Q24&lt;1,0,D24/-30+Q24))</f>
        <v>0</v>
      </c>
      <c r="W24" s="1511"/>
      <c r="X24" s="2676"/>
      <c r="Y24" s="528"/>
      <c r="Z24" s="1574"/>
      <c r="AA24" s="528"/>
      <c r="AB24" s="1574"/>
      <c r="AC24" s="1585"/>
      <c r="AD24" s="2676"/>
      <c r="AE24" s="528"/>
      <c r="AF24" s="1592"/>
      <c r="AG24" s="528"/>
      <c r="AH24" s="1592"/>
      <c r="AI24" s="4"/>
      <c r="AJ24" s="1858"/>
      <c r="AK24" s="528"/>
      <c r="AL24" s="895"/>
      <c r="AM24" s="528"/>
      <c r="AN24" s="1574"/>
      <c r="AO24" s="528"/>
      <c r="AP24" s="1574"/>
      <c r="AQ24" s="654"/>
      <c r="AR24" s="1533" t="str">
        <f aca="false">IF(W24="","",LOOKUP(W24,$B$49:$B$59,$R$49:$R$59)*X24)</f>
        <v/>
      </c>
      <c r="AS24" s="1430" t="str">
        <f aca="false">IF(Y24="","",LOOKUP(Y24,$B$49:$B$59,$R$49:$R$59)*Z24)</f>
        <v/>
      </c>
      <c r="AT24" s="1430" t="str">
        <f aca="false">IF(AB24="","",LOOKUP(AA24,$B$49:$B$59,$R$49:$R$59)*AB24)</f>
        <v/>
      </c>
      <c r="AU24" s="1430" t="str">
        <f aca="false">IF(AC24="","",LOOKUP(AC24,$B$49:$B$59,$R$49:$R$59)*AD24)</f>
        <v/>
      </c>
      <c r="AV24" s="1430" t="str">
        <f aca="false">IF(AE24="","",LOOKUP(AE24,$B$49:$B$59,$R$49:$R$59)*AF24)</f>
        <v/>
      </c>
      <c r="AW24" s="1430" t="str">
        <f aca="false">IF(AG24="","",LOOKUP(AG24,$B$49:$B$59,$R$49:$R$59)*AH24)</f>
        <v/>
      </c>
      <c r="AX24" s="1430" t="str">
        <f aca="false">IF(AI24="","",LOOKUP(AI24,$B$49:$B$59,$R$49:$R$59)*AJ24)</f>
        <v/>
      </c>
      <c r="AY24" s="1430" t="str">
        <f aca="false">IF(AK24="","",LOOKUP(AK24,$B$49:$B$59,$R$49:$R$59)*AL24)</f>
        <v/>
      </c>
      <c r="AZ24" s="1430" t="str">
        <f aca="false">IF(AM24="","",LOOKUP(AM24,$B$49:$B$59,$R$49:$R$59)*AN24)</f>
        <v/>
      </c>
      <c r="BA24" s="1430" t="str">
        <f aca="false">IF(AO24="","",LOOKUP(AO24,$B$49:$B$59,$R$49:$R$59)*AP24)</f>
        <v/>
      </c>
      <c r="BB24" s="1535" t="n">
        <f aca="false">SUM(AR24:BA24)</f>
        <v>0</v>
      </c>
      <c r="BC24" s="1533" t="str">
        <f aca="false">IF(W24="","",LOOKUP(W24,$B$49:$B$59,$P$49:$P$59)*X24)</f>
        <v/>
      </c>
      <c r="BD24" s="1430" t="str">
        <f aca="false">IF(Y24="","",LOOKUP(Y24,$B$49:$B$59,$P$49:$P$59)*Z24)</f>
        <v/>
      </c>
      <c r="BE24" s="1430" t="str">
        <f aca="false">IF(AA24="","",LOOKUP(AA24,$B$49:$B$59,$P$49:$P$59)*AB24)</f>
        <v/>
      </c>
      <c r="BF24" s="1430" t="str">
        <f aca="false">IF(AC24="","",LOOKUP(AC24,$B$49:$B$59,$P$49:$P$59)*AD24)</f>
        <v/>
      </c>
      <c r="BG24" s="1430" t="str">
        <f aca="false">IF(AE24="","",LOOKUP(AE24,$B$49:$B$59,$P$49:$P$59)*AF24)</f>
        <v/>
      </c>
      <c r="BH24" s="1430" t="str">
        <f aca="false">IF(AG24="","",LOOKUP(AG24,$B$49:$B$59,$P$49:$P$59)*AH24)</f>
        <v/>
      </c>
      <c r="BI24" s="1430" t="str">
        <f aca="false">IF(AI24="","",LOOKUP(AI24,$B$49:$B$59,$P$49:$P$59)*AJ24)</f>
        <v/>
      </c>
      <c r="BJ24" s="1430" t="str">
        <f aca="false">IF(AK24="","",LOOKUP(AK24,$B$49:$B$59,$P$49:$P$59)*AL24)</f>
        <v/>
      </c>
      <c r="BK24" s="1430" t="str">
        <f aca="false">IF(AM24="","",LOOKUP(AM24,$B$49:$B$59,$P$49:$P$59)*AN24)</f>
        <v/>
      </c>
      <c r="BL24" s="1430" t="str">
        <f aca="false">IF(AO24="","",LOOKUP(AO24,$B$49:$B$59,$P$49:$P$59)*AP24)</f>
        <v/>
      </c>
      <c r="BM24" s="1535" t="n">
        <f aca="false">SUM(BC24:BL24)*BQ24</f>
        <v>0</v>
      </c>
      <c r="BN24" s="1536" t="n">
        <f aca="false">BM24+BO24</f>
        <v>0</v>
      </c>
      <c r="BO24" s="1536" t="n">
        <f aca="false">IF(M24=0,0,(M24/12+M24/12)/(M24/12*M24/12)*D24*((L24/16*L24/16)*10.6870159))*(1+K$70)*BQ24</f>
        <v>0</v>
      </c>
      <c r="BP24" s="1536" t="n">
        <f aca="false">IF(O24="Y",D24*(1+K$71)*BQ24,0)</f>
        <v>0</v>
      </c>
      <c r="BQ24" s="1538" t="n">
        <f aca="false">G24</f>
        <v>0</v>
      </c>
      <c r="BR24" s="1411" t="n">
        <f aca="false">IF(O24="y",D24,0)</f>
        <v>0</v>
      </c>
      <c r="BS24" s="1567" t="n">
        <f aca="false">IF($I24=1,$Q24,0)*BQ24</f>
        <v>0</v>
      </c>
      <c r="BT24" s="1536" t="n">
        <f aca="false">IF($I24=2,$Q24,0)*BQ24</f>
        <v>0</v>
      </c>
      <c r="BU24" s="1536" t="n">
        <f aca="false">IF($I24=3,$Q24,0)*BQ24</f>
        <v>0</v>
      </c>
      <c r="BV24" s="1536" t="n">
        <f aca="false">IF($I24=4,$Q24,0)*BQ24</f>
        <v>0</v>
      </c>
      <c r="BW24" s="1536" t="n">
        <f aca="false">IF($I24=5,$Q24,0)*BQ24</f>
        <v>0</v>
      </c>
      <c r="BX24" s="1537" t="n">
        <f aca="false">IF($I24=6,$Q24,0)*BQ24</f>
        <v>0</v>
      </c>
      <c r="BY24" s="1537" t="n">
        <f aca="false">IF($I24=7,$Q24,0)*BQ24</f>
        <v>0</v>
      </c>
      <c r="BZ24" s="1537" t="n">
        <f aca="false">IF($I24=8,$Q24,0)*BQ24</f>
        <v>0</v>
      </c>
      <c r="CA24" s="1537" t="n">
        <f aca="false">IF($I24=9,$Q24,0)*BQ24</f>
        <v>0</v>
      </c>
      <c r="CB24" s="1569" t="n">
        <f aca="false">IF($I24=10,$Q24,0)*BQ24</f>
        <v>0</v>
      </c>
      <c r="CC24" s="1538" t="n">
        <f aca="false">SUM(BS24:BX24)</f>
        <v>0</v>
      </c>
      <c r="CD24" s="1538" t="n">
        <f aca="false">IF(H24="N",0,D24)*BQ24</f>
        <v>0</v>
      </c>
      <c r="CE24" s="1538" t="n">
        <f aca="false">K24*BQ24</f>
        <v>0</v>
      </c>
      <c r="CF24" s="1542" t="n">
        <f aca="false">IF(W24="",0,LOOKUP(W24,B$49:B$59,D$49:D$59)*X24/12)</f>
        <v>0</v>
      </c>
      <c r="CG24" s="1542" t="n">
        <f aca="false">IF(Y24="",0,LOOKUP(Y24,B$49:B$59,D$49:D$59)*Z24/12)</f>
        <v>0</v>
      </c>
      <c r="CH24" s="1542" t="n">
        <f aca="false">IF(AA24="",0,LOOKUP(AA24,B$49:B$59,D$49:D$59)*AB24/12)</f>
        <v>0</v>
      </c>
      <c r="CI24" s="1538" t="n">
        <f aca="false">D24*BQ24</f>
        <v>0</v>
      </c>
      <c r="CJ24" s="1538" t="n">
        <f aca="false">D24*J24/324*(1+K$73)*G24</f>
        <v>0</v>
      </c>
      <c r="CK24" s="1538" t="str">
        <f aca="false">IF(N24="","",N24)</f>
        <v/>
      </c>
      <c r="CL24" s="1538" t="n">
        <f aca="false">P24*BQ24</f>
        <v>0</v>
      </c>
      <c r="CM24" s="1543" t="n">
        <f aca="false">IF(BQ24=0,0,SUM(CN24:DC24)/BQ24)</f>
        <v>0</v>
      </c>
      <c r="CN24" s="656" t="n">
        <f aca="false">(BS24*Pricing!F$3+BT24*Pricing!G$3+BU24*Pricing!H$3+BV24*Pricing!I$3+BW24*Pricing!J$3+BX24*Pricing!K$3)*IF(W$44="N",(1+Y$44),1)</f>
        <v>0</v>
      </c>
      <c r="CO24" s="656" t="n">
        <f aca="false">BN24*G$70*IF(W$44="n",1+Y$44,1)</f>
        <v>0</v>
      </c>
      <c r="CP24" s="656" t="n">
        <f aca="false">C24*D24</f>
        <v>0</v>
      </c>
      <c r="CQ24" s="656" t="n">
        <f aca="false">IF(I$79=0,0,D24*(SUM(O$79:P$82)+O$85)/I$79*BQ24)</f>
        <v>0</v>
      </c>
      <c r="CR24" s="656" t="n">
        <f aca="false">IF(CF24="",0,CF24*E$83)+IF(CG24="",0,CG24*E$83)+IF(CH24="",0,CH24*E$83)</f>
        <v>0</v>
      </c>
      <c r="CS24" s="656"/>
      <c r="CT24" s="656" t="n">
        <f aca="false">IF(I$87=0,0,(P24-(D24*0.35))/2000*E$87)</f>
        <v>0</v>
      </c>
      <c r="CU24" s="656" t="n">
        <f aca="false">IF(D$42=0,0,SUM(O$91:P$93)/D$42*D24)*BQ24</f>
        <v>0</v>
      </c>
      <c r="CV24" s="656" t="n">
        <f aca="false">IF(D$42=0,0,SUM(Z$66:Z$97)/D$42*D24*BQ24)</f>
        <v>0</v>
      </c>
      <c r="CW24" s="656" t="n">
        <f aca="false">IF(D$42=0,0,SUM(O$96:P$101)/D$42*D24)*BQ24</f>
        <v>0</v>
      </c>
      <c r="CX24" s="656" t="n">
        <f aca="false">IF(D$42=0,0,SUM(O$103:O$110)/D$42)*D24*BQ24</f>
        <v>0</v>
      </c>
      <c r="CY24" s="656" t="n">
        <f aca="false">IF(I$79=0,0,IF(I$79=0,0,SUM(Z$98:Z$109)/I$79*D24))</f>
        <v>0</v>
      </c>
      <c r="CZ24" s="656" t="n">
        <f aca="false">IF(J$72&gt;0,J$72/D$42*D24*G24,CD24*(G$72*IF(W$44="n",(1+Y$44),1)))</f>
        <v>0</v>
      </c>
      <c r="DA24" s="656" t="str">
        <f aca="false">IF(CK24="","",CK24*E$86)</f>
        <v/>
      </c>
      <c r="DB24" s="656" t="n">
        <f aca="false">BP24*G$71*IF(W$44="Y",1,1+Y$44)</f>
        <v>0</v>
      </c>
      <c r="DC24" s="656" t="n">
        <f aca="false">CJ24*G$73*IF(W$44="Y",1,1+Y$44)</f>
        <v>0</v>
      </c>
      <c r="DD24" s="1546"/>
      <c r="DE24" s="654" t="n">
        <f aca="false">IF(W24=1,X24*$AS$49,0)+IF(W24=2,X24*$AS$50,0)+IF(W24=3,X24*$AS$51,0)+IF(W24=4,X24*$AS$52,0)+IF(W24=5,X24*$AS$53,0)+IF(W24=6,X24*$AS$54)+IF(W24=7,X24*$AS$55)+IF(W24=8,X24*$AS$56)+IF(W24=9,X24*$AS$57)+IF(W24=10,X24*$AS$58)+IF(W24=11,X24*$AS$59,0)</f>
        <v>0</v>
      </c>
      <c r="DF24" s="654" t="n">
        <f aca="false">IF(Y24=1,Z24*$AS$49,0)+IF(Y24=2,Z24*$AS$50,0)+IF(Y24=3,Z24*$AS$51,0)+IF(Y24=4,Z24*$AS$52,0)+IF(Y24=5,Z24*$AS$53,0)+IF(Y24=6,Z24*$AS$54)+IF(Y24=7,Z24*$AS$55)+IF(Y24=8,Z24*$AS$56)+IF(Y24=9,Z24*$AS$57)+IF(Y24=10,Z24*$AS$58)+IF(Y24=11,Z24*$AS$59,0)</f>
        <v>0</v>
      </c>
      <c r="DG24" s="654" t="n">
        <f aca="false">IF(AA24=1,AB24*$AS$49,0)+IF(AA24=2,AB24*$AS$50,0)+IF(AA24=3,AB24*$AS$51,0)+IF(AA24=4,AB24*$AS$52,0)+IF(AA24=5,AB24*$AS$53,0)+IF(AA24=6,AB24*$AS$54)+IF(AA24=7,AB24*$AS$55)+IF(AA24=8,AB24*$AS$56)+IF(AA24=9,AB24*$AS$57)+IF(AA24=10,AB24*$AS$58)+IF(AA24=11,AB24*$AS$59,0)</f>
        <v>0</v>
      </c>
      <c r="DH24" s="654" t="n">
        <f aca="false">IF(AC24=1,AD24*$AS$49,0)+IF(AC24=2,AD24*$AS$50,0)+IF(AC24=3,AD24*$AS$51,0)+IF(AC24=4,AD24*$AS$52,0)+IF(AC24=5,AD24*$AS$53,0)+IF(AC24=6,AD24*$AS$54)+IF(AC24=7,AD24*$AS$55)+IF(AC24=8,AD24*$AS$56)+IF(AC24=9,AD24*$AS$57)+IF(AC24=10,AD24*$AS$58)+IF(AC24=11,AD24*$AS$59,0)</f>
        <v>0</v>
      </c>
      <c r="DI24" s="654" t="n">
        <f aca="false">IF(AE24=1,AF24*$AS$49,0)+IF(AE24=2,AF24*$AS$50,0)+IF(AE24=3,AF24*$AS$51,0)+IF(AE24=4,AF24*$AS$52,0)+IF(AE24=5,AF24*$AS$53,0)+IF(AE24=6,AF24*$AS$54)+IF(AE24=7,AF24*$AS$55)+IF(AE24=8,AF24*$AS$56)+IF(AE24=9,AF24*$AS$57)+IF(AE24=10,AF24*$AS$58)+IF(AE24=11,AF24*$AS$59,0)</f>
        <v>0</v>
      </c>
      <c r="DJ24" s="654" t="n">
        <f aca="false">IF(AG24=1,AH24*$AS$49,0)+IF(AG24=2,AH24*$AS$50,0)+IF(AG24=3,AH24*$AS$51,0)+IF(AG24=4,AH24*$AS$52,0)+IF(AG24=5,AH24*$AS$53,0)+IF(AG24=6,AH24*$AS$54)+IF(AG24=7,AH24*$AS$55)+IF(AG24=8,AH24*$AS$56)+IF(AG24=9,AH24*$AS$57)+IF(AG24=10,AH24*$AS$58)+IF(AG24=11,AH24*$AS$59,0)</f>
        <v>0</v>
      </c>
      <c r="DK24" s="654" t="n">
        <f aca="false">IF(AI24=1,AJ24*$AS$49,0)+IF(AI24=2,AJ24*$AS$50,0)+IF(AI24=3,AJ24*$AS$51,0)+IF(AI24=4,AJ24*$AS$52,0)+IF(AI24=5,AJ24*$AS$53,0)+IF(AI24=6,AJ24*$AS$54)+IF(AI24=7,AJ24*$AS$55)+IF(AI24=8,AJ24*$AS$56)+IF(AI24=9,AJ24*$AS$57)+IF(AI24=10,AJ24*$AS$58)+IF(AI24=11,AJ24*$AS$59,0)</f>
        <v>0</v>
      </c>
      <c r="DL24" s="654" t="n">
        <f aca="false">IF(AK24=1,AL24*$AS$49,0)+IF(AK24=2,AL24*$AS$50,0)+IF(AK24=3,AL24*$AS$51,0)+IF(AK24=4,AL24*$AS$52,0)+IF(AK24=5,AL24*$AS$53,0)+IF(AK24=6,AL24*$AS$54)+IF(AK24=7,AL24*$AS$55)+IF(AK24=8,AL24*$AS$56)+IF(AK24=9,AL24*$AS$57)+IF(AK24=10,AL24*$AS$58)+IF(AK24=11,AL24*$AS$59,0)</f>
        <v>0</v>
      </c>
      <c r="DM24" s="654" t="n">
        <f aca="false">IF(AM24=1,AN24*$AS$49,0)+IF(AM24=2,AN24*$AS$50,0)+IF(AM24=3,AN24*$AS$51,0)+IF(AM24=4,AN24*$AS$52,0)+IF(AM24=5,AN24*$AS$53,0)+IF(AM24=6,AN24*$AS$54)+IF(AM24=7,AN24*$AS$55)+IF(AM24=8,AN24*$AS$56)+IF(AM24=9,AN24*$AS$57)+IF(AM24=10,AN24*$AS$58)+IF(AM24=11,AN24*$AS$59,0)</f>
        <v>0</v>
      </c>
      <c r="DN24" s="654" t="n">
        <f aca="false">IF(AO24=1,AP24*$AS$49,0)+IF(AO24=2,AP24*$AS$50,0)+IF(AO24=3,AP24*$AS$51,0)+IF(AO24=4,AP24*$AS$52,0)+IF(AO24=5,AP24*$AS$53,0)+IF(AO24=6,AP24*$AS$54)+IF(AO24=7,AP24*$AS$55)+IF(AO24=8,AP24*$AS$56)+IF(AO24=9,AP24*$AS$57)+IF(AO24=10,AP24*$AS$58)+IF(AO24=11,AP24*$AS$59,0)</f>
        <v>0</v>
      </c>
      <c r="DO24" s="1569" t="n">
        <f aca="false">D24</f>
        <v>0</v>
      </c>
    </row>
    <row r="25" customFormat="false" ht="19.5" hidden="false" customHeight="true" outlineLevel="0" collapsed="false">
      <c r="A25" s="2672" t="s">
        <v>1568</v>
      </c>
      <c r="B25" s="1549"/>
      <c r="C25" s="1550"/>
      <c r="D25" s="1551"/>
      <c r="E25" s="1552"/>
      <c r="F25" s="1074"/>
      <c r="G25" s="1553"/>
      <c r="H25" s="1074"/>
      <c r="I25" s="1553"/>
      <c r="J25" s="1074"/>
      <c r="K25" s="1583"/>
      <c r="L25" s="1555"/>
      <c r="M25" s="1556"/>
      <c r="N25" s="1557"/>
      <c r="O25" s="1558"/>
      <c r="P25" s="1515" t="n">
        <f aca="false">IF(BQ25=0,0,BN25/BQ25)</f>
        <v>0</v>
      </c>
      <c r="Q25" s="1516" t="n">
        <f aca="false">(D25*F25/324)*(1+K$65)+BB25</f>
        <v>0</v>
      </c>
      <c r="R25" s="1517" t="n">
        <f aca="false">IF(D25=0,0,S25/D25)</f>
        <v>0</v>
      </c>
      <c r="S25" s="1518" t="n">
        <f aca="false">SUM(CM25)*(1+M$45)</f>
        <v>0</v>
      </c>
      <c r="T25" s="1519" t="n">
        <f aca="false">ROUND((CF25+CG25+CH25),0)</f>
        <v>0</v>
      </c>
      <c r="U25" s="1520" t="n">
        <f aca="false">IF(P25-(D25*0.45)&lt;0,0,P25-(D25*0.45))</f>
        <v>0</v>
      </c>
      <c r="V25" s="1521" t="n">
        <f aca="false">IF(D25="",0,IF(D25/-30+Q25&lt;1,0,D25/-30+Q25))</f>
        <v>0</v>
      </c>
      <c r="W25" s="1559"/>
      <c r="X25" s="1862"/>
      <c r="Y25" s="1559"/>
      <c r="Z25" s="1561"/>
      <c r="AA25" s="1559"/>
      <c r="AB25" s="1561"/>
      <c r="AC25" s="1562"/>
      <c r="AD25" s="1862"/>
      <c r="AE25" s="1559"/>
      <c r="AF25" s="2675"/>
      <c r="AG25" s="1595"/>
      <c r="AH25" s="2675"/>
      <c r="AI25" s="1559"/>
      <c r="AJ25" s="1862"/>
      <c r="AK25" s="1559"/>
      <c r="AL25" s="1556"/>
      <c r="AM25" s="1559"/>
      <c r="AN25" s="1561"/>
      <c r="AO25" s="1559"/>
      <c r="AP25" s="1561"/>
      <c r="AQ25" s="654"/>
      <c r="AR25" s="1533" t="str">
        <f aca="false">IF(W25="","",LOOKUP(W25,$B$49:$B$59,$R$49:$R$59)*X25)</f>
        <v/>
      </c>
      <c r="AS25" s="1430" t="str">
        <f aca="false">IF(Y25="","",LOOKUP(Y25,$B$49:$B$59,$R$49:$R$59)*Z25)</f>
        <v/>
      </c>
      <c r="AT25" s="1430" t="str">
        <f aca="false">IF(AB25="","",LOOKUP(AA25,$B$49:$B$59,$R$49:$R$59)*AB25)</f>
        <v/>
      </c>
      <c r="AU25" s="1430" t="str">
        <f aca="false">IF(AC25="","",LOOKUP(AC25,$B$49:$B$59,$R$49:$R$59)*AD25)</f>
        <v/>
      </c>
      <c r="AV25" s="1430" t="str">
        <f aca="false">IF(AE25="","",LOOKUP(AE25,$B$49:$B$59,$R$49:$R$59)*AF25)</f>
        <v/>
      </c>
      <c r="AW25" s="1430" t="str">
        <f aca="false">IF(AG25="","",LOOKUP(AG25,$B$49:$B$59,$R$49:$R$59)*AH25)</f>
        <v/>
      </c>
      <c r="AX25" s="1430" t="str">
        <f aca="false">IF(AI25="","",LOOKUP(AI25,$B$49:$B$59,$R$49:$R$59)*AJ25)</f>
        <v/>
      </c>
      <c r="AY25" s="1430" t="str">
        <f aca="false">IF(AK25="","",LOOKUP(AK25,$B$49:$B$59,$R$49:$R$59)*AL25)</f>
        <v/>
      </c>
      <c r="AZ25" s="1430" t="str">
        <f aca="false">IF(AM25="","",LOOKUP(AM25,$B$49:$B$59,$R$49:$R$59)*AN25)</f>
        <v/>
      </c>
      <c r="BA25" s="1430" t="str">
        <f aca="false">IF(AO25="","",LOOKUP(AO25,$B$49:$B$59,$R$49:$R$59)*AP25)</f>
        <v/>
      </c>
      <c r="BB25" s="1535" t="n">
        <f aca="false">SUM(AR25:BA25)</f>
        <v>0</v>
      </c>
      <c r="BC25" s="1533" t="str">
        <f aca="false">IF(W25="","",LOOKUP(W25,$B$49:$B$59,$P$49:$P$59)*X25)</f>
        <v/>
      </c>
      <c r="BD25" s="1430" t="str">
        <f aca="false">IF(Y25="","",LOOKUP(Y25,$B$49:$B$59,$P$49:$P$59)*Z25)</f>
        <v/>
      </c>
      <c r="BE25" s="1430" t="str">
        <f aca="false">IF(AA25="","",LOOKUP(AA25,$B$49:$B$59,$P$49:$P$59)*AB25)</f>
        <v/>
      </c>
      <c r="BF25" s="1430" t="str">
        <f aca="false">IF(AC25="","",LOOKUP(AC25,$B$49:$B$59,$P$49:$P$59)*AD25)</f>
        <v/>
      </c>
      <c r="BG25" s="1430" t="str">
        <f aca="false">IF(AE25="","",LOOKUP(AE25,$B$49:$B$59,$P$49:$P$59)*AF25)</f>
        <v/>
      </c>
      <c r="BH25" s="1430" t="str">
        <f aca="false">IF(AG25="","",LOOKUP(AG25,$B$49:$B$59,$P$49:$P$59)*AH25)</f>
        <v/>
      </c>
      <c r="BI25" s="1430" t="str">
        <f aca="false">IF(AI25="","",LOOKUP(AI25,$B$49:$B$59,$P$49:$P$59)*AJ25)</f>
        <v/>
      </c>
      <c r="BJ25" s="1430" t="str">
        <f aca="false">IF(AK25="","",LOOKUP(AK25,$B$49:$B$59,$P$49:$P$59)*AL25)</f>
        <v/>
      </c>
      <c r="BK25" s="1430" t="str">
        <f aca="false">IF(AM25="","",LOOKUP(AM25,$B$49:$B$59,$P$49:$P$59)*AN25)</f>
        <v/>
      </c>
      <c r="BL25" s="1430" t="str">
        <f aca="false">IF(AO25="","",LOOKUP(AO25,$B$49:$B$59,$P$49:$P$59)*AP25)</f>
        <v/>
      </c>
      <c r="BM25" s="1535" t="n">
        <f aca="false">SUM(BC25:BL25)*BQ25</f>
        <v>0</v>
      </c>
      <c r="BN25" s="1536" t="n">
        <f aca="false">BM25+BO25</f>
        <v>0</v>
      </c>
      <c r="BO25" s="1536" t="n">
        <f aca="false">IF(M25=0,0,(M25/12+M25/12)/(M25/12*M25/12)*D25*((L25/16*L25/16)*10.6870159))*(1+K$70)*BQ25</f>
        <v>0</v>
      </c>
      <c r="BP25" s="1536" t="n">
        <f aca="false">IF(O25="Y",D25*(1+K$71)*BQ25,0)</f>
        <v>0</v>
      </c>
      <c r="BQ25" s="1538" t="n">
        <f aca="false">G25</f>
        <v>0</v>
      </c>
      <c r="BR25" s="1411" t="n">
        <f aca="false">IF(O25="y",D25,0)</f>
        <v>0</v>
      </c>
      <c r="BS25" s="1567" t="n">
        <f aca="false">IF($I25=1,$Q25,0)*BQ25</f>
        <v>0</v>
      </c>
      <c r="BT25" s="1536" t="n">
        <f aca="false">IF($I25=2,$Q25,0)*BQ25</f>
        <v>0</v>
      </c>
      <c r="BU25" s="1536" t="n">
        <f aca="false">IF($I25=3,$Q25,0)*BQ25</f>
        <v>0</v>
      </c>
      <c r="BV25" s="1536" t="n">
        <f aca="false">IF($I25=4,$Q25,0)*BQ25</f>
        <v>0</v>
      </c>
      <c r="BW25" s="1536" t="n">
        <f aca="false">IF($I25=5,$Q25,0)*BQ25</f>
        <v>0</v>
      </c>
      <c r="BX25" s="1537" t="n">
        <f aca="false">IF($I25=6,$Q25,0)*BQ25</f>
        <v>0</v>
      </c>
      <c r="BY25" s="1537" t="n">
        <f aca="false">IF($I25=7,$Q25,0)*BQ25</f>
        <v>0</v>
      </c>
      <c r="BZ25" s="1537" t="n">
        <f aca="false">IF($I25=8,$Q25,0)*BQ25</f>
        <v>0</v>
      </c>
      <c r="CA25" s="1537" t="n">
        <f aca="false">IF($I25=9,$Q25,0)*BQ25</f>
        <v>0</v>
      </c>
      <c r="CB25" s="1569" t="n">
        <f aca="false">IF($I25=10,$Q25,0)*BQ25</f>
        <v>0</v>
      </c>
      <c r="CC25" s="1538" t="n">
        <f aca="false">SUM(BS25:BX25)</f>
        <v>0</v>
      </c>
      <c r="CD25" s="1538" t="n">
        <f aca="false">IF(H25="N",0,D25)*BQ25</f>
        <v>0</v>
      </c>
      <c r="CE25" s="1538" t="n">
        <f aca="false">K25*BQ25</f>
        <v>0</v>
      </c>
      <c r="CF25" s="1542" t="n">
        <f aca="false">IF(W25="",0,LOOKUP(W25,B$49:B$59,D$49:D$59)*X25/12)</f>
        <v>0</v>
      </c>
      <c r="CG25" s="1542" t="n">
        <f aca="false">IF(Y25="",0,LOOKUP(Y25,B$49:B$59,D$49:D$59)*Z25/12)</f>
        <v>0</v>
      </c>
      <c r="CH25" s="1542" t="n">
        <f aca="false">IF(AA25="",0,LOOKUP(AA25,B$49:B$59,D$49:D$59)*AB25/12)</f>
        <v>0</v>
      </c>
      <c r="CI25" s="1538" t="n">
        <f aca="false">D25*BQ25</f>
        <v>0</v>
      </c>
      <c r="CJ25" s="1538" t="n">
        <f aca="false">D25*J25/324*(1+K$73)*G25</f>
        <v>0</v>
      </c>
      <c r="CK25" s="1538" t="str">
        <f aca="false">IF(N25="","",N25)</f>
        <v/>
      </c>
      <c r="CL25" s="1538" t="n">
        <f aca="false">P25*BQ25</f>
        <v>0</v>
      </c>
      <c r="CM25" s="1543" t="n">
        <f aca="false">IF(BQ25=0,0,SUM(CN25:DC25)/BQ25)</f>
        <v>0</v>
      </c>
      <c r="CN25" s="656" t="n">
        <f aca="false">(BS25*Pricing!F$3+BT25*Pricing!G$3+BU25*Pricing!H$3+BV25*Pricing!I$3+BW25*Pricing!J$3+BX25*Pricing!K$3)*IF(W$44="N",(1+Y$44),1)</f>
        <v>0</v>
      </c>
      <c r="CO25" s="656" t="n">
        <f aca="false">BN25*G$70*IF(W$44="n",1+Y$44,1)</f>
        <v>0</v>
      </c>
      <c r="CP25" s="656" t="n">
        <f aca="false">C25*D25</f>
        <v>0</v>
      </c>
      <c r="CQ25" s="656" t="n">
        <f aca="false">IF(I$79=0,0,D25*(SUM(O$79:P$82)+O$85)/I$79*BQ25)</f>
        <v>0</v>
      </c>
      <c r="CR25" s="656" t="n">
        <f aca="false">IF(CF25="",0,CF25*E$83)+IF(CG25="",0,CG25*E$83)+IF(CH25="",0,CH25*E$83)</f>
        <v>0</v>
      </c>
      <c r="CS25" s="656"/>
      <c r="CT25" s="656" t="n">
        <f aca="false">IF(I$87=0,0,(P25-(D25*0.35))/2000*E$87)</f>
        <v>0</v>
      </c>
      <c r="CU25" s="656" t="n">
        <f aca="false">IF(D$42=0,0,SUM(O$91:P$93)/D$42*D25)*BQ25</f>
        <v>0</v>
      </c>
      <c r="CV25" s="656" t="n">
        <f aca="false">IF(D$42=0,0,SUM(Z$66:Z$97)/D$42*D25*BQ25)</f>
        <v>0</v>
      </c>
      <c r="CW25" s="656" t="n">
        <f aca="false">IF(D$42=0,0,SUM(O$96:P$101)/D$42*D25)*BQ25</f>
        <v>0</v>
      </c>
      <c r="CX25" s="656" t="n">
        <f aca="false">IF(D$42=0,0,SUM(O$103:O$110)/D$42)*D25*BQ25</f>
        <v>0</v>
      </c>
      <c r="CY25" s="656" t="n">
        <f aca="false">IF(I$79=0,0,IF(I$79=0,0,SUM(Z$98:Z$109)/I$79*D25))</f>
        <v>0</v>
      </c>
      <c r="CZ25" s="656" t="n">
        <f aca="false">IF(J$72&gt;0,J$72/D$42*D25*G25,CD25*(G$72*IF(W$44="n",(1+Y$44),1)))</f>
        <v>0</v>
      </c>
      <c r="DA25" s="656" t="str">
        <f aca="false">IF(CK25="","",CK25*E$86)</f>
        <v/>
      </c>
      <c r="DB25" s="656" t="n">
        <f aca="false">BP25*G$71*IF(W$44="Y",1,1+Y$44)</f>
        <v>0</v>
      </c>
      <c r="DC25" s="656" t="n">
        <f aca="false">CJ25*G$73*IF(W$44="Y",1,1+Y$44)</f>
        <v>0</v>
      </c>
      <c r="DD25" s="1546"/>
      <c r="DE25" s="654" t="n">
        <f aca="false">IF(W25=1,X25*$AS$49,0)+IF(W25=2,X25*$AS$50,0)+IF(W25=3,X25*$AS$51,0)+IF(W25=4,X25*$AS$52,0)+IF(W25=5,X25*$AS$53,0)+IF(W25=6,X25*$AS$54)+IF(W25=7,X25*$AS$55)+IF(W25=8,X25*$AS$56)+IF(W25=9,X25*$AS$57)+IF(W25=10,X25*$AS$58)+IF(W25=11,X25*$AS$59,0)</f>
        <v>0</v>
      </c>
      <c r="DF25" s="654" t="n">
        <f aca="false">IF(Y25=1,Z25*$AS$49,0)+IF(Y25=2,Z25*$AS$50,0)+IF(Y25=3,Z25*$AS$51,0)+IF(Y25=4,Z25*$AS$52,0)+IF(Y25=5,Z25*$AS$53,0)+IF(Y25=6,Z25*$AS$54)+IF(Y25=7,Z25*$AS$55)+IF(Y25=8,Z25*$AS$56)+IF(Y25=9,Z25*$AS$57)+IF(Y25=10,Z25*$AS$58)+IF(Y25=11,Z25*$AS$59,0)</f>
        <v>0</v>
      </c>
      <c r="DG25" s="654" t="n">
        <f aca="false">IF(AA25=1,AB25*$AS$49,0)+IF(AA25=2,AB25*$AS$50,0)+IF(AA25=3,AB25*$AS$51,0)+IF(AA25=4,AB25*$AS$52,0)+IF(AA25=5,AB25*$AS$53,0)+IF(AA25=6,AB25*$AS$54)+IF(AA25=7,AB25*$AS$55)+IF(AA25=8,AB25*$AS$56)+IF(AA25=9,AB25*$AS$57)+IF(AA25=10,AB25*$AS$58)+IF(AA25=11,AB25*$AS$59,0)</f>
        <v>0</v>
      </c>
      <c r="DH25" s="654" t="n">
        <f aca="false">IF(AC25=1,AD25*$AS$49,0)+IF(AC25=2,AD25*$AS$50,0)+IF(AC25=3,AD25*$AS$51,0)+IF(AC25=4,AD25*$AS$52,0)+IF(AC25=5,AD25*$AS$53,0)+IF(AC25=6,AD25*$AS$54)+IF(AC25=7,AD25*$AS$55)+IF(AC25=8,AD25*$AS$56)+IF(AC25=9,AD25*$AS$57)+IF(AC25=10,AD25*$AS$58)+IF(AC25=11,AD25*$AS$59,0)</f>
        <v>0</v>
      </c>
      <c r="DI25" s="654" t="n">
        <f aca="false">IF(AE25=1,AF25*$AS$49,0)+IF(AE25=2,AF25*$AS$50,0)+IF(AE25=3,AF25*$AS$51,0)+IF(AE25=4,AF25*$AS$52,0)+IF(AE25=5,AF25*$AS$53,0)+IF(AE25=6,AF25*$AS$54)+IF(AE25=7,AF25*$AS$55)+IF(AE25=8,AF25*$AS$56)+IF(AE25=9,AF25*$AS$57)+IF(AE25=10,AF25*$AS$58)+IF(AE25=11,AF25*$AS$59,0)</f>
        <v>0</v>
      </c>
      <c r="DJ25" s="654" t="n">
        <f aca="false">IF(AG25=1,AH25*$AS$49,0)+IF(AG25=2,AH25*$AS$50,0)+IF(AG25=3,AH25*$AS$51,0)+IF(AG25=4,AH25*$AS$52,0)+IF(AG25=5,AH25*$AS$53,0)+IF(AG25=6,AH25*$AS$54)+IF(AG25=7,AH25*$AS$55)+IF(AG25=8,AH25*$AS$56)+IF(AG25=9,AH25*$AS$57)+IF(AG25=10,AH25*$AS$58)+IF(AG25=11,AH25*$AS$59,0)</f>
        <v>0</v>
      </c>
      <c r="DK25" s="654" t="n">
        <f aca="false">IF(AI25=1,AJ25*$AS$49,0)+IF(AI25=2,AJ25*$AS$50,0)+IF(AI25=3,AJ25*$AS$51,0)+IF(AI25=4,AJ25*$AS$52,0)+IF(AI25=5,AJ25*$AS$53,0)+IF(AI25=6,AJ25*$AS$54)+IF(AI25=7,AJ25*$AS$55)+IF(AI25=8,AJ25*$AS$56)+IF(AI25=9,AJ25*$AS$57)+IF(AI25=10,AJ25*$AS$58)+IF(AI25=11,AJ25*$AS$59,0)</f>
        <v>0</v>
      </c>
      <c r="DL25" s="654" t="n">
        <f aca="false">IF(AK25=1,AL25*$AS$49,0)+IF(AK25=2,AL25*$AS$50,0)+IF(AK25=3,AL25*$AS$51,0)+IF(AK25=4,AL25*$AS$52,0)+IF(AK25=5,AL25*$AS$53,0)+IF(AK25=6,AL25*$AS$54)+IF(AK25=7,AL25*$AS$55)+IF(AK25=8,AL25*$AS$56)+IF(AK25=9,AL25*$AS$57)+IF(AK25=10,AL25*$AS$58)+IF(AK25=11,AL25*$AS$59,0)</f>
        <v>0</v>
      </c>
      <c r="DM25" s="654" t="n">
        <f aca="false">IF(AM25=1,AN25*$AS$49,0)+IF(AM25=2,AN25*$AS$50,0)+IF(AM25=3,AN25*$AS$51,0)+IF(AM25=4,AN25*$AS$52,0)+IF(AM25=5,AN25*$AS$53,0)+IF(AM25=6,AN25*$AS$54)+IF(AM25=7,AN25*$AS$55)+IF(AM25=8,AN25*$AS$56)+IF(AM25=9,AN25*$AS$57)+IF(AM25=10,AN25*$AS$58)+IF(AM25=11,AN25*$AS$59,0)</f>
        <v>0</v>
      </c>
      <c r="DN25" s="654" t="n">
        <f aca="false">IF(AO25=1,AP25*$AS$49,0)+IF(AO25=2,AP25*$AS$50,0)+IF(AO25=3,AP25*$AS$51,0)+IF(AO25=4,AP25*$AS$52,0)+IF(AO25=5,AP25*$AS$53,0)+IF(AO25=6,AP25*$AS$54)+IF(AO25=7,AP25*$AS$55)+IF(AO25=8,AP25*$AS$56)+IF(AO25=9,AP25*$AS$57)+IF(AO25=10,AP25*$AS$58)+IF(AO25=11,AP25*$AS$59,0)</f>
        <v>0</v>
      </c>
      <c r="DO25" s="1569" t="n">
        <f aca="false">D25</f>
        <v>0</v>
      </c>
    </row>
    <row r="26" customFormat="false" ht="19.5" hidden="false" customHeight="true" outlineLevel="0" collapsed="false">
      <c r="A26" s="2672" t="s">
        <v>1570</v>
      </c>
      <c r="B26" s="920"/>
      <c r="C26" s="1506"/>
      <c r="D26" s="1507"/>
      <c r="E26" s="1508"/>
      <c r="F26" s="1074"/>
      <c r="G26" s="1553"/>
      <c r="H26" s="1074"/>
      <c r="I26" s="1553"/>
      <c r="J26" s="1074"/>
      <c r="K26" s="1583"/>
      <c r="L26" s="528"/>
      <c r="M26" s="895"/>
      <c r="N26" s="1513"/>
      <c r="O26" s="1514"/>
      <c r="P26" s="1515" t="n">
        <f aca="false">IF(BQ26=0,0,BN26/BQ26)</f>
        <v>0</v>
      </c>
      <c r="Q26" s="1516" t="n">
        <f aca="false">(D26*F26/324)*(1+K$65)+BB26</f>
        <v>0</v>
      </c>
      <c r="R26" s="1517" t="n">
        <f aca="false">IF(D26=0,0,S26/D26)</f>
        <v>0</v>
      </c>
      <c r="S26" s="1518" t="n">
        <f aca="false">SUM(CM26)*(1+M$45)</f>
        <v>0</v>
      </c>
      <c r="T26" s="1519" t="n">
        <f aca="false">ROUND((CF26+CG26+CH26),0)</f>
        <v>0</v>
      </c>
      <c r="U26" s="1520" t="n">
        <f aca="false">IF(P26-(D26*0.45)&lt;0,0,P26-(D26*0.45))</f>
        <v>0</v>
      </c>
      <c r="V26" s="1521" t="n">
        <f aca="false">IF(D26="",0,IF(D26/-30+Q26&lt;1,0,D26/-30+Q26))</f>
        <v>0</v>
      </c>
      <c r="W26" s="1511"/>
      <c r="X26" s="2676"/>
      <c r="Y26" s="528"/>
      <c r="Z26" s="1574"/>
      <c r="AA26" s="528"/>
      <c r="AB26" s="1574"/>
      <c r="AC26" s="1525"/>
      <c r="AD26" s="2676"/>
      <c r="AE26" s="1511"/>
      <c r="AF26" s="1592"/>
      <c r="AG26" s="1593"/>
      <c r="AH26" s="1592"/>
      <c r="AI26" s="4"/>
      <c r="AJ26" s="1858"/>
      <c r="AK26" s="528"/>
      <c r="AL26" s="895"/>
      <c r="AM26" s="528"/>
      <c r="AN26" s="1574"/>
      <c r="AO26" s="528"/>
      <c r="AP26" s="1574"/>
      <c r="AQ26" s="654"/>
      <c r="AR26" s="1533" t="str">
        <f aca="false">IF(W26="","",LOOKUP(W26,$B$49:$B$59,$R$49:$R$59)*X26)</f>
        <v/>
      </c>
      <c r="AS26" s="1430" t="str">
        <f aca="false">IF(Y26="","",LOOKUP(Y26,$B$49:$B$59,$R$49:$R$59)*Z26)</f>
        <v/>
      </c>
      <c r="AT26" s="1430" t="str">
        <f aca="false">IF(AB26="","",LOOKUP(AA26,$B$49:$B$59,$R$49:$R$59)*AB26)</f>
        <v/>
      </c>
      <c r="AU26" s="1430" t="str">
        <f aca="false">IF(AC26="","",LOOKUP(AC26,$B$49:$B$59,$R$49:$R$59)*AD26)</f>
        <v/>
      </c>
      <c r="AV26" s="1430" t="str">
        <f aca="false">IF(AE26="","",LOOKUP(AE26,$B$49:$B$59,$R$49:$R$59)*AF26)</f>
        <v/>
      </c>
      <c r="AW26" s="1430" t="str">
        <f aca="false">IF(AG26="","",LOOKUP(AG26,$B$49:$B$59,$R$49:$R$59)*AH26)</f>
        <v/>
      </c>
      <c r="AX26" s="1430" t="str">
        <f aca="false">IF(AI26="","",LOOKUP(AI26,$B$49:$B$59,$R$49:$R$59)*AJ26)</f>
        <v/>
      </c>
      <c r="AY26" s="1430" t="str">
        <f aca="false">IF(AK26="","",LOOKUP(AK26,$B$49:$B$59,$R$49:$R$59)*AL26)</f>
        <v/>
      </c>
      <c r="AZ26" s="1430" t="str">
        <f aca="false">IF(AM26="","",LOOKUP(AM26,$B$49:$B$59,$R$49:$R$59)*AN26)</f>
        <v/>
      </c>
      <c r="BA26" s="1430" t="str">
        <f aca="false">IF(AO26="","",LOOKUP(AO26,$B$49:$B$59,$R$49:$R$59)*AP26)</f>
        <v/>
      </c>
      <c r="BB26" s="1535" t="n">
        <f aca="false">SUM(AR26:BA26)</f>
        <v>0</v>
      </c>
      <c r="BC26" s="1533" t="str">
        <f aca="false">IF(W26="","",LOOKUP(W26,$B$49:$B$59,$P$49:$P$59)*X26)</f>
        <v/>
      </c>
      <c r="BD26" s="654" t="str">
        <f aca="false">IF(Y26="","",LOOKUP(Y26,$B$49:$B$59,$P$49:$P$59)*Z26)</f>
        <v/>
      </c>
      <c r="BE26" s="1430" t="str">
        <f aca="false">IF(AA26="","",LOOKUP(AA26,$B$49:$B$59,$P$49:$P$59)*AB26)</f>
        <v/>
      </c>
      <c r="BF26" s="654" t="str">
        <f aca="false">IF(AC26="","",LOOKUP(AC26,$B$49:$B$59,$P$49:$P$59)*AD26)</f>
        <v/>
      </c>
      <c r="BG26" s="654" t="str">
        <f aca="false">IF(AE26="","",LOOKUP(AE26,$B$49:$B$59,$P$49:$P$59)*AF26)</f>
        <v/>
      </c>
      <c r="BH26" s="654" t="str">
        <f aca="false">IF(AG26="","",LOOKUP(AG26,$B$49:$B$59,$P$49:$P$59)*AH26)</f>
        <v/>
      </c>
      <c r="BI26" s="654" t="str">
        <f aca="false">IF(AI26="","",LOOKUP(AI26,$B$49:$B$59,$P$49:$P$59)*AJ26)</f>
        <v/>
      </c>
      <c r="BJ26" s="654" t="str">
        <f aca="false">IF(AK26="","",LOOKUP(AK26,$B$49:$B$59,$P$49:$P$59)*AL26)</f>
        <v/>
      </c>
      <c r="BK26" s="654" t="str">
        <f aca="false">IF(AM26="","",LOOKUP(AM26,$B$49:$B$59,$P$49:$P$59)*AN26)</f>
        <v/>
      </c>
      <c r="BL26" s="654" t="str">
        <f aca="false">IF(AO26="","",LOOKUP(AO26,$B$49:$B$59,$P$49:$P$59)*AP26)</f>
        <v/>
      </c>
      <c r="BM26" s="1584" t="n">
        <f aca="false">SUM(BC26:BL26)*BQ26</f>
        <v>0</v>
      </c>
      <c r="BN26" s="1536" t="n">
        <f aca="false">BM26+BO26</f>
        <v>0</v>
      </c>
      <c r="BO26" s="1536" t="n">
        <f aca="false">IF(M26=0,0,(M26/12+M26/12)/(M26/12*M26/12)*D26*((L26/16*L26/16)*10.6870159))*(1+K$70)*BQ26</f>
        <v>0</v>
      </c>
      <c r="BP26" s="1536" t="n">
        <f aca="false">IF(O26="Y",D26*(1+K$71)*BQ26,0)</f>
        <v>0</v>
      </c>
      <c r="BQ26" s="1538" t="n">
        <f aca="false">G26</f>
        <v>0</v>
      </c>
      <c r="BR26" s="1411" t="n">
        <f aca="false">IF(O26="y",D26,0)</f>
        <v>0</v>
      </c>
      <c r="BS26" s="1567" t="n">
        <f aca="false">IF($I26=1,$Q26,0)*BQ26</f>
        <v>0</v>
      </c>
      <c r="BT26" s="1536" t="n">
        <f aca="false">IF($I26=2,$Q26,0)*BQ26</f>
        <v>0</v>
      </c>
      <c r="BU26" s="1536" t="n">
        <f aca="false">IF($I26=3,$Q26,0)*BQ26</f>
        <v>0</v>
      </c>
      <c r="BV26" s="1536" t="n">
        <f aca="false">IF($I26=4,$Q26,0)*BQ26</f>
        <v>0</v>
      </c>
      <c r="BW26" s="1536" t="n">
        <f aca="false">IF($I26=5,$Q26,0)*BQ26</f>
        <v>0</v>
      </c>
      <c r="BX26" s="1537" t="n">
        <f aca="false">IF($I26=6,$Q26,0)*BQ26</f>
        <v>0</v>
      </c>
      <c r="BY26" s="1537" t="n">
        <f aca="false">IF($I26=7,$Q26,0)*BQ26</f>
        <v>0</v>
      </c>
      <c r="BZ26" s="1537" t="n">
        <f aca="false">IF($I26=8,$Q26,0)*BQ26</f>
        <v>0</v>
      </c>
      <c r="CA26" s="1537" t="n">
        <f aca="false">IF($I26=9,$Q26,0)*BQ26</f>
        <v>0</v>
      </c>
      <c r="CB26" s="1569" t="n">
        <f aca="false">IF($I26=10,$Q26,0)*BQ26</f>
        <v>0</v>
      </c>
      <c r="CC26" s="1538" t="n">
        <f aca="false">SUM(BS26:BX26)</f>
        <v>0</v>
      </c>
      <c r="CD26" s="1538" t="n">
        <f aca="false">IF(H26="N",0,D26)*BQ26</f>
        <v>0</v>
      </c>
      <c r="CE26" s="1538" t="n">
        <f aca="false">K26*BQ26</f>
        <v>0</v>
      </c>
      <c r="CF26" s="1542" t="n">
        <f aca="false">IF(W26="",0,LOOKUP(W26,B$49:B$59,D$49:D$59)*X26/12)</f>
        <v>0</v>
      </c>
      <c r="CG26" s="1542" t="n">
        <f aca="false">IF(Y26="",0,LOOKUP(Y26,B$49:B$59,D$49:D$59)*Z26/12)</f>
        <v>0</v>
      </c>
      <c r="CH26" s="1542" t="n">
        <f aca="false">IF(AA26="",0,LOOKUP(AA26,B$49:B$59,D$49:D$59)*AB26/12)</f>
        <v>0</v>
      </c>
      <c r="CI26" s="1538" t="n">
        <f aca="false">D26*BQ26</f>
        <v>0</v>
      </c>
      <c r="CJ26" s="1538" t="n">
        <f aca="false">D26*J26/324*(1+K$73)*G26</f>
        <v>0</v>
      </c>
      <c r="CK26" s="1538" t="str">
        <f aca="false">IF(N26="","",N26)</f>
        <v/>
      </c>
      <c r="CL26" s="1538" t="n">
        <f aca="false">P26*BQ26</f>
        <v>0</v>
      </c>
      <c r="CM26" s="1543" t="n">
        <f aca="false">IF(BQ26=0,0,SUM(CN26:DC26)/BQ26)</f>
        <v>0</v>
      </c>
      <c r="CN26" s="656" t="n">
        <f aca="false">(BS26*Pricing!F$3+BT26*Pricing!G$3+BU26*Pricing!H$3+BV26*Pricing!I$3+BW26*Pricing!J$3+BX26*Pricing!K$3)*IF(W$44="N",(1+Y$44),1)</f>
        <v>0</v>
      </c>
      <c r="CO26" s="656" t="n">
        <f aca="false">BN26*G$70*IF(W$44="n",1+Y$44,1)</f>
        <v>0</v>
      </c>
      <c r="CP26" s="656" t="n">
        <f aca="false">C26*D26</f>
        <v>0</v>
      </c>
      <c r="CQ26" s="656" t="n">
        <f aca="false">IF(I$79=0,0,D26*(SUM(O$79:P$82)+O$85)/I$79*BQ26)</f>
        <v>0</v>
      </c>
      <c r="CR26" s="656" t="n">
        <f aca="false">IF(CF26="",0,CF26*E$83)+IF(CG26="",0,CG26*E$83)+IF(CH26="",0,CH26*E$83)</f>
        <v>0</v>
      </c>
      <c r="CS26" s="656"/>
      <c r="CT26" s="656" t="n">
        <f aca="false">IF(I$87=0,0,(P26-(D26*0.35))/2000*E$87)</f>
        <v>0</v>
      </c>
      <c r="CU26" s="656" t="n">
        <f aca="false">IF(D$42=0,0,SUM(O$91:P$93)/D$42*D26)*BQ26</f>
        <v>0</v>
      </c>
      <c r="CV26" s="656" t="n">
        <f aca="false">IF(D$42=0,0,SUM(Z$66:Z$97)/D$42*D26*BQ26)</f>
        <v>0</v>
      </c>
      <c r="CW26" s="656" t="n">
        <f aca="false">IF(D$42=0,0,SUM(O$96:P$101)/D$42*D26)*BQ26</f>
        <v>0</v>
      </c>
      <c r="CX26" s="656" t="n">
        <f aca="false">IF(D$42=0,0,SUM(O$103:O$110)/D$42)*D26*BQ26</f>
        <v>0</v>
      </c>
      <c r="CY26" s="656" t="n">
        <f aca="false">IF(I$79=0,0,IF(I$79=0,0,SUM(Z$98:Z$109)/I$79*D26))</f>
        <v>0</v>
      </c>
      <c r="CZ26" s="656" t="n">
        <f aca="false">IF(J$72&gt;0,J$72/D$42*D26*G26,CD26*(G$72*IF(W$44="n",(1+Y$44),1)))</f>
        <v>0</v>
      </c>
      <c r="DA26" s="656" t="str">
        <f aca="false">IF(CK26="","",CK26*E$86)</f>
        <v/>
      </c>
      <c r="DB26" s="656" t="n">
        <f aca="false">BP26*G$71*IF(W$44="Y",1,1+Y$44)</f>
        <v>0</v>
      </c>
      <c r="DC26" s="656" t="n">
        <f aca="false">CJ26*G$73*IF(W$44="Y",1,1+Y$44)</f>
        <v>0</v>
      </c>
      <c r="DD26" s="1546"/>
      <c r="DE26" s="654" t="n">
        <f aca="false">IF(W26=1,X26*$AS$49,0)+IF(W26=2,X26*$AS$50,0)+IF(W26=3,X26*$AS$51,0)+IF(W26=4,X26*$AS$52,0)+IF(W26=5,X26*$AS$53,0)+IF(W26=6,X26*$AS$54)+IF(W26=7,X26*$AS$55)+IF(W26=8,X26*$AS$56)+IF(W26=9,X26*$AS$57)+IF(W26=10,X26*$AS$58)+IF(W26=11,X26*$AS$59,0)</f>
        <v>0</v>
      </c>
      <c r="DF26" s="654" t="n">
        <f aca="false">IF(Y26=1,Z26*$AS$49,0)+IF(Y26=2,Z26*$AS$50,0)+IF(Y26=3,Z26*$AS$51,0)+IF(Y26=4,Z26*$AS$52,0)+IF(Y26=5,Z26*$AS$53,0)+IF(Y26=6,Z26*$AS$54)+IF(Y26=7,Z26*$AS$55)+IF(Y26=8,Z26*$AS$56)+IF(Y26=9,Z26*$AS$57)+IF(Y26=10,Z26*$AS$58)+IF(Y26=11,Z26*$AS$59,0)</f>
        <v>0</v>
      </c>
      <c r="DG26" s="654" t="n">
        <f aca="false">IF(AA26=1,AB26*$AS$49,0)+IF(AA26=2,AB26*$AS$50,0)+IF(AA26=3,AB26*$AS$51,0)+IF(AA26=4,AB26*$AS$52,0)+IF(AA26=5,AB26*$AS$53,0)+IF(AA26=6,AB26*$AS$54)+IF(AA26=7,AB26*$AS$55)+IF(AA26=8,AB26*$AS$56)+IF(AA26=9,AB26*$AS$57)+IF(AA26=10,AB26*$AS$58)+IF(AA26=11,AB26*$AS$59,0)</f>
        <v>0</v>
      </c>
      <c r="DH26" s="654" t="n">
        <f aca="false">IF(AC26=1,AD26*$AS$49,0)+IF(AC26=2,AD26*$AS$50,0)+IF(AC26=3,AD26*$AS$51,0)+IF(AC26=4,AD26*$AS$52,0)+IF(AC26=5,AD26*$AS$53,0)+IF(AC26=6,AD26*$AS$54)+IF(AC26=7,AD26*$AS$55)+IF(AC26=8,AD26*$AS$56)+IF(AC26=9,AD26*$AS$57)+IF(AC26=10,AD26*$AS$58)+IF(AC26=11,AD26*$AS$59,0)</f>
        <v>0</v>
      </c>
      <c r="DI26" s="654" t="n">
        <f aca="false">IF(AE26=1,AF26*$AS$49,0)+IF(AE26=2,AF26*$AS$50,0)+IF(AE26=3,AF26*$AS$51,0)+IF(AE26=4,AF26*$AS$52,0)+IF(AE26=5,AF26*$AS$53,0)+IF(AE26=6,AF26*$AS$54)+IF(AE26=7,AF26*$AS$55)+IF(AE26=8,AF26*$AS$56)+IF(AE26=9,AF26*$AS$57)+IF(AE26=10,AF26*$AS$58)+IF(AE26=11,AF26*$AS$59,0)</f>
        <v>0</v>
      </c>
      <c r="DJ26" s="654" t="n">
        <f aca="false">IF(AG26=1,AH26*$AS$49,0)+IF(AG26=2,AH26*$AS$50,0)+IF(AG26=3,AH26*$AS$51,0)+IF(AG26=4,AH26*$AS$52,0)+IF(AG26=5,AH26*$AS$53,0)+IF(AG26=6,AH26*$AS$54)+IF(AG26=7,AH26*$AS$55)+IF(AG26=8,AH26*$AS$56)+IF(AG26=9,AH26*$AS$57)+IF(AG26=10,AH26*$AS$58)+IF(AG26=11,AH26*$AS$59,0)</f>
        <v>0</v>
      </c>
      <c r="DK26" s="654" t="n">
        <f aca="false">IF(AI26=1,AJ26*$AS$49,0)+IF(AI26=2,AJ26*$AS$50,0)+IF(AI26=3,AJ26*$AS$51,0)+IF(AI26=4,AJ26*$AS$52,0)+IF(AI26=5,AJ26*$AS$53,0)+IF(AI26=6,AJ26*$AS$54)+IF(AI26=7,AJ26*$AS$55)+IF(AI26=8,AJ26*$AS$56)+IF(AI26=9,AJ26*$AS$57)+IF(AI26=10,AJ26*$AS$58)+IF(AI26=11,AJ26*$AS$59,0)</f>
        <v>0</v>
      </c>
      <c r="DL26" s="654" t="n">
        <f aca="false">IF(AK26=1,AL26*$AS$49,0)+IF(AK26=2,AL26*$AS$50,0)+IF(AK26=3,AL26*$AS$51,0)+IF(AK26=4,AL26*$AS$52,0)+IF(AK26=5,AL26*$AS$53,0)+IF(AK26=6,AL26*$AS$54)+IF(AK26=7,AL26*$AS$55)+IF(AK26=8,AL26*$AS$56)+IF(AK26=9,AL26*$AS$57)+IF(AK26=10,AL26*$AS$58)+IF(AK26=11,AL26*$AS$59,0)</f>
        <v>0</v>
      </c>
      <c r="DM26" s="654" t="n">
        <f aca="false">IF(AM26=1,AN26*$AS$49,0)+IF(AM26=2,AN26*$AS$50,0)+IF(AM26=3,AN26*$AS$51,0)+IF(AM26=4,AN26*$AS$52,0)+IF(AM26=5,AN26*$AS$53,0)+IF(AM26=6,AN26*$AS$54)+IF(AM26=7,AN26*$AS$55)+IF(AM26=8,AN26*$AS$56)+IF(AM26=9,AN26*$AS$57)+IF(AM26=10,AN26*$AS$58)+IF(AM26=11,AN26*$AS$59,0)</f>
        <v>0</v>
      </c>
      <c r="DN26" s="654" t="n">
        <f aca="false">IF(AO26=1,AP26*$AS$49,0)+IF(AO26=2,AP26*$AS$50,0)+IF(AO26=3,AP26*$AS$51,0)+IF(AO26=4,AP26*$AS$52,0)+IF(AO26=5,AP26*$AS$53,0)+IF(AO26=6,AP26*$AS$54)+IF(AO26=7,AP26*$AS$55)+IF(AO26=8,AP26*$AS$56)+IF(AO26=9,AP26*$AS$57)+IF(AO26=10,AP26*$AS$58)+IF(AO26=11,AP26*$AS$59,0)</f>
        <v>0</v>
      </c>
      <c r="DO26" s="1569" t="n">
        <f aca="false">D26</f>
        <v>0</v>
      </c>
    </row>
    <row r="27" customFormat="false" ht="19.5" hidden="false" customHeight="true" outlineLevel="0" collapsed="false">
      <c r="A27" s="2672" t="s">
        <v>1571</v>
      </c>
      <c r="B27" s="1549"/>
      <c r="C27" s="1550"/>
      <c r="D27" s="1551"/>
      <c r="E27" s="1552"/>
      <c r="F27" s="1074"/>
      <c r="G27" s="1553"/>
      <c r="H27" s="1074"/>
      <c r="I27" s="1553"/>
      <c r="J27" s="1074"/>
      <c r="K27" s="1583"/>
      <c r="L27" s="1555"/>
      <c r="M27" s="1556"/>
      <c r="N27" s="1557"/>
      <c r="O27" s="1558"/>
      <c r="P27" s="1515" t="n">
        <f aca="false">IF(BQ27=0,0,BN27/BQ27)</f>
        <v>0</v>
      </c>
      <c r="Q27" s="1516" t="n">
        <f aca="false">(D27*F27/324)*(1+K$65)+BB27</f>
        <v>0</v>
      </c>
      <c r="R27" s="1517" t="n">
        <f aca="false">IF(D27=0,0,S27/D27)</f>
        <v>0</v>
      </c>
      <c r="S27" s="1518" t="n">
        <f aca="false">SUM(CM27)*(1+M$45)</f>
        <v>0</v>
      </c>
      <c r="T27" s="1519" t="n">
        <f aca="false">ROUND((CF27+CG27+CH27),0)</f>
        <v>0</v>
      </c>
      <c r="U27" s="1520" t="n">
        <f aca="false">IF(P27-(D27*0.45)&lt;0,0,P27-(D27*0.45))</f>
        <v>0</v>
      </c>
      <c r="V27" s="1521" t="n">
        <f aca="false">IF(D27="",0,IF(D27/-30+Q27&lt;1,0,D27/-30+Q27))</f>
        <v>0</v>
      </c>
      <c r="W27" s="1559"/>
      <c r="X27" s="1862"/>
      <c r="Y27" s="1559"/>
      <c r="Z27" s="1561"/>
      <c r="AA27" s="1559"/>
      <c r="AB27" s="1561"/>
      <c r="AC27" s="1562"/>
      <c r="AD27" s="1862"/>
      <c r="AE27" s="1559"/>
      <c r="AF27" s="2675"/>
      <c r="AG27" s="1595"/>
      <c r="AH27" s="2675"/>
      <c r="AI27" s="1559"/>
      <c r="AJ27" s="1862"/>
      <c r="AK27" s="1559"/>
      <c r="AL27" s="1556"/>
      <c r="AM27" s="1559"/>
      <c r="AN27" s="1561"/>
      <c r="AO27" s="1559"/>
      <c r="AP27" s="1561"/>
      <c r="AQ27" s="654"/>
      <c r="AR27" s="1533" t="str">
        <f aca="false">IF(W27="","",LOOKUP(W27,$B$49:$B$59,$R$49:$R$59)*X27)</f>
        <v/>
      </c>
      <c r="AS27" s="1430" t="str">
        <f aca="false">IF(Y27="","",LOOKUP(Y27,$B$49:$B$59,$R$49:$R$59)*Z27)</f>
        <v/>
      </c>
      <c r="AT27" s="1430" t="str">
        <f aca="false">IF(AB27="","",LOOKUP(AA27,$B$49:$B$59,$R$49:$R$59)*AB27)</f>
        <v/>
      </c>
      <c r="AU27" s="1430" t="str">
        <f aca="false">IF(AC27="","",LOOKUP(AC27,$B$49:$B$59,$R$49:$R$59)*AD27)</f>
        <v/>
      </c>
      <c r="AV27" s="1430" t="str">
        <f aca="false">IF(AE27="","",LOOKUP(AE27,$B$49:$B$59,$R$49:$R$59)*AF27)</f>
        <v/>
      </c>
      <c r="AW27" s="1430" t="str">
        <f aca="false">IF(AG27="","",LOOKUP(AG27,$B$49:$B$59,$R$49:$R$59)*AH27)</f>
        <v/>
      </c>
      <c r="AX27" s="1430" t="str">
        <f aca="false">IF(AI27="","",LOOKUP(AI27,$B$49:$B$59,$R$49:$R$59)*AJ27)</f>
        <v/>
      </c>
      <c r="AY27" s="1430" t="str">
        <f aca="false">IF(AK27="","",LOOKUP(AK27,$B$49:$B$59,$R$49:$R$59)*AL27)</f>
        <v/>
      </c>
      <c r="AZ27" s="1430" t="str">
        <f aca="false">IF(AM27="","",LOOKUP(AM27,$B$49:$B$59,$R$49:$R$59)*AN27)</f>
        <v/>
      </c>
      <c r="BA27" s="1430" t="str">
        <f aca="false">IF(AO27="","",LOOKUP(AO27,$B$49:$B$59,$R$49:$R$59)*AP27)</f>
        <v/>
      </c>
      <c r="BB27" s="1535" t="n">
        <f aca="false">SUM(AR27:BA27)</f>
        <v>0</v>
      </c>
      <c r="BC27" s="1533" t="str">
        <f aca="false">IF(W27="","",LOOKUP(W27,$B$49:$B$59,$P$49:$P$59)*X27)</f>
        <v/>
      </c>
      <c r="BD27" s="654" t="str">
        <f aca="false">IF(Y27="","",LOOKUP(Y27,$B$49:$B$59,$P$49:$P$59)*Z27)</f>
        <v/>
      </c>
      <c r="BE27" s="1430" t="str">
        <f aca="false">IF(AA27="","",LOOKUP(AA27,$B$49:$B$59,$P$49:$P$59)*AB27)</f>
        <v/>
      </c>
      <c r="BF27" s="654" t="str">
        <f aca="false">IF(AC27="","",LOOKUP(AC27,$B$49:$B$59,$P$49:$P$59)*AD27)</f>
        <v/>
      </c>
      <c r="BG27" s="654" t="str">
        <f aca="false">IF(AE27="","",LOOKUP(AE27,$B$49:$B$59,$P$49:$P$59)*AF27)</f>
        <v/>
      </c>
      <c r="BH27" s="654" t="str">
        <f aca="false">IF(AG27="","",LOOKUP(AG27,$B$49:$B$59,$P$49:$P$59)*AH27)</f>
        <v/>
      </c>
      <c r="BI27" s="654" t="str">
        <f aca="false">IF(AI27="","",LOOKUP(AI27,$B$49:$B$59,$P$49:$P$59)*AJ27)</f>
        <v/>
      </c>
      <c r="BJ27" s="654" t="str">
        <f aca="false">IF(AK27="","",LOOKUP(AK27,$B$49:$B$59,$P$49:$P$59)*AL27)</f>
        <v/>
      </c>
      <c r="BK27" s="654" t="str">
        <f aca="false">IF(AM27="","",LOOKUP(AM27,$B$49:$B$59,$P$49:$P$59)*AN27)</f>
        <v/>
      </c>
      <c r="BL27" s="654" t="str">
        <f aca="false">IF(AO27="","",LOOKUP(AO27,$B$49:$B$59,$P$49:$P$59)*AP27)</f>
        <v/>
      </c>
      <c r="BM27" s="1584" t="n">
        <f aca="false">SUM(BC27:BL27)*BQ27</f>
        <v>0</v>
      </c>
      <c r="BN27" s="1536" t="n">
        <f aca="false">BM27+BO27</f>
        <v>0</v>
      </c>
      <c r="BO27" s="1536" t="n">
        <f aca="false">IF(M27=0,0,(M27/12+M27/12)/(M27/12*M27/12)*D27*((L27/16*L27/16)*10.6870159))*(1+K$70)*BQ27</f>
        <v>0</v>
      </c>
      <c r="BP27" s="1536" t="n">
        <f aca="false">IF(O27="Y",D27*(1+K$71)*BQ27,0)</f>
        <v>0</v>
      </c>
      <c r="BQ27" s="1538" t="n">
        <f aca="false">G27</f>
        <v>0</v>
      </c>
      <c r="BR27" s="1411" t="n">
        <f aca="false">IF(O27="y",D27,0)</f>
        <v>0</v>
      </c>
      <c r="BS27" s="1567" t="n">
        <f aca="false">IF($I27=1,$Q27,0)*BQ27</f>
        <v>0</v>
      </c>
      <c r="BT27" s="1536" t="n">
        <f aca="false">IF($I27=2,$Q27,0)*BQ27</f>
        <v>0</v>
      </c>
      <c r="BU27" s="1536" t="n">
        <f aca="false">IF($I27=3,$Q27,0)*BQ27</f>
        <v>0</v>
      </c>
      <c r="BV27" s="1536" t="n">
        <f aca="false">IF($I27=4,$Q27,0)*BQ27</f>
        <v>0</v>
      </c>
      <c r="BW27" s="1536" t="n">
        <f aca="false">IF($I27=5,$Q27,0)*BQ27</f>
        <v>0</v>
      </c>
      <c r="BX27" s="1537" t="n">
        <f aca="false">IF($I27=6,$Q27,0)*BQ27</f>
        <v>0</v>
      </c>
      <c r="BY27" s="1537" t="n">
        <f aca="false">IF($I27=7,$Q27,0)*BQ27</f>
        <v>0</v>
      </c>
      <c r="BZ27" s="1537" t="n">
        <f aca="false">IF($I27=8,$Q27,0)*BQ27</f>
        <v>0</v>
      </c>
      <c r="CA27" s="1537" t="n">
        <f aca="false">IF($I27=9,$Q27,0)*BQ27</f>
        <v>0</v>
      </c>
      <c r="CB27" s="1569" t="n">
        <f aca="false">IF($I27=10,$Q27,0)*BQ27</f>
        <v>0</v>
      </c>
      <c r="CC27" s="1538" t="n">
        <f aca="false">SUM(BS27:BX27)</f>
        <v>0</v>
      </c>
      <c r="CD27" s="1538" t="n">
        <f aca="false">IF(H27="N",0,D27)*BQ27</f>
        <v>0</v>
      </c>
      <c r="CE27" s="1538" t="n">
        <f aca="false">K27*BQ27</f>
        <v>0</v>
      </c>
      <c r="CF27" s="1542" t="n">
        <f aca="false">IF(W27="",0,LOOKUP(W27,B$49:B$59,D$49:D$59)*X27/12)</f>
        <v>0</v>
      </c>
      <c r="CG27" s="1542" t="n">
        <f aca="false">IF(Y27="",0,LOOKUP(Y27,B$49:B$59,D$49:D$59)*Z27/12)</f>
        <v>0</v>
      </c>
      <c r="CH27" s="1542" t="n">
        <f aca="false">IF(AA27="",0,LOOKUP(AA27,B$49:B$59,D$49:D$59)*AB27/12)</f>
        <v>0</v>
      </c>
      <c r="CI27" s="1538" t="n">
        <f aca="false">D27*BQ27</f>
        <v>0</v>
      </c>
      <c r="CJ27" s="1538" t="n">
        <f aca="false">D27*J27/324*(1+K$73)*G27</f>
        <v>0</v>
      </c>
      <c r="CK27" s="1538" t="str">
        <f aca="false">IF(N27="","",N27)</f>
        <v/>
      </c>
      <c r="CL27" s="1538" t="n">
        <f aca="false">P27*BQ27</f>
        <v>0</v>
      </c>
      <c r="CM27" s="1543" t="n">
        <f aca="false">IF(BQ27=0,0,SUM(CN27:DC27)/BQ27)</f>
        <v>0</v>
      </c>
      <c r="CN27" s="656" t="n">
        <f aca="false">(BS27*Pricing!F$3+BT27*Pricing!G$3+BU27*Pricing!H$3+BV27*Pricing!I$3+BW27*Pricing!J$3+BX27*Pricing!K$3)*IF(W$44="N",(1+Y$44),1)</f>
        <v>0</v>
      </c>
      <c r="CO27" s="656" t="n">
        <f aca="false">BN27*G$70*IF(W$44="n",1+Y$44,1)</f>
        <v>0</v>
      </c>
      <c r="CP27" s="656" t="n">
        <f aca="false">C27*D27</f>
        <v>0</v>
      </c>
      <c r="CQ27" s="656" t="n">
        <f aca="false">IF(I$79=0,0,D27*(SUM(O$79:P$82)+O$85)/I$79*BQ27)</f>
        <v>0</v>
      </c>
      <c r="CR27" s="656" t="n">
        <f aca="false">IF(CF27="",0,CF27*E$83)+IF(CG27="",0,CG27*E$83)+IF(CH27="",0,CH27*E$83)</f>
        <v>0</v>
      </c>
      <c r="CS27" s="656"/>
      <c r="CT27" s="656" t="n">
        <f aca="false">IF(I$87=0,0,(P27-(D27*0.35))/2000*E$87)</f>
        <v>0</v>
      </c>
      <c r="CU27" s="656" t="n">
        <f aca="false">IF(D$42=0,0,SUM(O$91:P$93)/D$42*D27)*BQ27</f>
        <v>0</v>
      </c>
      <c r="CV27" s="656" t="n">
        <f aca="false">IF(D$42=0,0,SUM(Z$66:Z$97)/D$42*D27*BQ27)</f>
        <v>0</v>
      </c>
      <c r="CW27" s="656" t="n">
        <f aca="false">IF(D$42=0,0,SUM(O$96:P$101)/D$42*D27)*BQ27</f>
        <v>0</v>
      </c>
      <c r="CX27" s="656" t="n">
        <f aca="false">IF(D$42=0,0,SUM(O$103:O$110)/D$42)*D27*BQ27</f>
        <v>0</v>
      </c>
      <c r="CY27" s="656" t="n">
        <f aca="false">IF(I$79=0,0,IF(I$79=0,0,SUM(Z$98:Z$109)/I$79*D27))</f>
        <v>0</v>
      </c>
      <c r="CZ27" s="656" t="n">
        <f aca="false">IF(J$72&gt;0,J$72/D$42*D27*G27,CD27*(G$72*IF(W$44="n",(1+Y$44),1)))</f>
        <v>0</v>
      </c>
      <c r="DA27" s="656" t="str">
        <f aca="false">IF(CK27="","",CK27*E$86)</f>
        <v/>
      </c>
      <c r="DB27" s="656" t="n">
        <f aca="false">BP27*G$71*IF(W$44="Y",1,1+Y$44)</f>
        <v>0</v>
      </c>
      <c r="DC27" s="656" t="n">
        <f aca="false">CJ27*G$73*IF(W$44="Y",1,1+Y$44)</f>
        <v>0</v>
      </c>
      <c r="DD27" s="1546"/>
      <c r="DE27" s="654" t="n">
        <f aca="false">IF(W27=1,X27*$AS$49,0)+IF(W27=2,X27*$AS$50,0)+IF(W27=3,X27*$AS$51,0)+IF(W27=4,X27*$AS$52,0)+IF(W27=5,X27*$AS$53,0)+IF(W27=6,X27*$AS$54)+IF(W27=7,X27*$AS$55)+IF(W27=8,X27*$AS$56)+IF(W27=9,X27*$AS$57)+IF(W27=10,X27*$AS$58)+IF(W27=11,X27*$AS$59,0)</f>
        <v>0</v>
      </c>
      <c r="DF27" s="654" t="n">
        <f aca="false">IF(Y27=1,Z27*$AS$49,0)+IF(Y27=2,Z27*$AS$50,0)+IF(Y27=3,Z27*$AS$51,0)+IF(Y27=4,Z27*$AS$52,0)+IF(Y27=5,Z27*$AS$53,0)+IF(Y27=6,Z27*$AS$54)+IF(Y27=7,Z27*$AS$55)+IF(Y27=8,Z27*$AS$56)+IF(Y27=9,Z27*$AS$57)+IF(Y27=10,Z27*$AS$58)+IF(Y27=11,Z27*$AS$59,0)</f>
        <v>0</v>
      </c>
      <c r="DG27" s="654" t="n">
        <f aca="false">IF(AA27=1,AB27*$AS$49,0)+IF(AA27=2,AB27*$AS$50,0)+IF(AA27=3,AB27*$AS$51,0)+IF(AA27=4,AB27*$AS$52,0)+IF(AA27=5,AB27*$AS$53,0)+IF(AA27=6,AB27*$AS$54)+IF(AA27=7,AB27*$AS$55)+IF(AA27=8,AB27*$AS$56)+IF(AA27=9,AB27*$AS$57)+IF(AA27=10,AB27*$AS$58)+IF(AA27=11,AB27*$AS$59,0)</f>
        <v>0</v>
      </c>
      <c r="DH27" s="654" t="n">
        <f aca="false">IF(AC27=1,AD27*$AS$49,0)+IF(AC27=2,AD27*$AS$50,0)+IF(AC27=3,AD27*$AS$51,0)+IF(AC27=4,AD27*$AS$52,0)+IF(AC27=5,AD27*$AS$53,0)+IF(AC27=6,AD27*$AS$54)+IF(AC27=7,AD27*$AS$55)+IF(AC27=8,AD27*$AS$56)+IF(AC27=9,AD27*$AS$57)+IF(AC27=10,AD27*$AS$58)+IF(AC27=11,AD27*$AS$59,0)</f>
        <v>0</v>
      </c>
      <c r="DI27" s="654" t="n">
        <f aca="false">IF(AE27=1,AF27*$AS$49,0)+IF(AE27=2,AF27*$AS$50,0)+IF(AE27=3,AF27*$AS$51,0)+IF(AE27=4,AF27*$AS$52,0)+IF(AE27=5,AF27*$AS$53,0)+IF(AE27=6,AF27*$AS$54)+IF(AE27=7,AF27*$AS$55)+IF(AE27=8,AF27*$AS$56)+IF(AE27=9,AF27*$AS$57)+IF(AE27=10,AF27*$AS$58)+IF(AE27=11,AF27*$AS$59,0)</f>
        <v>0</v>
      </c>
      <c r="DJ27" s="654" t="n">
        <f aca="false">IF(AG27=1,AH27*$AS$49,0)+IF(AG27=2,AH27*$AS$50,0)+IF(AG27=3,AH27*$AS$51,0)+IF(AG27=4,AH27*$AS$52,0)+IF(AG27=5,AH27*$AS$53,0)+IF(AG27=6,AH27*$AS$54)+IF(AG27=7,AH27*$AS$55)+IF(AG27=8,AH27*$AS$56)+IF(AG27=9,AH27*$AS$57)+IF(AG27=10,AH27*$AS$58)+IF(AG27=11,AH27*$AS$59,0)</f>
        <v>0</v>
      </c>
      <c r="DK27" s="654" t="n">
        <f aca="false">IF(AI27=1,AJ27*$AS$49,0)+IF(AI27=2,AJ27*$AS$50,0)+IF(AI27=3,AJ27*$AS$51,0)+IF(AI27=4,AJ27*$AS$52,0)+IF(AI27=5,AJ27*$AS$53,0)+IF(AI27=6,AJ27*$AS$54)+IF(AI27=7,AJ27*$AS$55)+IF(AI27=8,AJ27*$AS$56)+IF(AI27=9,AJ27*$AS$57)+IF(AI27=10,AJ27*$AS$58)+IF(AI27=11,AJ27*$AS$59,0)</f>
        <v>0</v>
      </c>
      <c r="DL27" s="654" t="n">
        <f aca="false">IF(AK27=1,AL27*$AS$49,0)+IF(AK27=2,AL27*$AS$50,0)+IF(AK27=3,AL27*$AS$51,0)+IF(AK27=4,AL27*$AS$52,0)+IF(AK27=5,AL27*$AS$53,0)+IF(AK27=6,AL27*$AS$54)+IF(AK27=7,AL27*$AS$55)+IF(AK27=8,AL27*$AS$56)+IF(AK27=9,AL27*$AS$57)+IF(AK27=10,AL27*$AS$58)+IF(AK27=11,AL27*$AS$59,0)</f>
        <v>0</v>
      </c>
      <c r="DM27" s="654" t="n">
        <f aca="false">IF(AM27=1,AN27*$AS$49,0)+IF(AM27=2,AN27*$AS$50,0)+IF(AM27=3,AN27*$AS$51,0)+IF(AM27=4,AN27*$AS$52,0)+IF(AM27=5,AN27*$AS$53,0)+IF(AM27=6,AN27*$AS$54)+IF(AM27=7,AN27*$AS$55)+IF(AM27=8,AN27*$AS$56)+IF(AM27=9,AN27*$AS$57)+IF(AM27=10,AN27*$AS$58)+IF(AM27=11,AN27*$AS$59,0)</f>
        <v>0</v>
      </c>
      <c r="DN27" s="654" t="n">
        <f aca="false">IF(AO27=1,AP27*$AS$49,0)+IF(AO27=2,AP27*$AS$50,0)+IF(AO27=3,AP27*$AS$51,0)+IF(AO27=4,AP27*$AS$52,0)+IF(AO27=5,AP27*$AS$53,0)+IF(AO27=6,AP27*$AS$54)+IF(AO27=7,AP27*$AS$55)+IF(AO27=8,AP27*$AS$56)+IF(AO27=9,AP27*$AS$57)+IF(AO27=10,AP27*$AS$58)+IF(AO27=11,AP27*$AS$59,0)</f>
        <v>0</v>
      </c>
      <c r="DO27" s="1569" t="n">
        <f aca="false">D27</f>
        <v>0</v>
      </c>
    </row>
    <row r="28" customFormat="false" ht="19.5" hidden="false" customHeight="true" outlineLevel="0" collapsed="false">
      <c r="A28" s="2672" t="s">
        <v>1572</v>
      </c>
      <c r="B28" s="920"/>
      <c r="C28" s="1506"/>
      <c r="D28" s="1507"/>
      <c r="E28" s="1508"/>
      <c r="F28" s="1074"/>
      <c r="G28" s="1553"/>
      <c r="H28" s="1074"/>
      <c r="I28" s="1553"/>
      <c r="J28" s="1074"/>
      <c r="K28" s="1583"/>
      <c r="L28" s="528"/>
      <c r="M28" s="895"/>
      <c r="N28" s="1513"/>
      <c r="O28" s="1514"/>
      <c r="P28" s="1515" t="n">
        <f aca="false">IF(BQ28=0,0,BN28/BQ28)</f>
        <v>0</v>
      </c>
      <c r="Q28" s="1516" t="n">
        <f aca="false">(D28*F28/324)*(1+K$65)+BB28</f>
        <v>0</v>
      </c>
      <c r="R28" s="1517" t="n">
        <f aca="false">IF(D28=0,0,S28/D28)</f>
        <v>0</v>
      </c>
      <c r="S28" s="1518" t="n">
        <f aca="false">SUM(CM28)*(1+M$45)</f>
        <v>0</v>
      </c>
      <c r="T28" s="1519" t="n">
        <f aca="false">ROUND((CF28+CG28+CH28),0)</f>
        <v>0</v>
      </c>
      <c r="U28" s="1520" t="n">
        <f aca="false">IF(P28-(D28*0.45)&lt;0,0,P28-(D28*0.45))</f>
        <v>0</v>
      </c>
      <c r="V28" s="1521" t="n">
        <f aca="false">IF(D28="",0,IF(D28/-30+Q28&lt;1,0,D28/-30+Q28))</f>
        <v>0</v>
      </c>
      <c r="W28" s="528"/>
      <c r="X28" s="2676"/>
      <c r="Y28" s="528"/>
      <c r="Z28" s="1574"/>
      <c r="AA28" s="528"/>
      <c r="AB28" s="1574"/>
      <c r="AC28" s="1585"/>
      <c r="AD28" s="2676"/>
      <c r="AE28" s="528"/>
      <c r="AF28" s="1592"/>
      <c r="AG28" s="528"/>
      <c r="AH28" s="1592"/>
      <c r="AI28" s="4"/>
      <c r="AJ28" s="1858"/>
      <c r="AK28" s="528"/>
      <c r="AL28" s="895"/>
      <c r="AM28" s="528"/>
      <c r="AN28" s="1574"/>
      <c r="AO28" s="528"/>
      <c r="AP28" s="1574"/>
      <c r="AQ28" s="654"/>
      <c r="AR28" s="1533" t="str">
        <f aca="false">IF(W28="","",LOOKUP(W28,$B$49:$B$59,$R$49:$R$59)*X28)</f>
        <v/>
      </c>
      <c r="AS28" s="1430" t="str">
        <f aca="false">IF(Y28="","",LOOKUP(Y28,$B$49:$B$59,$R$49:$R$59)*Z28)</f>
        <v/>
      </c>
      <c r="AT28" s="1430" t="str">
        <f aca="false">IF(AB28="","",LOOKUP(AA28,$B$49:$B$59,$R$49:$R$59)*AB28)</f>
        <v/>
      </c>
      <c r="AU28" s="1430" t="str">
        <f aca="false">IF(AC28="","",LOOKUP(AC28,$B$49:$B$59,$R$49:$R$59)*AD28)</f>
        <v/>
      </c>
      <c r="AV28" s="1430" t="str">
        <f aca="false">IF(AE28="","",LOOKUP(AE28,$B$49:$B$59,$R$49:$R$59)*AF28)</f>
        <v/>
      </c>
      <c r="AW28" s="1430" t="str">
        <f aca="false">IF(AG28="","",LOOKUP(AG28,$B$49:$B$59,$R$49:$R$59)*AH28)</f>
        <v/>
      </c>
      <c r="AX28" s="1430" t="str">
        <f aca="false">IF(AI28="","",LOOKUP(AI28,$B$49:$B$59,$R$49:$R$59)*AJ28)</f>
        <v/>
      </c>
      <c r="AY28" s="1430" t="str">
        <f aca="false">IF(AK28="","",LOOKUP(AK28,$B$49:$B$59,$R$49:$R$59)*AL28)</f>
        <v/>
      </c>
      <c r="AZ28" s="1430" t="str">
        <f aca="false">IF(AM28="","",LOOKUP(AM28,$B$49:$B$59,$R$49:$R$59)*AN28)</f>
        <v/>
      </c>
      <c r="BA28" s="1430" t="str">
        <f aca="false">IF(AO28="","",LOOKUP(AO28,$B$49:$B$59,$R$49:$R$59)*AP28)</f>
        <v/>
      </c>
      <c r="BB28" s="1535" t="n">
        <f aca="false">SUM(AR28:BA28)</f>
        <v>0</v>
      </c>
      <c r="BC28" s="1533" t="str">
        <f aca="false">IF(W28="","",LOOKUP(W28,$B$49:$B$59,$P$49:$P$59)*X28)</f>
        <v/>
      </c>
      <c r="BD28" s="654" t="str">
        <f aca="false">IF(Y28="","",LOOKUP(Y28,$B$49:$B$59,$P$49:$P$59)*Z28)</f>
        <v/>
      </c>
      <c r="BE28" s="1430" t="str">
        <f aca="false">IF(AA28="","",LOOKUP(AA28,$B$49:$B$59,$P$49:$P$59)*AB28)</f>
        <v/>
      </c>
      <c r="BF28" s="654" t="str">
        <f aca="false">IF(AC28="","",LOOKUP(AC28,$B$49:$B$59,$P$49:$P$59)*AD28)</f>
        <v/>
      </c>
      <c r="BG28" s="654" t="str">
        <f aca="false">IF(AE28="","",LOOKUP(AE28,$B$49:$B$59,$P$49:$P$59)*AF28)</f>
        <v/>
      </c>
      <c r="BH28" s="654" t="str">
        <f aca="false">IF(AG28="","",LOOKUP(AG28,$B$49:$B$59,$P$49:$P$59)*AH28)</f>
        <v/>
      </c>
      <c r="BI28" s="654" t="str">
        <f aca="false">IF(AI28="","",LOOKUP(AI28,$B$49:$B$59,$P$49:$P$59)*AJ28)</f>
        <v/>
      </c>
      <c r="BJ28" s="654" t="str">
        <f aca="false">IF(AK28="","",LOOKUP(AK28,$B$49:$B$59,$P$49:$P$59)*AL28)</f>
        <v/>
      </c>
      <c r="BK28" s="654" t="str">
        <f aca="false">IF(AM28="","",LOOKUP(AM28,$B$49:$B$59,$P$49:$P$59)*AN28)</f>
        <v/>
      </c>
      <c r="BL28" s="654" t="str">
        <f aca="false">IF(AO28="","",LOOKUP(AO28,$B$49:$B$59,$P$49:$P$59)*AP28)</f>
        <v/>
      </c>
      <c r="BM28" s="1584" t="n">
        <f aca="false">SUM(BC28:BL28)*BQ28</f>
        <v>0</v>
      </c>
      <c r="BN28" s="1536" t="n">
        <f aca="false">BM28+BO28</f>
        <v>0</v>
      </c>
      <c r="BO28" s="1536" t="n">
        <f aca="false">IF(M28=0,0,(M28/12+M28/12)/(M28/12*M28/12)*D28*((L28/16*L28/16)*10.6870159))*(1+K$70)*BQ28</f>
        <v>0</v>
      </c>
      <c r="BP28" s="1536" t="n">
        <f aca="false">IF(O28="Y",D28*(1+K$71)*BQ28,0)</f>
        <v>0</v>
      </c>
      <c r="BQ28" s="1538" t="n">
        <f aca="false">G28</f>
        <v>0</v>
      </c>
      <c r="BR28" s="1411" t="n">
        <f aca="false">IF(O28="y",D28,0)</f>
        <v>0</v>
      </c>
      <c r="BS28" s="1567" t="n">
        <f aca="false">IF($I28=1,$Q28,0)*BQ28</f>
        <v>0</v>
      </c>
      <c r="BT28" s="1536" t="n">
        <f aca="false">IF($I28=2,$Q28,0)*BQ28</f>
        <v>0</v>
      </c>
      <c r="BU28" s="1536" t="n">
        <f aca="false">IF($I28=3,$Q28,0)*BQ28</f>
        <v>0</v>
      </c>
      <c r="BV28" s="1536" t="n">
        <f aca="false">IF($I28=4,$Q28,0)*BQ28</f>
        <v>0</v>
      </c>
      <c r="BW28" s="1536" t="n">
        <f aca="false">IF($I28=5,$Q28,0)*BQ28</f>
        <v>0</v>
      </c>
      <c r="BX28" s="1537" t="n">
        <f aca="false">IF($I28=6,$Q28,0)*BQ28</f>
        <v>0</v>
      </c>
      <c r="BY28" s="1537" t="n">
        <f aca="false">IF($I28=7,$Q28,0)*BQ28</f>
        <v>0</v>
      </c>
      <c r="BZ28" s="1537" t="n">
        <f aca="false">IF($I28=8,$Q28,0)*BQ28</f>
        <v>0</v>
      </c>
      <c r="CA28" s="1537" t="n">
        <f aca="false">IF($I28=9,$Q28,0)*BQ28</f>
        <v>0</v>
      </c>
      <c r="CB28" s="1569" t="n">
        <f aca="false">IF($I28=10,$Q28,0)*BQ28</f>
        <v>0</v>
      </c>
      <c r="CC28" s="1538" t="n">
        <f aca="false">SUM(BS28:BX28)</f>
        <v>0</v>
      </c>
      <c r="CD28" s="1538" t="n">
        <f aca="false">IF(H28="N",0,D28)*BQ28</f>
        <v>0</v>
      </c>
      <c r="CE28" s="1538" t="n">
        <f aca="false">K28*BQ28</f>
        <v>0</v>
      </c>
      <c r="CF28" s="1542" t="n">
        <f aca="false">IF(W28="",0,LOOKUP(W28,B$49:B$59,D$49:D$59)*X28/12)</f>
        <v>0</v>
      </c>
      <c r="CG28" s="1542" t="n">
        <f aca="false">IF(Y28="",0,LOOKUP(Y28,B$49:B$59,D$49:D$59)*Z28/12)</f>
        <v>0</v>
      </c>
      <c r="CH28" s="1542" t="n">
        <f aca="false">IF(AA28="",0,LOOKUP(AA28,B$49:B$59,D$49:D$59)*AB28/12)</f>
        <v>0</v>
      </c>
      <c r="CI28" s="1538" t="n">
        <f aca="false">D28*BQ28</f>
        <v>0</v>
      </c>
      <c r="CJ28" s="1538" t="n">
        <f aca="false">D28*J28/324*(1+K$73)*G28</f>
        <v>0</v>
      </c>
      <c r="CK28" s="1538" t="str">
        <f aca="false">IF(N28="","",N28)</f>
        <v/>
      </c>
      <c r="CL28" s="1538" t="n">
        <f aca="false">P28*BQ28</f>
        <v>0</v>
      </c>
      <c r="CM28" s="1543" t="n">
        <f aca="false">IF(BQ28=0,0,SUM(CN28:DC28)/BQ28)</f>
        <v>0</v>
      </c>
      <c r="CN28" s="656" t="n">
        <f aca="false">(BS28*Pricing!F$3+BT28*Pricing!G$3+BU28*Pricing!H$3+BV28*Pricing!I$3+BW28*Pricing!J$3+BX28*Pricing!K$3)*IF(W$44="N",(1+Y$44),1)</f>
        <v>0</v>
      </c>
      <c r="CO28" s="656" t="n">
        <f aca="false">BN28*G$70*IF(W$44="n",1+Y$44,1)</f>
        <v>0</v>
      </c>
      <c r="CP28" s="656" t="n">
        <f aca="false">C28*D28</f>
        <v>0</v>
      </c>
      <c r="CQ28" s="656" t="n">
        <f aca="false">IF(I$79=0,0,D28*(SUM(O$79:P$82)+O$85)/I$79*BQ28)</f>
        <v>0</v>
      </c>
      <c r="CR28" s="656" t="n">
        <f aca="false">IF(CF28="",0,CF28*E$83)+IF(CG28="",0,CG28*E$83)+IF(CH28="",0,CH28*E$83)</f>
        <v>0</v>
      </c>
      <c r="CS28" s="656"/>
      <c r="CT28" s="656" t="n">
        <f aca="false">IF(I$87=0,0,(P28-(D28*0.35))/2000*E$87)</f>
        <v>0</v>
      </c>
      <c r="CU28" s="656" t="n">
        <f aca="false">IF(D$42=0,0,SUM(O$91:P$93)/D$42*D28)*BQ28</f>
        <v>0</v>
      </c>
      <c r="CV28" s="656" t="n">
        <f aca="false">IF(D$42=0,0,SUM(Z$66:Z$97)/D$42*D28*BQ28)</f>
        <v>0</v>
      </c>
      <c r="CW28" s="656" t="n">
        <f aca="false">IF(D$42=0,0,SUM(O$96:P$101)/D$42*D28)*BQ28</f>
        <v>0</v>
      </c>
      <c r="CX28" s="656" t="n">
        <f aca="false">IF(D$42=0,0,SUM(O$103:O$110)/D$42)*D28*BQ28</f>
        <v>0</v>
      </c>
      <c r="CY28" s="656" t="n">
        <f aca="false">IF(I$79=0,0,IF(I$79=0,0,SUM(Z$98:Z$109)/I$79*D28))</f>
        <v>0</v>
      </c>
      <c r="CZ28" s="656" t="n">
        <f aca="false">IF(J$72&gt;0,J$72/D$42*D28*G28,CD28*(G$72*IF(W$44="n",(1+Y$44),1)))</f>
        <v>0</v>
      </c>
      <c r="DA28" s="656" t="str">
        <f aca="false">IF(CK28="","",CK28*E$86)</f>
        <v/>
      </c>
      <c r="DB28" s="656" t="n">
        <f aca="false">BP28*G$71*IF(W$44="Y",1,1+Y$44)</f>
        <v>0</v>
      </c>
      <c r="DC28" s="656" t="n">
        <f aca="false">CJ28*G$73*IF(W$44="Y",1,1+Y$44)</f>
        <v>0</v>
      </c>
      <c r="DD28" s="1546"/>
      <c r="DE28" s="654" t="n">
        <f aca="false">IF(W28=1,X28*$AS$49,0)+IF(W28=2,X28*$AS$50,0)+IF(W28=3,X28*$AS$51,0)+IF(W28=4,X28*$AS$52,0)+IF(W28=5,X28*$AS$53,0)+IF(W28=6,X28*$AS$54)+IF(W28=7,X28*$AS$55)+IF(W28=8,X28*$AS$56)+IF(W28=9,X28*$AS$57)+IF(W28=10,X28*$AS$58)+IF(W28=11,X28*$AS$59,0)</f>
        <v>0</v>
      </c>
      <c r="DF28" s="654" t="n">
        <f aca="false">IF(Y28=1,Z28*$AS$49,0)+IF(Y28=2,Z28*$AS$50,0)+IF(Y28=3,Z28*$AS$51,0)+IF(Y28=4,Z28*$AS$52,0)+IF(Y28=5,Z28*$AS$53,0)+IF(Y28=6,Z28*$AS$54)+IF(Y28=7,Z28*$AS$55)+IF(Y28=8,Z28*$AS$56)+IF(Y28=9,Z28*$AS$57)+IF(Y28=10,Z28*$AS$58)+IF(Y28=11,Z28*$AS$59,0)</f>
        <v>0</v>
      </c>
      <c r="DG28" s="654" t="n">
        <f aca="false">IF(AA28=1,AB28*$AS$49,0)+IF(AA28=2,AB28*$AS$50,0)+IF(AA28=3,AB28*$AS$51,0)+IF(AA28=4,AB28*$AS$52,0)+IF(AA28=5,AB28*$AS$53,0)+IF(AA28=6,AB28*$AS$54)+IF(AA28=7,AB28*$AS$55)+IF(AA28=8,AB28*$AS$56)+IF(AA28=9,AB28*$AS$57)+IF(AA28=10,AB28*$AS$58)+IF(AA28=11,AB28*$AS$59,0)</f>
        <v>0</v>
      </c>
      <c r="DH28" s="654" t="n">
        <f aca="false">IF(AC28=1,AD28*$AS$49,0)+IF(AC28=2,AD28*$AS$50,0)+IF(AC28=3,AD28*$AS$51,0)+IF(AC28=4,AD28*$AS$52,0)+IF(AC28=5,AD28*$AS$53,0)+IF(AC28=6,AD28*$AS$54)+IF(AC28=7,AD28*$AS$55)+IF(AC28=8,AD28*$AS$56)+IF(AC28=9,AD28*$AS$57)+IF(AC28=10,AD28*$AS$58)+IF(AC28=11,AD28*$AS$59,0)</f>
        <v>0</v>
      </c>
      <c r="DI28" s="654" t="n">
        <f aca="false">IF(AE28=1,AF28*$AS$49,0)+IF(AE28=2,AF28*$AS$50,0)+IF(AE28=3,AF28*$AS$51,0)+IF(AE28=4,AF28*$AS$52,0)+IF(AE28=5,AF28*$AS$53,0)+IF(AE28=6,AF28*$AS$54)+IF(AE28=7,AF28*$AS$55)+IF(AE28=8,AF28*$AS$56)+IF(AE28=9,AF28*$AS$57)+IF(AE28=10,AF28*$AS$58)+IF(AE28=11,AF28*$AS$59,0)</f>
        <v>0</v>
      </c>
      <c r="DJ28" s="654" t="n">
        <f aca="false">IF(AG28=1,AH28*$AS$49,0)+IF(AG28=2,AH28*$AS$50,0)+IF(AG28=3,AH28*$AS$51,0)+IF(AG28=4,AH28*$AS$52,0)+IF(AG28=5,AH28*$AS$53,0)+IF(AG28=6,AH28*$AS$54)+IF(AG28=7,AH28*$AS$55)+IF(AG28=8,AH28*$AS$56)+IF(AG28=9,AH28*$AS$57)+IF(AG28=10,AH28*$AS$58)+IF(AG28=11,AH28*$AS$59,0)</f>
        <v>0</v>
      </c>
      <c r="DK28" s="654" t="n">
        <f aca="false">IF(AI28=1,AJ28*$AS$49,0)+IF(AI28=2,AJ28*$AS$50,0)+IF(AI28=3,AJ28*$AS$51,0)+IF(AI28=4,AJ28*$AS$52,0)+IF(AI28=5,AJ28*$AS$53,0)+IF(AI28=6,AJ28*$AS$54)+IF(AI28=7,AJ28*$AS$55)+IF(AI28=8,AJ28*$AS$56)+IF(AI28=9,AJ28*$AS$57)+IF(AI28=10,AJ28*$AS$58)+IF(AI28=11,AJ28*$AS$59,0)</f>
        <v>0</v>
      </c>
      <c r="DL28" s="654" t="n">
        <f aca="false">IF(AK28=1,AL28*$AS$49,0)+IF(AK28=2,AL28*$AS$50,0)+IF(AK28=3,AL28*$AS$51,0)+IF(AK28=4,AL28*$AS$52,0)+IF(AK28=5,AL28*$AS$53,0)+IF(AK28=6,AL28*$AS$54)+IF(AK28=7,AL28*$AS$55)+IF(AK28=8,AL28*$AS$56)+IF(AK28=9,AL28*$AS$57)+IF(AK28=10,AL28*$AS$58)+IF(AK28=11,AL28*$AS$59,0)</f>
        <v>0</v>
      </c>
      <c r="DM28" s="654" t="n">
        <f aca="false">IF(AM28=1,AN28*$AS$49,0)+IF(AM28=2,AN28*$AS$50,0)+IF(AM28=3,AN28*$AS$51,0)+IF(AM28=4,AN28*$AS$52,0)+IF(AM28=5,AN28*$AS$53,0)+IF(AM28=6,AN28*$AS$54)+IF(AM28=7,AN28*$AS$55)+IF(AM28=8,AN28*$AS$56)+IF(AM28=9,AN28*$AS$57)+IF(AM28=10,AN28*$AS$58)+IF(AM28=11,AN28*$AS$59,0)</f>
        <v>0</v>
      </c>
      <c r="DN28" s="654" t="n">
        <f aca="false">IF(AO28=1,AP28*$AS$49,0)+IF(AO28=2,AP28*$AS$50,0)+IF(AO28=3,AP28*$AS$51,0)+IF(AO28=4,AP28*$AS$52,0)+IF(AO28=5,AP28*$AS$53,0)+IF(AO28=6,AP28*$AS$54)+IF(AO28=7,AP28*$AS$55)+IF(AO28=8,AP28*$AS$56)+IF(AO28=9,AP28*$AS$57)+IF(AO28=10,AP28*$AS$58)+IF(AO28=11,AP28*$AS$59,0)</f>
        <v>0</v>
      </c>
      <c r="DO28" s="1569" t="n">
        <f aca="false">D28</f>
        <v>0</v>
      </c>
    </row>
    <row r="29" customFormat="false" ht="19.5" hidden="false" customHeight="true" outlineLevel="0" collapsed="false">
      <c r="A29" s="2672" t="s">
        <v>1573</v>
      </c>
      <c r="B29" s="1549"/>
      <c r="C29" s="1550"/>
      <c r="D29" s="1551"/>
      <c r="E29" s="1552"/>
      <c r="F29" s="1074"/>
      <c r="G29" s="1553"/>
      <c r="H29" s="1074"/>
      <c r="I29" s="1553"/>
      <c r="J29" s="1074"/>
      <c r="K29" s="1583"/>
      <c r="L29" s="1555"/>
      <c r="M29" s="1556"/>
      <c r="N29" s="1557"/>
      <c r="O29" s="1558"/>
      <c r="P29" s="1515" t="n">
        <f aca="false">IF(BQ29=0,0,BN29/BQ29)</f>
        <v>0</v>
      </c>
      <c r="Q29" s="1516" t="n">
        <f aca="false">(D29*F29/324)*(1+K$65)+BB29</f>
        <v>0</v>
      </c>
      <c r="R29" s="1517" t="n">
        <f aca="false">IF(D29=0,0,S29/D29)</f>
        <v>0</v>
      </c>
      <c r="S29" s="1518" t="n">
        <f aca="false">SUM(CM29)*(1+M$45)</f>
        <v>0</v>
      </c>
      <c r="T29" s="1519" t="n">
        <f aca="false">ROUND((CF29+CG29+CH29),0)</f>
        <v>0</v>
      </c>
      <c r="U29" s="1520" t="n">
        <f aca="false">IF(P29-(D29*0.45)&lt;0,0,P29-(D29*0.45))</f>
        <v>0</v>
      </c>
      <c r="V29" s="1521" t="n">
        <f aca="false">IF(D29="",0,IF(D29/-30+Q29&lt;1,0,D29/-30+Q29))</f>
        <v>0</v>
      </c>
      <c r="W29" s="1559"/>
      <c r="X29" s="1862"/>
      <c r="Y29" s="1559"/>
      <c r="Z29" s="1561"/>
      <c r="AA29" s="1559"/>
      <c r="AB29" s="1561"/>
      <c r="AC29" s="1562"/>
      <c r="AD29" s="1862"/>
      <c r="AE29" s="1559"/>
      <c r="AF29" s="2675"/>
      <c r="AG29" s="1595"/>
      <c r="AH29" s="2675"/>
      <c r="AI29" s="1559"/>
      <c r="AJ29" s="1862"/>
      <c r="AK29" s="1559"/>
      <c r="AL29" s="1556"/>
      <c r="AM29" s="1559"/>
      <c r="AN29" s="1561"/>
      <c r="AO29" s="1559"/>
      <c r="AP29" s="1561"/>
      <c r="AQ29" s="654"/>
      <c r="AR29" s="1533" t="str">
        <f aca="false">IF(W29="","",LOOKUP(W29,$B$49:$B$59,$R$49:$R$59)*X29)</f>
        <v/>
      </c>
      <c r="AS29" s="1430" t="str">
        <f aca="false">IF(Y29="","",LOOKUP(Y29,$B$49:$B$59,$R$49:$R$59)*Z29)</f>
        <v/>
      </c>
      <c r="AT29" s="1430" t="str">
        <f aca="false">IF(AB29="","",LOOKUP(AA29,$B$49:$B$59,$R$49:$R$59)*AB29)</f>
        <v/>
      </c>
      <c r="AU29" s="1430" t="str">
        <f aca="false">IF(AC29="","",LOOKUP(AC29,$B$49:$B$59,$R$49:$R$59)*AD29)</f>
        <v/>
      </c>
      <c r="AV29" s="1430" t="str">
        <f aca="false">IF(AE29="","",LOOKUP(AE29,$B$49:$B$59,$R$49:$R$59)*AF29)</f>
        <v/>
      </c>
      <c r="AW29" s="1430" t="str">
        <f aca="false">IF(AG29="","",LOOKUP(AG29,$B$49:$B$59,$R$49:$R$59)*AH29)</f>
        <v/>
      </c>
      <c r="AX29" s="1430" t="str">
        <f aca="false">IF(AI29="","",LOOKUP(AI29,$B$49:$B$59,$R$49:$R$59)*AJ29)</f>
        <v/>
      </c>
      <c r="AY29" s="1430" t="str">
        <f aca="false">IF(AK29="","",LOOKUP(AK29,$B$49:$B$59,$R$49:$R$59)*AL29)</f>
        <v/>
      </c>
      <c r="AZ29" s="1430" t="str">
        <f aca="false">IF(AM29="","",LOOKUP(AM29,$B$49:$B$59,$R$49:$R$59)*AN29)</f>
        <v/>
      </c>
      <c r="BA29" s="1430" t="str">
        <f aca="false">IF(AO29="","",LOOKUP(AO29,$B$49:$B$59,$R$49:$R$59)*AP29)</f>
        <v/>
      </c>
      <c r="BB29" s="1535" t="n">
        <f aca="false">SUM(AR29:BA29)</f>
        <v>0</v>
      </c>
      <c r="BC29" s="1533" t="str">
        <f aca="false">IF(W29="","",LOOKUP(W29,$B$49:$B$59,$P$49:$P$59)*X29)</f>
        <v/>
      </c>
      <c r="BD29" s="654" t="str">
        <f aca="false">IF(Y29="","",LOOKUP(Y29,$B$49:$B$59,$P$49:$P$59)*Z29)</f>
        <v/>
      </c>
      <c r="BE29" s="1430" t="str">
        <f aca="false">IF(AA29="","",LOOKUP(AA29,$B$49:$B$59,$P$49:$P$59)*AB29)</f>
        <v/>
      </c>
      <c r="BF29" s="654" t="str">
        <f aca="false">IF(AC29="","",LOOKUP(AC29,$B$49:$B$59,$P$49:$P$59)*AD29)</f>
        <v/>
      </c>
      <c r="BG29" s="654" t="str">
        <f aca="false">IF(AE29="","",LOOKUP(AE29,$B$49:$B$59,$P$49:$P$59)*AF29)</f>
        <v/>
      </c>
      <c r="BH29" s="654" t="str">
        <f aca="false">IF(AG29="","",LOOKUP(AG29,$B$49:$B$59,$P$49:$P$59)*AH29)</f>
        <v/>
      </c>
      <c r="BI29" s="654" t="str">
        <f aca="false">IF(AI29="","",LOOKUP(AI29,$B$49:$B$59,$P$49:$P$59)*AJ29)</f>
        <v/>
      </c>
      <c r="BJ29" s="654" t="str">
        <f aca="false">IF(AK29="","",LOOKUP(AK29,$B$49:$B$59,$P$49:$P$59)*AL29)</f>
        <v/>
      </c>
      <c r="BK29" s="654" t="str">
        <f aca="false">IF(AM29="","",LOOKUP(AM29,$B$49:$B$59,$P$49:$P$59)*AN29)</f>
        <v/>
      </c>
      <c r="BL29" s="654" t="str">
        <f aca="false">IF(AO29="","",LOOKUP(AO29,$B$49:$B$59,$P$49:$P$59)*AP29)</f>
        <v/>
      </c>
      <c r="BM29" s="1584" t="n">
        <f aca="false">SUM(BC29:BL29)*BQ29</f>
        <v>0</v>
      </c>
      <c r="BN29" s="1536" t="n">
        <f aca="false">BM29+BO29</f>
        <v>0</v>
      </c>
      <c r="BO29" s="1536" t="n">
        <f aca="false">IF(M29=0,0,(M29/12+M29/12)/(M29/12*M29/12)*D29*((L29/16*L29/16)*10.6870159))*(1+K$70)*BQ29</f>
        <v>0</v>
      </c>
      <c r="BP29" s="1536" t="n">
        <f aca="false">IF(O29="Y",D29*(1+K$71)*BQ29,0)</f>
        <v>0</v>
      </c>
      <c r="BQ29" s="1538" t="n">
        <f aca="false">G29</f>
        <v>0</v>
      </c>
      <c r="BR29" s="1411" t="n">
        <f aca="false">IF(Y2="y",D29,0)</f>
        <v>0</v>
      </c>
      <c r="BS29" s="1567" t="n">
        <f aca="false">IF($I29=1,$Q29,0)*BQ29</f>
        <v>0</v>
      </c>
      <c r="BT29" s="1536" t="n">
        <f aca="false">IF($I29=2,$Q29,0)*BQ29</f>
        <v>0</v>
      </c>
      <c r="BU29" s="1536" t="n">
        <f aca="false">IF($I29=3,$Q29,0)*BQ29</f>
        <v>0</v>
      </c>
      <c r="BV29" s="1536" t="n">
        <f aca="false">IF($I29=4,$Q29,0)*BQ29</f>
        <v>0</v>
      </c>
      <c r="BW29" s="1536" t="n">
        <f aca="false">IF($I29=5,$Q29,0)*BQ29</f>
        <v>0</v>
      </c>
      <c r="BX29" s="1537" t="n">
        <f aca="false">IF($I29=6,$Q29,0)*BQ29</f>
        <v>0</v>
      </c>
      <c r="BY29" s="1537" t="n">
        <f aca="false">IF($I29=7,$Q29,0)*BQ29</f>
        <v>0</v>
      </c>
      <c r="BZ29" s="1537" t="n">
        <f aca="false">IF($I29=8,$Q29,0)*BQ29</f>
        <v>0</v>
      </c>
      <c r="CA29" s="1537" t="n">
        <f aca="false">IF($I29=9,$Q29,0)*BQ29</f>
        <v>0</v>
      </c>
      <c r="CB29" s="1569" t="n">
        <f aca="false">IF($I29=10,$Q29,0)*BQ29</f>
        <v>0</v>
      </c>
      <c r="CC29" s="1538" t="n">
        <f aca="false">SUM(BS29:BX29)</f>
        <v>0</v>
      </c>
      <c r="CD29" s="1538" t="n">
        <f aca="false">IF(H29="N",0,D29)*BQ29</f>
        <v>0</v>
      </c>
      <c r="CE29" s="1538" t="n">
        <f aca="false">K29*BQ29</f>
        <v>0</v>
      </c>
      <c r="CF29" s="1542" t="n">
        <f aca="false">IF(W29="",0,LOOKUP(W29,B$49:B$59,D$49:D$59)*X29/12)</f>
        <v>0</v>
      </c>
      <c r="CG29" s="1542" t="n">
        <f aca="false">IF(Y29="",0,LOOKUP(Y29,B$49:B$59,D$49:D$59)*Z29/12)</f>
        <v>0</v>
      </c>
      <c r="CH29" s="1542" t="n">
        <f aca="false">IF(AA29="",0,LOOKUP(AA29,B$49:B$59,D$49:D$59)*AB29/12)</f>
        <v>0</v>
      </c>
      <c r="CI29" s="1538" t="n">
        <f aca="false">D29*BQ29</f>
        <v>0</v>
      </c>
      <c r="CJ29" s="1538" t="n">
        <f aca="false">D29*J29/324*(1+K$73)*G29</f>
        <v>0</v>
      </c>
      <c r="CK29" s="1538" t="str">
        <f aca="false">IF(N29="","",N29)</f>
        <v/>
      </c>
      <c r="CL29" s="1538" t="n">
        <f aca="false">P29*BQ29</f>
        <v>0</v>
      </c>
      <c r="CM29" s="1543" t="n">
        <f aca="false">IF(BQ29=0,0,SUM(CN29:DC29)/BQ29)</f>
        <v>0</v>
      </c>
      <c r="CN29" s="656" t="n">
        <f aca="false">(BS29*Pricing!F$3+BT29*Pricing!G$3+BU29*Pricing!H$3+BV29*Pricing!I$3+BW29*Pricing!J$3+BX29*Pricing!K$3)*IF(W$44="N",(1+Y$44),1)</f>
        <v>0</v>
      </c>
      <c r="CO29" s="656" t="n">
        <f aca="false">BN29*G$70*IF(W$44="n",1+Y$44,1)</f>
        <v>0</v>
      </c>
      <c r="CP29" s="656" t="n">
        <f aca="false">C29*D29</f>
        <v>0</v>
      </c>
      <c r="CQ29" s="656" t="n">
        <f aca="false">IF(I$79=0,0,D29*(SUM(O$79:P$82)+O$85)/I$79*BQ29)</f>
        <v>0</v>
      </c>
      <c r="CR29" s="656" t="n">
        <f aca="false">IF(CF29="",0,CF29*E$83)+IF(CG29="",0,CG29*E$83)+IF(CH29="",0,CH29*E$83)</f>
        <v>0</v>
      </c>
      <c r="CS29" s="656"/>
      <c r="CT29" s="656" t="n">
        <f aca="false">IF(I$87=0,0,(P29-(D29*0.35))/2000*E$87)</f>
        <v>0</v>
      </c>
      <c r="CU29" s="656" t="n">
        <f aca="false">IF(D$42=0,0,SUM(O$91:P$93)/D$42*D29)*BQ29</f>
        <v>0</v>
      </c>
      <c r="CV29" s="656" t="n">
        <f aca="false">IF(D$42=0,0,SUM(Z$66:Z$97)/D$42*D29*BQ29)</f>
        <v>0</v>
      </c>
      <c r="CW29" s="656" t="n">
        <f aca="false">IF(D$42=0,0,SUM(O$96:P$101)/D$42*D29)*BQ29</f>
        <v>0</v>
      </c>
      <c r="CX29" s="656" t="n">
        <f aca="false">IF(D$42=0,0,SUM(O$103:O$110)/D$42)*D29*BQ29</f>
        <v>0</v>
      </c>
      <c r="CY29" s="656" t="n">
        <f aca="false">IF(I$79=0,0,IF(I$79=0,0,SUM(Z$98:Z$109)/I$79*D29))</f>
        <v>0</v>
      </c>
      <c r="CZ29" s="656" t="n">
        <f aca="false">IF(J$72&gt;0,J$72/D$42*D29*G29,CD29*(G$72*IF(W$44="n",(1+Y$44),1)))</f>
        <v>0</v>
      </c>
      <c r="DA29" s="656" t="str">
        <f aca="false">IF(CK29="","",CK29*E$86)</f>
        <v/>
      </c>
      <c r="DB29" s="656" t="n">
        <f aca="false">BP29*G$71*IF(W$44="Y",1,1+Y$44)</f>
        <v>0</v>
      </c>
      <c r="DC29" s="656" t="n">
        <f aca="false">CJ29*G$73*IF(W$44="Y",1,1+Y$44)</f>
        <v>0</v>
      </c>
      <c r="DD29" s="1546"/>
      <c r="DE29" s="654" t="n">
        <f aca="false">IF(W29=1,X29*$AS$49,0)+IF(W29=2,X29*$AS$50,0)+IF(W29=3,X29*$AS$51,0)+IF(W29=4,X29*$AS$52,0)+IF(W29=5,X29*$AS$53,0)+IF(W29=6,X29*$AS$54)+IF(W29=7,X29*$AS$55)+IF(W29=8,X29*$AS$56)+IF(W29=9,X29*$AS$57)+IF(W29=10,X29*$AS$58)+IF(W29=11,X29*$AS$59,0)</f>
        <v>0</v>
      </c>
      <c r="DF29" s="654" t="n">
        <f aca="false">IF(Y29=1,Z29*$AS$49,0)+IF(Y29=2,Z29*$AS$50,0)+IF(Y29=3,Z29*$AS$51,0)+IF(Y29=4,Z29*$AS$52,0)+IF(Y29=5,Z29*$AS$53,0)+IF(Y29=6,Z29*$AS$54)+IF(Y29=7,Z29*$AS$55)+IF(Y29=8,Z29*$AS$56)+IF(Y29=9,Z29*$AS$57)+IF(Y29=10,Z29*$AS$58)+IF(Y29=11,Z29*$AS$59,0)</f>
        <v>0</v>
      </c>
      <c r="DG29" s="654" t="n">
        <f aca="false">IF(AA29=1,AB29*$AS$49,0)+IF(AA29=2,AB29*$AS$50,0)+IF(AA29=3,AB29*$AS$51,0)+IF(AA29=4,AB29*$AS$52,0)+IF(AA29=5,AB29*$AS$53,0)+IF(AA29=6,AB29*$AS$54)+IF(AA29=7,AB29*$AS$55)+IF(AA29=8,AB29*$AS$56)+IF(AA29=9,AB29*$AS$57)+IF(AA29=10,AB29*$AS$58)+IF(AA29=11,AB29*$AS$59,0)</f>
        <v>0</v>
      </c>
      <c r="DH29" s="654" t="n">
        <f aca="false">IF(AC29=1,AD29*$AS$49,0)+IF(AC29=2,AD29*$AS$50,0)+IF(AC29=3,AD29*$AS$51,0)+IF(AC29=4,AD29*$AS$52,0)+IF(AC29=5,AD29*$AS$53,0)+IF(AC29=6,AD29*$AS$54)+IF(AC29=7,AD29*$AS$55)+IF(AC29=8,AD29*$AS$56)+IF(AC29=9,AD29*$AS$57)+IF(AC29=10,AD29*$AS$58)+IF(AC29=11,AD29*$AS$59,0)</f>
        <v>0</v>
      </c>
      <c r="DI29" s="654" t="n">
        <f aca="false">IF(AE29=1,AF29*$AS$49,0)+IF(AE29=2,AF29*$AS$50,0)+IF(AE29=3,AF29*$AS$51,0)+IF(AE29=4,AF29*$AS$52,0)+IF(AE29=5,AF29*$AS$53,0)+IF(AE29=6,AF29*$AS$54)+IF(AE29=7,AF29*$AS$55)+IF(AE29=8,AF29*$AS$56)+IF(AE29=9,AF29*$AS$57)+IF(AE29=10,AF29*$AS$58)+IF(AE29=11,AF29*$AS$59,0)</f>
        <v>0</v>
      </c>
      <c r="DJ29" s="654" t="n">
        <f aca="false">IF(AG29=1,AH29*$AS$49,0)+IF(AG29=2,AH29*$AS$50,0)+IF(AG29=3,AH29*$AS$51,0)+IF(AG29=4,AH29*$AS$52,0)+IF(AG29=5,AH29*$AS$53,0)+IF(AG29=6,AH29*$AS$54)+IF(AG29=7,AH29*$AS$55)+IF(AG29=8,AH29*$AS$56)+IF(AG29=9,AH29*$AS$57)+IF(AG29=10,AH29*$AS$58)+IF(AG29=11,AH29*$AS$59,0)</f>
        <v>0</v>
      </c>
      <c r="DK29" s="654" t="n">
        <f aca="false">IF(AI29=1,AJ29*$AS$49,0)+IF(AI29=2,AJ29*$AS$50,0)+IF(AI29=3,AJ29*$AS$51,0)+IF(AI29=4,AJ29*$AS$52,0)+IF(AI29=5,AJ29*$AS$53,0)+IF(AI29=6,AJ29*$AS$54)+IF(AI29=7,AJ29*$AS$55)+IF(AI29=8,AJ29*$AS$56)+IF(AI29=9,AJ29*$AS$57)+IF(AI29=10,AJ29*$AS$58)+IF(AI29=11,AJ29*$AS$59,0)</f>
        <v>0</v>
      </c>
      <c r="DL29" s="654" t="n">
        <f aca="false">IF(AK29=1,AL29*$AS$49,0)+IF(AK29=2,AL29*$AS$50,0)+IF(AK29=3,AL29*$AS$51,0)+IF(AK29=4,AL29*$AS$52,0)+IF(AK29=5,AL29*$AS$53,0)+IF(AK29=6,AL29*$AS$54)+IF(AK29=7,AL29*$AS$55)+IF(AK29=8,AL29*$AS$56)+IF(AK29=9,AL29*$AS$57)+IF(AK29=10,AL29*$AS$58)+IF(AK29=11,AL29*$AS$59,0)</f>
        <v>0</v>
      </c>
      <c r="DM29" s="654" t="n">
        <f aca="false">IF(AM29=1,AN29*$AS$49,0)+IF(AM29=2,AN29*$AS$50,0)+IF(AM29=3,AN29*$AS$51,0)+IF(AM29=4,AN29*$AS$52,0)+IF(AM29=5,AN29*$AS$53,0)+IF(AM29=6,AN29*$AS$54)+IF(AM29=7,AN29*$AS$55)+IF(AM29=8,AN29*$AS$56)+IF(AM29=9,AN29*$AS$57)+IF(AM29=10,AN29*$AS$58)+IF(AM29=11,AN29*$AS$59,0)</f>
        <v>0</v>
      </c>
      <c r="DN29" s="654" t="n">
        <f aca="false">IF(AO29=1,AP29*$AS$49,0)+IF(AO29=2,AP29*$AS$50,0)+IF(AO29=3,AP29*$AS$51,0)+IF(AO29=4,AP29*$AS$52,0)+IF(AO29=5,AP29*$AS$53,0)+IF(AO29=6,AP29*$AS$54)+IF(AO29=7,AP29*$AS$55)+IF(AO29=8,AP29*$AS$56)+IF(AO29=9,AP29*$AS$57)+IF(AO29=10,AP29*$AS$58)+IF(AO29=11,AP29*$AS$59,0)</f>
        <v>0</v>
      </c>
      <c r="DO29" s="1569" t="n">
        <f aca="false">D29</f>
        <v>0</v>
      </c>
    </row>
    <row r="30" customFormat="false" ht="19.5" hidden="false" customHeight="true" outlineLevel="0" collapsed="false">
      <c r="A30" s="2672" t="s">
        <v>1574</v>
      </c>
      <c r="B30" s="920"/>
      <c r="C30" s="1506"/>
      <c r="D30" s="1507"/>
      <c r="E30" s="1508"/>
      <c r="F30" s="1074"/>
      <c r="G30" s="1553"/>
      <c r="H30" s="1074"/>
      <c r="I30" s="1553"/>
      <c r="J30" s="1074"/>
      <c r="K30" s="1583"/>
      <c r="L30" s="528"/>
      <c r="M30" s="895"/>
      <c r="N30" s="1513"/>
      <c r="O30" s="1514"/>
      <c r="P30" s="1515" t="n">
        <f aca="false">IF(BQ30=0,0,BN30/BQ30)</f>
        <v>0</v>
      </c>
      <c r="Q30" s="1516" t="n">
        <f aca="false">(D30*F30/324)*(1+K$65)+BB30</f>
        <v>0</v>
      </c>
      <c r="R30" s="1517" t="n">
        <f aca="false">IF(D30=0,0,S30/D30)</f>
        <v>0</v>
      </c>
      <c r="S30" s="1518" t="n">
        <f aca="false">SUM(CM30)*(1+M$45)</f>
        <v>0</v>
      </c>
      <c r="T30" s="1519" t="n">
        <f aca="false">ROUND((CF30+CG30+CH30),0)</f>
        <v>0</v>
      </c>
      <c r="U30" s="1520" t="n">
        <f aca="false">IF(P30-(D30*0.45)&lt;0,0,P30-(D30*0.45))</f>
        <v>0</v>
      </c>
      <c r="V30" s="1521" t="n">
        <f aca="false">IF(D30="",0,IF(D30/-30+Q30&lt;1,0,D30/-30+Q30))</f>
        <v>0</v>
      </c>
      <c r="W30" s="528"/>
      <c r="X30" s="2676"/>
      <c r="Y30" s="1511"/>
      <c r="Z30" s="1524"/>
      <c r="AA30" s="1511"/>
      <c r="AB30" s="1524"/>
      <c r="AC30" s="1525"/>
      <c r="AD30" s="2676"/>
      <c r="AE30" s="1511"/>
      <c r="AF30" s="1592"/>
      <c r="AG30" s="1593"/>
      <c r="AH30" s="1592"/>
      <c r="AI30" s="4"/>
      <c r="AJ30" s="2676"/>
      <c r="AK30" s="1511"/>
      <c r="AL30" s="2404"/>
      <c r="AM30" s="1511"/>
      <c r="AN30" s="1524"/>
      <c r="AO30" s="1511"/>
      <c r="AP30" s="1524"/>
      <c r="AQ30" s="654"/>
      <c r="AR30" s="1533" t="str">
        <f aca="false">IF(W30="","",LOOKUP(W30,$B$49:$B$59,$R$49:$R$59)*X30)</f>
        <v/>
      </c>
      <c r="AS30" s="1430" t="str">
        <f aca="false">IF(Y30="","",LOOKUP(Y30,$B$49:$B$59,$R$49:$R$59)*Z30)</f>
        <v/>
      </c>
      <c r="AT30" s="1430" t="str">
        <f aca="false">IF(AB30="","",LOOKUP(AA30,$B$49:$B$59,$R$49:$R$59)*AB30)</f>
        <v/>
      </c>
      <c r="AU30" s="1430" t="str">
        <f aca="false">IF(AC30="","",LOOKUP(AC30,$B$49:$B$59,$R$49:$R$59)*AD30)</f>
        <v/>
      </c>
      <c r="AV30" s="1430" t="str">
        <f aca="false">IF(AE30="","",LOOKUP(AE30,$B$49:$B$59,$R$49:$R$59)*AF30)</f>
        <v/>
      </c>
      <c r="AW30" s="1430" t="str">
        <f aca="false">IF(AG30="","",LOOKUP(AG30,$B$49:$B$59,$R$49:$R$59)*AH30)</f>
        <v/>
      </c>
      <c r="AX30" s="1430" t="str">
        <f aca="false">IF(AI30="","",LOOKUP(AI30,$B$49:$B$59,$R$49:$R$59)*AJ30)</f>
        <v/>
      </c>
      <c r="AY30" s="1430" t="str">
        <f aca="false">IF(AK30="","",LOOKUP(AK30,$B$49:$B$59,$R$49:$R$59)*AL30)</f>
        <v/>
      </c>
      <c r="AZ30" s="1430" t="str">
        <f aca="false">IF(AM30="","",LOOKUP(AM30,$B$49:$B$59,$R$49:$R$59)*AN30)</f>
        <v/>
      </c>
      <c r="BA30" s="1430" t="str">
        <f aca="false">IF(AO30="","",LOOKUP(AO30,$B$49:$B$59,$R$49:$R$59)*AP30)</f>
        <v/>
      </c>
      <c r="BB30" s="1535" t="n">
        <f aca="false">SUM(AR30:BA30)</f>
        <v>0</v>
      </c>
      <c r="BC30" s="1533" t="str">
        <f aca="false">IF(W30="","",LOOKUP(W30,$B$49:$B$59,$P$49:$P$59)*X30)</f>
        <v/>
      </c>
      <c r="BD30" s="654" t="str">
        <f aca="false">IF(Y30="","",LOOKUP(Y30,$B$49:$B$59,$P$49:$P$59)*Z30)</f>
        <v/>
      </c>
      <c r="BE30" s="1430" t="str">
        <f aca="false">IF(AA30="","",LOOKUP(AA30,$B$49:$B$59,$P$49:$P$59)*AB30)</f>
        <v/>
      </c>
      <c r="BF30" s="654" t="str">
        <f aca="false">IF(AC30="","",LOOKUP(AC30,$B$49:$B$59,$P$49:$P$59)*AD30)</f>
        <v/>
      </c>
      <c r="BG30" s="654" t="str">
        <f aca="false">IF(AE30="","",LOOKUP(AE30,$B$49:$B$59,$P$49:$P$59)*AF30)</f>
        <v/>
      </c>
      <c r="BH30" s="654" t="str">
        <f aca="false">IF(AG30="","",LOOKUP(AG30,$B$49:$B$59,$P$49:$P$59)*AH30)</f>
        <v/>
      </c>
      <c r="BI30" s="654" t="str">
        <f aca="false">IF(AI30="","",LOOKUP(AI30,$B$49:$B$59,$P$49:$P$59)*AJ30)</f>
        <v/>
      </c>
      <c r="BJ30" s="654" t="str">
        <f aca="false">IF(AK30="","",LOOKUP(AK30,$B$49:$B$59,$P$49:$P$59)*AL30)</f>
        <v/>
      </c>
      <c r="BK30" s="654" t="str">
        <f aca="false">IF(AM30="","",LOOKUP(AM30,$B$49:$B$59,$P$49:$P$59)*AN30)</f>
        <v/>
      </c>
      <c r="BL30" s="654" t="str">
        <f aca="false">IF(AO30="","",LOOKUP(AO30,$B$49:$B$59,$P$49:$P$59)*AP30)</f>
        <v/>
      </c>
      <c r="BM30" s="1584" t="n">
        <f aca="false">SUM(BC30:BL30)*BQ30</f>
        <v>0</v>
      </c>
      <c r="BN30" s="1536" t="n">
        <f aca="false">BM30+BO30</f>
        <v>0</v>
      </c>
      <c r="BO30" s="1536" t="n">
        <f aca="false">IF(M30=0,0,(M30/12+M30/12)/(M30/12*M30/12)*D30*((L30/16*L30/16)*10.6870159))*(1+K$70)*BQ30</f>
        <v>0</v>
      </c>
      <c r="BP30" s="1536" t="n">
        <f aca="false">IF(O30="Y",D30*(1+K$71)*BQ30,0)</f>
        <v>0</v>
      </c>
      <c r="BQ30" s="1538" t="n">
        <f aca="false">G30</f>
        <v>0</v>
      </c>
      <c r="BR30" s="1411" t="n">
        <f aca="false">IF(O30="y",D30,0)</f>
        <v>0</v>
      </c>
      <c r="BS30" s="1567" t="n">
        <f aca="false">IF($I30=1,$Q30,0)*BQ30</f>
        <v>0</v>
      </c>
      <c r="BT30" s="1536" t="n">
        <f aca="false">IF($I30=2,$Q30,0)*BQ30</f>
        <v>0</v>
      </c>
      <c r="BU30" s="1536" t="n">
        <f aca="false">IF($I30=3,$Q30,0)*BQ30</f>
        <v>0</v>
      </c>
      <c r="BV30" s="1536" t="n">
        <f aca="false">IF($I30=4,$Q30,0)*BQ30</f>
        <v>0</v>
      </c>
      <c r="BW30" s="1536" t="n">
        <f aca="false">IF($I30=5,$Q30,0)*BQ30</f>
        <v>0</v>
      </c>
      <c r="BX30" s="1537" t="n">
        <f aca="false">IF($I30=6,$Q30,0)*BQ30</f>
        <v>0</v>
      </c>
      <c r="BY30" s="1537" t="n">
        <f aca="false">IF($I30=7,$Q30,0)*BQ30</f>
        <v>0</v>
      </c>
      <c r="BZ30" s="1537" t="n">
        <f aca="false">IF($I30=8,$Q30,0)*BQ30</f>
        <v>0</v>
      </c>
      <c r="CA30" s="1537" t="n">
        <f aca="false">IF($I30=9,$Q30,0)*BQ30</f>
        <v>0</v>
      </c>
      <c r="CB30" s="1569" t="n">
        <f aca="false">IF($I30=10,$Q30,0)*BQ30</f>
        <v>0</v>
      </c>
      <c r="CC30" s="1538" t="n">
        <f aca="false">SUM(BS30:BX30)</f>
        <v>0</v>
      </c>
      <c r="CD30" s="1538" t="n">
        <f aca="false">IF(H30="N",0,D30)*BQ30</f>
        <v>0</v>
      </c>
      <c r="CE30" s="1538" t="n">
        <f aca="false">K30*BQ30</f>
        <v>0</v>
      </c>
      <c r="CF30" s="1542" t="n">
        <f aca="false">IF(W30="",0,LOOKUP(W30,B$49:B$59,D$49:D$59)*X30/12)</f>
        <v>0</v>
      </c>
      <c r="CG30" s="1542" t="n">
        <f aca="false">IF(Y30="",0,LOOKUP(Y30,B$49:B$59,D$49:D$59)*Z30/12)</f>
        <v>0</v>
      </c>
      <c r="CH30" s="1542" t="n">
        <f aca="false">IF(AA30="",0,LOOKUP(AA30,B$49:B$59,D$49:D$59)*AB30/12)</f>
        <v>0</v>
      </c>
      <c r="CI30" s="1538" t="n">
        <f aca="false">D30*BQ30</f>
        <v>0</v>
      </c>
      <c r="CJ30" s="1538" t="n">
        <f aca="false">D30*J30/324*(1+K$73)*G30</f>
        <v>0</v>
      </c>
      <c r="CK30" s="1538" t="str">
        <f aca="false">IF(N30="","",N30)</f>
        <v/>
      </c>
      <c r="CL30" s="1538" t="n">
        <f aca="false">P30*BQ30</f>
        <v>0</v>
      </c>
      <c r="CM30" s="1543" t="n">
        <f aca="false">IF(BQ30=0,0,SUM(CN30:DC30)/BQ30)</f>
        <v>0</v>
      </c>
      <c r="CN30" s="656" t="n">
        <f aca="false">(BS30*Pricing!F$3+BT30*Pricing!G$3+BU30*Pricing!H$3+BV30*Pricing!I$3+BW30*Pricing!J$3+BX30*Pricing!K$3)*IF(W$44="N",(1+Y$44),1)</f>
        <v>0</v>
      </c>
      <c r="CO30" s="656" t="n">
        <f aca="false">BN30*G$70*IF(W$44="n",1+Y$44,1)</f>
        <v>0</v>
      </c>
      <c r="CP30" s="656" t="n">
        <f aca="false">C30*D30</f>
        <v>0</v>
      </c>
      <c r="CQ30" s="656" t="n">
        <f aca="false">IF(I$79=0,0,D30*(SUM(O$79:P$82)+O$85)/I$79*BQ30)</f>
        <v>0</v>
      </c>
      <c r="CR30" s="656" t="n">
        <f aca="false">IF(CF30="",0,CF30*E$83)+IF(CG30="",0,CG30*E$83)+IF(CH30="",0,CH30*E$83)</f>
        <v>0</v>
      </c>
      <c r="CS30" s="656"/>
      <c r="CT30" s="656" t="n">
        <f aca="false">IF(I$87=0,0,(P30-(D30*0.35))/2000*E$87)</f>
        <v>0</v>
      </c>
      <c r="CU30" s="656" t="n">
        <f aca="false">IF(D$42=0,0,SUM(O$91:P$93)/D$42*D30)*BQ30</f>
        <v>0</v>
      </c>
      <c r="CV30" s="656" t="n">
        <f aca="false">IF(D$42=0,0,SUM(Z$66:Z$97)/D$42*D30*BQ30)</f>
        <v>0</v>
      </c>
      <c r="CW30" s="656" t="n">
        <f aca="false">IF(D$42=0,0,SUM(O$96:P$101)/D$42*D30)*BQ30</f>
        <v>0</v>
      </c>
      <c r="CX30" s="656" t="n">
        <f aca="false">IF(D$42=0,0,SUM(O$103:O$110)/D$42)*D30*BQ30</f>
        <v>0</v>
      </c>
      <c r="CY30" s="656" t="n">
        <f aca="false">IF(I$79=0,0,IF(I$79=0,0,SUM(Z$98:Z$109)/I$79*D30))</f>
        <v>0</v>
      </c>
      <c r="CZ30" s="656" t="n">
        <f aca="false">IF(J$72&gt;0,J$72/D$42*D30*G30,CD30*(G$72*IF(W$44="n",(1+Y$44),1)))</f>
        <v>0</v>
      </c>
      <c r="DA30" s="656" t="str">
        <f aca="false">IF(CK30="","",CK30*E$86)</f>
        <v/>
      </c>
      <c r="DB30" s="656" t="n">
        <f aca="false">BP30*G$71*IF(W$44="Y",1,1+Y$44)</f>
        <v>0</v>
      </c>
      <c r="DC30" s="656" t="n">
        <f aca="false">CJ30*G$73*IF(W$44="Y",1,1+Y$44)</f>
        <v>0</v>
      </c>
      <c r="DD30" s="1546"/>
      <c r="DE30" s="654" t="n">
        <f aca="false">IF(W30=1,X30*$AS$49,0)+IF(W30=2,X30*$AS$50,0)+IF(W30=3,X30*$AS$51,0)+IF(W30=4,X30*$AS$52,0)+IF(W30=5,X30*$AS$53,0)+IF(W30=6,X30*$AS$54)+IF(W30=7,X30*$AS$55)+IF(W30=8,X30*$AS$56)+IF(W30=9,X30*$AS$57)+IF(W30=10,X30*$AS$58)+IF(W30=11,X30*$AS$59,0)</f>
        <v>0</v>
      </c>
      <c r="DF30" s="654" t="n">
        <f aca="false">IF(Y30=1,Z30*$AS$49,0)+IF(Y30=2,Z30*$AS$50,0)+IF(Y30=3,Z30*$AS$51,0)+IF(Y30=4,Z30*$AS$52,0)+IF(Y30=5,Z30*$AS$53,0)+IF(Y30=6,Z30*$AS$54)+IF(Y30=7,Z30*$AS$55)+IF(Y30=8,Z30*$AS$56)+IF(Y30=9,Z30*$AS$57)+IF(Y30=10,Z30*$AS$58)+IF(Y30=11,Z30*$AS$59,0)</f>
        <v>0</v>
      </c>
      <c r="DG30" s="654" t="n">
        <f aca="false">IF(AA30=1,AB30*$AS$49,0)+IF(AA30=2,AB30*$AS$50,0)+IF(AA30=3,AB30*$AS$51,0)+IF(AA30=4,AB30*$AS$52,0)+IF(AA30=5,AB30*$AS$53,0)+IF(AA30=6,AB30*$AS$54)+IF(AA30=7,AB30*$AS$55)+IF(AA30=8,AB30*$AS$56)+IF(AA30=9,AB30*$AS$57)+IF(AA30=10,AB30*$AS$58)+IF(AA30=11,AB30*$AS$59,0)</f>
        <v>0</v>
      </c>
      <c r="DH30" s="654" t="n">
        <f aca="false">IF(AC30=1,AD30*$AS$49,0)+IF(AC30=2,AD30*$AS$50,0)+IF(AC30=3,AD30*$AS$51,0)+IF(AC30=4,AD30*$AS$52,0)+IF(AC30=5,AD30*$AS$53,0)+IF(AC30=6,AD30*$AS$54)+IF(AC30=7,AD30*$AS$55)+IF(AC30=8,AD30*$AS$56)+IF(AC30=9,AD30*$AS$57)+IF(AC30=10,AD30*$AS$58)+IF(AC30=11,AD30*$AS$59,0)</f>
        <v>0</v>
      </c>
      <c r="DI30" s="654" t="n">
        <f aca="false">IF(AE30=1,AF30*$AS$49,0)+IF(AE30=2,AF30*$AS$50,0)+IF(AE30=3,AF30*$AS$51,0)+IF(AE30=4,AF30*$AS$52,0)+IF(AE30=5,AF30*$AS$53,0)+IF(AE30=6,AF30*$AS$54)+IF(AE30=7,AF30*$AS$55)+IF(AE30=8,AF30*$AS$56)+IF(AE30=9,AF30*$AS$57)+IF(AE30=10,AF30*$AS$58)+IF(AE30=11,AF30*$AS$59,0)</f>
        <v>0</v>
      </c>
      <c r="DJ30" s="654" t="n">
        <f aca="false">IF(AG30=1,AH30*$AS$49,0)+IF(AG30=2,AH30*$AS$50,0)+IF(AG30=3,AH30*$AS$51,0)+IF(AG30=4,AH30*$AS$52,0)+IF(AG30=5,AH30*$AS$53,0)+IF(AG30=6,AH30*$AS$54)+IF(AG30=7,AH30*$AS$55)+IF(AG30=8,AH30*$AS$56)+IF(AG30=9,AH30*$AS$57)+IF(AG30=10,AH30*$AS$58)+IF(AG30=11,AH30*$AS$59,0)</f>
        <v>0</v>
      </c>
      <c r="DK30" s="654" t="n">
        <f aca="false">IF(AI30=1,AJ30*$AS$49,0)+IF(AI30=2,AJ30*$AS$50,0)+IF(AI30=3,AJ30*$AS$51,0)+IF(AI30=4,AJ30*$AS$52,0)+IF(AI30=5,AJ30*$AS$53,0)+IF(AI30=6,AJ30*$AS$54)+IF(AI30=7,AJ30*$AS$55)+IF(AI30=8,AJ30*$AS$56)+IF(AI30=9,AJ30*$AS$57)+IF(AI30=10,AJ30*$AS$58)+IF(AI30=11,AJ30*$AS$59,0)</f>
        <v>0</v>
      </c>
      <c r="DL30" s="654" t="n">
        <f aca="false">IF(AK30=1,AL30*$AS$49,0)+IF(AK30=2,AL30*$AS$50,0)+IF(AK30=3,AL30*$AS$51,0)+IF(AK30=4,AL30*$AS$52,0)+IF(AK30=5,AL30*$AS$53,0)+IF(AK30=6,AL30*$AS$54)+IF(AK30=7,AL30*$AS$55)+IF(AK30=8,AL30*$AS$56)+IF(AK30=9,AL30*$AS$57)+IF(AK30=10,AL30*$AS$58)+IF(AK30=11,AL30*$AS$59,0)</f>
        <v>0</v>
      </c>
      <c r="DM30" s="654" t="n">
        <f aca="false">IF(AM30=1,AN30*$AS$49,0)+IF(AM30=2,AN30*$AS$50,0)+IF(AM30=3,AN30*$AS$51,0)+IF(AM30=4,AN30*$AS$52,0)+IF(AM30=5,AN30*$AS$53,0)+IF(AM30=6,AN30*$AS$54)+IF(AM30=7,AN30*$AS$55)+IF(AM30=8,AN30*$AS$56)+IF(AM30=9,AN30*$AS$57)+IF(AM30=10,AN30*$AS$58)+IF(AM30=11,AN30*$AS$59,0)</f>
        <v>0</v>
      </c>
      <c r="DN30" s="654" t="n">
        <f aca="false">IF(AO30=1,AP30*$AS$49,0)+IF(AO30=2,AP30*$AS$50,0)+IF(AO30=3,AP30*$AS$51,0)+IF(AO30=4,AP30*$AS$52,0)+IF(AO30=5,AP30*$AS$53,0)+IF(AO30=6,AP30*$AS$54)+IF(AO30=7,AP30*$AS$55)+IF(AO30=8,AP30*$AS$56)+IF(AO30=9,AP30*$AS$57)+IF(AO30=10,AP30*$AS$58)+IF(AO30=11,AP30*$AS$59,0)</f>
        <v>0</v>
      </c>
      <c r="DO30" s="1569" t="n">
        <f aca="false">D30</f>
        <v>0</v>
      </c>
    </row>
    <row r="31" customFormat="false" ht="19.5" hidden="false" customHeight="true" outlineLevel="0" collapsed="false">
      <c r="A31" s="2672" t="s">
        <v>1575</v>
      </c>
      <c r="B31" s="1549"/>
      <c r="C31" s="1550"/>
      <c r="D31" s="1551"/>
      <c r="E31" s="1552"/>
      <c r="F31" s="1074"/>
      <c r="G31" s="1553"/>
      <c r="H31" s="1074"/>
      <c r="I31" s="1553"/>
      <c r="J31" s="1074"/>
      <c r="K31" s="1583"/>
      <c r="L31" s="1559"/>
      <c r="M31" s="1556"/>
      <c r="N31" s="1557"/>
      <c r="O31" s="1558"/>
      <c r="P31" s="1515" t="n">
        <f aca="false">IF(BQ31=0,0,BN31/BQ31)</f>
        <v>0</v>
      </c>
      <c r="Q31" s="1516" t="n">
        <f aca="false">(D31*F31/324)*(1+K$65)+BB31</f>
        <v>0</v>
      </c>
      <c r="R31" s="1517" t="n">
        <f aca="false">IF(D31=0,0,S31/D31)</f>
        <v>0</v>
      </c>
      <c r="S31" s="1518" t="n">
        <f aca="false">SUM(CM31)*(1+M$45)</f>
        <v>0</v>
      </c>
      <c r="T31" s="1519" t="n">
        <f aca="false">ROUND((CF31+CG31+CH31),0)</f>
        <v>0</v>
      </c>
      <c r="U31" s="1520" t="n">
        <f aca="false">IF(P31-(D31*0.45)&lt;0,0,P31-(D31*0.45))</f>
        <v>0</v>
      </c>
      <c r="V31" s="1521" t="n">
        <f aca="false">IF(D31="",0,IF(D31/-30+Q31&lt;1,0,D31/-30+Q31))</f>
        <v>0</v>
      </c>
      <c r="W31" s="1559"/>
      <c r="X31" s="1862"/>
      <c r="Y31" s="1559"/>
      <c r="Z31" s="1561"/>
      <c r="AA31" s="1559"/>
      <c r="AB31" s="1561"/>
      <c r="AC31" s="1562"/>
      <c r="AD31" s="1862"/>
      <c r="AE31" s="1559"/>
      <c r="AF31" s="2675"/>
      <c r="AG31" s="1595"/>
      <c r="AH31" s="2675"/>
      <c r="AI31" s="1559"/>
      <c r="AJ31" s="1862"/>
      <c r="AK31" s="1559"/>
      <c r="AL31" s="1556"/>
      <c r="AM31" s="1559"/>
      <c r="AN31" s="1561"/>
      <c r="AO31" s="1559"/>
      <c r="AP31" s="1561"/>
      <c r="AQ31" s="654"/>
      <c r="AR31" s="1533" t="str">
        <f aca="false">IF(W31="","",LOOKUP(W31,$B$49:$B$59,$R$49:$R$59)*X31)</f>
        <v/>
      </c>
      <c r="AS31" s="1430" t="str">
        <f aca="false">IF(Y31="","",LOOKUP(Y31,$B$49:$B$59,$R$49:$R$59)*Z31)</f>
        <v/>
      </c>
      <c r="AT31" s="1430" t="str">
        <f aca="false">IF(AB31="","",LOOKUP(AA31,$B$49:$B$59,$R$49:$R$59)*AB31)</f>
        <v/>
      </c>
      <c r="AU31" s="1430" t="str">
        <f aca="false">IF(AC31="","",LOOKUP(AC31,$B$49:$B$59,$R$49:$R$59)*AD31)</f>
        <v/>
      </c>
      <c r="AV31" s="1430" t="str">
        <f aca="false">IF(AE31="","",LOOKUP(AE31,$B$49:$B$59,$R$49:$R$59)*AF31)</f>
        <v/>
      </c>
      <c r="AW31" s="1430" t="str">
        <f aca="false">IF(AG31="","",LOOKUP(AG31,$B$49:$B$59,$R$49:$R$59)*AH31)</f>
        <v/>
      </c>
      <c r="AX31" s="1430" t="str">
        <f aca="false">IF(AI31="","",LOOKUP(AI31,$B$49:$B$59,$R$49:$R$59)*AJ31)</f>
        <v/>
      </c>
      <c r="AY31" s="1430" t="str">
        <f aca="false">IF(AK31="","",LOOKUP(AK31,$B$49:$B$59,$R$49:$R$59)*AL31)</f>
        <v/>
      </c>
      <c r="AZ31" s="1430" t="str">
        <f aca="false">IF(AM31="","",LOOKUP(AM31,$B$49:$B$59,$R$49:$R$59)*AN31)</f>
        <v/>
      </c>
      <c r="BA31" s="1430" t="str">
        <f aca="false">IF(AO31="","",LOOKUP(AO31,$B$49:$B$59,$R$49:$R$59)*AP31)</f>
        <v/>
      </c>
      <c r="BB31" s="1535" t="n">
        <f aca="false">SUM(AR31:BA31)</f>
        <v>0</v>
      </c>
      <c r="BC31" s="1533" t="str">
        <f aca="false">IF(W31="","",LOOKUP(W31,$B$49:$B$59,$P$49:$P$59)*X31)</f>
        <v/>
      </c>
      <c r="BD31" s="654" t="str">
        <f aca="false">IF(Y31="","",LOOKUP(Y31,$B$49:$B$59,$P$49:$P$59)*Z31)</f>
        <v/>
      </c>
      <c r="BE31" s="1430" t="str">
        <f aca="false">IF(AA31="","",LOOKUP(AA31,$B$49:$B$59,$P$49:$P$59)*AB31)</f>
        <v/>
      </c>
      <c r="BF31" s="654" t="str">
        <f aca="false">IF(AC31="","",LOOKUP(AC31,$B$49:$B$59,$P$49:$P$59)*AD31)</f>
        <v/>
      </c>
      <c r="BG31" s="654" t="str">
        <f aca="false">IF(AE31="","",LOOKUP(AE31,$B$49:$B$59,$P$49:$P$59)*AF31)</f>
        <v/>
      </c>
      <c r="BH31" s="654" t="str">
        <f aca="false">IF(AG31="","",LOOKUP(AG31,$B$49:$B$59,$P$49:$P$59)*AH31)</f>
        <v/>
      </c>
      <c r="BI31" s="654" t="str">
        <f aca="false">IF(AI31="","",LOOKUP(AI31,$B$49:$B$59,$P$49:$P$59)*AJ31)</f>
        <v/>
      </c>
      <c r="BJ31" s="654" t="str">
        <f aca="false">IF(AK31="","",LOOKUP(AK31,$B$49:$B$59,$P$49:$P$59)*AL31)</f>
        <v/>
      </c>
      <c r="BK31" s="654" t="str">
        <f aca="false">IF(AM31="","",LOOKUP(AM31,$B$49:$B$59,$P$49:$P$59)*AN31)</f>
        <v/>
      </c>
      <c r="BL31" s="654" t="str">
        <f aca="false">IF(AO31="","",LOOKUP(AO31,$B$49:$B$59,$P$49:$P$59)*AP31)</f>
        <v/>
      </c>
      <c r="BM31" s="1584" t="n">
        <f aca="false">SUM(BC31:BL31)*BQ31</f>
        <v>0</v>
      </c>
      <c r="BN31" s="1536" t="n">
        <f aca="false">BM31+BO31</f>
        <v>0</v>
      </c>
      <c r="BO31" s="1536" t="n">
        <f aca="false">IF(M31=0,0,(M31/12+M31/12)/(M31/12*M31/12)*D31*((L31/16*L31/16)*10.6870159))*(1+K$70)*BQ31</f>
        <v>0</v>
      </c>
      <c r="BP31" s="1536" t="n">
        <f aca="false">IF(O31="Y",D31*(1+K$71)*BQ31,0)</f>
        <v>0</v>
      </c>
      <c r="BQ31" s="1538" t="n">
        <f aca="false">G31</f>
        <v>0</v>
      </c>
      <c r="BR31" s="1411" t="n">
        <f aca="false">IF(Y4="y",D31,0)</f>
        <v>0</v>
      </c>
      <c r="BS31" s="1567" t="n">
        <f aca="false">IF($I31=1,$Q31,0)*BQ31</f>
        <v>0</v>
      </c>
      <c r="BT31" s="1536" t="n">
        <f aca="false">IF($I31=2,$Q31,0)*BQ31</f>
        <v>0</v>
      </c>
      <c r="BU31" s="1536" t="n">
        <f aca="false">IF($I31=3,$Q31,0)*BQ31</f>
        <v>0</v>
      </c>
      <c r="BV31" s="1536" t="n">
        <f aca="false">IF($I31=4,$Q31,0)*BQ31</f>
        <v>0</v>
      </c>
      <c r="BW31" s="1536" t="n">
        <f aca="false">IF($I31=5,$Q31,0)*BQ31</f>
        <v>0</v>
      </c>
      <c r="BX31" s="1537" t="n">
        <f aca="false">IF($I31=6,$Q31,0)*BQ31</f>
        <v>0</v>
      </c>
      <c r="BY31" s="1537" t="n">
        <f aca="false">IF($I31=7,$Q31,0)*BQ31</f>
        <v>0</v>
      </c>
      <c r="BZ31" s="1537" t="n">
        <f aca="false">IF($I31=8,$Q31,0)*BQ31</f>
        <v>0</v>
      </c>
      <c r="CA31" s="1537" t="n">
        <f aca="false">IF($I31=9,$Q31,0)*BQ31</f>
        <v>0</v>
      </c>
      <c r="CB31" s="1569" t="n">
        <f aca="false">IF($I31=10,$Q31,0)*BQ31</f>
        <v>0</v>
      </c>
      <c r="CC31" s="1538" t="n">
        <f aca="false">SUM(BS31:BX31)</f>
        <v>0</v>
      </c>
      <c r="CD31" s="1538" t="n">
        <f aca="false">IF(H31="N",0,D31)*BQ31</f>
        <v>0</v>
      </c>
      <c r="CE31" s="1538" t="n">
        <f aca="false">K31*BQ31</f>
        <v>0</v>
      </c>
      <c r="CF31" s="1542" t="n">
        <f aca="false">IF(W31="",0,LOOKUP(W31,B$49:B$59,D$49:D$59)*X31/12)</f>
        <v>0</v>
      </c>
      <c r="CG31" s="1542" t="n">
        <f aca="false">IF(Y31="",0,LOOKUP(Y31,B$49:B$59,D$49:D$59)*Z31/12)</f>
        <v>0</v>
      </c>
      <c r="CH31" s="1542" t="n">
        <f aca="false">IF(AA31="",0,LOOKUP(AA31,B$49:B$59,D$49:D$59)*AB31/12)</f>
        <v>0</v>
      </c>
      <c r="CI31" s="1538" t="n">
        <f aca="false">D31*BQ31</f>
        <v>0</v>
      </c>
      <c r="CJ31" s="1538" t="n">
        <f aca="false">D31*J31/324*(1+K$73)*G31</f>
        <v>0</v>
      </c>
      <c r="CK31" s="1538" t="str">
        <f aca="false">IF(N31="","",N31)</f>
        <v/>
      </c>
      <c r="CL31" s="1538" t="n">
        <f aca="false">P31*BQ31</f>
        <v>0</v>
      </c>
      <c r="CM31" s="1543" t="n">
        <f aca="false">IF(BQ31=0,0,SUM(CN31:DC31)/BQ31)</f>
        <v>0</v>
      </c>
      <c r="CN31" s="656" t="n">
        <f aca="false">(BS31*Pricing!F$3+BT31*Pricing!G$3+BU31*Pricing!H$3+BV31*Pricing!I$3+BW31*Pricing!J$3+BX31*Pricing!K$3)*IF(W$44="N",(1+Y$44),1)</f>
        <v>0</v>
      </c>
      <c r="CO31" s="656" t="n">
        <f aca="false">BN31*G$70*IF(W$44="n",1+Y$44,1)</f>
        <v>0</v>
      </c>
      <c r="CP31" s="656" t="n">
        <f aca="false">C31*D31</f>
        <v>0</v>
      </c>
      <c r="CQ31" s="656" t="n">
        <f aca="false">IF(I$79=0,0,D31*(SUM(O$79:P$82)+O$85)/I$79*BQ31)</f>
        <v>0</v>
      </c>
      <c r="CR31" s="656" t="n">
        <f aca="false">IF(CF31="",0,CF31*E$83)+IF(CG31="",0,CG31*E$83)+IF(CH31="",0,CH31*E$83)</f>
        <v>0</v>
      </c>
      <c r="CS31" s="656"/>
      <c r="CT31" s="656" t="n">
        <f aca="false">IF(I$87=0,0,(P31-(D31*0.35))/2000*E$87)</f>
        <v>0</v>
      </c>
      <c r="CU31" s="656" t="n">
        <f aca="false">IF(D$42=0,0,SUM(O$91:P$93)/D$42*D31)*BQ31</f>
        <v>0</v>
      </c>
      <c r="CV31" s="656" t="n">
        <f aca="false">IF(D$42=0,0,SUM(Z$66:Z$97)/D$42*D31*BQ31)</f>
        <v>0</v>
      </c>
      <c r="CW31" s="656" t="n">
        <f aca="false">IF(D$42=0,0,SUM(O$96:P$101)/D$42*D31)*BQ31</f>
        <v>0</v>
      </c>
      <c r="CX31" s="656" t="n">
        <f aca="false">IF(D$42=0,0,SUM(O$103:O$110)/D$42)*D31*BQ31</f>
        <v>0</v>
      </c>
      <c r="CY31" s="656" t="n">
        <f aca="false">IF(I$79=0,0,IF(I$79=0,0,SUM(Z$98:Z$109)/I$79*D31))</f>
        <v>0</v>
      </c>
      <c r="CZ31" s="656" t="n">
        <f aca="false">IF(J$72&gt;0,J$72/D$42*D31*G31,CD31*(G$72*IF(W$44="n",(1+Y$44),1)))</f>
        <v>0</v>
      </c>
      <c r="DA31" s="656" t="str">
        <f aca="false">IF(CK31="","",CK31*E$86)</f>
        <v/>
      </c>
      <c r="DB31" s="656" t="n">
        <f aca="false">BP31*G$71*IF(W$44="Y",1,1+Y$44)</f>
        <v>0</v>
      </c>
      <c r="DC31" s="656" t="n">
        <f aca="false">CJ31*G$73*IF(W$44="Y",1,1+Y$44)</f>
        <v>0</v>
      </c>
      <c r="DD31" s="1546"/>
      <c r="DE31" s="654" t="n">
        <f aca="false">IF(W31=1,X31*$AS$49,0)+IF(W31=2,X31*$AS$50,0)+IF(W31=3,X31*$AS$51,0)+IF(W31=4,X31*$AS$52,0)+IF(W31=5,X31*$AS$53,0)+IF(W31=6,X31*$AS$54)+IF(W31=7,X31*$AS$55)+IF(W31=8,X31*$AS$56)+IF(W31=9,X31*$AS$57)+IF(W31=10,X31*$AS$58)+IF(W31=11,X31*$AS$59,0)</f>
        <v>0</v>
      </c>
      <c r="DF31" s="654" t="n">
        <f aca="false">IF(Y31=1,Z31*$AS$49,0)+IF(Y31=2,Z31*$AS$50,0)+IF(Y31=3,Z31*$AS$51,0)+IF(Y31=4,Z31*$AS$52,0)+IF(Y31=5,Z31*$AS$53,0)+IF(Y31=6,Z31*$AS$54)+IF(Y31=7,Z31*$AS$55)+IF(Y31=8,Z31*$AS$56)+IF(Y31=9,Z31*$AS$57)+IF(Y31=10,Z31*$AS$58)+IF(Y31=11,Z31*$AS$59,0)</f>
        <v>0</v>
      </c>
      <c r="DG31" s="654" t="n">
        <f aca="false">IF(AA31=1,AB31*$AS$49,0)+IF(AA31=2,AB31*$AS$50,0)+IF(AA31=3,AB31*$AS$51,0)+IF(AA31=4,AB31*$AS$52,0)+IF(AA31=5,AB31*$AS$53,0)+IF(AA31=6,AB31*$AS$54)+IF(AA31=7,AB31*$AS$55)+IF(AA31=8,AB31*$AS$56)+IF(AA31=9,AB31*$AS$57)+IF(AA31=10,AB31*$AS$58)+IF(AA31=11,AB31*$AS$59,0)</f>
        <v>0</v>
      </c>
      <c r="DH31" s="654" t="n">
        <f aca="false">IF(AC31=1,AD31*$AS$49,0)+IF(AC31=2,AD31*$AS$50,0)+IF(AC31=3,AD31*$AS$51,0)+IF(AC31=4,AD31*$AS$52,0)+IF(AC31=5,AD31*$AS$53,0)+IF(AC31=6,AD31*$AS$54)+IF(AC31=7,AD31*$AS$55)+IF(AC31=8,AD31*$AS$56)+IF(AC31=9,AD31*$AS$57)+IF(AC31=10,AD31*$AS$58)+IF(AC31=11,AD31*$AS$59,0)</f>
        <v>0</v>
      </c>
      <c r="DI31" s="654" t="n">
        <f aca="false">IF(AE31=1,AF31*$AS$49,0)+IF(AE31=2,AF31*$AS$50,0)+IF(AE31=3,AF31*$AS$51,0)+IF(AE31=4,AF31*$AS$52,0)+IF(AE31=5,AF31*$AS$53,0)+IF(AE31=6,AF31*$AS$54)+IF(AE31=7,AF31*$AS$55)+IF(AE31=8,AF31*$AS$56)+IF(AE31=9,AF31*$AS$57)+IF(AE31=10,AF31*$AS$58)+IF(AE31=11,AF31*$AS$59,0)</f>
        <v>0</v>
      </c>
      <c r="DJ31" s="654" t="n">
        <f aca="false">IF(AG31=1,AH31*$AS$49,0)+IF(AG31=2,AH31*$AS$50,0)+IF(AG31=3,AH31*$AS$51,0)+IF(AG31=4,AH31*$AS$52,0)+IF(AG31=5,AH31*$AS$53,0)+IF(AG31=6,AH31*$AS$54)+IF(AG31=7,AH31*$AS$55)+IF(AG31=8,AH31*$AS$56)+IF(AG31=9,AH31*$AS$57)+IF(AG31=10,AH31*$AS$58)+IF(AG31=11,AH31*$AS$59,0)</f>
        <v>0</v>
      </c>
      <c r="DK31" s="654" t="n">
        <f aca="false">IF(AI31=1,AJ31*$AS$49,0)+IF(AI31=2,AJ31*$AS$50,0)+IF(AI31=3,AJ31*$AS$51,0)+IF(AI31=4,AJ31*$AS$52,0)+IF(AI31=5,AJ31*$AS$53,0)+IF(AI31=6,AJ31*$AS$54)+IF(AI31=7,AJ31*$AS$55)+IF(AI31=8,AJ31*$AS$56)+IF(AI31=9,AJ31*$AS$57)+IF(AI31=10,AJ31*$AS$58)+IF(AI31=11,AJ31*$AS$59,0)</f>
        <v>0</v>
      </c>
      <c r="DL31" s="654" t="n">
        <f aca="false">IF(AK31=1,AL31*$AS$49,0)+IF(AK31=2,AL31*$AS$50,0)+IF(AK31=3,AL31*$AS$51,0)+IF(AK31=4,AL31*$AS$52,0)+IF(AK31=5,AL31*$AS$53,0)+IF(AK31=6,AL31*$AS$54)+IF(AK31=7,AL31*$AS$55)+IF(AK31=8,AL31*$AS$56)+IF(AK31=9,AL31*$AS$57)+IF(AK31=10,AL31*$AS$58)+IF(AK31=11,AL31*$AS$59,0)</f>
        <v>0</v>
      </c>
      <c r="DM31" s="654" t="n">
        <f aca="false">IF(AM31=1,AN31*$AS$49,0)+IF(AM31=2,AN31*$AS$50,0)+IF(AM31=3,AN31*$AS$51,0)+IF(AM31=4,AN31*$AS$52,0)+IF(AM31=5,AN31*$AS$53,0)+IF(AM31=6,AN31*$AS$54)+IF(AM31=7,AN31*$AS$55)+IF(AM31=8,AN31*$AS$56)+IF(AM31=9,AN31*$AS$57)+IF(AM31=10,AN31*$AS$58)+IF(AM31=11,AN31*$AS$59,0)</f>
        <v>0</v>
      </c>
      <c r="DN31" s="654" t="n">
        <f aca="false">IF(AO31=1,AP31*$AS$49,0)+IF(AO31=2,AP31*$AS$50,0)+IF(AO31=3,AP31*$AS$51,0)+IF(AO31=4,AP31*$AS$52,0)+IF(AO31=5,AP31*$AS$53,0)+IF(AO31=6,AP31*$AS$54)+IF(AO31=7,AP31*$AS$55)+IF(AO31=8,AP31*$AS$56)+IF(AO31=9,AP31*$AS$57)+IF(AO31=10,AP31*$AS$58)+IF(AO31=11,AP31*$AS$59,0)</f>
        <v>0</v>
      </c>
      <c r="DO31" s="1569" t="n">
        <f aca="false">D31</f>
        <v>0</v>
      </c>
    </row>
    <row r="32" customFormat="false" ht="19.5" hidden="false" customHeight="true" outlineLevel="0" collapsed="false">
      <c r="A32" s="2672" t="s">
        <v>1576</v>
      </c>
      <c r="B32" s="920"/>
      <c r="C32" s="1506"/>
      <c r="D32" s="1586"/>
      <c r="E32" s="1587"/>
      <c r="F32" s="1074"/>
      <c r="G32" s="1509"/>
      <c r="H32" s="1074"/>
      <c r="I32" s="1509"/>
      <c r="J32" s="1074"/>
      <c r="K32" s="1588"/>
      <c r="L32" s="528"/>
      <c r="M32" s="895"/>
      <c r="N32" s="1513"/>
      <c r="O32" s="1514"/>
      <c r="P32" s="1515" t="n">
        <f aca="false">IF(BQ32=0,0,BN32/BQ32)</f>
        <v>0</v>
      </c>
      <c r="Q32" s="1516" t="n">
        <f aca="false">(D32*F32/324)*(1+K$65)+BB32</f>
        <v>0</v>
      </c>
      <c r="R32" s="1517" t="n">
        <f aca="false">IF(D32=0,0,S32/D32)</f>
        <v>0</v>
      </c>
      <c r="S32" s="1518" t="n">
        <f aca="false">SUM(CM32)*(1+M$45)</f>
        <v>0</v>
      </c>
      <c r="T32" s="1519" t="n">
        <f aca="false">ROUND((CF32+CG32+CH32),0)</f>
        <v>0</v>
      </c>
      <c r="U32" s="1520" t="n">
        <f aca="false">IF(P32-(D32*0.45)&lt;0,0,P32-(D32*0.45))</f>
        <v>0</v>
      </c>
      <c r="V32" s="1521" t="n">
        <f aca="false">IF(D32="",0,IF(D32/-30+Q32&lt;1,0,D32/-30+Q32))</f>
        <v>0</v>
      </c>
      <c r="W32" s="528"/>
      <c r="X32" s="2676"/>
      <c r="Y32" s="1511"/>
      <c r="Z32" s="1524"/>
      <c r="AA32" s="1511"/>
      <c r="AB32" s="1524"/>
      <c r="AC32" s="1585"/>
      <c r="AD32" s="2676"/>
      <c r="AE32" s="528"/>
      <c r="AF32" s="1592"/>
      <c r="AG32" s="528"/>
      <c r="AH32" s="1592"/>
      <c r="AI32" s="528"/>
      <c r="AJ32" s="1591"/>
      <c r="AK32" s="528"/>
      <c r="AL32" s="1592"/>
      <c r="AM32" s="1511"/>
      <c r="AN32" s="1524"/>
      <c r="AO32" s="1511"/>
      <c r="AP32" s="1524"/>
      <c r="AQ32" s="654"/>
      <c r="AR32" s="1533" t="str">
        <f aca="false">IF(W32="","",LOOKUP(W32,$B$49:$B$59,$R$49:$R$59)*X32)</f>
        <v/>
      </c>
      <c r="AS32" s="1430" t="str">
        <f aca="false">IF(Y32="","",LOOKUP(Y32,$B$49:$B$59,$R$49:$R$59)*Z32)</f>
        <v/>
      </c>
      <c r="AT32" s="1430" t="str">
        <f aca="false">IF(AB32="","",LOOKUP(AA32,$B$49:$B$59,$R$49:$R$59)*AB32)</f>
        <v/>
      </c>
      <c r="AU32" s="1430" t="str">
        <f aca="false">IF(AC32="","",LOOKUP(AC32,$B$49:$B$59,$R$49:$R$59)*AD32)</f>
        <v/>
      </c>
      <c r="AV32" s="1430" t="str">
        <f aca="false">IF(AE32="","",LOOKUP(AE32,$B$49:$B$59,$R$49:$R$59)*AF32)</f>
        <v/>
      </c>
      <c r="AW32" s="1430" t="str">
        <f aca="false">IF(AG32="","",LOOKUP(AG32,$B$49:$B$59,$R$49:$R$59)*AH32)</f>
        <v/>
      </c>
      <c r="AX32" s="1430" t="str">
        <f aca="false">IF(AI32="","",LOOKUP(AI32,$B$49:$B$59,$R$49:$R$59)*AJ32)</f>
        <v/>
      </c>
      <c r="AY32" s="1430" t="str">
        <f aca="false">IF(AK32="","",LOOKUP(AK32,$B$49:$B$59,$R$49:$R$59)*AL32)</f>
        <v/>
      </c>
      <c r="AZ32" s="1430" t="str">
        <f aca="false">IF(AM32="","",LOOKUP(AM32,$B$49:$B$59,$R$49:$R$59)*AN32)</f>
        <v/>
      </c>
      <c r="BA32" s="1430" t="str">
        <f aca="false">IF(AO32="","",LOOKUP(AO32,$B$49:$B$59,$R$49:$R$59)*AP32)</f>
        <v/>
      </c>
      <c r="BB32" s="1535" t="n">
        <f aca="false">SUM(AR32:BA32)</f>
        <v>0</v>
      </c>
      <c r="BC32" s="1533" t="str">
        <f aca="false">IF(W32="","",LOOKUP(W32,$B$49:$B$59,$P$49:$P$59)*X32)</f>
        <v/>
      </c>
      <c r="BD32" s="654" t="str">
        <f aca="false">IF(Y32="","",LOOKUP(Y32,$B$49:$B$59,$P$49:$P$59)*Z32)</f>
        <v/>
      </c>
      <c r="BE32" s="1430" t="str">
        <f aca="false">IF(AA32="","",LOOKUP(AA32,$B$49:$B$59,$P$49:$P$59)*AB32)</f>
        <v/>
      </c>
      <c r="BF32" s="654" t="str">
        <f aca="false">IF(AC32="","",LOOKUP(AC32,$B$49:$B$59,$P$49:$P$59)*AD32)</f>
        <v/>
      </c>
      <c r="BG32" s="654" t="str">
        <f aca="false">IF(AE32="","",LOOKUP(AE32,$B$49:$B$59,$P$49:$P$59)*AF32)</f>
        <v/>
      </c>
      <c r="BH32" s="654" t="str">
        <f aca="false">IF(AG32="","",LOOKUP(AG32,$B$49:$B$59,$P$49:$P$59)*AH32)</f>
        <v/>
      </c>
      <c r="BI32" s="654" t="str">
        <f aca="false">IF(AI32="","",LOOKUP(AI32,$B$49:$B$59,$P$49:$P$59)*AJ32)</f>
        <v/>
      </c>
      <c r="BJ32" s="654" t="str">
        <f aca="false">IF(AK32="","",LOOKUP(AK32,$B$49:$B$59,$P$49:$P$59)*AL32)</f>
        <v/>
      </c>
      <c r="BK32" s="654" t="str">
        <f aca="false">IF(AM32="","",LOOKUP(AM32,$B$49:$B$59,$P$49:$P$59)*AN32)</f>
        <v/>
      </c>
      <c r="BL32" s="654" t="str">
        <f aca="false">IF(AO32="","",LOOKUP(AO32,$B$49:$B$59,$P$49:$P$59)*AP32)</f>
        <v/>
      </c>
      <c r="BM32" s="1584" t="n">
        <f aca="false">SUM(BC32:BL32)*BQ32</f>
        <v>0</v>
      </c>
      <c r="BN32" s="1536" t="n">
        <f aca="false">BM32+BO32</f>
        <v>0</v>
      </c>
      <c r="BO32" s="1536" t="n">
        <f aca="false">IF(M32=0,0,(M32/12+M32/12)/(M32/12*M32/12)*D32*((L32/16*L32/16)*10.6870159))*(1+K$70)*BQ32</f>
        <v>0</v>
      </c>
      <c r="BP32" s="1536" t="n">
        <f aca="false">IF(O32="Y",D32*(1+K$71)*BQ32,0)</f>
        <v>0</v>
      </c>
      <c r="BQ32" s="1538" t="n">
        <f aca="false">G32</f>
        <v>0</v>
      </c>
      <c r="BR32" s="1411" t="n">
        <f aca="false">IF(O32="y",D32,0)</f>
        <v>0</v>
      </c>
      <c r="BS32" s="1567" t="n">
        <f aca="false">IF($I32=1,$Q32,0)*BQ32</f>
        <v>0</v>
      </c>
      <c r="BT32" s="1536" t="n">
        <f aca="false">IF($I32=2,$Q32,0)*BQ32</f>
        <v>0</v>
      </c>
      <c r="BU32" s="1536" t="n">
        <f aca="false">IF($I32=3,$Q32,0)*BQ32</f>
        <v>0</v>
      </c>
      <c r="BV32" s="1536" t="n">
        <f aca="false">IF($I32=4,$Q32,0)*BQ32</f>
        <v>0</v>
      </c>
      <c r="BW32" s="1536" t="n">
        <f aca="false">IF($I32=5,$Q32,0)*BQ32</f>
        <v>0</v>
      </c>
      <c r="BX32" s="1537" t="n">
        <f aca="false">IF($I32=6,$Q32,0)*BQ32</f>
        <v>0</v>
      </c>
      <c r="BY32" s="1537" t="n">
        <f aca="false">IF($I32=7,$Q32,0)*BQ32</f>
        <v>0</v>
      </c>
      <c r="BZ32" s="1537" t="n">
        <f aca="false">IF($I32=8,$Q32,0)*BQ32</f>
        <v>0</v>
      </c>
      <c r="CA32" s="1537" t="n">
        <f aca="false">IF($I32=9,$Q32,0)*BQ32</f>
        <v>0</v>
      </c>
      <c r="CB32" s="1569" t="n">
        <f aca="false">IF($I32=10,$Q32,0)*BQ32</f>
        <v>0</v>
      </c>
      <c r="CC32" s="1538" t="n">
        <f aca="false">SUM(BS32:BX32)</f>
        <v>0</v>
      </c>
      <c r="CD32" s="1538" t="n">
        <f aca="false">IF(H32="N",0,D32)*BQ32</f>
        <v>0</v>
      </c>
      <c r="CE32" s="1538" t="n">
        <f aca="false">K32*BQ32</f>
        <v>0</v>
      </c>
      <c r="CF32" s="1542" t="n">
        <f aca="false">IF(W32="",0,LOOKUP(W32,B$49:B$59,D$49:D$59)*X32/12)</f>
        <v>0</v>
      </c>
      <c r="CG32" s="1542" t="n">
        <f aca="false">IF(Y32="",0,LOOKUP(Y32,B$49:B$59,D$49:D$59)*Z32/12)</f>
        <v>0</v>
      </c>
      <c r="CH32" s="1542" t="n">
        <f aca="false">IF(AA32="",0,LOOKUP(AA32,B$49:B$59,D$49:D$59)*AB32/12)</f>
        <v>0</v>
      </c>
      <c r="CI32" s="1538" t="n">
        <f aca="false">D32*BQ32</f>
        <v>0</v>
      </c>
      <c r="CJ32" s="1538" t="n">
        <f aca="false">D32*J32/324*(1+K$73)*G32</f>
        <v>0</v>
      </c>
      <c r="CK32" s="1538" t="str">
        <f aca="false">IF(N32="","",N32)</f>
        <v/>
      </c>
      <c r="CL32" s="1538" t="n">
        <f aca="false">P32*BQ32</f>
        <v>0</v>
      </c>
      <c r="CM32" s="1543" t="n">
        <f aca="false">IF(BQ32=0,0,SUM(CN32:DC32)/BQ32)</f>
        <v>0</v>
      </c>
      <c r="CN32" s="656" t="n">
        <f aca="false">(BS32*Pricing!F$3+BT32*Pricing!G$3+BU32*Pricing!H$3+BV32*Pricing!I$3+BW32*Pricing!J$3+BX32*Pricing!K$3)*IF(W$44="N",(1+Y$44),1)</f>
        <v>0</v>
      </c>
      <c r="CO32" s="656" t="n">
        <f aca="false">BN32*G$70*IF(W$44="n",1+Y$44,1)</f>
        <v>0</v>
      </c>
      <c r="CP32" s="656" t="n">
        <f aca="false">C32*D32</f>
        <v>0</v>
      </c>
      <c r="CQ32" s="656" t="n">
        <f aca="false">IF(I$79=0,0,D32*(SUM(O$79:P$82)+O$85)/I$79*BQ32)</f>
        <v>0</v>
      </c>
      <c r="CR32" s="656" t="n">
        <f aca="false">IF(CF32="",0,CF32*E$83)+IF(CG32="",0,CG32*E$83)+IF(CH32="",0,CH32*E$83)</f>
        <v>0</v>
      </c>
      <c r="CS32" s="656"/>
      <c r="CT32" s="656" t="n">
        <f aca="false">IF(I$87=0,0,(P32-(D32*0.35))/2000*E$87)</f>
        <v>0</v>
      </c>
      <c r="CU32" s="656" t="n">
        <f aca="false">IF(D$42=0,0,SUM(O$91:P$93)/D$42*D32)*BQ32</f>
        <v>0</v>
      </c>
      <c r="CV32" s="656" t="n">
        <f aca="false">IF(D$42=0,0,SUM(Z$66:Z$97)/D$42*D32*BQ32)</f>
        <v>0</v>
      </c>
      <c r="CW32" s="656" t="n">
        <f aca="false">IF(D$42=0,0,SUM(O$96:P$101)/D$42*D32)*BQ32</f>
        <v>0</v>
      </c>
      <c r="CX32" s="656" t="n">
        <f aca="false">IF(D$42=0,0,SUM(O$103:O$110)/D$42)*D32*BQ32</f>
        <v>0</v>
      </c>
      <c r="CY32" s="656" t="n">
        <f aca="false">IF(I$79=0,0,IF(I$79=0,0,SUM(Z$98:Z$109)/I$79*D32))</f>
        <v>0</v>
      </c>
      <c r="CZ32" s="656" t="n">
        <f aca="false">IF(J$72&gt;0,J$72/D$42*D32*G32,CD32*(G$72*IF(W$44="n",(1+Y$44),1)))</f>
        <v>0</v>
      </c>
      <c r="DA32" s="656" t="str">
        <f aca="false">IF(CK32="","",CK32*E$86)</f>
        <v/>
      </c>
      <c r="DB32" s="656" t="n">
        <f aca="false">BP32*G$71*IF(W$44="Y",1,1+Y$44)</f>
        <v>0</v>
      </c>
      <c r="DC32" s="656" t="n">
        <f aca="false">CJ32*G$73*IF(W$44="Y",1,1+Y$44)</f>
        <v>0</v>
      </c>
      <c r="DD32" s="1546"/>
      <c r="DE32" s="654" t="n">
        <f aca="false">IF(W32=1,X32*$AS$49,0)+IF(W32=2,X32*$AS$50,0)+IF(W32=3,X32*$AS$51,0)+IF(W32=4,X32*$AS$52,0)+IF(W32=5,X32*$AS$53,0)+IF(W32=6,X32*$AS$54)+IF(W32=7,X32*$AS$55)+IF(W32=8,X32*$AS$56)+IF(W32=9,X32*$AS$57)+IF(W32=10,X32*$AS$58)+IF(W32=11,X32*$AS$59,0)</f>
        <v>0</v>
      </c>
      <c r="DF32" s="654" t="n">
        <f aca="false">IF(Y32=1,Z32*$AS$49,0)+IF(Y32=2,Z32*$AS$50,0)+IF(Y32=3,Z32*$AS$51,0)+IF(Y32=4,Z32*$AS$52,0)+IF(Y32=5,Z32*$AS$53,0)+IF(Y32=6,Z32*$AS$54)+IF(Y32=7,Z32*$AS$55)+IF(Y32=8,Z32*$AS$56)+IF(Y32=9,Z32*$AS$57)+IF(Y32=10,Z32*$AS$58)+IF(Y32=11,Z32*$AS$59,0)</f>
        <v>0</v>
      </c>
      <c r="DG32" s="654" t="n">
        <f aca="false">IF(AA32=1,AB32*$AS$49,0)+IF(AA32=2,AB32*$AS$50,0)+IF(AA32=3,AB32*$AS$51,0)+IF(AA32=4,AB32*$AS$52,0)+IF(AA32=5,AB32*$AS$53,0)+IF(AA32=6,AB32*$AS$54)+IF(AA32=7,AB32*$AS$55)+IF(AA32=8,AB32*$AS$56)+IF(AA32=9,AB32*$AS$57)+IF(AA32=10,AB32*$AS$58)+IF(AA32=11,AB32*$AS$59,0)</f>
        <v>0</v>
      </c>
      <c r="DH32" s="654" t="n">
        <f aca="false">IF(AC32=1,AD32*$AS$49,0)+IF(AC32=2,AD32*$AS$50,0)+IF(AC32=3,AD32*$AS$51,0)+IF(AC32=4,AD32*$AS$52,0)+IF(AC32=5,AD32*$AS$53,0)+IF(AC32=6,AD32*$AS$54)+IF(AC32=7,AD32*$AS$55)+IF(AC32=8,AD32*$AS$56)+IF(AC32=9,AD32*$AS$57)+IF(AC32=10,AD32*$AS$58)+IF(AC32=11,AD32*$AS$59,0)</f>
        <v>0</v>
      </c>
      <c r="DI32" s="654" t="n">
        <f aca="false">IF(AE32=1,AF32*$AS$49,0)+IF(AE32=2,AF32*$AS$50,0)+IF(AE32=3,AF32*$AS$51,0)+IF(AE32=4,AF32*$AS$52,0)+IF(AE32=5,AF32*$AS$53,0)+IF(AE32=6,AF32*$AS$54)+IF(AE32=7,AF32*$AS$55)+IF(AE32=8,AF32*$AS$56)+IF(AE32=9,AF32*$AS$57)+IF(AE32=10,AF32*$AS$58)+IF(AE32=11,AF32*$AS$59,0)</f>
        <v>0</v>
      </c>
      <c r="DJ32" s="654" t="n">
        <f aca="false">IF(AG32=1,AH32*$AS$49,0)+IF(AG32=2,AH32*$AS$50,0)+IF(AG32=3,AH32*$AS$51,0)+IF(AG32=4,AH32*$AS$52,0)+IF(AG32=5,AH32*$AS$53,0)+IF(AG32=6,AH32*$AS$54)+IF(AG32=7,AH32*$AS$55)+IF(AG32=8,AH32*$AS$56)+IF(AG32=9,AH32*$AS$57)+IF(AG32=10,AH32*$AS$58)+IF(AG32=11,AH32*$AS$59,0)</f>
        <v>0</v>
      </c>
      <c r="DK32" s="654" t="n">
        <f aca="false">IF(AI32=1,AJ32*$AS$49,0)+IF(AI32=2,AJ32*$AS$50,0)+IF(AI32=3,AJ32*$AS$51,0)+IF(AI32=4,AJ32*$AS$52,0)+IF(AI32=5,AJ32*$AS$53,0)+IF(AI32=6,AJ32*$AS$54)+IF(AI32=7,AJ32*$AS$55)+IF(AI32=8,AJ32*$AS$56)+IF(AI32=9,AJ32*$AS$57)+IF(AI32=10,AJ32*$AS$58)+IF(AI32=11,AJ32*$AS$59,0)</f>
        <v>0</v>
      </c>
      <c r="DL32" s="654" t="n">
        <f aca="false">IF(AK32=1,AL32*$AS$49,0)+IF(AK32=2,AL32*$AS$50,0)+IF(AK32=3,AL32*$AS$51,0)+IF(AK32=4,AL32*$AS$52,0)+IF(AK32=5,AL32*$AS$53,0)+IF(AK32=6,AL32*$AS$54)+IF(AK32=7,AL32*$AS$55)+IF(AK32=8,AL32*$AS$56)+IF(AK32=9,AL32*$AS$57)+IF(AK32=10,AL32*$AS$58)+IF(AK32=11,AL32*$AS$59,0)</f>
        <v>0</v>
      </c>
      <c r="DM32" s="654" t="n">
        <f aca="false">IF(AM32=1,AN32*$AS$49,0)+IF(AM32=2,AN32*$AS$50,0)+IF(AM32=3,AN32*$AS$51,0)+IF(AM32=4,AN32*$AS$52,0)+IF(AM32=5,AN32*$AS$53,0)+IF(AM32=6,AN32*$AS$54)+IF(AM32=7,AN32*$AS$55)+IF(AM32=8,AN32*$AS$56)+IF(AM32=9,AN32*$AS$57)+IF(AM32=10,AN32*$AS$58)+IF(AM32=11,AN32*$AS$59,0)</f>
        <v>0</v>
      </c>
      <c r="DN32" s="654" t="n">
        <f aca="false">IF(AO32=1,AP32*$AS$49,0)+IF(AO32=2,AP32*$AS$50,0)+IF(AO32=3,AP32*$AS$51,0)+IF(AO32=4,AP32*$AS$52,0)+IF(AO32=5,AP32*$AS$53,0)+IF(AO32=6,AP32*$AS$54)+IF(AO32=7,AP32*$AS$55)+IF(AO32=8,AP32*$AS$56)+IF(AO32=9,AP32*$AS$57)+IF(AO32=10,AP32*$AS$58)+IF(AO32=11,AP32*$AS$59,0)</f>
        <v>0</v>
      </c>
      <c r="DO32" s="1569" t="n">
        <f aca="false">D32</f>
        <v>0</v>
      </c>
    </row>
    <row r="33" customFormat="false" ht="19.5" hidden="false" customHeight="true" outlineLevel="0" collapsed="false">
      <c r="A33" s="2672" t="s">
        <v>1577</v>
      </c>
      <c r="B33" s="1549"/>
      <c r="C33" s="1550"/>
      <c r="D33" s="1551"/>
      <c r="E33" s="1552"/>
      <c r="F33" s="1074"/>
      <c r="G33" s="1553"/>
      <c r="H33" s="1074"/>
      <c r="I33" s="1553"/>
      <c r="J33" s="1074"/>
      <c r="K33" s="1583"/>
      <c r="L33" s="1559"/>
      <c r="M33" s="1556"/>
      <c r="N33" s="1557"/>
      <c r="O33" s="1558"/>
      <c r="P33" s="1515" t="n">
        <f aca="false">IF(BQ33=0,0,BN33/BQ33)</f>
        <v>0</v>
      </c>
      <c r="Q33" s="1516" t="n">
        <f aca="false">(D33*F33/324)*(1+K$65)+BB33</f>
        <v>0</v>
      </c>
      <c r="R33" s="1517" t="n">
        <f aca="false">IF(D33=0,0,S33/D33)</f>
        <v>0</v>
      </c>
      <c r="S33" s="1518" t="n">
        <f aca="false">SUM(CM33)*(1+M$45)</f>
        <v>0</v>
      </c>
      <c r="T33" s="1519" t="n">
        <f aca="false">ROUND((CF33+CG33+CH33),0)</f>
        <v>0</v>
      </c>
      <c r="U33" s="1520" t="n">
        <f aca="false">IF(P33-(D33*0.45)&lt;0,0,P33-(D33*0.45))</f>
        <v>0</v>
      </c>
      <c r="V33" s="1521" t="n">
        <f aca="false">IF(D33="",0,IF(D33/-30+Q33&lt;1,0,D33/-30+Q33))</f>
        <v>0</v>
      </c>
      <c r="W33" s="1559"/>
      <c r="X33" s="1862"/>
      <c r="Y33" s="1559"/>
      <c r="Z33" s="1561"/>
      <c r="AA33" s="1559"/>
      <c r="AB33" s="1561"/>
      <c r="AC33" s="1562"/>
      <c r="AD33" s="1862"/>
      <c r="AE33" s="1559"/>
      <c r="AF33" s="2675"/>
      <c r="AG33" s="1595"/>
      <c r="AH33" s="2675"/>
      <c r="AI33" s="1559"/>
      <c r="AJ33" s="1556"/>
      <c r="AK33" s="1559"/>
      <c r="AL33" s="1556"/>
      <c r="AM33" s="1559"/>
      <c r="AN33" s="1561"/>
      <c r="AO33" s="1559"/>
      <c r="AP33" s="1561"/>
      <c r="AQ33" s="654"/>
      <c r="AR33" s="1533" t="str">
        <f aca="false">IF(W33="","",LOOKUP(W33,$B$49:$B$59,$R$49:$R$59)*X33)</f>
        <v/>
      </c>
      <c r="AS33" s="1430" t="str">
        <f aca="false">IF(Y33="","",LOOKUP(Y33,$B$49:$B$59,$R$49:$R$59)*Z33)</f>
        <v/>
      </c>
      <c r="AT33" s="1430" t="str">
        <f aca="false">IF(AB33="","",LOOKUP(AA33,$B$49:$B$59,$R$49:$R$59)*AB33)</f>
        <v/>
      </c>
      <c r="AU33" s="1430" t="str">
        <f aca="false">IF(AC33="","",LOOKUP(AC33,$B$49:$B$59,$R$49:$R$59)*AD33)</f>
        <v/>
      </c>
      <c r="AV33" s="1430" t="str">
        <f aca="false">IF(AE33="","",LOOKUP(AE33,$B$49:$B$59,$R$49:$R$59)*AF33)</f>
        <v/>
      </c>
      <c r="AW33" s="1430" t="str">
        <f aca="false">IF(AG33="","",LOOKUP(AG33,$B$49:$B$59,$R$49:$R$59)*AH33)</f>
        <v/>
      </c>
      <c r="AX33" s="1430" t="str">
        <f aca="false">IF(AI33="","",LOOKUP(AI33,$B$49:$B$59,$R$49:$R$59)*AJ33)</f>
        <v/>
      </c>
      <c r="AY33" s="1430" t="str">
        <f aca="false">IF(AK33="","",LOOKUP(AK33,$B$49:$B$59,$R$49:$R$59)*AL33)</f>
        <v/>
      </c>
      <c r="AZ33" s="1430" t="str">
        <f aca="false">IF(AM33="","",LOOKUP(AM33,$B$49:$B$59,$R$49:$R$59)*AN33)</f>
        <v/>
      </c>
      <c r="BA33" s="1430" t="str">
        <f aca="false">IF(AO33="","",LOOKUP(AO33,$B$49:$B$59,$R$49:$R$59)*AP33)</f>
        <v/>
      </c>
      <c r="BB33" s="1535" t="n">
        <f aca="false">SUM(AR33:BA33)</f>
        <v>0</v>
      </c>
      <c r="BC33" s="1533" t="str">
        <f aca="false">IF(W33="","",LOOKUP(W33,$B$49:$B$59,$P$49:$P$59)*X33)</f>
        <v/>
      </c>
      <c r="BD33" s="654" t="str">
        <f aca="false">IF(Y33="","",LOOKUP(Y33,$B$49:$B$59,$P$49:$P$59)*Z33)</f>
        <v/>
      </c>
      <c r="BE33" s="1430" t="str">
        <f aca="false">IF(AA33="","",LOOKUP(AA33,$B$49:$B$59,$P$49:$P$59)*AB33)</f>
        <v/>
      </c>
      <c r="BF33" s="654" t="str">
        <f aca="false">IF(AC33="","",LOOKUP(AC33,$B$49:$B$59,$P$49:$P$59)*AD33)</f>
        <v/>
      </c>
      <c r="BG33" s="654" t="str">
        <f aca="false">IF(AE33="","",LOOKUP(AE33,$B$49:$B$59,$P$49:$P$59)*AF33)</f>
        <v/>
      </c>
      <c r="BH33" s="654" t="str">
        <f aca="false">IF(AG33="","",LOOKUP(AG33,$B$49:$B$59,$P$49:$P$59)*AH33)</f>
        <v/>
      </c>
      <c r="BI33" s="654" t="str">
        <f aca="false">IF(AI33="","",LOOKUP(AI33,$B$49:$B$59,$P$49:$P$59)*AJ33)</f>
        <v/>
      </c>
      <c r="BJ33" s="654" t="str">
        <f aca="false">IF(AK33="","",LOOKUP(AK33,$B$49:$B$59,$P$49:$P$59)*AL33)</f>
        <v/>
      </c>
      <c r="BK33" s="654" t="str">
        <f aca="false">IF(AM33="","",LOOKUP(AM33,$B$49:$B$59,$P$49:$P$59)*AN33)</f>
        <v/>
      </c>
      <c r="BL33" s="654" t="str">
        <f aca="false">IF(AO33="","",LOOKUP(AO33,$B$49:$B$59,$P$49:$P$59)*AP33)</f>
        <v/>
      </c>
      <c r="BM33" s="1584" t="n">
        <f aca="false">SUM(BC33:BL33)*BQ33</f>
        <v>0</v>
      </c>
      <c r="BN33" s="1536" t="n">
        <f aca="false">BM33+BO33</f>
        <v>0</v>
      </c>
      <c r="BO33" s="1536" t="n">
        <f aca="false">IF(M33=0,0,(M33/12+M33/12)/(M33/12*M33/12)*D33*((L33/16*L33/16)*10.6870159))*(1+K$70)*BQ33</f>
        <v>0</v>
      </c>
      <c r="BP33" s="1536" t="n">
        <f aca="false">IF(O33="Y",D33*(1+K$71)*BQ33,0)</f>
        <v>0</v>
      </c>
      <c r="BQ33" s="1538" t="n">
        <f aca="false">G33</f>
        <v>0</v>
      </c>
      <c r="BR33" s="1411" t="n">
        <f aca="false">IF(Y6="y",D33,0)</f>
        <v>0</v>
      </c>
      <c r="BS33" s="1567" t="n">
        <f aca="false">IF($I33=1,$Q33,0)*BQ33</f>
        <v>0</v>
      </c>
      <c r="BT33" s="1536" t="n">
        <f aca="false">IF($I33=2,$Q33,0)*BQ33</f>
        <v>0</v>
      </c>
      <c r="BU33" s="1536" t="n">
        <f aca="false">IF($I33=3,$Q33,0)*BQ33</f>
        <v>0</v>
      </c>
      <c r="BV33" s="1536" t="n">
        <f aca="false">IF($I33=4,$Q33,0)*BQ33</f>
        <v>0</v>
      </c>
      <c r="BW33" s="1536" t="n">
        <f aca="false">IF($I33=5,$Q33,0)*BQ33</f>
        <v>0</v>
      </c>
      <c r="BX33" s="1537" t="n">
        <f aca="false">IF($I33=6,$Q33,0)*BQ33</f>
        <v>0</v>
      </c>
      <c r="BY33" s="1537" t="n">
        <f aca="false">IF($I33=7,$Q33,0)*BQ33</f>
        <v>0</v>
      </c>
      <c r="BZ33" s="1537" t="n">
        <f aca="false">IF($I33=8,$Q33,0)*BQ33</f>
        <v>0</v>
      </c>
      <c r="CA33" s="1537" t="n">
        <f aca="false">IF($I33=9,$Q33,0)*BQ33</f>
        <v>0</v>
      </c>
      <c r="CB33" s="1569" t="n">
        <f aca="false">IF($I33=10,$Q33,0)*BQ33</f>
        <v>0</v>
      </c>
      <c r="CC33" s="1538" t="n">
        <f aca="false">SUM(BS33:BX33)</f>
        <v>0</v>
      </c>
      <c r="CD33" s="1538" t="n">
        <f aca="false">IF(H33="N",0,D33)*BQ33</f>
        <v>0</v>
      </c>
      <c r="CE33" s="1538" t="n">
        <f aca="false">K33*BQ33</f>
        <v>0</v>
      </c>
      <c r="CF33" s="1542" t="n">
        <f aca="false">IF(W33="",0,LOOKUP(W33,B$49:B$59,D$49:D$59)*X33/12)</f>
        <v>0</v>
      </c>
      <c r="CG33" s="1542" t="n">
        <f aca="false">IF(Y33="",0,LOOKUP(Y33,B$49:B$59,D$49:D$59)*Z33/12)</f>
        <v>0</v>
      </c>
      <c r="CH33" s="1542" t="n">
        <f aca="false">IF(AA33="",0,LOOKUP(AA33,B$49:B$59,D$49:D$59)*AB33/12)</f>
        <v>0</v>
      </c>
      <c r="CI33" s="1538" t="n">
        <f aca="false">D33*BQ33</f>
        <v>0</v>
      </c>
      <c r="CJ33" s="1538" t="n">
        <f aca="false">D33*J33/324*(1+K$73)*G33</f>
        <v>0</v>
      </c>
      <c r="CK33" s="1538" t="str">
        <f aca="false">IF(N33="","",N33)</f>
        <v/>
      </c>
      <c r="CL33" s="1538" t="n">
        <f aca="false">P33*BQ33</f>
        <v>0</v>
      </c>
      <c r="CM33" s="1543" t="n">
        <f aca="false">IF(BQ33=0,0,SUM(CN33:DC33)/BQ33)</f>
        <v>0</v>
      </c>
      <c r="CN33" s="656" t="n">
        <f aca="false">(BS33*Pricing!F$3+BT33*Pricing!G$3+BU33*Pricing!H$3+BV33*Pricing!I$3+BW33*Pricing!J$3+BX33*Pricing!K$3)*IF(W$44="N",(1+Y$44),1)</f>
        <v>0</v>
      </c>
      <c r="CO33" s="656" t="n">
        <f aca="false">BN33*G$70*IF(W$44="n",1+Y$44,1)</f>
        <v>0</v>
      </c>
      <c r="CP33" s="656" t="n">
        <f aca="false">C33*D33</f>
        <v>0</v>
      </c>
      <c r="CQ33" s="656" t="n">
        <f aca="false">IF(I$79=0,0,D33*(SUM(O$79:P$82)+O$85)/I$79*BQ33)</f>
        <v>0</v>
      </c>
      <c r="CR33" s="656" t="n">
        <f aca="false">IF(CF33="",0,CF33*E$83)+IF(CG33="",0,CG33*E$83)+IF(CH33="",0,CH33*E$83)</f>
        <v>0</v>
      </c>
      <c r="CS33" s="656"/>
      <c r="CT33" s="656" t="n">
        <f aca="false">IF(I$87=0,0,(P33-(D33*0.35))/2000*E$87)</f>
        <v>0</v>
      </c>
      <c r="CU33" s="656" t="n">
        <f aca="false">IF(D$42=0,0,SUM(O$91:P$93)/D$42*D33)*BQ33</f>
        <v>0</v>
      </c>
      <c r="CV33" s="656" t="n">
        <f aca="false">IF(D$42=0,0,SUM(Z$66:Z$97)/D$42*D33*BQ33)</f>
        <v>0</v>
      </c>
      <c r="CW33" s="656" t="n">
        <f aca="false">IF(D$42=0,0,SUM(O$96:P$101)/D$42*D33)*BQ33</f>
        <v>0</v>
      </c>
      <c r="CX33" s="656" t="n">
        <f aca="false">IF(D$42=0,0,SUM(O$103:O$110)/D$42)*D33*BQ33</f>
        <v>0</v>
      </c>
      <c r="CY33" s="656" t="n">
        <f aca="false">IF(I$79=0,0,IF(I$79=0,0,SUM(Z$98:Z$109)/I$79*D33))</f>
        <v>0</v>
      </c>
      <c r="CZ33" s="656" t="n">
        <f aca="false">IF(J$72&gt;0,J$72/D$42*D33*G33,CD33*(G$72*IF(W$44="n",(1+Y$44),1)))</f>
        <v>0</v>
      </c>
      <c r="DA33" s="656" t="str">
        <f aca="false">IF(CK33="","",CK33*E$86)</f>
        <v/>
      </c>
      <c r="DB33" s="656" t="n">
        <f aca="false">BP33*G$71*IF(W$44="Y",1,1+Y$44)</f>
        <v>0</v>
      </c>
      <c r="DC33" s="656" t="n">
        <f aca="false">CJ33*G$73*IF(W$44="Y",1,1+Y$44)</f>
        <v>0</v>
      </c>
      <c r="DD33" s="1546"/>
      <c r="DE33" s="654" t="n">
        <f aca="false">IF(W33=1,X33*$AS$49,0)+IF(W33=2,X33*$AS$50,0)+IF(W33=3,X33*$AS$51,0)+IF(W33=4,X33*$AS$52,0)+IF(W33=5,X33*$AS$53,0)+IF(W33=6,X33*$AS$54)+IF(W33=7,X33*$AS$55)+IF(W33=8,X33*$AS$56)+IF(W33=9,X33*$AS$57)+IF(W33=10,X33*$AS$58)+IF(W33=11,X33*$AS$59,0)</f>
        <v>0</v>
      </c>
      <c r="DF33" s="654" t="n">
        <f aca="false">IF(Y33=1,Z33*$AS$49,0)+IF(Y33=2,Z33*$AS$50,0)+IF(Y33=3,Z33*$AS$51,0)+IF(Y33=4,Z33*$AS$52,0)+IF(Y33=5,Z33*$AS$53,0)+IF(Y33=6,Z33*$AS$54)+IF(Y33=7,Z33*$AS$55)+IF(Y33=8,Z33*$AS$56)+IF(Y33=9,Z33*$AS$57)+IF(Y33=10,Z33*$AS$58)+IF(Y33=11,Z33*$AS$59,0)</f>
        <v>0</v>
      </c>
      <c r="DG33" s="654" t="n">
        <f aca="false">IF(AA33=1,AB33*$AS$49,0)+IF(AA33=2,AB33*$AS$50,0)+IF(AA33=3,AB33*$AS$51,0)+IF(AA33=4,AB33*$AS$52,0)+IF(AA33=5,AB33*$AS$53,0)+IF(AA33=6,AB33*$AS$54)+IF(AA33=7,AB33*$AS$55)+IF(AA33=8,AB33*$AS$56)+IF(AA33=9,AB33*$AS$57)+IF(AA33=10,AB33*$AS$58)+IF(AA33=11,AB33*$AS$59,0)</f>
        <v>0</v>
      </c>
      <c r="DH33" s="654" t="n">
        <f aca="false">IF(AC33=1,AD33*$AS$49,0)+IF(AC33=2,AD33*$AS$50,0)+IF(AC33=3,AD33*$AS$51,0)+IF(AC33=4,AD33*$AS$52,0)+IF(AC33=5,AD33*$AS$53,0)+IF(AC33=6,AD33*$AS$54)+IF(AC33=7,AD33*$AS$55)+IF(AC33=8,AD33*$AS$56)+IF(AC33=9,AD33*$AS$57)+IF(AC33=10,AD33*$AS$58)+IF(AC33=11,AD33*$AS$59,0)</f>
        <v>0</v>
      </c>
      <c r="DI33" s="654" t="n">
        <f aca="false">IF(AE33=1,AF33*$AS$49,0)+IF(AE33=2,AF33*$AS$50,0)+IF(AE33=3,AF33*$AS$51,0)+IF(AE33=4,AF33*$AS$52,0)+IF(AE33=5,AF33*$AS$53,0)+IF(AE33=6,AF33*$AS$54)+IF(AE33=7,AF33*$AS$55)+IF(AE33=8,AF33*$AS$56)+IF(AE33=9,AF33*$AS$57)+IF(AE33=10,AF33*$AS$58)+IF(AE33=11,AF33*$AS$59,0)</f>
        <v>0</v>
      </c>
      <c r="DJ33" s="654" t="n">
        <f aca="false">IF(AG33=1,AH33*$AS$49,0)+IF(AG33=2,AH33*$AS$50,0)+IF(AG33=3,AH33*$AS$51,0)+IF(AG33=4,AH33*$AS$52,0)+IF(AG33=5,AH33*$AS$53,0)+IF(AG33=6,AH33*$AS$54)+IF(AG33=7,AH33*$AS$55)+IF(AG33=8,AH33*$AS$56)+IF(AG33=9,AH33*$AS$57)+IF(AG33=10,AH33*$AS$58)+IF(AG33=11,AH33*$AS$59,0)</f>
        <v>0</v>
      </c>
      <c r="DK33" s="654" t="n">
        <f aca="false">IF(AI33=1,AJ33*$AS$49,0)+IF(AI33=2,AJ33*$AS$50,0)+IF(AI33=3,AJ33*$AS$51,0)+IF(AI33=4,AJ33*$AS$52,0)+IF(AI33=5,AJ33*$AS$53,0)+IF(AI33=6,AJ33*$AS$54)+IF(AI33=7,AJ33*$AS$55)+IF(AI33=8,AJ33*$AS$56)+IF(AI33=9,AJ33*$AS$57)+IF(AI33=10,AJ33*$AS$58)+IF(AI33=11,AJ33*$AS$59,0)</f>
        <v>0</v>
      </c>
      <c r="DL33" s="654" t="n">
        <f aca="false">IF(AK33=1,AL33*$AS$49,0)+IF(AK33=2,AL33*$AS$50,0)+IF(AK33=3,AL33*$AS$51,0)+IF(AK33=4,AL33*$AS$52,0)+IF(AK33=5,AL33*$AS$53,0)+IF(AK33=6,AL33*$AS$54)+IF(AK33=7,AL33*$AS$55)+IF(AK33=8,AL33*$AS$56)+IF(AK33=9,AL33*$AS$57)+IF(AK33=10,AL33*$AS$58)+IF(AK33=11,AL33*$AS$59,0)</f>
        <v>0</v>
      </c>
      <c r="DM33" s="654" t="n">
        <f aca="false">IF(AM33=1,AN33*$AS$49,0)+IF(AM33=2,AN33*$AS$50,0)+IF(AM33=3,AN33*$AS$51,0)+IF(AM33=4,AN33*$AS$52,0)+IF(AM33=5,AN33*$AS$53,0)+IF(AM33=6,AN33*$AS$54)+IF(AM33=7,AN33*$AS$55)+IF(AM33=8,AN33*$AS$56)+IF(AM33=9,AN33*$AS$57)+IF(AM33=10,AN33*$AS$58)+IF(AM33=11,AN33*$AS$59,0)</f>
        <v>0</v>
      </c>
      <c r="DN33" s="654" t="n">
        <f aca="false">IF(AO33=1,AP33*$AS$49,0)+IF(AO33=2,AP33*$AS$50,0)+IF(AO33=3,AP33*$AS$51,0)+IF(AO33=4,AP33*$AS$52,0)+IF(AO33=5,AP33*$AS$53,0)+IF(AO33=6,AP33*$AS$54)+IF(AO33=7,AP33*$AS$55)+IF(AO33=8,AP33*$AS$56)+IF(AO33=9,AP33*$AS$57)+IF(AO33=10,AP33*$AS$58)+IF(AO33=11,AP33*$AS$59,0)</f>
        <v>0</v>
      </c>
      <c r="DO33" s="1569" t="n">
        <f aca="false">D33</f>
        <v>0</v>
      </c>
    </row>
    <row r="34" customFormat="false" ht="19.5" hidden="false" customHeight="true" outlineLevel="0" collapsed="false">
      <c r="A34" s="2672" t="s">
        <v>1578</v>
      </c>
      <c r="B34" s="920"/>
      <c r="C34" s="1506"/>
      <c r="D34" s="1586"/>
      <c r="E34" s="1587"/>
      <c r="F34" s="1074"/>
      <c r="G34" s="1553"/>
      <c r="H34" s="1074"/>
      <c r="I34" s="1553"/>
      <c r="J34" s="1074"/>
      <c r="K34" s="1590"/>
      <c r="L34" s="528"/>
      <c r="M34" s="895"/>
      <c r="N34" s="1513"/>
      <c r="O34" s="1514"/>
      <c r="P34" s="1515" t="n">
        <f aca="false">IF(BQ34=0,0,BN34/BQ34)</f>
        <v>0</v>
      </c>
      <c r="Q34" s="1516" t="n">
        <f aca="false">(D34*F34/324)*(1+K$65)+BB34</f>
        <v>0</v>
      </c>
      <c r="R34" s="1517" t="n">
        <f aca="false">IF(D34=0,0,S34/D34)</f>
        <v>0</v>
      </c>
      <c r="S34" s="1518" t="n">
        <f aca="false">SUM(CM34)*(1+M$45)</f>
        <v>0</v>
      </c>
      <c r="T34" s="1519" t="n">
        <f aca="false">ROUND((CF34+CG34+CH34),0)</f>
        <v>0</v>
      </c>
      <c r="U34" s="1520" t="n">
        <f aca="false">IF(P34-(D34*0.45)&lt;0,0,P34-(D34*0.45))</f>
        <v>0</v>
      </c>
      <c r="V34" s="1521" t="n">
        <f aca="false">IF(D34="",0,IF(D34/-30+Q34&lt;1,0,D34/-30+Q34))</f>
        <v>0</v>
      </c>
      <c r="W34" s="528"/>
      <c r="X34" s="1591"/>
      <c r="Y34" s="1511"/>
      <c r="Z34" s="1524"/>
      <c r="AA34" s="1511"/>
      <c r="AB34" s="1524"/>
      <c r="AC34" s="1525"/>
      <c r="AD34" s="1591"/>
      <c r="AE34" s="1511"/>
      <c r="AF34" s="1592"/>
      <c r="AG34" s="1593"/>
      <c r="AH34" s="1512"/>
      <c r="AI34" s="528"/>
      <c r="AJ34" s="1591"/>
      <c r="AK34" s="528"/>
      <c r="AL34" s="1592"/>
      <c r="AM34" s="1511"/>
      <c r="AN34" s="1524"/>
      <c r="AO34" s="1511"/>
      <c r="AP34" s="1524"/>
      <c r="AQ34" s="654"/>
      <c r="AR34" s="1533" t="str">
        <f aca="false">IF(W34="","",LOOKUP(W34,$B$49:$B$59,$R$49:$R$59)*X34)</f>
        <v/>
      </c>
      <c r="AS34" s="1430" t="str">
        <f aca="false">IF(Y34="","",LOOKUP(Y34,$B$49:$B$59,$R$49:$R$59)*Z34)</f>
        <v/>
      </c>
      <c r="AT34" s="1430" t="str">
        <f aca="false">IF(AB34="","",LOOKUP(AA34,$B$49:$B$59,$R$49:$R$59)*AB34)</f>
        <v/>
      </c>
      <c r="AU34" s="1430" t="str">
        <f aca="false">IF(AC34="","",LOOKUP(AC34,$B$49:$B$59,$R$49:$R$59)*AD34)</f>
        <v/>
      </c>
      <c r="AV34" s="1430" t="str">
        <f aca="false">IF(AE34="","",LOOKUP(AE34,$B$49:$B$59,$R$49:$R$59)*AF34)</f>
        <v/>
      </c>
      <c r="AW34" s="1430" t="str">
        <f aca="false">IF(AG34="","",LOOKUP(AG34,$B$49:$B$59,$R$49:$R$59)*AH34)</f>
        <v/>
      </c>
      <c r="AX34" s="1430" t="str">
        <f aca="false">IF(AI34="","",LOOKUP(AI34,$B$49:$B$59,$R$49:$R$59)*AJ34)</f>
        <v/>
      </c>
      <c r="AY34" s="1430" t="str">
        <f aca="false">IF(AK34="","",LOOKUP(AK34,$B$49:$B$59,$R$49:$R$59)*AL34)</f>
        <v/>
      </c>
      <c r="AZ34" s="1430" t="str">
        <f aca="false">IF(AM34="","",LOOKUP(AM34,$B$49:$B$59,$R$49:$R$59)*AN34)</f>
        <v/>
      </c>
      <c r="BA34" s="1430" t="str">
        <f aca="false">IF(AO34="","",LOOKUP(AO34,$B$49:$B$59,$R$49:$R$59)*AP34)</f>
        <v/>
      </c>
      <c r="BB34" s="1535" t="n">
        <f aca="false">SUM(AR34:BA34)</f>
        <v>0</v>
      </c>
      <c r="BC34" s="1533" t="str">
        <f aca="false">IF(W34="","",LOOKUP(W34,$B$49:$B$59,$P$49:$P$59)*X34)</f>
        <v/>
      </c>
      <c r="BD34" s="654" t="str">
        <f aca="false">IF(Y34="","",LOOKUP(Y34,$B$49:$B$59,$P$49:$P$59)*Z34)</f>
        <v/>
      </c>
      <c r="BE34" s="1430" t="str">
        <f aca="false">IF(AA34="","",LOOKUP(AA34,$B$49:$B$59,$P$49:$P$59)*AB34)</f>
        <v/>
      </c>
      <c r="BF34" s="654" t="str">
        <f aca="false">IF(AC34="","",LOOKUP(AC34,$B$49:$B$59,$P$49:$P$59)*AD34)</f>
        <v/>
      </c>
      <c r="BG34" s="654" t="str">
        <f aca="false">IF(AE34="","",LOOKUP(AE34,$B$49:$B$59,$P$49:$P$59)*AF34)</f>
        <v/>
      </c>
      <c r="BH34" s="654" t="str">
        <f aca="false">IF(AG34="","",LOOKUP(AG34,$B$49:$B$59,$P$49:$P$59)*AH34)</f>
        <v/>
      </c>
      <c r="BI34" s="654" t="str">
        <f aca="false">IF(AI34="","",LOOKUP(AI34,$B$49:$B$59,$P$49:$P$59)*AJ34)</f>
        <v/>
      </c>
      <c r="BJ34" s="654" t="str">
        <f aca="false">IF(AK34="","",LOOKUP(AK34,$B$49:$B$59,$P$49:$P$59)*AL34)</f>
        <v/>
      </c>
      <c r="BK34" s="654" t="str">
        <f aca="false">IF(AM34="","",LOOKUP(AM34,$B$49:$B$59,$P$49:$P$59)*AN34)</f>
        <v/>
      </c>
      <c r="BL34" s="654" t="str">
        <f aca="false">IF(AO34="","",LOOKUP(AO34,$B$49:$B$59,$P$49:$P$59)*AP34)</f>
        <v/>
      </c>
      <c r="BM34" s="1584" t="n">
        <f aca="false">SUM(BC34:BL34)*BQ34</f>
        <v>0</v>
      </c>
      <c r="BN34" s="1536" t="n">
        <f aca="false">BM34+BO34</f>
        <v>0</v>
      </c>
      <c r="BO34" s="1536" t="n">
        <f aca="false">IF(M34=0,0,(M34/12+M34/12)/(M34/12*M34/12)*D34*((L34/16*L34/16)*10.6870159))*(1+K$70)*BQ34</f>
        <v>0</v>
      </c>
      <c r="BP34" s="1536" t="n">
        <f aca="false">IF(O34="Y",D34*(1+K$71)*BQ34,0)</f>
        <v>0</v>
      </c>
      <c r="BQ34" s="1538" t="n">
        <f aca="false">G34</f>
        <v>0</v>
      </c>
      <c r="BR34" s="1411" t="n">
        <f aca="false">IF(O34="y",D34,0)</f>
        <v>0</v>
      </c>
      <c r="BS34" s="1567" t="n">
        <f aca="false">IF($I34=1,$Q34,0)*BQ34</f>
        <v>0</v>
      </c>
      <c r="BT34" s="1536" t="n">
        <f aca="false">IF($I34=2,$Q34,0)*BQ34</f>
        <v>0</v>
      </c>
      <c r="BU34" s="1536" t="n">
        <f aca="false">IF($I34=3,$Q34,0)*BQ34</f>
        <v>0</v>
      </c>
      <c r="BV34" s="1536" t="n">
        <f aca="false">IF($I34=4,$Q34,0)*BQ34</f>
        <v>0</v>
      </c>
      <c r="BW34" s="1536" t="n">
        <f aca="false">IF($I34=5,$Q34,0)*BQ34</f>
        <v>0</v>
      </c>
      <c r="BX34" s="1537" t="n">
        <f aca="false">IF($I34=6,$Q34,0)*BQ34</f>
        <v>0</v>
      </c>
      <c r="BY34" s="1537" t="n">
        <f aca="false">IF($I34=7,$Q34,0)*BQ34</f>
        <v>0</v>
      </c>
      <c r="BZ34" s="1537" t="n">
        <f aca="false">IF($I34=8,$Q34,0)*BQ34</f>
        <v>0</v>
      </c>
      <c r="CA34" s="1537" t="n">
        <f aca="false">IF($I34=9,$Q34,0)*BQ34</f>
        <v>0</v>
      </c>
      <c r="CB34" s="1569" t="n">
        <f aca="false">IF($I34=10,$Q34,0)*BQ34</f>
        <v>0</v>
      </c>
      <c r="CC34" s="1538" t="n">
        <f aca="false">SUM(BS34:BX34)</f>
        <v>0</v>
      </c>
      <c r="CD34" s="1538" t="n">
        <f aca="false">IF(H34="N",0,D34)*BQ34</f>
        <v>0</v>
      </c>
      <c r="CE34" s="1538" t="n">
        <f aca="false">K34*BQ34</f>
        <v>0</v>
      </c>
      <c r="CF34" s="1542" t="n">
        <f aca="false">IF(W34="",0,LOOKUP(W34,B$49:B$59,D$49:D$59)*X34/12)</f>
        <v>0</v>
      </c>
      <c r="CG34" s="1542" t="n">
        <f aca="false">IF(Y34="",0,LOOKUP(Y34,B$49:B$59,D$49:D$59)*Z34/12)</f>
        <v>0</v>
      </c>
      <c r="CH34" s="1542" t="n">
        <f aca="false">IF(AA34="",0,LOOKUP(AA34,B$49:B$59,D$49:D$59)*AB34/12)</f>
        <v>0</v>
      </c>
      <c r="CI34" s="1538" t="n">
        <f aca="false">D34*BQ34</f>
        <v>0</v>
      </c>
      <c r="CJ34" s="1538" t="n">
        <f aca="false">D34*J34/324*(1+K$73)*G34</f>
        <v>0</v>
      </c>
      <c r="CK34" s="1538" t="str">
        <f aca="false">IF(N34="","",N34)</f>
        <v/>
      </c>
      <c r="CL34" s="1538" t="n">
        <f aca="false">P34*BQ34</f>
        <v>0</v>
      </c>
      <c r="CM34" s="1543" t="n">
        <f aca="false">IF(BQ34=0,0,SUM(CN34:DC34)/BQ34)</f>
        <v>0</v>
      </c>
      <c r="CN34" s="656" t="n">
        <f aca="false">(BS34*Pricing!F$3+BT34*Pricing!G$3+BU34*Pricing!H$3+BV34*Pricing!I$3+BW34*Pricing!J$3+BX34*Pricing!K$3)*IF(W$44="N",(1+Y$44),1)</f>
        <v>0</v>
      </c>
      <c r="CO34" s="656" t="n">
        <f aca="false">BN34*G$70*IF(W$44="n",1+Y$44,1)</f>
        <v>0</v>
      </c>
      <c r="CP34" s="656" t="n">
        <f aca="false">C34*D34</f>
        <v>0</v>
      </c>
      <c r="CQ34" s="656" t="n">
        <f aca="false">IF(I$79=0,0,D34*(SUM(O$79:P$82)+O$85)/I$79*BQ34)</f>
        <v>0</v>
      </c>
      <c r="CR34" s="656" t="n">
        <f aca="false">IF(CF34="",0,CF34*E$83)+IF(CG34="",0,CG34*E$83)+IF(CH34="",0,CH34*E$83)</f>
        <v>0</v>
      </c>
      <c r="CS34" s="656"/>
      <c r="CT34" s="656" t="n">
        <f aca="false">IF(I$87=0,0,(P34-(D34*0.35))/2000*E$87)</f>
        <v>0</v>
      </c>
      <c r="CU34" s="656" t="n">
        <f aca="false">IF(D$42=0,0,SUM(O$91:P$93)/D$42*D34)*BQ34</f>
        <v>0</v>
      </c>
      <c r="CV34" s="656" t="n">
        <f aca="false">IF(D$42=0,0,SUM(Z$66:Z$97)/D$42*D34*BQ34)</f>
        <v>0</v>
      </c>
      <c r="CW34" s="656" t="n">
        <f aca="false">IF(D$42=0,0,SUM(O$96:P$101)/D$42*D34)*BQ34</f>
        <v>0</v>
      </c>
      <c r="CX34" s="656" t="n">
        <f aca="false">IF(D$42=0,0,SUM(O$103:O$110)/D$42)*D34*BQ34</f>
        <v>0</v>
      </c>
      <c r="CY34" s="656" t="n">
        <f aca="false">IF(I$79=0,0,IF(I$79=0,0,SUM(Z$98:Z$109)/I$79*D34))</f>
        <v>0</v>
      </c>
      <c r="CZ34" s="656" t="n">
        <f aca="false">IF(J$72&gt;0,J$72/D$42*D34*G34,CD34*(G$72*IF(W$44="n",(1+Y$44),1)))</f>
        <v>0</v>
      </c>
      <c r="DA34" s="656" t="str">
        <f aca="false">IF(CK34="","",CK34*E$86)</f>
        <v/>
      </c>
      <c r="DB34" s="656" t="n">
        <f aca="false">BP34*G$71*IF(W$44="Y",1,1+Y$44)</f>
        <v>0</v>
      </c>
      <c r="DC34" s="656" t="n">
        <f aca="false">CJ34*G$73*IF(W$44="Y",1,1+Y$44)</f>
        <v>0</v>
      </c>
      <c r="DD34" s="1546"/>
      <c r="DE34" s="654" t="n">
        <f aca="false">IF(W34=1,X34*$AS$49,0)+IF(W34=2,X34*$AS$50,0)+IF(W34=3,X34*$AS$51,0)+IF(W34=4,X34*$AS$52,0)+IF(W34=5,X34*$AS$53,0)+IF(W34=6,X34*$AS$54)+IF(W34=7,X34*$AS$55)+IF(W34=8,X34*$AS$56)+IF(W34=9,X34*$AS$57)+IF(W34=10,X34*$AS$58)+IF(W34=11,X34*$AS$59,0)</f>
        <v>0</v>
      </c>
      <c r="DF34" s="654" t="n">
        <f aca="false">IF(Y34=1,Z34*$AS$49,0)+IF(Y34=2,Z34*$AS$50,0)+IF(Y34=3,Z34*$AS$51,0)+IF(Y34=4,Z34*$AS$52,0)+IF(Y34=5,Z34*$AS$53,0)+IF(Y34=6,Z34*$AS$54)+IF(Y34=7,Z34*$AS$55)+IF(Y34=8,Z34*$AS$56)+IF(Y34=9,Z34*$AS$57)+IF(Y34=10,Z34*$AS$58)+IF(Y34=11,Z34*$AS$59,0)</f>
        <v>0</v>
      </c>
      <c r="DG34" s="654" t="n">
        <f aca="false">IF(AA34=1,AB34*$AS$49,0)+IF(AA34=2,AB34*$AS$50,0)+IF(AA34=3,AB34*$AS$51,0)+IF(AA34=4,AB34*$AS$52,0)+IF(AA34=5,AB34*$AS$53,0)+IF(AA34=6,AB34*$AS$54)+IF(AA34=7,AB34*$AS$55)+IF(AA34=8,AB34*$AS$56)+IF(AA34=9,AB34*$AS$57)+IF(AA34=10,AB34*$AS$58)+IF(AA34=11,AB34*$AS$59,0)</f>
        <v>0</v>
      </c>
      <c r="DH34" s="654" t="n">
        <f aca="false">IF(AC34=1,AD34*$AS$49,0)+IF(AC34=2,AD34*$AS$50,0)+IF(AC34=3,AD34*$AS$51,0)+IF(AC34=4,AD34*$AS$52,0)+IF(AC34=5,AD34*$AS$53,0)+IF(AC34=6,AD34*$AS$54)+IF(AC34=7,AD34*$AS$55)+IF(AC34=8,AD34*$AS$56)+IF(AC34=9,AD34*$AS$57)+IF(AC34=10,AD34*$AS$58)+IF(AC34=11,AD34*$AS$59,0)</f>
        <v>0</v>
      </c>
      <c r="DI34" s="654" t="n">
        <f aca="false">IF(AE34=1,AF34*$AS$49,0)+IF(AE34=2,AF34*$AS$50,0)+IF(AE34=3,AF34*$AS$51,0)+IF(AE34=4,AF34*$AS$52,0)+IF(AE34=5,AF34*$AS$53,0)+IF(AE34=6,AF34*$AS$54)+IF(AE34=7,AF34*$AS$55)+IF(AE34=8,AF34*$AS$56)+IF(AE34=9,AF34*$AS$57)+IF(AE34=10,AF34*$AS$58)+IF(AE34=11,AF34*$AS$59,0)</f>
        <v>0</v>
      </c>
      <c r="DJ34" s="654" t="n">
        <f aca="false">IF(AG34=1,AH34*$AS$49,0)+IF(AG34=2,AH34*$AS$50,0)+IF(AG34=3,AH34*$AS$51,0)+IF(AG34=4,AH34*$AS$52,0)+IF(AG34=5,AH34*$AS$53,0)+IF(AG34=6,AH34*$AS$54)+IF(AG34=7,AH34*$AS$55)+IF(AG34=8,AH34*$AS$56)+IF(AG34=9,AH34*$AS$57)+IF(AG34=10,AH34*$AS$58)+IF(AG34=11,AH34*$AS$59,0)</f>
        <v>0</v>
      </c>
      <c r="DK34" s="654" t="n">
        <f aca="false">IF(AI34=1,AJ34*$AS$49,0)+IF(AI34=2,AJ34*$AS$50,0)+IF(AI34=3,AJ34*$AS$51,0)+IF(AI34=4,AJ34*$AS$52,0)+IF(AI34=5,AJ34*$AS$53,0)+IF(AI34=6,AJ34*$AS$54)+IF(AI34=7,AJ34*$AS$55)+IF(AI34=8,AJ34*$AS$56)+IF(AI34=9,AJ34*$AS$57)+IF(AI34=10,AJ34*$AS$58)+IF(AI34=11,AJ34*$AS$59,0)</f>
        <v>0</v>
      </c>
      <c r="DL34" s="654" t="n">
        <f aca="false">IF(AK34=1,AL34*$AS$49,0)+IF(AK34=2,AL34*$AS$50,0)+IF(AK34=3,AL34*$AS$51,0)+IF(AK34=4,AL34*$AS$52,0)+IF(AK34=5,AL34*$AS$53,0)+IF(AK34=6,AL34*$AS$54)+IF(AK34=7,AL34*$AS$55)+IF(AK34=8,AL34*$AS$56)+IF(AK34=9,AL34*$AS$57)+IF(AK34=10,AL34*$AS$58)+IF(AK34=11,AL34*$AS$59,0)</f>
        <v>0</v>
      </c>
      <c r="DM34" s="654" t="n">
        <f aca="false">IF(AM34=1,AN34*$AS$49,0)+IF(AM34=2,AN34*$AS$50,0)+IF(AM34=3,AN34*$AS$51,0)+IF(AM34=4,AN34*$AS$52,0)+IF(AM34=5,AN34*$AS$53,0)+IF(AM34=6,AN34*$AS$54)+IF(AM34=7,AN34*$AS$55)+IF(AM34=8,AN34*$AS$56)+IF(AM34=9,AN34*$AS$57)+IF(AM34=10,AN34*$AS$58)+IF(AM34=11,AN34*$AS$59,0)</f>
        <v>0</v>
      </c>
      <c r="DN34" s="654" t="n">
        <f aca="false">IF(AO34=1,AP34*$AS$49,0)+IF(AO34=2,AP34*$AS$50,0)+IF(AO34=3,AP34*$AS$51,0)+IF(AO34=4,AP34*$AS$52,0)+IF(AO34=5,AP34*$AS$53,0)+IF(AO34=6,AP34*$AS$54)+IF(AO34=7,AP34*$AS$55)+IF(AO34=8,AP34*$AS$56)+IF(AO34=9,AP34*$AS$57)+IF(AO34=10,AP34*$AS$58)+IF(AO34=11,AP34*$AS$59,0)</f>
        <v>0</v>
      </c>
      <c r="DO34" s="1569" t="n">
        <f aca="false">D34</f>
        <v>0</v>
      </c>
    </row>
    <row r="35" customFormat="false" ht="19.5" hidden="false" customHeight="true" outlineLevel="0" collapsed="false">
      <c r="A35" s="2672" t="s">
        <v>1580</v>
      </c>
      <c r="B35" s="1549"/>
      <c r="C35" s="1550"/>
      <c r="D35" s="1551"/>
      <c r="E35" s="1552"/>
      <c r="F35" s="1074"/>
      <c r="G35" s="1553"/>
      <c r="H35" s="1074"/>
      <c r="I35" s="1553"/>
      <c r="J35" s="1074"/>
      <c r="K35" s="1583"/>
      <c r="L35" s="1559"/>
      <c r="M35" s="1556"/>
      <c r="N35" s="1557"/>
      <c r="O35" s="1558"/>
      <c r="P35" s="1515" t="n">
        <f aca="false">IF(BQ35=0,0,BN35/BQ35)</f>
        <v>0</v>
      </c>
      <c r="Q35" s="1516" t="n">
        <f aca="false">(D35*F35/324)*(1+K$65)+BB35</f>
        <v>0</v>
      </c>
      <c r="R35" s="1517" t="n">
        <f aca="false">IF(D35=0,0,S35/D35)</f>
        <v>0</v>
      </c>
      <c r="S35" s="1518" t="n">
        <f aca="false">SUM(CM35)*(1+M$45)</f>
        <v>0</v>
      </c>
      <c r="T35" s="1519" t="n">
        <f aca="false">ROUND((CF35+CG35+CH35),0)</f>
        <v>0</v>
      </c>
      <c r="U35" s="1520" t="n">
        <f aca="false">IF(P35-(D35*0.45)&lt;0,0,P35-(D35*0.45))</f>
        <v>0</v>
      </c>
      <c r="V35" s="1521" t="n">
        <f aca="false">IF(D35="",0,IF(D35/-30+Q35&lt;1,0,D35/-30+Q35))</f>
        <v>0</v>
      </c>
      <c r="W35" s="1559"/>
      <c r="X35" s="1594"/>
      <c r="Y35" s="1559"/>
      <c r="Z35" s="1561"/>
      <c r="AA35" s="1559"/>
      <c r="AB35" s="1561"/>
      <c r="AC35" s="1562"/>
      <c r="AD35" s="1594"/>
      <c r="AE35" s="1559"/>
      <c r="AF35" s="1556"/>
      <c r="AG35" s="1595"/>
      <c r="AH35" s="1556"/>
      <c r="AI35" s="1559"/>
      <c r="AJ35" s="1556"/>
      <c r="AK35" s="1559"/>
      <c r="AL35" s="1556"/>
      <c r="AM35" s="1559"/>
      <c r="AN35" s="1561"/>
      <c r="AO35" s="1559"/>
      <c r="AP35" s="1561"/>
      <c r="AQ35" s="654"/>
      <c r="AR35" s="1533" t="str">
        <f aca="false">IF(W35="","",LOOKUP(W35,$B$49:$B$59,$R$49:$R$59)*X35)</f>
        <v/>
      </c>
      <c r="AS35" s="1430" t="str">
        <f aca="false">IF(Y35="","",LOOKUP(Y35,$B$49:$B$59,$R$49:$R$59)*Z35)</f>
        <v/>
      </c>
      <c r="AT35" s="1430" t="str">
        <f aca="false">IF(AB35="","",LOOKUP(AA35,$B$49:$B$59,$R$49:$R$59)*AB35)</f>
        <v/>
      </c>
      <c r="AU35" s="1430" t="str">
        <f aca="false">IF(AC35="","",LOOKUP(AC35,$B$49:$B$59,$R$49:$R$59)*AD35)</f>
        <v/>
      </c>
      <c r="AV35" s="1430" t="str">
        <f aca="false">IF(AE35="","",LOOKUP(AE35,$B$49:$B$59,$R$49:$R$59)*AF35)</f>
        <v/>
      </c>
      <c r="AW35" s="1430" t="str">
        <f aca="false">IF(AG35="","",LOOKUP(AG35,$B$49:$B$59,$R$49:$R$59)*AH35)</f>
        <v/>
      </c>
      <c r="AX35" s="1430" t="str">
        <f aca="false">IF(AI35="","",LOOKUP(AI35,$B$49:$B$59,$R$49:$R$59)*AJ35)</f>
        <v/>
      </c>
      <c r="AY35" s="1430" t="str">
        <f aca="false">IF(AK35="","",LOOKUP(AK35,$B$49:$B$59,$R$49:$R$59)*AL35)</f>
        <v/>
      </c>
      <c r="AZ35" s="1430" t="str">
        <f aca="false">IF(AM35="","",LOOKUP(AM35,$B$49:$B$59,$R$49:$R$59)*AN35)</f>
        <v/>
      </c>
      <c r="BA35" s="1430" t="str">
        <f aca="false">IF(AO35="","",LOOKUP(AO35,$B$49:$B$59,$R$49:$R$59)*AP35)</f>
        <v/>
      </c>
      <c r="BB35" s="1535" t="n">
        <f aca="false">SUM(AR35:BA35)</f>
        <v>0</v>
      </c>
      <c r="BC35" s="1533" t="str">
        <f aca="false">IF(W35="","",LOOKUP(W35,$B$49:$B$59,$P$49:$P$59)*X35)</f>
        <v/>
      </c>
      <c r="BD35" s="654" t="str">
        <f aca="false">IF(Y35="","",LOOKUP(Y35,$B$49:$B$59,$P$49:$P$59)*Z35)</f>
        <v/>
      </c>
      <c r="BE35" s="1430" t="str">
        <f aca="false">IF(AA35="","",LOOKUP(AA35,$B$49:$B$59,$P$49:$P$59)*AB35)</f>
        <v/>
      </c>
      <c r="BF35" s="654" t="str">
        <f aca="false">IF(AC35="","",LOOKUP(AC35,$B$49:$B$59,$P$49:$P$59)*AD35)</f>
        <v/>
      </c>
      <c r="BG35" s="654" t="str">
        <f aca="false">IF(AE35="","",LOOKUP(AE35,$B$49:$B$59,$P$49:$P$59)*AF35)</f>
        <v/>
      </c>
      <c r="BH35" s="654" t="str">
        <f aca="false">IF(AG35="","",LOOKUP(AG35,$B$49:$B$59,$P$49:$P$59)*AH35)</f>
        <v/>
      </c>
      <c r="BI35" s="654" t="str">
        <f aca="false">IF(AI35="","",LOOKUP(AI35,$B$49:$B$59,$P$49:$P$59)*AJ35)</f>
        <v/>
      </c>
      <c r="BJ35" s="654" t="str">
        <f aca="false">IF(AK35="","",LOOKUP(AK35,$B$49:$B$59,$P$49:$P$59)*AL35)</f>
        <v/>
      </c>
      <c r="BK35" s="654" t="str">
        <f aca="false">IF(AM35="","",LOOKUP(AM35,$B$49:$B$59,$P$49:$P$59)*AN35)</f>
        <v/>
      </c>
      <c r="BL35" s="654" t="str">
        <f aca="false">IF(AO35="","",LOOKUP(AO35,$B$49:$B$59,$P$49:$P$59)*AP35)</f>
        <v/>
      </c>
      <c r="BM35" s="1584" t="n">
        <f aca="false">SUM(BC35:BL35)*BQ35</f>
        <v>0</v>
      </c>
      <c r="BN35" s="1536" t="n">
        <f aca="false">BM35+BO35</f>
        <v>0</v>
      </c>
      <c r="BO35" s="1536" t="n">
        <f aca="false">IF(M35=0,0,(M35/12+M35/12)/(M35/12*M35/12)*D35*((L35/16*L35/16)*10.6870159))*(1+K$70)*BQ35</f>
        <v>0</v>
      </c>
      <c r="BP35" s="1536" t="n">
        <f aca="false">IF(O35="Y",D35*(1+K$71)*BQ35,0)</f>
        <v>0</v>
      </c>
      <c r="BQ35" s="1538" t="n">
        <f aca="false">G35</f>
        <v>0</v>
      </c>
      <c r="BR35" s="1411" t="n">
        <f aca="false">IF(AI8="y",D35,0)</f>
        <v>0</v>
      </c>
      <c r="BS35" s="1567" t="n">
        <f aca="false">IF($I35=1,$Q35,0)*BQ35</f>
        <v>0</v>
      </c>
      <c r="BT35" s="1536" t="n">
        <f aca="false">IF($I35=2,$Q35,0)*BQ35</f>
        <v>0</v>
      </c>
      <c r="BU35" s="1536" t="n">
        <f aca="false">IF($I35=3,$Q35,0)*BQ35</f>
        <v>0</v>
      </c>
      <c r="BV35" s="1536" t="n">
        <f aca="false">IF($I35=4,$Q35,0)*BQ35</f>
        <v>0</v>
      </c>
      <c r="BW35" s="1536" t="n">
        <f aca="false">IF($I35=5,$Q35,0)*BQ35</f>
        <v>0</v>
      </c>
      <c r="BX35" s="1537" t="n">
        <f aca="false">IF($I35=6,$Q35,0)*BQ35</f>
        <v>0</v>
      </c>
      <c r="BY35" s="1537" t="n">
        <f aca="false">IF($I35=7,$Q35,0)*BQ35</f>
        <v>0</v>
      </c>
      <c r="BZ35" s="1537" t="n">
        <f aca="false">IF($I35=8,$Q35,0)*BQ35</f>
        <v>0</v>
      </c>
      <c r="CA35" s="1537" t="n">
        <f aca="false">IF($I35=9,$Q35,0)*BQ35</f>
        <v>0</v>
      </c>
      <c r="CB35" s="1569" t="n">
        <f aca="false">IF($I35=10,$Q35,0)*BQ35</f>
        <v>0</v>
      </c>
      <c r="CC35" s="1538" t="n">
        <f aca="false">SUM(BS35:BX35)</f>
        <v>0</v>
      </c>
      <c r="CD35" s="1538" t="n">
        <f aca="false">IF(H35="N",0,D35)*BQ35</f>
        <v>0</v>
      </c>
      <c r="CE35" s="1538" t="n">
        <f aca="false">K35*BQ35</f>
        <v>0</v>
      </c>
      <c r="CF35" s="1542" t="n">
        <f aca="false">IF(W35="",0,LOOKUP(W35,B$49:B$59,D$49:D$59)*X35/12)</f>
        <v>0</v>
      </c>
      <c r="CG35" s="1542" t="n">
        <f aca="false">IF(Y35="",0,LOOKUP(Y35,B$49:B$59,D$49:D$59)*Z35/12)</f>
        <v>0</v>
      </c>
      <c r="CH35" s="1542" t="n">
        <f aca="false">IF(AA35="",0,LOOKUP(AA35,B$49:B$59,D$49:D$59)*AB35/12)</f>
        <v>0</v>
      </c>
      <c r="CI35" s="1538" t="n">
        <f aca="false">D35*BQ35</f>
        <v>0</v>
      </c>
      <c r="CJ35" s="1538" t="n">
        <f aca="false">D35*J35/324*(1+K$73)*G35</f>
        <v>0</v>
      </c>
      <c r="CK35" s="1538" t="str">
        <f aca="false">IF(N35="","",N35)</f>
        <v/>
      </c>
      <c r="CL35" s="1538" t="n">
        <f aca="false">P35*BQ35</f>
        <v>0</v>
      </c>
      <c r="CM35" s="1543" t="n">
        <f aca="false">IF(BQ35=0,0,SUM(CN35:DC35)/BQ35)</f>
        <v>0</v>
      </c>
      <c r="CN35" s="656" t="n">
        <f aca="false">(BS35*Pricing!F$3+BT35*Pricing!G$3+BU35*Pricing!H$3+BV35*Pricing!I$3+BW35*Pricing!J$3+BX35*Pricing!K$3)*IF(W$44="N",(1+Y$44),1)</f>
        <v>0</v>
      </c>
      <c r="CO35" s="656" t="n">
        <f aca="false">BN35*G$70*IF(W$44="n",1+Y$44,1)</f>
        <v>0</v>
      </c>
      <c r="CP35" s="656" t="n">
        <f aca="false">C35*D35</f>
        <v>0</v>
      </c>
      <c r="CQ35" s="656" t="n">
        <f aca="false">IF(I$79=0,0,D35*(SUM(O$79:P$82)+O$85)/I$79*BQ35)</f>
        <v>0</v>
      </c>
      <c r="CR35" s="656" t="n">
        <f aca="false">IF(CF35="",0,CF35*E$83)+IF(CG35="",0,CG35*E$83)+IF(CH35="",0,CH35*E$83)</f>
        <v>0</v>
      </c>
      <c r="CS35" s="656"/>
      <c r="CT35" s="656" t="n">
        <f aca="false">IF(I$87=0,0,(P35-(D35*0.35))/2000*E$87)</f>
        <v>0</v>
      </c>
      <c r="CU35" s="656" t="n">
        <f aca="false">IF(D$42=0,0,SUM(O$91:P$93)/D$42*D35)*BQ35</f>
        <v>0</v>
      </c>
      <c r="CV35" s="656" t="n">
        <f aca="false">IF(D$42=0,0,SUM(Z$66:Z$97)/D$42*D35*BQ35)</f>
        <v>0</v>
      </c>
      <c r="CW35" s="656" t="n">
        <f aca="false">IF(D$42=0,0,SUM(O$96:P$101)/D$42*D35)*BQ35</f>
        <v>0</v>
      </c>
      <c r="CX35" s="656" t="n">
        <f aca="false">IF(D$42=0,0,SUM(O$103:O$110)/D$42)*D35*BQ35</f>
        <v>0</v>
      </c>
      <c r="CY35" s="656" t="n">
        <f aca="false">IF(I$79=0,0,IF(I$79=0,0,SUM(Z$98:Z$109)/I$79*D35))</f>
        <v>0</v>
      </c>
      <c r="CZ35" s="656" t="n">
        <f aca="false">IF(J$72&gt;0,J$72/D$42*D35*G35,CD35*(G$72*IF(W$44="n",(1+Y$44),1)))</f>
        <v>0</v>
      </c>
      <c r="DA35" s="656" t="str">
        <f aca="false">IF(CK35="","",CK35*E$86)</f>
        <v/>
      </c>
      <c r="DB35" s="656" t="n">
        <f aca="false">BP35*G$71*IF(W$44="Y",1,1+Y$44)</f>
        <v>0</v>
      </c>
      <c r="DC35" s="656" t="n">
        <f aca="false">CJ35*G$73*IF(W$44="Y",1,1+Y$44)</f>
        <v>0</v>
      </c>
      <c r="DD35" s="1546"/>
      <c r="DE35" s="654" t="n">
        <f aca="false">IF(W35=1,X35*$AS$49,0)+IF(W35=2,X35*$AS$50,0)+IF(W35=3,X35*$AS$51,0)+IF(W35=4,X35*$AS$52,0)+IF(W35=5,X35*$AS$53,0)+IF(W35=6,X35*$AS$54)+IF(W35=7,X35*$AS$55)+IF(W35=8,X35*$AS$56)+IF(W35=9,X35*$AS$57)+IF(W35=10,X35*$AS$58)+IF(W35=11,X35*$AS$59,0)</f>
        <v>0</v>
      </c>
      <c r="DF35" s="654" t="n">
        <f aca="false">IF(Y35=1,Z35*$AS$49,0)+IF(Y35=2,Z35*$AS$50,0)+IF(Y35=3,Z35*$AS$51,0)+IF(Y35=4,Z35*$AS$52,0)+IF(Y35=5,Z35*$AS$53,0)+IF(Y35=6,Z35*$AS$54)+IF(Y35=7,Z35*$AS$55)+IF(Y35=8,Z35*$AS$56)+IF(Y35=9,Z35*$AS$57)+IF(Y35=10,Z35*$AS$58)+IF(Y35=11,Z35*$AS$59,0)</f>
        <v>0</v>
      </c>
      <c r="DG35" s="654" t="n">
        <f aca="false">IF(AA35=1,AB35*$AS$49,0)+IF(AA35=2,AB35*$AS$50,0)+IF(AA35=3,AB35*$AS$51,0)+IF(AA35=4,AB35*$AS$52,0)+IF(AA35=5,AB35*$AS$53,0)+IF(AA35=6,AB35*$AS$54)+IF(AA35=7,AB35*$AS$55)+IF(AA35=8,AB35*$AS$56)+IF(AA35=9,AB35*$AS$57)+IF(AA35=10,AB35*$AS$58)+IF(AA35=11,AB35*$AS$59,0)</f>
        <v>0</v>
      </c>
      <c r="DH35" s="654" t="n">
        <f aca="false">IF(AC35=1,AD35*$AS$49,0)+IF(AC35=2,AD35*$AS$50,0)+IF(AC35=3,AD35*$AS$51,0)+IF(AC35=4,AD35*$AS$52,0)+IF(AC35=5,AD35*$AS$53,0)+IF(AC35=6,AD35*$AS$54)+IF(AC35=7,AD35*$AS$55)+IF(AC35=8,AD35*$AS$56)+IF(AC35=9,AD35*$AS$57)+IF(AC35=10,AD35*$AS$58)+IF(AC35=11,AD35*$AS$59,0)</f>
        <v>0</v>
      </c>
      <c r="DI35" s="654" t="n">
        <f aca="false">IF(AE35=1,AF35*$AS$49,0)+IF(AE35=2,AF35*$AS$50,0)+IF(AE35=3,AF35*$AS$51,0)+IF(AE35=4,AF35*$AS$52,0)+IF(AE35=5,AF35*$AS$53,0)+IF(AE35=6,AF35*$AS$54)+IF(AE35=7,AF35*$AS$55)+IF(AE35=8,AF35*$AS$56)+IF(AE35=9,AF35*$AS$57)+IF(AE35=10,AF35*$AS$58)+IF(AE35=11,AF35*$AS$59,0)</f>
        <v>0</v>
      </c>
      <c r="DJ35" s="654" t="n">
        <f aca="false">IF(AG35=1,AH35*$AS$49,0)+IF(AG35=2,AH35*$AS$50,0)+IF(AG35=3,AH35*$AS$51,0)+IF(AG35=4,AH35*$AS$52,0)+IF(AG35=5,AH35*$AS$53,0)+IF(AG35=6,AH35*$AS$54)+IF(AG35=7,AH35*$AS$55)+IF(AG35=8,AH35*$AS$56)+IF(AG35=9,AH35*$AS$57)+IF(AG35=10,AH35*$AS$58)+IF(AG35=11,AH35*$AS$59,0)</f>
        <v>0</v>
      </c>
      <c r="DK35" s="654" t="n">
        <f aca="false">IF(AI35=1,AJ35*$AS$49,0)+IF(AI35=2,AJ35*$AS$50,0)+IF(AI35=3,AJ35*$AS$51,0)+IF(AI35=4,AJ35*$AS$52,0)+IF(AI35=5,AJ35*$AS$53,0)+IF(AI35=6,AJ35*$AS$54)+IF(AI35=7,AJ35*$AS$55)+IF(AI35=8,AJ35*$AS$56)+IF(AI35=9,AJ35*$AS$57)+IF(AI35=10,AJ35*$AS$58)+IF(AI35=11,AJ35*$AS$59,0)</f>
        <v>0</v>
      </c>
      <c r="DL35" s="654" t="n">
        <f aca="false">IF(AK35=1,AL35*$AS$49,0)+IF(AK35=2,AL35*$AS$50,0)+IF(AK35=3,AL35*$AS$51,0)+IF(AK35=4,AL35*$AS$52,0)+IF(AK35=5,AL35*$AS$53,0)+IF(AK35=6,AL35*$AS$54)+IF(AK35=7,AL35*$AS$55)+IF(AK35=8,AL35*$AS$56)+IF(AK35=9,AL35*$AS$57)+IF(AK35=10,AL35*$AS$58)+IF(AK35=11,AL35*$AS$59,0)</f>
        <v>0</v>
      </c>
      <c r="DM35" s="654" t="n">
        <f aca="false">IF(AM35=1,AN35*$AS$49,0)+IF(AM35=2,AN35*$AS$50,0)+IF(AM35=3,AN35*$AS$51,0)+IF(AM35=4,AN35*$AS$52,0)+IF(AM35=5,AN35*$AS$53,0)+IF(AM35=6,AN35*$AS$54)+IF(AM35=7,AN35*$AS$55)+IF(AM35=8,AN35*$AS$56)+IF(AM35=9,AN35*$AS$57)+IF(AM35=10,AN35*$AS$58)+IF(AM35=11,AN35*$AS$59,0)</f>
        <v>0</v>
      </c>
      <c r="DN35" s="654" t="n">
        <f aca="false">IF(AO35=1,AP35*$AS$49,0)+IF(AO35=2,AP35*$AS$50,0)+IF(AO35=3,AP35*$AS$51,0)+IF(AO35=4,AP35*$AS$52,0)+IF(AO35=5,AP35*$AS$53,0)+IF(AO35=6,AP35*$AS$54)+IF(AO35=7,AP35*$AS$55)+IF(AO35=8,AP35*$AS$56)+IF(AO35=9,AP35*$AS$57)+IF(AO35=10,AP35*$AS$58)+IF(AO35=11,AP35*$AS$59,0)</f>
        <v>0</v>
      </c>
      <c r="DO35" s="1569" t="n">
        <f aca="false">D35</f>
        <v>0</v>
      </c>
    </row>
    <row r="36" customFormat="false" ht="19.5" hidden="false" customHeight="true" outlineLevel="0" collapsed="false">
      <c r="A36" s="2672" t="s">
        <v>1581</v>
      </c>
      <c r="B36" s="920"/>
      <c r="C36" s="1506"/>
      <c r="D36" s="1507"/>
      <c r="E36" s="1508"/>
      <c r="F36" s="1074"/>
      <c r="G36" s="1553"/>
      <c r="H36" s="1074"/>
      <c r="I36" s="1553"/>
      <c r="J36" s="1074"/>
      <c r="K36" s="1554"/>
      <c r="L36" s="528"/>
      <c r="M36" s="895"/>
      <c r="N36" s="1513"/>
      <c r="O36" s="1514"/>
      <c r="P36" s="1515" t="n">
        <f aca="false">IF(BQ36=0,0,BN36/BQ36)</f>
        <v>0</v>
      </c>
      <c r="Q36" s="1516" t="n">
        <f aca="false">(D36*F36/324)*(1+K$65)+BB36</f>
        <v>0</v>
      </c>
      <c r="R36" s="1517" t="n">
        <f aca="false">IF(D36=0,0,S36/D36)</f>
        <v>0</v>
      </c>
      <c r="S36" s="1518" t="n">
        <f aca="false">SUM(CM36)*(1+M$45)</f>
        <v>0</v>
      </c>
      <c r="T36" s="1519" t="n">
        <f aca="false">ROUND((CF36+CG36+CH36),0)</f>
        <v>0</v>
      </c>
      <c r="U36" s="1520" t="n">
        <f aca="false">IF(P36-(D36*0.45)&lt;0,0,P36-(D36*0.45))</f>
        <v>0</v>
      </c>
      <c r="V36" s="1521" t="n">
        <f aca="false">IF(D36="",0,IF(D36/-30+Q36&lt;1,0,D36/-30+Q36))</f>
        <v>0</v>
      </c>
      <c r="W36" s="1511"/>
      <c r="X36" s="1591"/>
      <c r="Y36" s="1511"/>
      <c r="Z36" s="1524"/>
      <c r="AA36" s="1511"/>
      <c r="AB36" s="1524"/>
      <c r="AC36" s="1585"/>
      <c r="AD36" s="1591"/>
      <c r="AE36" s="528"/>
      <c r="AF36" s="1592"/>
      <c r="AG36" s="528"/>
      <c r="AH36" s="1512"/>
      <c r="AI36" s="1511"/>
      <c r="AJ36" s="1512"/>
      <c r="AK36" s="1511"/>
      <c r="AL36" s="1512"/>
      <c r="AM36" s="1511"/>
      <c r="AN36" s="1524"/>
      <c r="AO36" s="1511"/>
      <c r="AP36" s="1524"/>
      <c r="AQ36" s="654"/>
      <c r="AR36" s="1533" t="str">
        <f aca="false">IF(W36="","",LOOKUP(W36,$B$49:$B$59,$R$49:$R$59)*X36)</f>
        <v/>
      </c>
      <c r="AS36" s="1430" t="str">
        <f aca="false">IF(Y36="","",LOOKUP(Y36,$B$49:$B$59,$R$49:$R$59)*Z36)</f>
        <v/>
      </c>
      <c r="AT36" s="1430" t="str">
        <f aca="false">IF(AB36="","",LOOKUP(AA36,$B$49:$B$59,$R$49:$R$59)*AB36)</f>
        <v/>
      </c>
      <c r="AU36" s="1430" t="str">
        <f aca="false">IF(AC36="","",LOOKUP(AC36,$B$49:$B$59,$R$49:$R$59)*AD36)</f>
        <v/>
      </c>
      <c r="AV36" s="1430" t="str">
        <f aca="false">IF(AE36="","",LOOKUP(AE36,$B$49:$B$59,$R$49:$R$59)*AF36)</f>
        <v/>
      </c>
      <c r="AW36" s="1430" t="str">
        <f aca="false">IF(AG36="","",LOOKUP(AG36,$B$49:$B$59,$R$49:$R$59)*AH36)</f>
        <v/>
      </c>
      <c r="AX36" s="1430" t="str">
        <f aca="false">IF(AI36="","",LOOKUP(AI36,$B$49:$B$59,$R$49:$R$59)*AJ36)</f>
        <v/>
      </c>
      <c r="AY36" s="1430" t="str">
        <f aca="false">IF(AK36="","",LOOKUP(AK36,$B$49:$B$59,$R$49:$R$59)*AL36)</f>
        <v/>
      </c>
      <c r="AZ36" s="1430" t="str">
        <f aca="false">IF(AM36="","",LOOKUP(AM36,$B$49:$B$59,$R$49:$R$59)*AN36)</f>
        <v/>
      </c>
      <c r="BA36" s="1430" t="str">
        <f aca="false">IF(AO36="","",LOOKUP(AO36,$B$49:$B$59,$R$49:$R$59)*AP36)</f>
        <v/>
      </c>
      <c r="BB36" s="1535" t="n">
        <f aca="false">SUM(AR36:BA36)</f>
        <v>0</v>
      </c>
      <c r="BC36" s="1533" t="str">
        <f aca="false">IF(W36="","",LOOKUP(W36,$B$49:$B$59,$P$49:$P$59)*X36)</f>
        <v/>
      </c>
      <c r="BD36" s="654" t="str">
        <f aca="false">IF(Y36="","",LOOKUP(Y36,$B$49:$B$59,$P$49:$P$59)*Z36)</f>
        <v/>
      </c>
      <c r="BE36" s="1430" t="str">
        <f aca="false">IF(AA36="","",LOOKUP(AA36,$B$49:$B$59,$P$49:$P$59)*AB36)</f>
        <v/>
      </c>
      <c r="BF36" s="654" t="str">
        <f aca="false">IF(AC36="","",LOOKUP(AC36,$B$49:$B$59,$P$49:$P$59)*AD36)</f>
        <v/>
      </c>
      <c r="BG36" s="654" t="str">
        <f aca="false">IF(AE36="","",LOOKUP(AE36,$B$49:$B$59,$P$49:$P$59)*AF36)</f>
        <v/>
      </c>
      <c r="BH36" s="654" t="str">
        <f aca="false">IF(AG36="","",LOOKUP(AG36,$B$49:$B$59,$P$49:$P$59)*AH36)</f>
        <v/>
      </c>
      <c r="BI36" s="654" t="str">
        <f aca="false">IF(AI36="","",LOOKUP(AI36,$B$49:$B$59,$P$49:$P$59)*AJ36)</f>
        <v/>
      </c>
      <c r="BJ36" s="654" t="str">
        <f aca="false">IF(AK36="","",LOOKUP(AK36,$B$49:$B$59,$P$49:$P$59)*AL36)</f>
        <v/>
      </c>
      <c r="BK36" s="654" t="str">
        <f aca="false">IF(AM36="","",LOOKUP(AM36,$B$49:$B$59,$P$49:$P$59)*AN36)</f>
        <v/>
      </c>
      <c r="BL36" s="654" t="str">
        <f aca="false">IF(AO36="","",LOOKUP(AO36,$B$49:$B$59,$P$49:$P$59)*AP36)</f>
        <v/>
      </c>
      <c r="BM36" s="1584" t="n">
        <f aca="false">SUM(BC36:BL36)*BQ36</f>
        <v>0</v>
      </c>
      <c r="BN36" s="1536" t="n">
        <f aca="false">BM36+BO36</f>
        <v>0</v>
      </c>
      <c r="BO36" s="1536" t="n">
        <f aca="false">IF(M36=0,0,(M36/12+M36/12)/(M36/12*M36/12)*D36*((L36/16*L36/16)*10.6870159))*(1+K$70)*BQ36</f>
        <v>0</v>
      </c>
      <c r="BP36" s="1536" t="n">
        <f aca="false">IF(O36="Y",D36*(1+K$71)*BQ36,0)</f>
        <v>0</v>
      </c>
      <c r="BQ36" s="1538" t="n">
        <f aca="false">G36</f>
        <v>0</v>
      </c>
      <c r="BR36" s="1411" t="n">
        <f aca="false">IF(O36="y",D36,0)</f>
        <v>0</v>
      </c>
      <c r="BS36" s="1567" t="n">
        <f aca="false">IF($I36=1,$Q36,0)*BQ36</f>
        <v>0</v>
      </c>
      <c r="BT36" s="1536" t="n">
        <f aca="false">IF($I36=2,$Q36,0)*BQ36</f>
        <v>0</v>
      </c>
      <c r="BU36" s="1536" t="n">
        <f aca="false">IF($I36=3,$Q36,0)*BQ36</f>
        <v>0</v>
      </c>
      <c r="BV36" s="1536" t="n">
        <f aca="false">IF($I36=4,$Q36,0)*BQ36</f>
        <v>0</v>
      </c>
      <c r="BW36" s="1536" t="n">
        <f aca="false">IF($I36=5,$Q36,0)*BQ36</f>
        <v>0</v>
      </c>
      <c r="BX36" s="1537" t="n">
        <f aca="false">IF($I36=6,$Q36,0)*BQ36</f>
        <v>0</v>
      </c>
      <c r="BY36" s="1537" t="n">
        <f aca="false">IF($I36=7,$Q36,0)*BQ36</f>
        <v>0</v>
      </c>
      <c r="BZ36" s="1537" t="n">
        <f aca="false">IF($I36=8,$Q36,0)*BQ36</f>
        <v>0</v>
      </c>
      <c r="CA36" s="1537" t="n">
        <f aca="false">IF($I36=9,$Q36,0)*BQ36</f>
        <v>0</v>
      </c>
      <c r="CB36" s="1569" t="n">
        <f aca="false">IF($I36=10,$Q36,0)*BQ36</f>
        <v>0</v>
      </c>
      <c r="CC36" s="1538" t="n">
        <f aca="false">SUM(BS36:BX36)</f>
        <v>0</v>
      </c>
      <c r="CD36" s="1538" t="n">
        <f aca="false">IF(H36="N",0,D36)*BQ36</f>
        <v>0</v>
      </c>
      <c r="CE36" s="1538" t="n">
        <f aca="false">K36*BQ36</f>
        <v>0</v>
      </c>
      <c r="CF36" s="1542" t="n">
        <f aca="false">IF(W36="",0,LOOKUP(W36,B$49:B$59,D$49:D$59)*X36/12)</f>
        <v>0</v>
      </c>
      <c r="CG36" s="1542" t="n">
        <f aca="false">IF(Y36="",0,LOOKUP(Y36,B$49:B$59,D$49:D$59)*Z36/12)</f>
        <v>0</v>
      </c>
      <c r="CH36" s="1542" t="n">
        <f aca="false">IF(AA36="",0,LOOKUP(AA36,B$49:B$59,D$49:D$59)*AB36/12)</f>
        <v>0</v>
      </c>
      <c r="CI36" s="1538" t="n">
        <f aca="false">D36*BQ36</f>
        <v>0</v>
      </c>
      <c r="CJ36" s="1538" t="n">
        <f aca="false">D36*J36/324*(1+K$73)*G36</f>
        <v>0</v>
      </c>
      <c r="CK36" s="1538" t="str">
        <f aca="false">IF(N36="","",N36)</f>
        <v/>
      </c>
      <c r="CL36" s="1538" t="n">
        <f aca="false">P36*BQ36</f>
        <v>0</v>
      </c>
      <c r="CM36" s="1543" t="n">
        <f aca="false">IF(BQ36=0,0,SUM(CN36:DC36)/BQ36)</f>
        <v>0</v>
      </c>
      <c r="CN36" s="656" t="n">
        <f aca="false">(BS36*Pricing!F$3+BT36*Pricing!G$3+BU36*Pricing!H$3+BV36*Pricing!I$3+BW36*Pricing!J$3+BX36*Pricing!K$3)*IF(W$44="N",(1+Y$44),1)</f>
        <v>0</v>
      </c>
      <c r="CO36" s="656" t="n">
        <f aca="false">BN36*G$70*IF(W$44="n",1+Y$44,1)</f>
        <v>0</v>
      </c>
      <c r="CP36" s="656" t="n">
        <f aca="false">C36*D36</f>
        <v>0</v>
      </c>
      <c r="CQ36" s="656" t="n">
        <f aca="false">IF(I$79=0,0,D36*(SUM(O$79:P$82)+O$85)/I$79*BQ36)</f>
        <v>0</v>
      </c>
      <c r="CR36" s="656" t="n">
        <f aca="false">IF(CF36="",0,CF36*E$83)+IF(CG36="",0,CG36*E$83)+IF(CH36="",0,CH36*E$83)</f>
        <v>0</v>
      </c>
      <c r="CS36" s="656"/>
      <c r="CT36" s="656" t="n">
        <f aca="false">IF(I$87=0,0,(P36-(D36*0.35))/2000*E$87)</f>
        <v>0</v>
      </c>
      <c r="CU36" s="656" t="n">
        <f aca="false">IF(D$42=0,0,SUM(O$91:P$93)/D$42*D36)*BQ36</f>
        <v>0</v>
      </c>
      <c r="CV36" s="656" t="n">
        <f aca="false">IF(D$42=0,0,SUM(Z$66:Z$97)/D$42*D36*BQ36)</f>
        <v>0</v>
      </c>
      <c r="CW36" s="656" t="n">
        <f aca="false">IF(D$42=0,0,SUM(O$96:P$101)/D$42*D36)*BQ36</f>
        <v>0</v>
      </c>
      <c r="CX36" s="656" t="n">
        <f aca="false">IF(D$42=0,0,SUM(O$103:O$110)/D$42)*D36*BQ36</f>
        <v>0</v>
      </c>
      <c r="CY36" s="656" t="n">
        <f aca="false">IF(I$79=0,0,IF(I$79=0,0,SUM(Z$98:Z$109)/I$79*D36))</f>
        <v>0</v>
      </c>
      <c r="CZ36" s="656" t="n">
        <f aca="false">IF(J$72&gt;0,J$72/D$42*D36*G36,CD36*(G$72*IF(W$44="n",(1+Y$44),1)))</f>
        <v>0</v>
      </c>
      <c r="DA36" s="656" t="str">
        <f aca="false">IF(CK36="","",CK36*E$86)</f>
        <v/>
      </c>
      <c r="DB36" s="656" t="n">
        <f aca="false">BP36*G$71*IF(W$44="Y",1,1+Y$44)</f>
        <v>0</v>
      </c>
      <c r="DC36" s="656" t="n">
        <f aca="false">CJ36*G$73*IF(W$44="Y",1,1+Y$44)</f>
        <v>0</v>
      </c>
      <c r="DD36" s="1546"/>
      <c r="DE36" s="654" t="n">
        <f aca="false">IF(W36=1,X36*$AS$49,0)+IF(W36=2,X36*$AS$50,0)+IF(W36=3,X36*$AS$51,0)+IF(W36=4,X36*$AS$52,0)+IF(W36=5,X36*$AS$53,0)+IF(W36=6,X36*$AS$54)+IF(W36=7,X36*$AS$55)+IF(W36=8,X36*$AS$56)+IF(W36=9,X36*$AS$57)+IF(W36=10,X36*$AS$58)+IF(W36=11,X36*$AS$59,0)</f>
        <v>0</v>
      </c>
      <c r="DF36" s="654" t="n">
        <f aca="false">IF(Y36=1,Z36*$AS$49,0)+IF(Y36=2,Z36*$AS$50,0)+IF(Y36=3,Z36*$AS$51,0)+IF(Y36=4,Z36*$AS$52,0)+IF(Y36=5,Z36*$AS$53,0)+IF(Y36=6,Z36*$AS$54)+IF(Y36=7,Z36*$AS$55)+IF(Y36=8,Z36*$AS$56)+IF(Y36=9,Z36*$AS$57)+IF(Y36=10,Z36*$AS$58)+IF(Y36=11,Z36*$AS$59,0)</f>
        <v>0</v>
      </c>
      <c r="DG36" s="654" t="n">
        <f aca="false">IF(AA36=1,AB36*$AS$49,0)+IF(AA36=2,AB36*$AS$50,0)+IF(AA36=3,AB36*$AS$51,0)+IF(AA36=4,AB36*$AS$52,0)+IF(AA36=5,AB36*$AS$53,0)+IF(AA36=6,AB36*$AS$54)+IF(AA36=7,AB36*$AS$55)+IF(AA36=8,AB36*$AS$56)+IF(AA36=9,AB36*$AS$57)+IF(AA36=10,AB36*$AS$58)+IF(AA36=11,AB36*$AS$59,0)</f>
        <v>0</v>
      </c>
      <c r="DH36" s="654" t="n">
        <f aca="false">IF(AC36=1,AD36*$AS$49,0)+IF(AC36=2,AD36*$AS$50,0)+IF(AC36=3,AD36*$AS$51,0)+IF(AC36=4,AD36*$AS$52,0)+IF(AC36=5,AD36*$AS$53,0)+IF(AC36=6,AD36*$AS$54)+IF(AC36=7,AD36*$AS$55)+IF(AC36=8,AD36*$AS$56)+IF(AC36=9,AD36*$AS$57)+IF(AC36=10,AD36*$AS$58)+IF(AC36=11,AD36*$AS$59,0)</f>
        <v>0</v>
      </c>
      <c r="DI36" s="654" t="n">
        <f aca="false">IF(AE36=1,AF36*$AS$49,0)+IF(AE36=2,AF36*$AS$50,0)+IF(AE36=3,AF36*$AS$51,0)+IF(AE36=4,AF36*$AS$52,0)+IF(AE36=5,AF36*$AS$53,0)+IF(AE36=6,AF36*$AS$54)+IF(AE36=7,AF36*$AS$55)+IF(AE36=8,AF36*$AS$56)+IF(AE36=9,AF36*$AS$57)+IF(AE36=10,AF36*$AS$58)+IF(AE36=11,AF36*$AS$59,0)</f>
        <v>0</v>
      </c>
      <c r="DJ36" s="654" t="n">
        <f aca="false">IF(AG36=1,AH36*$AS$49,0)+IF(AG36=2,AH36*$AS$50,0)+IF(AG36=3,AH36*$AS$51,0)+IF(AG36=4,AH36*$AS$52,0)+IF(AG36=5,AH36*$AS$53,0)+IF(AG36=6,AH36*$AS$54)+IF(AG36=7,AH36*$AS$55)+IF(AG36=8,AH36*$AS$56)+IF(AG36=9,AH36*$AS$57)+IF(AG36=10,AH36*$AS$58)+IF(AG36=11,AH36*$AS$59,0)</f>
        <v>0</v>
      </c>
      <c r="DK36" s="654" t="n">
        <f aca="false">IF(AI36=1,AJ36*$AS$49,0)+IF(AI36=2,AJ36*$AS$50,0)+IF(AI36=3,AJ36*$AS$51,0)+IF(AI36=4,AJ36*$AS$52,0)+IF(AI36=5,AJ36*$AS$53,0)+IF(AI36=6,AJ36*$AS$54)+IF(AI36=7,AJ36*$AS$55)+IF(AI36=8,AJ36*$AS$56)+IF(AI36=9,AJ36*$AS$57)+IF(AI36=10,AJ36*$AS$58)+IF(AI36=11,AJ36*$AS$59,0)</f>
        <v>0</v>
      </c>
      <c r="DL36" s="654" t="n">
        <f aca="false">IF(AK36=1,AL36*$AS$49,0)+IF(AK36=2,AL36*$AS$50,0)+IF(AK36=3,AL36*$AS$51,0)+IF(AK36=4,AL36*$AS$52,0)+IF(AK36=5,AL36*$AS$53,0)+IF(AK36=6,AL36*$AS$54)+IF(AK36=7,AL36*$AS$55)+IF(AK36=8,AL36*$AS$56)+IF(AK36=9,AL36*$AS$57)+IF(AK36=10,AL36*$AS$58)+IF(AK36=11,AL36*$AS$59,0)</f>
        <v>0</v>
      </c>
      <c r="DM36" s="654" t="n">
        <f aca="false">IF(AM36=1,AN36*$AS$49,0)+IF(AM36=2,AN36*$AS$50,0)+IF(AM36=3,AN36*$AS$51,0)+IF(AM36=4,AN36*$AS$52,0)+IF(AM36=5,AN36*$AS$53,0)+IF(AM36=6,AN36*$AS$54)+IF(AM36=7,AN36*$AS$55)+IF(AM36=8,AN36*$AS$56)+IF(AM36=9,AN36*$AS$57)+IF(AM36=10,AN36*$AS$58)+IF(AM36=11,AN36*$AS$59,0)</f>
        <v>0</v>
      </c>
      <c r="DN36" s="654" t="n">
        <f aca="false">IF(AO36=1,AP36*$AS$49,0)+IF(AO36=2,AP36*$AS$50,0)+IF(AO36=3,AP36*$AS$51,0)+IF(AO36=4,AP36*$AS$52,0)+IF(AO36=5,AP36*$AS$53,0)+IF(AO36=6,AP36*$AS$54)+IF(AO36=7,AP36*$AS$55)+IF(AO36=8,AP36*$AS$56)+IF(AO36=9,AP36*$AS$57)+IF(AO36=10,AP36*$AS$58)+IF(AO36=11,AP36*$AS$59,0)</f>
        <v>0</v>
      </c>
      <c r="DO36" s="1569" t="n">
        <f aca="false">D36</f>
        <v>0</v>
      </c>
    </row>
    <row r="37" customFormat="false" ht="19.5" hidden="false" customHeight="true" outlineLevel="0" collapsed="false">
      <c r="A37" s="2672" t="s">
        <v>1582</v>
      </c>
      <c r="B37" s="1549"/>
      <c r="C37" s="1550"/>
      <c r="D37" s="1551"/>
      <c r="E37" s="1552"/>
      <c r="F37" s="1074"/>
      <c r="G37" s="1553"/>
      <c r="H37" s="1074"/>
      <c r="I37" s="1553"/>
      <c r="J37" s="1074"/>
      <c r="K37" s="1583"/>
      <c r="L37" s="1559"/>
      <c r="M37" s="1556"/>
      <c r="N37" s="1557"/>
      <c r="O37" s="1558"/>
      <c r="P37" s="1515" t="n">
        <f aca="false">IF(BQ37=0,0,BN37/BQ37)</f>
        <v>0</v>
      </c>
      <c r="Q37" s="1516" t="n">
        <f aca="false">(D37*F37/324)*(1+K$65)+BB37</f>
        <v>0</v>
      </c>
      <c r="R37" s="1517" t="n">
        <f aca="false">IF(D37=0,0,S37/D37)</f>
        <v>0</v>
      </c>
      <c r="S37" s="1518" t="n">
        <f aca="false">SUM(CM37)*(1+M$45)</f>
        <v>0</v>
      </c>
      <c r="T37" s="1519" t="n">
        <f aca="false">ROUND((CF37+CG37+CH37),0)</f>
        <v>0</v>
      </c>
      <c r="U37" s="1520" t="n">
        <f aca="false">IF(P37-(D37*0.45)&lt;0,0,P37-(D37*0.45))</f>
        <v>0</v>
      </c>
      <c r="V37" s="1521" t="n">
        <f aca="false">IF(D37="",0,IF(D37/-30+Q37&lt;1,0,D37/-30+Q37))</f>
        <v>0</v>
      </c>
      <c r="W37" s="1559"/>
      <c r="X37" s="1594"/>
      <c r="Y37" s="1559"/>
      <c r="Z37" s="1561"/>
      <c r="AA37" s="1559"/>
      <c r="AB37" s="1561"/>
      <c r="AC37" s="1562"/>
      <c r="AD37" s="1594"/>
      <c r="AE37" s="1559"/>
      <c r="AF37" s="1556"/>
      <c r="AG37" s="1595"/>
      <c r="AH37" s="1556"/>
      <c r="AI37" s="1559"/>
      <c r="AJ37" s="1556"/>
      <c r="AK37" s="1559"/>
      <c r="AL37" s="1556"/>
      <c r="AM37" s="1559"/>
      <c r="AN37" s="1561"/>
      <c r="AO37" s="1559"/>
      <c r="AP37" s="1561"/>
      <c r="AQ37" s="654"/>
      <c r="AR37" s="1533" t="str">
        <f aca="false">IF(W37="","",LOOKUP(W37,$B$49:$B$59,$R$49:$R$59)*X37)</f>
        <v/>
      </c>
      <c r="AS37" s="1430" t="str">
        <f aca="false">IF(Y37="","",LOOKUP(Y37,$B$49:$B$59,$R$49:$R$59)*Z37)</f>
        <v/>
      </c>
      <c r="AT37" s="1430" t="str">
        <f aca="false">IF(AB37="","",LOOKUP(AA37,$B$49:$B$59,$R$49:$R$59)*AB37)</f>
        <v/>
      </c>
      <c r="AU37" s="1430" t="str">
        <f aca="false">IF(AC37="","",LOOKUP(AC37,$B$49:$B$59,$R$49:$R$59)*AD37)</f>
        <v/>
      </c>
      <c r="AV37" s="1430" t="str">
        <f aca="false">IF(AE37="","",LOOKUP(AE37,$B$49:$B$59,$R$49:$R$59)*AF37)</f>
        <v/>
      </c>
      <c r="AW37" s="1430" t="str">
        <f aca="false">IF(AG37="","",LOOKUP(AG37,$B$49:$B$59,$R$49:$R$59)*AH37)</f>
        <v/>
      </c>
      <c r="AX37" s="1430" t="str">
        <f aca="false">IF(AI37="","",LOOKUP(AI37,$B$49:$B$59,$R$49:$R$59)*AJ37)</f>
        <v/>
      </c>
      <c r="AY37" s="1430" t="str">
        <f aca="false">IF(AK37="","",LOOKUP(AK37,$B$49:$B$59,$R$49:$R$59)*AL37)</f>
        <v/>
      </c>
      <c r="AZ37" s="1430" t="str">
        <f aca="false">IF(AM37="","",LOOKUP(AM37,$B$49:$B$59,$R$49:$R$59)*AN37)</f>
        <v/>
      </c>
      <c r="BA37" s="1430" t="str">
        <f aca="false">IF(AO37="","",LOOKUP(AO37,$B$49:$B$59,$R$49:$R$59)*AP37)</f>
        <v/>
      </c>
      <c r="BB37" s="1535" t="n">
        <f aca="false">SUM(AR37:BA37)</f>
        <v>0</v>
      </c>
      <c r="BC37" s="1533" t="str">
        <f aca="false">IF(W37="","",LOOKUP(W37,$B$49:$B$59,$P$49:$P$59)*X37)</f>
        <v/>
      </c>
      <c r="BD37" s="654" t="str">
        <f aca="false">IF(Y37="","",LOOKUP(Y37,$B$49:$B$59,$P$49:$P$59)*Z37)</f>
        <v/>
      </c>
      <c r="BE37" s="1430" t="str">
        <f aca="false">IF(AA37="","",LOOKUP(AA37,$B$49:$B$59,$P$49:$P$59)*AB37)</f>
        <v/>
      </c>
      <c r="BF37" s="654" t="str">
        <f aca="false">IF(AC37="","",LOOKUP(AC37,$B$49:$B$59,$P$49:$P$59)*AD37)</f>
        <v/>
      </c>
      <c r="BG37" s="654" t="str">
        <f aca="false">IF(AE37="","",LOOKUP(AE37,$B$49:$B$59,$P$49:$P$59)*AF37)</f>
        <v/>
      </c>
      <c r="BH37" s="654" t="str">
        <f aca="false">IF(AG37="","",LOOKUP(AG37,$B$49:$B$59,$P$49:$P$59)*AH37)</f>
        <v/>
      </c>
      <c r="BI37" s="654" t="str">
        <f aca="false">IF(AI37="","",LOOKUP(AI37,$B$49:$B$59,$P$49:$P$59)*AJ37)</f>
        <v/>
      </c>
      <c r="BJ37" s="654" t="str">
        <f aca="false">IF(AK37="","",LOOKUP(AK37,$B$49:$B$59,$P$49:$P$59)*AL37)</f>
        <v/>
      </c>
      <c r="BK37" s="654" t="str">
        <f aca="false">IF(AM37="","",LOOKUP(AM37,$B$49:$B$59,$P$49:$P$59)*AN37)</f>
        <v/>
      </c>
      <c r="BL37" s="654" t="str">
        <f aca="false">IF(AO37="","",LOOKUP(AO37,$B$49:$B$59,$P$49:$P$59)*AP37)</f>
        <v/>
      </c>
      <c r="BM37" s="1584" t="n">
        <f aca="false">SUM(BC37:BL37)*BQ37</f>
        <v>0</v>
      </c>
      <c r="BN37" s="1536" t="n">
        <f aca="false">BM37+BO37</f>
        <v>0</v>
      </c>
      <c r="BO37" s="1536" t="n">
        <f aca="false">IF(M37=0,0,(M37/12+M37/12)/(M37/12*M37/12)*D37*((L37/16*L37/16)*10.6870159))*(1+K$70)*BQ37</f>
        <v>0</v>
      </c>
      <c r="BP37" s="1536" t="n">
        <f aca="false">IF(O37="Y",D37*(1+K$71)*BQ37,0)</f>
        <v>0</v>
      </c>
      <c r="BQ37" s="1538" t="n">
        <f aca="false">G37</f>
        <v>0</v>
      </c>
      <c r="BR37" s="1411" t="n">
        <f aca="false">IF(O37="y",D37,0)</f>
        <v>0</v>
      </c>
      <c r="BS37" s="1567" t="n">
        <f aca="false">IF($I37=1,$Q37,0)*BQ37</f>
        <v>0</v>
      </c>
      <c r="BT37" s="1536" t="n">
        <f aca="false">IF($I37=2,$Q37,0)*BQ37</f>
        <v>0</v>
      </c>
      <c r="BU37" s="1536" t="n">
        <f aca="false">IF($I37=3,$Q37,0)*BQ37</f>
        <v>0</v>
      </c>
      <c r="BV37" s="1536" t="n">
        <f aca="false">IF($I37=4,$Q37,0)*BQ37</f>
        <v>0</v>
      </c>
      <c r="BW37" s="1536" t="n">
        <f aca="false">IF($I37=5,$Q37,0)*BQ37</f>
        <v>0</v>
      </c>
      <c r="BX37" s="1537" t="n">
        <f aca="false">IF($I37=6,$Q37,0)*BQ37</f>
        <v>0</v>
      </c>
      <c r="BY37" s="1537" t="n">
        <f aca="false">IF($I37=7,$Q37,0)*BQ37</f>
        <v>0</v>
      </c>
      <c r="BZ37" s="1537" t="n">
        <f aca="false">IF($I37=8,$Q37,0)*BQ37</f>
        <v>0</v>
      </c>
      <c r="CA37" s="1537" t="n">
        <f aca="false">IF($I37=9,$Q37,0)*BQ37</f>
        <v>0</v>
      </c>
      <c r="CB37" s="1569" t="n">
        <f aca="false">IF($I37=10,$Q37,0)*BQ37</f>
        <v>0</v>
      </c>
      <c r="CC37" s="1538" t="n">
        <f aca="false">SUM(BS37:BX37)</f>
        <v>0</v>
      </c>
      <c r="CD37" s="1538" t="n">
        <f aca="false">IF(H37="N",0,D37)*BQ37</f>
        <v>0</v>
      </c>
      <c r="CE37" s="1538" t="n">
        <f aca="false">K37*BQ37</f>
        <v>0</v>
      </c>
      <c r="CF37" s="1542" t="n">
        <f aca="false">IF(W37="",0,LOOKUP(W37,B$49:B$59,D$49:D$59)*X37/12)</f>
        <v>0</v>
      </c>
      <c r="CG37" s="1542" t="n">
        <f aca="false">IF(Y37="",0,LOOKUP(Y37,B$49:B$59,D$49:D$59)*Z37/12)</f>
        <v>0</v>
      </c>
      <c r="CH37" s="1542" t="n">
        <f aca="false">IF(AA37="",0,LOOKUP(AA37,B$49:B$59,D$49:D$59)*AB37/12)</f>
        <v>0</v>
      </c>
      <c r="CI37" s="1538" t="n">
        <f aca="false">D37*BQ37</f>
        <v>0</v>
      </c>
      <c r="CJ37" s="1538" t="n">
        <f aca="false">D37*J37/324*(1+K$73)*G37</f>
        <v>0</v>
      </c>
      <c r="CK37" s="1538" t="str">
        <f aca="false">IF(N37="","",N37)</f>
        <v/>
      </c>
      <c r="CL37" s="1538" t="n">
        <f aca="false">P37*BQ37</f>
        <v>0</v>
      </c>
      <c r="CM37" s="1543" t="n">
        <f aca="false">IF(BQ37=0,0,SUM(CN37:DC37)/BQ37)</f>
        <v>0</v>
      </c>
      <c r="CN37" s="656" t="n">
        <f aca="false">(BS37*Pricing!F$3+BT37*Pricing!G$3+BU37*Pricing!H$3+BV37*Pricing!I$3+BW37*Pricing!J$3+BX37*Pricing!K$3)*IF(W$44="N",(1+Y$44),1)</f>
        <v>0</v>
      </c>
      <c r="CO37" s="656" t="n">
        <f aca="false">BN37*G$70*IF(W$44="n",1+Y$44,1)</f>
        <v>0</v>
      </c>
      <c r="CP37" s="656" t="n">
        <f aca="false">C37*D37</f>
        <v>0</v>
      </c>
      <c r="CQ37" s="656" t="n">
        <f aca="false">IF(I$79=0,0,D37*(SUM(O$79:P$82)+O$85)/I$79*BQ37)</f>
        <v>0</v>
      </c>
      <c r="CR37" s="656" t="n">
        <f aca="false">IF(CF37="",0,CF37*E$83)+IF(CG37="",0,CG37*E$83)+IF(CH37="",0,CH37*E$83)</f>
        <v>0</v>
      </c>
      <c r="CS37" s="656"/>
      <c r="CT37" s="656" t="n">
        <f aca="false">IF(I$87=0,0,(P37-(D37*0.35))/2000*E$87)</f>
        <v>0</v>
      </c>
      <c r="CU37" s="656" t="n">
        <f aca="false">IF(D$42=0,0,SUM(O$91:P$93)/D$42*D37)*BQ37</f>
        <v>0</v>
      </c>
      <c r="CV37" s="656" t="n">
        <f aca="false">IF(D$42=0,0,SUM(Z$66:Z$97)/D$42*D37*BQ37)</f>
        <v>0</v>
      </c>
      <c r="CW37" s="656" t="n">
        <f aca="false">IF(D$42=0,0,SUM(O$96:P$101)/D$42*D37)*BQ37</f>
        <v>0</v>
      </c>
      <c r="CX37" s="656" t="n">
        <f aca="false">IF(D$42=0,0,SUM(O$103:O$110)/D$42)*D37*BQ37</f>
        <v>0</v>
      </c>
      <c r="CY37" s="656" t="n">
        <f aca="false">IF(I$79=0,0,IF(I$79=0,0,SUM(Z$98:Z$109)/I$79*D37))</f>
        <v>0</v>
      </c>
      <c r="CZ37" s="656" t="n">
        <f aca="false">IF(J$72&gt;0,J$72/D$42*D37*G37,CD37*(G$72*IF(W$44="n",(1+Y$44),1)))</f>
        <v>0</v>
      </c>
      <c r="DA37" s="656" t="str">
        <f aca="false">IF(CK37="","",CK37*E$86)</f>
        <v/>
      </c>
      <c r="DB37" s="656" t="n">
        <f aca="false">BP37*G$71*IF(W$44="Y",1,1+Y$44)</f>
        <v>0</v>
      </c>
      <c r="DC37" s="656" t="n">
        <f aca="false">CJ37*G$73*IF(W$44="Y",1,1+Y$44)</f>
        <v>0</v>
      </c>
      <c r="DD37" s="1546"/>
      <c r="DE37" s="654" t="n">
        <f aca="false">IF(W37=1,X37*$AS$49,0)+IF(W37=2,X37*$AS$50,0)+IF(W37=3,X37*$AS$51,0)+IF(W37=4,X37*$AS$52,0)+IF(W37=5,X37*$AS$53,0)+IF(W37=6,X37*$AS$54)+IF(W37=7,X37*$AS$55)+IF(W37=8,X37*$AS$56)+IF(W37=9,X37*$AS$57)+IF(W37=10,X37*$AS$58)+IF(W37=11,X37*$AS$59,0)</f>
        <v>0</v>
      </c>
      <c r="DF37" s="654" t="n">
        <f aca="false">IF(Y37=1,Z37*$AS$49,0)+IF(Y37=2,Z37*$AS$50,0)+IF(Y37=3,Z37*$AS$51,0)+IF(Y37=4,Z37*$AS$52,0)+IF(Y37=5,Z37*$AS$53,0)+IF(Y37=6,Z37*$AS$54)+IF(Y37=7,Z37*$AS$55)+IF(Y37=8,Z37*$AS$56)+IF(Y37=9,Z37*$AS$57)+IF(Y37=10,Z37*$AS$58)+IF(Y37=11,Z37*$AS$59,0)</f>
        <v>0</v>
      </c>
      <c r="DG37" s="654" t="n">
        <f aca="false">IF(AA37=1,AB37*$AS$49,0)+IF(AA37=2,AB37*$AS$50,0)+IF(AA37=3,AB37*$AS$51,0)+IF(AA37=4,AB37*$AS$52,0)+IF(AA37=5,AB37*$AS$53,0)+IF(AA37=6,AB37*$AS$54)+IF(AA37=7,AB37*$AS$55)+IF(AA37=8,AB37*$AS$56)+IF(AA37=9,AB37*$AS$57)+IF(AA37=10,AB37*$AS$58)+IF(AA37=11,AB37*$AS$59,0)</f>
        <v>0</v>
      </c>
      <c r="DH37" s="654" t="n">
        <f aca="false">IF(AC37=1,AD37*$AS$49,0)+IF(AC37=2,AD37*$AS$50,0)+IF(AC37=3,AD37*$AS$51,0)+IF(AC37=4,AD37*$AS$52,0)+IF(AC37=5,AD37*$AS$53,0)+IF(AC37=6,AD37*$AS$54)+IF(AC37=7,AD37*$AS$55)+IF(AC37=8,AD37*$AS$56)+IF(AC37=9,AD37*$AS$57)+IF(AC37=10,AD37*$AS$58)+IF(AC37=11,AD37*$AS$59,0)</f>
        <v>0</v>
      </c>
      <c r="DI37" s="654" t="n">
        <f aca="false">IF(AE37=1,AF37*$AS$49,0)+IF(AE37=2,AF37*$AS$50,0)+IF(AE37=3,AF37*$AS$51,0)+IF(AE37=4,AF37*$AS$52,0)+IF(AE37=5,AF37*$AS$53,0)+IF(AE37=6,AF37*$AS$54)+IF(AE37=7,AF37*$AS$55)+IF(AE37=8,AF37*$AS$56)+IF(AE37=9,AF37*$AS$57)+IF(AE37=10,AF37*$AS$58)+IF(AE37=11,AF37*$AS$59,0)</f>
        <v>0</v>
      </c>
      <c r="DJ37" s="654" t="n">
        <f aca="false">IF(AG37=1,AH37*$AS$49,0)+IF(AG37=2,AH37*$AS$50,0)+IF(AG37=3,AH37*$AS$51,0)+IF(AG37=4,AH37*$AS$52,0)+IF(AG37=5,AH37*$AS$53,0)+IF(AG37=6,AH37*$AS$54)+IF(AG37=7,AH37*$AS$55)+IF(AG37=8,AH37*$AS$56)+IF(AG37=9,AH37*$AS$57)+IF(AG37=10,AH37*$AS$58)+IF(AG37=11,AH37*$AS$59,0)</f>
        <v>0</v>
      </c>
      <c r="DK37" s="654" t="n">
        <f aca="false">IF(AI37=1,AJ37*$AS$49,0)+IF(AI37=2,AJ37*$AS$50,0)+IF(AI37=3,AJ37*$AS$51,0)+IF(AI37=4,AJ37*$AS$52,0)+IF(AI37=5,AJ37*$AS$53,0)+IF(AI37=6,AJ37*$AS$54)+IF(AI37=7,AJ37*$AS$55)+IF(AI37=8,AJ37*$AS$56)+IF(AI37=9,AJ37*$AS$57)+IF(AI37=10,AJ37*$AS$58)+IF(AI37=11,AJ37*$AS$59,0)</f>
        <v>0</v>
      </c>
      <c r="DL37" s="654" t="n">
        <f aca="false">IF(AK37=1,AL37*$AS$49,0)+IF(AK37=2,AL37*$AS$50,0)+IF(AK37=3,AL37*$AS$51,0)+IF(AK37=4,AL37*$AS$52,0)+IF(AK37=5,AL37*$AS$53,0)+IF(AK37=6,AL37*$AS$54)+IF(AK37=7,AL37*$AS$55)+IF(AK37=8,AL37*$AS$56)+IF(AK37=9,AL37*$AS$57)+IF(AK37=10,AL37*$AS$58)+IF(AK37=11,AL37*$AS$59,0)</f>
        <v>0</v>
      </c>
      <c r="DM37" s="654" t="n">
        <f aca="false">IF(AM37=1,AN37*$AS$49,0)+IF(AM37=2,AN37*$AS$50,0)+IF(AM37=3,AN37*$AS$51,0)+IF(AM37=4,AN37*$AS$52,0)+IF(AM37=5,AN37*$AS$53,0)+IF(AM37=6,AN37*$AS$54)+IF(AM37=7,AN37*$AS$55)+IF(AM37=8,AN37*$AS$56)+IF(AM37=9,AN37*$AS$57)+IF(AM37=10,AN37*$AS$58)+IF(AM37=11,AN37*$AS$59,0)</f>
        <v>0</v>
      </c>
      <c r="DN37" s="654" t="n">
        <f aca="false">IF(AO37=1,AP37*$AS$49,0)+IF(AO37=2,AP37*$AS$50,0)+IF(AO37=3,AP37*$AS$51,0)+IF(AO37=4,AP37*$AS$52,0)+IF(AO37=5,AP37*$AS$53,0)+IF(AO37=6,AP37*$AS$54)+IF(AO37=7,AP37*$AS$55)+IF(AO37=8,AP37*$AS$56)+IF(AO37=9,AP37*$AS$57)+IF(AO37=10,AP37*$AS$58)+IF(AO37=11,AP37*$AS$59,0)</f>
        <v>0</v>
      </c>
      <c r="DO37" s="1569" t="n">
        <f aca="false">D37</f>
        <v>0</v>
      </c>
    </row>
    <row r="38" customFormat="false" ht="19.5" hidden="false" customHeight="true" outlineLevel="0" collapsed="false">
      <c r="A38" s="2672" t="s">
        <v>1583</v>
      </c>
      <c r="B38" s="920"/>
      <c r="C38" s="1550"/>
      <c r="D38" s="1507"/>
      <c r="E38" s="1508"/>
      <c r="F38" s="1074"/>
      <c r="G38" s="1553"/>
      <c r="H38" s="1074"/>
      <c r="I38" s="1553"/>
      <c r="J38" s="1074"/>
      <c r="K38" s="1583"/>
      <c r="L38" s="1511"/>
      <c r="M38" s="1512"/>
      <c r="N38" s="1513"/>
      <c r="O38" s="1514"/>
      <c r="P38" s="1515" t="n">
        <f aca="false">IF(BQ38=0,0,BN38/BQ38)</f>
        <v>0</v>
      </c>
      <c r="Q38" s="1516" t="n">
        <f aca="false">(D38*F38/324)*(1+K$65)+BB38</f>
        <v>0</v>
      </c>
      <c r="R38" s="1517" t="n">
        <f aca="false">IF(D38=0,0,S38/D38)</f>
        <v>0</v>
      </c>
      <c r="S38" s="1518" t="n">
        <f aca="false">SUM(CM38)*(1+M$45)</f>
        <v>0</v>
      </c>
      <c r="T38" s="1519" t="n">
        <f aca="false">ROUND((CF38+CG38+CH38),0)</f>
        <v>0</v>
      </c>
      <c r="U38" s="1520" t="n">
        <f aca="false">IF(P38-(D38*0.45)&lt;0,0,P38-(D38*0.45))</f>
        <v>0</v>
      </c>
      <c r="V38" s="1521" t="n">
        <f aca="false">IF(D38="",0,IF(D38/-30+Q38&lt;1,0,D38/-30+Q38))</f>
        <v>0</v>
      </c>
      <c r="W38" s="1511"/>
      <c r="X38" s="1596"/>
      <c r="Y38" s="1511"/>
      <c r="Z38" s="1524"/>
      <c r="AA38" s="1511"/>
      <c r="AB38" s="1524"/>
      <c r="AC38" s="1525"/>
      <c r="AD38" s="1596"/>
      <c r="AE38" s="1511"/>
      <c r="AF38" s="1512"/>
      <c r="AG38" s="1593"/>
      <c r="AH38" s="1512"/>
      <c r="AI38" s="1511"/>
      <c r="AJ38" s="1512"/>
      <c r="AK38" s="1511"/>
      <c r="AL38" s="1512"/>
      <c r="AM38" s="1511"/>
      <c r="AN38" s="1524"/>
      <c r="AO38" s="1511"/>
      <c r="AP38" s="1524"/>
      <c r="AQ38" s="654"/>
      <c r="AR38" s="1533" t="str">
        <f aca="false">IF(W38="","",LOOKUP(W38,$B$49:$B$59,$R$49:$R$59)*X38)</f>
        <v/>
      </c>
      <c r="AS38" s="1430" t="str">
        <f aca="false">IF(Y38="","",LOOKUP(Y38,$B$49:$B$59,$R$49:$R$59)*Z38)</f>
        <v/>
      </c>
      <c r="AT38" s="1430" t="str">
        <f aca="false">IF(AB38="","",LOOKUP(AA38,$B$49:$B$59,$R$49:$R$59)*AB38)</f>
        <v/>
      </c>
      <c r="AU38" s="1430" t="str">
        <f aca="false">IF(AC38="","",LOOKUP(AC38,$B$49:$B$59,$R$49:$R$59)*AD38)</f>
        <v/>
      </c>
      <c r="AV38" s="1430" t="str">
        <f aca="false">IF(AE38="","",LOOKUP(AE38,$B$49:$B$59,$R$49:$R$59)*AF38)</f>
        <v/>
      </c>
      <c r="AW38" s="1430" t="str">
        <f aca="false">IF(AG38="","",LOOKUP(AG38,$B$49:$B$59,$R$49:$R$59)*AH38)</f>
        <v/>
      </c>
      <c r="AX38" s="1430" t="str">
        <f aca="false">IF(AI38="","",LOOKUP(AI38,$B$49:$B$59,$R$49:$R$59)*AJ38)</f>
        <v/>
      </c>
      <c r="AY38" s="1430" t="str">
        <f aca="false">IF(AK38="","",LOOKUP(AK38,$B$49:$B$59,$R$49:$R$59)*AL38)</f>
        <v/>
      </c>
      <c r="AZ38" s="1430" t="str">
        <f aca="false">IF(AM38="","",LOOKUP(AM38,$B$49:$B$59,$R$49:$R$59)*AN38)</f>
        <v/>
      </c>
      <c r="BA38" s="1430" t="str">
        <f aca="false">IF(AO38="","",LOOKUP(AO38,$B$49:$B$59,$R$49:$R$59)*AP38)</f>
        <v/>
      </c>
      <c r="BB38" s="1535" t="n">
        <f aca="false">SUM(AR38:BA38)</f>
        <v>0</v>
      </c>
      <c r="BC38" s="1533" t="str">
        <f aca="false">IF(W38="","",LOOKUP(W38,$B$49:$B$59,$P$49:$P$59)*X38)</f>
        <v/>
      </c>
      <c r="BD38" s="654" t="str">
        <f aca="false">IF(Y38="","",LOOKUP(Y38,$B$49:$B$59,$P$49:$P$59)*Z38)</f>
        <v/>
      </c>
      <c r="BE38" s="1430" t="str">
        <f aca="false">IF(AA38="","",LOOKUP(AA38,$B$49:$B$59,$P$49:$P$59)*AB38)</f>
        <v/>
      </c>
      <c r="BF38" s="654" t="str">
        <f aca="false">IF(AC38="","",LOOKUP(AC38,$B$49:$B$59,$P$49:$P$59)*AD38)</f>
        <v/>
      </c>
      <c r="BG38" s="654" t="str">
        <f aca="false">IF(AE38="","",LOOKUP(AE38,$B$49:$B$59,$P$49:$P$59)*AF38)</f>
        <v/>
      </c>
      <c r="BH38" s="654" t="str">
        <f aca="false">IF(AG38="","",LOOKUP(AG38,$B$49:$B$59,$P$49:$P$59)*AH38)</f>
        <v/>
      </c>
      <c r="BI38" s="654" t="str">
        <f aca="false">IF(AI38="","",LOOKUP(AI38,$B$49:$B$59,$P$49:$P$59)*AJ38)</f>
        <v/>
      </c>
      <c r="BJ38" s="654" t="str">
        <f aca="false">IF(AK38="","",LOOKUP(AK38,$B$49:$B$59,$P$49:$P$59)*AL38)</f>
        <v/>
      </c>
      <c r="BK38" s="654" t="str">
        <f aca="false">IF(AM38="","",LOOKUP(AM38,$B$49:$B$59,$P$49:$P$59)*AN38)</f>
        <v/>
      </c>
      <c r="BL38" s="654" t="str">
        <f aca="false">IF(AO38="","",LOOKUP(AO38,$B$49:$B$59,$P$49:$P$59)*AP38)</f>
        <v/>
      </c>
      <c r="BM38" s="1584" t="n">
        <f aca="false">SUM(BC38:BL38)*BQ38</f>
        <v>0</v>
      </c>
      <c r="BN38" s="1536" t="n">
        <f aca="false">BM38+BO38</f>
        <v>0</v>
      </c>
      <c r="BO38" s="1536" t="n">
        <f aca="false">IF(M38=0,0,(M38/12+M38/12)/(M38/12*M38/12)*D38*((L38/16*L38/16)*10.6870159))*(1+K$70)*BQ38</f>
        <v>0</v>
      </c>
      <c r="BP38" s="1536" t="n">
        <f aca="false">IF(O38="Y",D38*(1+K$71)*BQ38,0)</f>
        <v>0</v>
      </c>
      <c r="BQ38" s="1538" t="n">
        <f aca="false">G38</f>
        <v>0</v>
      </c>
      <c r="BR38" s="1411" t="n">
        <f aca="false">IF(O38="y",D38,0)</f>
        <v>0</v>
      </c>
      <c r="BS38" s="1567" t="n">
        <f aca="false">IF($I38=1,$Q38,0)*BQ38</f>
        <v>0</v>
      </c>
      <c r="BT38" s="1536" t="n">
        <f aca="false">IF($I38=2,$Q38,0)*BQ38</f>
        <v>0</v>
      </c>
      <c r="BU38" s="1536" t="n">
        <f aca="false">IF($I38=3,$Q38,0)*BQ38</f>
        <v>0</v>
      </c>
      <c r="BV38" s="1536" t="n">
        <f aca="false">IF($I38=4,$Q38,0)*BQ38</f>
        <v>0</v>
      </c>
      <c r="BW38" s="1536" t="n">
        <f aca="false">IF($I38=5,$Q38,0)*BQ38</f>
        <v>0</v>
      </c>
      <c r="BX38" s="1537" t="n">
        <f aca="false">IF($I38=6,$Q38,0)*BQ38</f>
        <v>0</v>
      </c>
      <c r="BY38" s="1537" t="n">
        <f aca="false">IF($I38=7,$Q38,0)*BQ38</f>
        <v>0</v>
      </c>
      <c r="BZ38" s="1537" t="n">
        <f aca="false">IF($I38=8,$Q38,0)*BQ38</f>
        <v>0</v>
      </c>
      <c r="CA38" s="1537" t="n">
        <f aca="false">IF($I38=9,$Q38,0)*BQ38</f>
        <v>0</v>
      </c>
      <c r="CB38" s="1569" t="n">
        <f aca="false">IF($I38=10,$Q38,0)*BQ38</f>
        <v>0</v>
      </c>
      <c r="CC38" s="1538" t="n">
        <f aca="false">SUM(BS38:BX38)</f>
        <v>0</v>
      </c>
      <c r="CD38" s="1538" t="n">
        <f aca="false">IF(H38="N",0,D38)*BQ38</f>
        <v>0</v>
      </c>
      <c r="CE38" s="1538" t="n">
        <f aca="false">K38*BQ38</f>
        <v>0</v>
      </c>
      <c r="CF38" s="1542" t="n">
        <f aca="false">IF(W38="",0,LOOKUP(W38,B$49:B$59,D$49:D$59)*X38/12)</f>
        <v>0</v>
      </c>
      <c r="CG38" s="1542" t="n">
        <f aca="false">IF(Y38="",0,LOOKUP(Y38,B$49:B$59,D$49:D$59)*Z38/12)</f>
        <v>0</v>
      </c>
      <c r="CH38" s="1542" t="n">
        <f aca="false">IF(AA38="",0,LOOKUP(AA38,B$49:B$59,D$49:D$59)*AB38/12)</f>
        <v>0</v>
      </c>
      <c r="CI38" s="1538" t="n">
        <f aca="false">D38*BQ38</f>
        <v>0</v>
      </c>
      <c r="CJ38" s="1538" t="n">
        <f aca="false">D38*J38/324*(1+K$73)*G38</f>
        <v>0</v>
      </c>
      <c r="CK38" s="1538" t="str">
        <f aca="false">IF(N38="","",N38)</f>
        <v/>
      </c>
      <c r="CL38" s="1538" t="n">
        <f aca="false">P38*BQ38</f>
        <v>0</v>
      </c>
      <c r="CM38" s="1543" t="n">
        <f aca="false">IF(BQ38=0,0,SUM(CN38:DC38)/BQ38)</f>
        <v>0</v>
      </c>
      <c r="CN38" s="656" t="n">
        <f aca="false">(BS38*Pricing!F$3+BT38*Pricing!G$3+BU38*Pricing!H$3+BV38*Pricing!I$3+BW38*Pricing!J$3+BX38*Pricing!K$3)*IF(W$44="N",(1+Y$44),1)</f>
        <v>0</v>
      </c>
      <c r="CO38" s="656" t="n">
        <f aca="false">BN38*G$70*IF(W$44="n",1+Y$44,1)</f>
        <v>0</v>
      </c>
      <c r="CP38" s="656" t="n">
        <f aca="false">C38*D38</f>
        <v>0</v>
      </c>
      <c r="CQ38" s="656" t="n">
        <f aca="false">IF(I$79=0,0,D38*(SUM(O$79:P$82)+O$85)/I$79*BQ38)</f>
        <v>0</v>
      </c>
      <c r="CR38" s="656" t="n">
        <f aca="false">IF(CF38="",0,CF38*E$83)+IF(CG38="",0,CG38*E$83)+IF(CH38="",0,CH38*E$83)</f>
        <v>0</v>
      </c>
      <c r="CS38" s="656"/>
      <c r="CT38" s="656" t="n">
        <f aca="false">IF(I$87=0,0,(P38-(D38*0.35))/2000*E$87)</f>
        <v>0</v>
      </c>
      <c r="CU38" s="656" t="n">
        <f aca="false">IF(D$42=0,0,SUM(O$91:P$93)/D$42*D38)*BQ38</f>
        <v>0</v>
      </c>
      <c r="CV38" s="656" t="n">
        <f aca="false">IF(D$42=0,0,SUM(Z$66:Z$97)/D$42*D38*BQ38)</f>
        <v>0</v>
      </c>
      <c r="CW38" s="656" t="n">
        <f aca="false">IF(D$42=0,0,SUM(O$96:P$101)/D$42*D38)*BQ38</f>
        <v>0</v>
      </c>
      <c r="CX38" s="656" t="n">
        <f aca="false">IF(D$42=0,0,SUM(O$103:O$110)/D$42)*D38*BQ38</f>
        <v>0</v>
      </c>
      <c r="CY38" s="656" t="n">
        <f aca="false">IF(I$79=0,0,IF(I$79=0,0,SUM(Z$98:Z$109)/I$79*D38))</f>
        <v>0</v>
      </c>
      <c r="CZ38" s="656" t="n">
        <f aca="false">IF(J$72&gt;0,J$72/D$42*D38*G38,CD38*(G$72*IF(W$44="n",(1+Y$44),1)))</f>
        <v>0</v>
      </c>
      <c r="DA38" s="656" t="str">
        <f aca="false">IF(CK38="","",CK38*E$86)</f>
        <v/>
      </c>
      <c r="DB38" s="656" t="n">
        <f aca="false">BP38*G$71*IF(W$44="Y",1,1+Y$44)</f>
        <v>0</v>
      </c>
      <c r="DC38" s="656" t="n">
        <f aca="false">CJ38*G$73*IF(W$44="Y",1,1+Y$44)</f>
        <v>0</v>
      </c>
      <c r="DD38" s="1546"/>
      <c r="DE38" s="654" t="n">
        <f aca="false">IF(W38=1,X38*$AS$49,0)+IF(W38=2,X38*$AS$50,0)+IF(W38=3,X38*$AS$51,0)+IF(W38=4,X38*$AS$52,0)+IF(W38=5,X38*$AS$53,0)+IF(W38=6,X38*$AS$54)+IF(W38=7,X38*$AS$55)+IF(W38=8,X38*$AS$56)+IF(W38=9,X38*$AS$57)+IF(W38=10,X38*$AS$58)+IF(W38=11,X38*$AS$59,0)</f>
        <v>0</v>
      </c>
      <c r="DF38" s="654" t="n">
        <f aca="false">IF(Y38=1,Z38*$AS$49,0)+IF(Y38=2,Z38*$AS$50,0)+IF(Y38=3,Z38*$AS$51,0)+IF(Y38=4,Z38*$AS$52,0)+IF(Y38=5,Z38*$AS$53,0)+IF(Y38=6,Z38*$AS$54)+IF(Y38=7,Z38*$AS$55)+IF(Y38=8,Z38*$AS$56)+IF(Y38=9,Z38*$AS$57)+IF(Y38=10,Z38*$AS$58)+IF(Y38=11,Z38*$AS$59,0)</f>
        <v>0</v>
      </c>
      <c r="DG38" s="654" t="n">
        <f aca="false">IF(AA38=1,AB38*$AS$49,0)+IF(AA38=2,AB38*$AS$50,0)+IF(AA38=3,AB38*$AS$51,0)+IF(AA38=4,AB38*$AS$52,0)+IF(AA38=5,AB38*$AS$53,0)+IF(AA38=6,AB38*$AS$54)+IF(AA38=7,AB38*$AS$55)+IF(AA38=8,AB38*$AS$56)+IF(AA38=9,AB38*$AS$57)+IF(AA38=10,AB38*$AS$58)+IF(AA38=11,AB38*$AS$59,0)</f>
        <v>0</v>
      </c>
      <c r="DH38" s="654" t="n">
        <f aca="false">IF(AC38=1,AD38*$AS$49,0)+IF(AC38=2,AD38*$AS$50,0)+IF(AC38=3,AD38*$AS$51,0)+IF(AC38=4,AD38*$AS$52,0)+IF(AC38=5,AD38*$AS$53,0)+IF(AC38=6,AD38*$AS$54)+IF(AC38=7,AD38*$AS$55)+IF(AC38=8,AD38*$AS$56)+IF(AC38=9,AD38*$AS$57)+IF(AC38=10,AD38*$AS$58)+IF(AC38=11,AD38*$AS$59,0)</f>
        <v>0</v>
      </c>
      <c r="DI38" s="654" t="n">
        <f aca="false">IF(AE38=1,AF38*$AS$49,0)+IF(AE38=2,AF38*$AS$50,0)+IF(AE38=3,AF38*$AS$51,0)+IF(AE38=4,AF38*$AS$52,0)+IF(AE38=5,AF38*$AS$53,0)+IF(AE38=6,AF38*$AS$54)+IF(AE38=7,AF38*$AS$55)+IF(AE38=8,AF38*$AS$56)+IF(AE38=9,AF38*$AS$57)+IF(AE38=10,AF38*$AS$58)+IF(AE38=11,AF38*$AS$59,0)</f>
        <v>0</v>
      </c>
      <c r="DJ38" s="654" t="n">
        <f aca="false">IF(AG38=1,AH38*$AS$49,0)+IF(AG38=2,AH38*$AS$50,0)+IF(AG38=3,AH38*$AS$51,0)+IF(AG38=4,AH38*$AS$52,0)+IF(AG38=5,AH38*$AS$53,0)+IF(AG38=6,AH38*$AS$54)+IF(AG38=7,AH38*$AS$55)+IF(AG38=8,AH38*$AS$56)+IF(AG38=9,AH38*$AS$57)+IF(AG38=10,AH38*$AS$58)+IF(AG38=11,AH38*$AS$59,0)</f>
        <v>0</v>
      </c>
      <c r="DK38" s="654" t="n">
        <f aca="false">IF(AI38=1,AJ38*$AS$49,0)+IF(AI38=2,AJ38*$AS$50,0)+IF(AI38=3,AJ38*$AS$51,0)+IF(AI38=4,AJ38*$AS$52,0)+IF(AI38=5,AJ38*$AS$53,0)+IF(AI38=6,AJ38*$AS$54)+IF(AI38=7,AJ38*$AS$55)+IF(AI38=8,AJ38*$AS$56)+IF(AI38=9,AJ38*$AS$57)+IF(AI38=10,AJ38*$AS$58)+IF(AI38=11,AJ38*$AS$59,0)</f>
        <v>0</v>
      </c>
      <c r="DL38" s="654" t="n">
        <f aca="false">IF(AK38=1,AL38*$AS$49,0)+IF(AK38=2,AL38*$AS$50,0)+IF(AK38=3,AL38*$AS$51,0)+IF(AK38=4,AL38*$AS$52,0)+IF(AK38=5,AL38*$AS$53,0)+IF(AK38=6,AL38*$AS$54)+IF(AK38=7,AL38*$AS$55)+IF(AK38=8,AL38*$AS$56)+IF(AK38=9,AL38*$AS$57)+IF(AK38=10,AL38*$AS$58)+IF(AK38=11,AL38*$AS$59,0)</f>
        <v>0</v>
      </c>
      <c r="DM38" s="654" t="n">
        <f aca="false">IF(AM38=1,AN38*$AS$49,0)+IF(AM38=2,AN38*$AS$50,0)+IF(AM38=3,AN38*$AS$51,0)+IF(AM38=4,AN38*$AS$52,0)+IF(AM38=5,AN38*$AS$53,0)+IF(AM38=6,AN38*$AS$54)+IF(AM38=7,AN38*$AS$55)+IF(AM38=8,AN38*$AS$56)+IF(AM38=9,AN38*$AS$57)+IF(AM38=10,AN38*$AS$58)+IF(AM38=11,AN38*$AS$59,0)</f>
        <v>0</v>
      </c>
      <c r="DN38" s="654" t="n">
        <f aca="false">IF(AO38=1,AP38*$AS$49,0)+IF(AO38=2,AP38*$AS$50,0)+IF(AO38=3,AP38*$AS$51,0)+IF(AO38=4,AP38*$AS$52,0)+IF(AO38=5,AP38*$AS$53,0)+IF(AO38=6,AP38*$AS$54)+IF(AO38=7,AP38*$AS$55)+IF(AO38=8,AP38*$AS$56)+IF(AO38=9,AP38*$AS$57)+IF(AO38=10,AP38*$AS$58)+IF(AO38=11,AP38*$AS$59,0)</f>
        <v>0</v>
      </c>
      <c r="DO38" s="1569" t="n">
        <f aca="false">D38</f>
        <v>0</v>
      </c>
    </row>
    <row r="39" customFormat="false" ht="19.5" hidden="false" customHeight="true" outlineLevel="0" collapsed="false">
      <c r="A39" s="2672" t="s">
        <v>1584</v>
      </c>
      <c r="B39" s="1549"/>
      <c r="C39" s="1550"/>
      <c r="D39" s="1551"/>
      <c r="E39" s="1552"/>
      <c r="F39" s="1074"/>
      <c r="G39" s="1553"/>
      <c r="H39" s="1074"/>
      <c r="I39" s="1553"/>
      <c r="J39" s="1597"/>
      <c r="K39" s="1583"/>
      <c r="L39" s="1559"/>
      <c r="M39" s="1556"/>
      <c r="N39" s="1557"/>
      <c r="O39" s="1558"/>
      <c r="P39" s="1515" t="n">
        <f aca="false">IF(BQ39=0,0,BN39/BQ39)</f>
        <v>0</v>
      </c>
      <c r="Q39" s="1516" t="n">
        <f aca="false">(D39*F39/324)*(1+K$65)+BB39</f>
        <v>0</v>
      </c>
      <c r="R39" s="1517" t="n">
        <f aca="false">IF(D39=0,0,S39/D39)</f>
        <v>0</v>
      </c>
      <c r="S39" s="1518" t="n">
        <f aca="false">SUM(CM39)*(1+M$45)</f>
        <v>0</v>
      </c>
      <c r="T39" s="1519" t="n">
        <f aca="false">ROUND((CF39+CG39+CH39),0)</f>
        <v>0</v>
      </c>
      <c r="U39" s="1520" t="n">
        <f aca="false">IF(P39-(D39*0.45)&lt;0,0,P39-(D39*0.45))</f>
        <v>0</v>
      </c>
      <c r="V39" s="1521" t="n">
        <f aca="false">IF(D39="",0,IF(D39/-30+Q39&lt;1,0,D39/-30+Q39))</f>
        <v>0</v>
      </c>
      <c r="W39" s="1559"/>
      <c r="X39" s="1594"/>
      <c r="Y39" s="1559"/>
      <c r="Z39" s="1561"/>
      <c r="AA39" s="1559"/>
      <c r="AB39" s="1561"/>
      <c r="AC39" s="1595"/>
      <c r="AD39" s="1594"/>
      <c r="AE39" s="1559"/>
      <c r="AF39" s="1556"/>
      <c r="AG39" s="1595"/>
      <c r="AH39" s="1556"/>
      <c r="AI39" s="1559"/>
      <c r="AJ39" s="1556"/>
      <c r="AK39" s="1559"/>
      <c r="AL39" s="1556"/>
      <c r="AM39" s="1559"/>
      <c r="AN39" s="1561"/>
      <c r="AO39" s="1559"/>
      <c r="AP39" s="1561"/>
      <c r="AQ39" s="654"/>
      <c r="AR39" s="1533" t="str">
        <f aca="false">IF(W39="","",LOOKUP(W39,$B$49:$B$59,$R$49:$R$59)*X39)</f>
        <v/>
      </c>
      <c r="AS39" s="1430" t="str">
        <f aca="false">IF(Y39="","",LOOKUP(Y39,$B$49:$B$59,$R$49:$R$59)*Z39)</f>
        <v/>
      </c>
      <c r="AT39" s="1430" t="str">
        <f aca="false">IF(AB39="","",LOOKUP(AA39,$B$49:$B$59,$R$49:$R$59)*AB39)</f>
        <v/>
      </c>
      <c r="AU39" s="1430" t="str">
        <f aca="false">IF(AC39="","",LOOKUP(AC39,$B$49:$B$59,$R$49:$R$59)*AD39)</f>
        <v/>
      </c>
      <c r="AV39" s="1430" t="str">
        <f aca="false">IF(AE39="","",LOOKUP(AE39,$B$49:$B$59,$R$49:$R$59)*AF39)</f>
        <v/>
      </c>
      <c r="AW39" s="1430" t="str">
        <f aca="false">IF(AG39="","",LOOKUP(AG39,$B$49:$B$59,$R$49:$R$59)*AH39)</f>
        <v/>
      </c>
      <c r="AX39" s="1430" t="str">
        <f aca="false">IF(AI39="","",LOOKUP(AI39,$B$49:$B$59,$R$49:$R$59)*AJ39)</f>
        <v/>
      </c>
      <c r="AY39" s="1430" t="str">
        <f aca="false">IF(AK39="","",LOOKUP(AK39,$B$49:$B$59,$R$49:$R$59)*AL39)</f>
        <v/>
      </c>
      <c r="AZ39" s="1430" t="str">
        <f aca="false">IF(AM39="","",LOOKUP(AM39,$B$49:$B$59,$R$49:$R$59)*AN39)</f>
        <v/>
      </c>
      <c r="BA39" s="1430" t="str">
        <f aca="false">IF(AO39="","",LOOKUP(AO39,$B$49:$B$59,$R$49:$R$59)*AP39)</f>
        <v/>
      </c>
      <c r="BB39" s="1535" t="n">
        <f aca="false">SUM(AR39:BA39)</f>
        <v>0</v>
      </c>
      <c r="BC39" s="1533" t="str">
        <f aca="false">IF(W39="","",LOOKUP(W39,$B$49:$B$59,$P$49:$P$59)*X39)</f>
        <v/>
      </c>
      <c r="BD39" s="654" t="str">
        <f aca="false">IF(Y39="","",LOOKUP(Y39,$B$49:$B$59,$P$49:$P$59)*Z39)</f>
        <v/>
      </c>
      <c r="BE39" s="1430" t="str">
        <f aca="false">IF(AA39="","",LOOKUP(AA39,$B$49:$B$59,$P$49:$P$59)*AB39)</f>
        <v/>
      </c>
      <c r="BF39" s="654" t="str">
        <f aca="false">IF(AC39="","",LOOKUP(AC39,$B$49:$B$59,$P$49:$P$59)*AD39)</f>
        <v/>
      </c>
      <c r="BG39" s="654" t="str">
        <f aca="false">IF(AE39="","",LOOKUP(AE39,$B$49:$B$59,$P$49:$P$59)*AF39)</f>
        <v/>
      </c>
      <c r="BH39" s="654" t="str">
        <f aca="false">IF(AG39="","",LOOKUP(AG39,$B$49:$B$59,$P$49:$P$59)*AH39)</f>
        <v/>
      </c>
      <c r="BI39" s="654" t="str">
        <f aca="false">IF(AI39="","",LOOKUP(AI39,$B$49:$B$59,$P$49:$P$59)*AJ39)</f>
        <v/>
      </c>
      <c r="BJ39" s="654" t="str">
        <f aca="false">IF(AK39="","",LOOKUP(AK39,$B$49:$B$59,$P$49:$P$59)*AL39)</f>
        <v/>
      </c>
      <c r="BK39" s="654" t="str">
        <f aca="false">IF(AM39="","",LOOKUP(AM39,$B$49:$B$59,$P$49:$P$59)*AN39)</f>
        <v/>
      </c>
      <c r="BL39" s="654" t="str">
        <f aca="false">IF(AO39="","",LOOKUP(AO39,$B$49:$B$59,$P$49:$P$59)*AP39)</f>
        <v/>
      </c>
      <c r="BM39" s="1584" t="n">
        <f aca="false">SUM(BC39:BL39)*BQ39</f>
        <v>0</v>
      </c>
      <c r="BN39" s="1536" t="n">
        <f aca="false">BM39+BO39</f>
        <v>0</v>
      </c>
      <c r="BO39" s="1536" t="n">
        <f aca="false">IF(M39=0,0,(M39/12+M39/12)/(M39/12*M39/12)*D39*((L39/16*L39/16)*10.6870159))*(1+K$70)*BQ39</f>
        <v>0</v>
      </c>
      <c r="BP39" s="1536" t="n">
        <f aca="false">IF(O39="Y",D39*(1+K$71)*BQ39,0)</f>
        <v>0</v>
      </c>
      <c r="BQ39" s="1538" t="n">
        <f aca="false">G39</f>
        <v>0</v>
      </c>
      <c r="BR39" s="1411" t="n">
        <f aca="false">IF(O39="y",D39,0)</f>
        <v>0</v>
      </c>
      <c r="BS39" s="1567" t="n">
        <f aca="false">IF($I39=1,$Q39,0)*BQ39</f>
        <v>0</v>
      </c>
      <c r="BT39" s="1536" t="n">
        <f aca="false">IF($I39=2,$Q39,0)*BQ39</f>
        <v>0</v>
      </c>
      <c r="BU39" s="1536" t="n">
        <f aca="false">IF($I39=3,$Q39,0)*BQ39</f>
        <v>0</v>
      </c>
      <c r="BV39" s="1536" t="n">
        <f aca="false">IF($I39=4,$Q39,0)*BQ39</f>
        <v>0</v>
      </c>
      <c r="BW39" s="1536" t="n">
        <f aca="false">IF($I39=5,$Q39,0)*BQ39</f>
        <v>0</v>
      </c>
      <c r="BX39" s="1537" t="n">
        <f aca="false">IF($I39=6,$Q39,0)*BQ39</f>
        <v>0</v>
      </c>
      <c r="BY39" s="1537" t="n">
        <f aca="false">IF($I39=7,$Q39,0)*BQ39</f>
        <v>0</v>
      </c>
      <c r="BZ39" s="1537" t="n">
        <f aca="false">IF($I39=8,$Q39,0)*BQ39</f>
        <v>0</v>
      </c>
      <c r="CA39" s="1537" t="n">
        <f aca="false">IF($I39=9,$Q39,0)*BQ39</f>
        <v>0</v>
      </c>
      <c r="CB39" s="1569" t="n">
        <f aca="false">IF($I39=10,$Q39,0)*BQ39</f>
        <v>0</v>
      </c>
      <c r="CC39" s="1538" t="n">
        <f aca="false">SUM(BS39:BX39)</f>
        <v>0</v>
      </c>
      <c r="CD39" s="1538" t="n">
        <f aca="false">IF(H39="N",0,D39)*BQ39</f>
        <v>0</v>
      </c>
      <c r="CE39" s="1538" t="n">
        <f aca="false">K39*BQ39</f>
        <v>0</v>
      </c>
      <c r="CF39" s="1542" t="n">
        <f aca="false">IF(W39="",0,LOOKUP(W39,B$49:B$59,D$49:D$59)*X39/12)</f>
        <v>0</v>
      </c>
      <c r="CG39" s="1542" t="n">
        <f aca="false">IF(Y39="",0,LOOKUP(Y39,B$49:B$59,D$49:D$59)*Z39/12)</f>
        <v>0</v>
      </c>
      <c r="CH39" s="1542" t="n">
        <f aca="false">IF(AA39="",0,LOOKUP(AA39,B$49:B$59,D$49:D$59)*AB39/12)</f>
        <v>0</v>
      </c>
      <c r="CI39" s="1538" t="n">
        <f aca="false">D39*BQ39</f>
        <v>0</v>
      </c>
      <c r="CJ39" s="1538" t="n">
        <f aca="false">D39*J39/324*(1+K$73)*G39</f>
        <v>0</v>
      </c>
      <c r="CK39" s="1538" t="str">
        <f aca="false">IF(N39="","",N39)</f>
        <v/>
      </c>
      <c r="CL39" s="1538" t="n">
        <f aca="false">P39*BQ39</f>
        <v>0</v>
      </c>
      <c r="CM39" s="1543" t="n">
        <f aca="false">IF(BQ39=0,0,SUM(CN39:DC39)/BQ39)</f>
        <v>0</v>
      </c>
      <c r="CN39" s="656" t="n">
        <f aca="false">(BS39*Pricing!F$3+BT39*Pricing!G$3+BU39*Pricing!H$3+BV39*Pricing!I$3+BW39*Pricing!J$3+BX39*Pricing!K$3)*IF(W$44="N",(1+Y$44),1)</f>
        <v>0</v>
      </c>
      <c r="CO39" s="656" t="n">
        <f aca="false">BN39*G$70*IF(W$44="n",1+Y$44,1)</f>
        <v>0</v>
      </c>
      <c r="CP39" s="656" t="n">
        <f aca="false">C39*D39</f>
        <v>0</v>
      </c>
      <c r="CQ39" s="656" t="n">
        <f aca="false">IF(I$79=0,0,D39*(SUM(O$79:P$82)+O$85)/I$79*BQ39)</f>
        <v>0</v>
      </c>
      <c r="CR39" s="656" t="n">
        <f aca="false">IF(CF39="",0,CF39*E$83)+IF(CG39="",0,CG39*E$83)+IF(CH39="",0,CH39*E$83)</f>
        <v>0</v>
      </c>
      <c r="CS39" s="656"/>
      <c r="CT39" s="656" t="n">
        <f aca="false">IF(I$87=0,0,(P39-(D39*0.35))/2000*E$87)</f>
        <v>0</v>
      </c>
      <c r="CU39" s="656" t="n">
        <f aca="false">IF(D$42=0,0,SUM(O$91:P$93)/D$42*D39)*BQ39</f>
        <v>0</v>
      </c>
      <c r="CV39" s="656" t="n">
        <f aca="false">IF(D$42=0,0,SUM(Z$66:Z$97)/D$42*D39*BQ39)</f>
        <v>0</v>
      </c>
      <c r="CW39" s="656" t="n">
        <f aca="false">IF(D$42=0,0,SUM(O$96:P$101)/D$42*D39)*BQ39</f>
        <v>0</v>
      </c>
      <c r="CX39" s="656" t="n">
        <f aca="false">IF(D$42=0,0,SUM(O$103:O$110)/D$42)*D39*BQ39</f>
        <v>0</v>
      </c>
      <c r="CY39" s="656" t="n">
        <f aca="false">IF(I$79=0,0,IF(I$79=0,0,SUM(Z$98:Z$109)/I$79*D39))</f>
        <v>0</v>
      </c>
      <c r="CZ39" s="656" t="n">
        <f aca="false">IF(J$72&gt;0,J$72/D$42*D39*G39,CD39*(G$72*IF(W$44="n",(1+Y$44),1)))</f>
        <v>0</v>
      </c>
      <c r="DA39" s="656" t="str">
        <f aca="false">IF(CK39="","",CK39*E$86)</f>
        <v/>
      </c>
      <c r="DB39" s="656" t="n">
        <f aca="false">BP39*G$71*IF(W$44="Y",1,1+Y$44)</f>
        <v>0</v>
      </c>
      <c r="DC39" s="656" t="n">
        <f aca="false">CJ39*G$73*IF(W$44="Y",1,1+Y$44)</f>
        <v>0</v>
      </c>
      <c r="DD39" s="1546"/>
      <c r="DE39" s="654" t="n">
        <f aca="false">IF(W39=1,X39*$AS$49,0)+IF(W39=2,X39*$AS$50,0)+IF(W39=3,X39*$AS$51,0)+IF(W39=4,X39*$AS$52,0)+IF(W39=5,X39*$AS$53,0)+IF(W39=6,X39*$AS$54)+IF(W39=7,X39*$AS$55)+IF(W39=8,X39*$AS$56)+IF(W39=9,X39*$AS$57)+IF(W39=10,X39*$AS$58)+IF(W39=11,X39*$AS$59,0)</f>
        <v>0</v>
      </c>
      <c r="DF39" s="654" t="n">
        <f aca="false">IF(Y39=1,Z39*$AS$49,0)+IF(Y39=2,Z39*$AS$50,0)+IF(Y39=3,Z39*$AS$51,0)+IF(Y39=4,Z39*$AS$52,0)+IF(Y39=5,Z39*$AS$53,0)+IF(Y39=6,Z39*$AS$54)+IF(Y39=7,Z39*$AS$55)+IF(Y39=8,Z39*$AS$56)+IF(Y39=9,Z39*$AS$57)+IF(Y39=10,Z39*$AS$58)+IF(Y39=11,Z39*$AS$59,0)</f>
        <v>0</v>
      </c>
      <c r="DG39" s="654" t="n">
        <f aca="false">IF(AA39=1,AB39*$AS$49,0)+IF(AA39=2,AB39*$AS$50,0)+IF(AA39=3,AB39*$AS$51,0)+IF(AA39=4,AB39*$AS$52,0)+IF(AA39=5,AB39*$AS$53,0)+IF(AA39=6,AB39*$AS$54)+IF(AA39=7,AB39*$AS$55)+IF(AA39=8,AB39*$AS$56)+IF(AA39=9,AB39*$AS$57)+IF(AA39=10,AB39*$AS$58)+IF(AA39=11,AB39*$AS$59,0)</f>
        <v>0</v>
      </c>
      <c r="DH39" s="654" t="n">
        <f aca="false">IF(AC39=1,AD39*$AS$49,0)+IF(AC39=2,AD39*$AS$50,0)+IF(AC39=3,AD39*$AS$51,0)+IF(AC39=4,AD39*$AS$52,0)+IF(AC39=5,AD39*$AS$53,0)+IF(AC39=6,AD39*$AS$54)+IF(AC39=7,AD39*$AS$55)+IF(AC39=8,AD39*$AS$56)+IF(AC39=9,AD39*$AS$57)+IF(AC39=10,AD39*$AS$58)+IF(AC39=11,AD39*$AS$59,0)</f>
        <v>0</v>
      </c>
      <c r="DI39" s="654" t="n">
        <f aca="false">IF(AE39=1,AF39*$AS$49,0)+IF(AE39=2,AF39*$AS$50,0)+IF(AE39=3,AF39*$AS$51,0)+IF(AE39=4,AF39*$AS$52,0)+IF(AE39=5,AF39*$AS$53,0)+IF(AE39=6,AF39*$AS$54)+IF(AE39=7,AF39*$AS$55)+IF(AE39=8,AF39*$AS$56)+IF(AE39=9,AF39*$AS$57)+IF(AE39=10,AF39*$AS$58)+IF(AE39=11,AF39*$AS$59,0)</f>
        <v>0</v>
      </c>
      <c r="DJ39" s="654" t="n">
        <f aca="false">IF(AG39=1,AH39*$AS$49,0)+IF(AG39=2,AH39*$AS$50,0)+IF(AG39=3,AH39*$AS$51,0)+IF(AG39=4,AH39*$AS$52,0)+IF(AG39=5,AH39*$AS$53,0)+IF(AG39=6,AH39*$AS$54)+IF(AG39=7,AH39*$AS$55)+IF(AG39=8,AH39*$AS$56)+IF(AG39=9,AH39*$AS$57)+IF(AG39=10,AH39*$AS$58)+IF(AG39=11,AH39*$AS$59,0)</f>
        <v>0</v>
      </c>
      <c r="DK39" s="654" t="n">
        <f aca="false">IF(AI39=1,AJ39*$AS$49,0)+IF(AI39=2,AJ39*$AS$50,0)+IF(AI39=3,AJ39*$AS$51,0)+IF(AI39=4,AJ39*$AS$52,0)+IF(AI39=5,AJ39*$AS$53,0)+IF(AI39=6,AJ39*$AS$54)+IF(AI39=7,AJ39*$AS$55)+IF(AI39=8,AJ39*$AS$56)+IF(AI39=9,AJ39*$AS$57)+IF(AI39=10,AJ39*$AS$58)+IF(AI39=11,AJ39*$AS$59,0)</f>
        <v>0</v>
      </c>
      <c r="DL39" s="654" t="n">
        <f aca="false">IF(AK39=1,AL39*$AS$49,0)+IF(AK39=2,AL39*$AS$50,0)+IF(AK39=3,AL39*$AS$51,0)+IF(AK39=4,AL39*$AS$52,0)+IF(AK39=5,AL39*$AS$53,0)+IF(AK39=6,AL39*$AS$54)+IF(AK39=7,AL39*$AS$55)+IF(AK39=8,AL39*$AS$56)+IF(AK39=9,AL39*$AS$57)+IF(AK39=10,AL39*$AS$58)+IF(AK39=11,AL39*$AS$59,0)</f>
        <v>0</v>
      </c>
      <c r="DM39" s="654" t="n">
        <f aca="false">IF(AM39=1,AN39*$AS$49,0)+IF(AM39=2,AN39*$AS$50,0)+IF(AM39=3,AN39*$AS$51,0)+IF(AM39=4,AN39*$AS$52,0)+IF(AM39=5,AN39*$AS$53,0)+IF(AM39=6,AN39*$AS$54)+IF(AM39=7,AN39*$AS$55)+IF(AM39=8,AN39*$AS$56)+IF(AM39=9,AN39*$AS$57)+IF(AM39=10,AN39*$AS$58)+IF(AM39=11,AN39*$AS$59,0)</f>
        <v>0</v>
      </c>
      <c r="DN39" s="654" t="n">
        <f aca="false">IF(AO39=1,AP39*$AS$49,0)+IF(AO39=2,AP39*$AS$50,0)+IF(AO39=3,AP39*$AS$51,0)+IF(AO39=4,AP39*$AS$52,0)+IF(AO39=5,AP39*$AS$53,0)+IF(AO39=6,AP39*$AS$54)+IF(AO39=7,AP39*$AS$55)+IF(AO39=8,AP39*$AS$56)+IF(AO39=9,AP39*$AS$57)+IF(AO39=10,AP39*$AS$58)+IF(AO39=11,AP39*$AS$59,0)</f>
        <v>0</v>
      </c>
      <c r="DO39" s="1569" t="n">
        <f aca="false">D39</f>
        <v>0</v>
      </c>
    </row>
    <row r="40" customFormat="false" ht="19.5" hidden="false" customHeight="true" outlineLevel="0" collapsed="false">
      <c r="A40" s="2672" t="s">
        <v>1585</v>
      </c>
      <c r="B40" s="920"/>
      <c r="C40" s="1550"/>
      <c r="D40" s="1586"/>
      <c r="E40" s="1587"/>
      <c r="F40" s="1074"/>
      <c r="G40" s="1553"/>
      <c r="H40" s="1074"/>
      <c r="I40" s="1553"/>
      <c r="J40" s="1597"/>
      <c r="K40" s="1583"/>
      <c r="L40" s="528"/>
      <c r="M40" s="895"/>
      <c r="N40" s="1513"/>
      <c r="O40" s="1514"/>
      <c r="P40" s="1515" t="n">
        <f aca="false">IF(BQ40=0,0,BN40/BQ40)</f>
        <v>0</v>
      </c>
      <c r="Q40" s="1516" t="n">
        <f aca="false">(D40*F40/324)*(1+K$65)+BB40</f>
        <v>0</v>
      </c>
      <c r="R40" s="1517" t="n">
        <f aca="false">IF(D40=0,0,S40/D40)</f>
        <v>0</v>
      </c>
      <c r="S40" s="1518" t="n">
        <f aca="false">SUM(CM40)*(1+M$45)</f>
        <v>0</v>
      </c>
      <c r="T40" s="1519" t="n">
        <f aca="false">ROUND((CF40+CG40+CH40),0)</f>
        <v>0</v>
      </c>
      <c r="U40" s="1520" t="n">
        <f aca="false">IF(P40-(D40*0.45)&lt;0,0,P40-(D40*0.45))</f>
        <v>0</v>
      </c>
      <c r="V40" s="1521" t="n">
        <f aca="false">IF(D40="",0,IF(D40/-30+Q40&lt;1,0,D40/-30+Q40))</f>
        <v>0</v>
      </c>
      <c r="W40" s="528"/>
      <c r="X40" s="895"/>
      <c r="Y40" s="528"/>
      <c r="Z40" s="1574"/>
      <c r="AA40" s="528"/>
      <c r="AB40" s="1574"/>
      <c r="AC40" s="1593"/>
      <c r="AD40" s="1591"/>
      <c r="AE40" s="528"/>
      <c r="AF40" s="895"/>
      <c r="AG40" s="1593"/>
      <c r="AH40" s="895"/>
      <c r="AI40" s="528"/>
      <c r="AJ40" s="895"/>
      <c r="AK40" s="528"/>
      <c r="AL40" s="895"/>
      <c r="AM40" s="528"/>
      <c r="AN40" s="1574"/>
      <c r="AO40" s="528"/>
      <c r="AP40" s="1574"/>
      <c r="AQ40" s="654"/>
      <c r="AR40" s="1533" t="str">
        <f aca="false">IF(W40="","",LOOKUP(W40,$B$49:$B$59,$R$49:$R$59)*X40)</f>
        <v/>
      </c>
      <c r="AS40" s="1430" t="str">
        <f aca="false">IF(Y40="","",LOOKUP(Y40,$B$49:$B$59,$R$49:$R$59)*Z40)</f>
        <v/>
      </c>
      <c r="AT40" s="1430" t="str">
        <f aca="false">IF(AB40="","",LOOKUP(AA40,$B$49:$B$59,$R$49:$R$59)*AB40)</f>
        <v/>
      </c>
      <c r="AU40" s="1430" t="str">
        <f aca="false">IF(AC40="","",LOOKUP(AC40,$B$49:$B$59,$R$49:$R$59)*AD40)</f>
        <v/>
      </c>
      <c r="AV40" s="1430" t="str">
        <f aca="false">IF(AE40="","",LOOKUP(AE40,$B$49:$B$59,$R$49:$R$59)*AF40)</f>
        <v/>
      </c>
      <c r="AW40" s="1430" t="str">
        <f aca="false">IF(AG40="","",LOOKUP(AG40,$B$49:$B$59,$R$49:$R$59)*AH40)</f>
        <v/>
      </c>
      <c r="AX40" s="1430" t="str">
        <f aca="false">IF(AI40="","",LOOKUP(AI40,$B$49:$B$59,$R$49:$R$59)*AJ40)</f>
        <v/>
      </c>
      <c r="AY40" s="1430" t="str">
        <f aca="false">IF(AK40="","",LOOKUP(AK40,$B$49:$B$59,$R$49:$R$59)*AL40)</f>
        <v/>
      </c>
      <c r="AZ40" s="1430" t="str">
        <f aca="false">IF(AM40="","",LOOKUP(AM40,$B$49:$B$59,$R$49:$R$59)*AN40)</f>
        <v/>
      </c>
      <c r="BA40" s="1430" t="str">
        <f aca="false">IF(AO40="","",LOOKUP(AO40,$B$49:$B$59,$R$49:$R$59)*AP40)</f>
        <v/>
      </c>
      <c r="BB40" s="1535" t="n">
        <f aca="false">SUM(AR40:BA40)</f>
        <v>0</v>
      </c>
      <c r="BC40" s="1533" t="str">
        <f aca="false">IF(W40="","",LOOKUP(W40,$B$49:$B$59,$P$49:$P$59)*X40)</f>
        <v/>
      </c>
      <c r="BD40" s="654" t="str">
        <f aca="false">IF(Y40="","",LOOKUP(Y40,$B$49:$B$59,$P$49:$P$59)*Z40)</f>
        <v/>
      </c>
      <c r="BE40" s="1430" t="str">
        <f aca="false">IF(AA40="","",LOOKUP(AA40,$B$49:$B$59,$P$49:$P$59)*AB40)</f>
        <v/>
      </c>
      <c r="BF40" s="654" t="str">
        <f aca="false">IF(AC40="","",LOOKUP(AC40,$B$49:$B$59,$P$49:$P$59)*AD40)</f>
        <v/>
      </c>
      <c r="BG40" s="654" t="str">
        <f aca="false">IF(AE40="","",LOOKUP(AE40,$B$49:$B$59,$P$49:$P$59)*AF40)</f>
        <v/>
      </c>
      <c r="BH40" s="654" t="str">
        <f aca="false">IF(AG40="","",LOOKUP(AG40,$B$49:$B$59,$P$49:$P$59)*AH40)</f>
        <v/>
      </c>
      <c r="BI40" s="654" t="str">
        <f aca="false">IF(AI40="","",LOOKUP(AI40,$B$49:$B$59,$P$49:$P$59)*AJ40)</f>
        <v/>
      </c>
      <c r="BJ40" s="654" t="str">
        <f aca="false">IF(AK40="","",LOOKUP(AK40,$B$49:$B$59,$P$49:$P$59)*AL40)</f>
        <v/>
      </c>
      <c r="BK40" s="654" t="str">
        <f aca="false">IF(AM40="","",LOOKUP(AM40,$B$49:$B$59,$P$49:$P$59)*AN40)</f>
        <v/>
      </c>
      <c r="BL40" s="654" t="str">
        <f aca="false">IF(AO40="","",LOOKUP(AO40,$B$49:$B$59,$P$49:$P$59)*AP40)</f>
        <v/>
      </c>
      <c r="BM40" s="1584" t="n">
        <f aca="false">SUM(BC40:BL40)*BQ40</f>
        <v>0</v>
      </c>
      <c r="BN40" s="1536" t="n">
        <f aca="false">BM40+BO40</f>
        <v>0</v>
      </c>
      <c r="BO40" s="1536" t="n">
        <f aca="false">IF(M40=0,0,(M40/12+M40/12)/(M40/12*M40/12)*D40*((L40/16*L40/16)*10.6870159))*(1+K$70)*BQ40</f>
        <v>0</v>
      </c>
      <c r="BP40" s="1536" t="n">
        <f aca="false">IF(O40="Y",D40*(1+K$71)*BQ40,0)</f>
        <v>0</v>
      </c>
      <c r="BQ40" s="1538" t="n">
        <f aca="false">G40</f>
        <v>0</v>
      </c>
      <c r="BR40" s="1411" t="n">
        <f aca="false">IF(O40="y",D40,0)</f>
        <v>0</v>
      </c>
      <c r="BS40" s="1567" t="n">
        <f aca="false">IF($I40=1,$Q40,0)*BQ40</f>
        <v>0</v>
      </c>
      <c r="BT40" s="1536" t="n">
        <f aca="false">IF($I40=2,$Q40,0)*BQ40</f>
        <v>0</v>
      </c>
      <c r="BU40" s="1536" t="n">
        <f aca="false">IF($I40=3,$Q40,0)*BQ40</f>
        <v>0</v>
      </c>
      <c r="BV40" s="1536" t="n">
        <f aca="false">IF($I40=4,$Q40,0)*BQ40</f>
        <v>0</v>
      </c>
      <c r="BW40" s="1536" t="n">
        <f aca="false">IF($I40=5,$Q40,0)*BQ40</f>
        <v>0</v>
      </c>
      <c r="BX40" s="1537" t="n">
        <f aca="false">IF($I40=6,$Q40,0)*BQ40</f>
        <v>0</v>
      </c>
      <c r="BY40" s="1537" t="n">
        <f aca="false">IF($I40=7,$Q40,0)*BQ40</f>
        <v>0</v>
      </c>
      <c r="BZ40" s="1537" t="n">
        <f aca="false">IF($I40=8,$Q40,0)*BQ40</f>
        <v>0</v>
      </c>
      <c r="CA40" s="1537" t="n">
        <f aca="false">IF($I40=9,$Q40,0)*BQ40</f>
        <v>0</v>
      </c>
      <c r="CB40" s="1569" t="n">
        <f aca="false">IF($I40=10,$Q40,0)*BQ40</f>
        <v>0</v>
      </c>
      <c r="CC40" s="1538" t="n">
        <f aca="false">SUM(BS40:BX40)</f>
        <v>0</v>
      </c>
      <c r="CD40" s="1538" t="n">
        <f aca="false">IF(H40="N",0,D40)*BQ40</f>
        <v>0</v>
      </c>
      <c r="CE40" s="1538" t="n">
        <f aca="false">K40*BQ40</f>
        <v>0</v>
      </c>
      <c r="CF40" s="1542" t="n">
        <f aca="false">IF(W40="",0,LOOKUP(W40,B$49:B$59,D$49:D$59)*X40/12)</f>
        <v>0</v>
      </c>
      <c r="CG40" s="1542" t="n">
        <f aca="false">IF(Y40="",0,LOOKUP(Y40,B$49:B$59,D$49:D$59)*Z40/12)</f>
        <v>0</v>
      </c>
      <c r="CH40" s="1542" t="n">
        <f aca="false">IF(AA40="",0,LOOKUP(AA40,B$49:B$59,D$49:D$59)*AB40/12)</f>
        <v>0</v>
      </c>
      <c r="CI40" s="1538" t="n">
        <f aca="false">D40*BQ40</f>
        <v>0</v>
      </c>
      <c r="CJ40" s="1538" t="n">
        <f aca="false">D40*J40/324*(1+K$73)*G40</f>
        <v>0</v>
      </c>
      <c r="CK40" s="1538" t="str">
        <f aca="false">IF(N40="","",N40)</f>
        <v/>
      </c>
      <c r="CL40" s="1538" t="n">
        <f aca="false">P40*BQ40</f>
        <v>0</v>
      </c>
      <c r="CM40" s="1543" t="n">
        <f aca="false">IF(BQ40=0,0,SUM(CN40:DC40)/BQ40)</f>
        <v>0</v>
      </c>
      <c r="CN40" s="656" t="n">
        <f aca="false">(BS40*Pricing!F$3+BT40*Pricing!G$3+BU40*Pricing!H$3+BV40*Pricing!I$3+BW40*Pricing!J$3+BX40*Pricing!K$3)*IF(W$44="N",(1+Y$44),1)</f>
        <v>0</v>
      </c>
      <c r="CO40" s="656" t="n">
        <f aca="false">BN40*G$70*IF(W$44="n",1+Y$44,1)</f>
        <v>0</v>
      </c>
      <c r="CP40" s="656" t="n">
        <f aca="false">C40*D40</f>
        <v>0</v>
      </c>
      <c r="CQ40" s="656" t="n">
        <f aca="false">IF(I$79=0,0,D40*(SUM(O$79:P$82)+O$85)/I$79*BQ40)</f>
        <v>0</v>
      </c>
      <c r="CR40" s="656" t="n">
        <f aca="false">IF(CF40="",0,CF40*E$83)+IF(CG40="",0,CG40*E$83)+IF(CH40="",0,CH40*E$83)</f>
        <v>0</v>
      </c>
      <c r="CS40" s="656"/>
      <c r="CT40" s="656" t="n">
        <f aca="false">IF(I$87=0,0,(P40-(D40*0.35))/2000*E$87)</f>
        <v>0</v>
      </c>
      <c r="CU40" s="656" t="n">
        <f aca="false">IF(D$42=0,0,SUM(O$91:P$93)/D$42*D40)*BQ40</f>
        <v>0</v>
      </c>
      <c r="CV40" s="656" t="n">
        <f aca="false">IF(D$42=0,0,SUM(Z$66:Z$97)/D$42*D40*BQ40)</f>
        <v>0</v>
      </c>
      <c r="CW40" s="656" t="n">
        <f aca="false">IF(D$42=0,0,SUM(O$96:P$101)/D$42*D40)*BQ40</f>
        <v>0</v>
      </c>
      <c r="CX40" s="656" t="n">
        <f aca="false">IF(D$42=0,0,SUM(O$103:O$110)/D$42)*D40*BQ40</f>
        <v>0</v>
      </c>
      <c r="CY40" s="656" t="n">
        <f aca="false">IF(I$79=0,0,IF(I$79=0,0,SUM(Z$98:Z$109)/I$79*D40))</f>
        <v>0</v>
      </c>
      <c r="CZ40" s="656" t="n">
        <f aca="false">IF(J$72&gt;0,J$72/D$42*D40*G40,CD40*(G$72*IF(W$44="n",(1+Y$44),1)))</f>
        <v>0</v>
      </c>
      <c r="DA40" s="656" t="str">
        <f aca="false">IF(CK40="","",CK40*E$86)</f>
        <v/>
      </c>
      <c r="DB40" s="656" t="n">
        <f aca="false">BP40*G$71*IF(W$44="Y",1,1+Y$44)</f>
        <v>0</v>
      </c>
      <c r="DC40" s="656" t="n">
        <f aca="false">CJ40*G$73*IF(W$44="Y",1,1+Y$44)</f>
        <v>0</v>
      </c>
      <c r="DD40" s="1546"/>
      <c r="DE40" s="654" t="n">
        <f aca="false">IF(W40=1,X40*$AS$49,0)+IF(W40=2,X40*$AS$50,0)+IF(W40=3,X40*$AS$51,0)+IF(W40=4,X40*$AS$52,0)+IF(W40=5,X40*$AS$53,0)+IF(W40=6,X40*$AS$54)+IF(W40=7,X40*$AS$55)+IF(W40=8,X40*$AS$56)+IF(W40=9,X40*$AS$57)+IF(W40=10,X40*$AS$58)+IF(W40=11,X40*$AS$59,0)</f>
        <v>0</v>
      </c>
      <c r="DF40" s="654" t="n">
        <f aca="false">IF(Y40=1,Z40*$AS$49,0)+IF(Y40=2,Z40*$AS$50,0)+IF(Y40=3,Z40*$AS$51,0)+IF(Y40=4,Z40*$AS$52,0)+IF(Y40=5,Z40*$AS$53,0)+IF(Y40=6,Z40*$AS$54)+IF(Y40=7,Z40*$AS$55)+IF(Y40=8,Z40*$AS$56)+IF(Y40=9,Z40*$AS$57)+IF(Y40=10,Z40*$AS$58)+IF(Y40=11,Z40*$AS$59,0)</f>
        <v>0</v>
      </c>
      <c r="DG40" s="654" t="n">
        <f aca="false">IF(AA40=1,AB40*$AS$49,0)+IF(AA40=2,AB40*$AS$50,0)+IF(AA40=3,AB40*$AS$51,0)+IF(AA40=4,AB40*$AS$52,0)+IF(AA40=5,AB40*$AS$53,0)+IF(AA40=6,AB40*$AS$54)+IF(AA40=7,AB40*$AS$55)+IF(AA40=8,AB40*$AS$56)+IF(AA40=9,AB40*$AS$57)+IF(AA40=10,AB40*$AS$58)+IF(AA40=11,AB40*$AS$59,0)</f>
        <v>0</v>
      </c>
      <c r="DH40" s="654" t="n">
        <f aca="false">IF(AC40=1,AD40*$AS$49,0)+IF(AC40=2,AD40*$AS$50,0)+IF(AC40=3,AD40*$AS$51,0)+IF(AC40=4,AD40*$AS$52,0)+IF(AC40=5,AD40*$AS$53,0)+IF(AC40=6,AD40*$AS$54)+IF(AC40=7,AD40*$AS$55)+IF(AC40=8,AD40*$AS$56)+IF(AC40=9,AD40*$AS$57)+IF(AC40=10,AD40*$AS$58)+IF(AC40=11,AD40*$AS$59,0)</f>
        <v>0</v>
      </c>
      <c r="DI40" s="654" t="n">
        <f aca="false">IF(AE40=1,AF40*$AS$49,0)+IF(AE40=2,AF40*$AS$50,0)+IF(AE40=3,AF40*$AS$51,0)+IF(AE40=4,AF40*$AS$52,0)+IF(AE40=5,AF40*$AS$53,0)+IF(AE40=6,AF40*$AS$54)+IF(AE40=7,AF40*$AS$55)+IF(AE40=8,AF40*$AS$56)+IF(AE40=9,AF40*$AS$57)+IF(AE40=10,AF40*$AS$58)+IF(AE40=11,AF40*$AS$59,0)</f>
        <v>0</v>
      </c>
      <c r="DJ40" s="654" t="n">
        <f aca="false">IF(AG40=1,AH40*$AS$49,0)+IF(AG40=2,AH40*$AS$50,0)+IF(AG40=3,AH40*$AS$51,0)+IF(AG40=4,AH40*$AS$52,0)+IF(AG40=5,AH40*$AS$53,0)+IF(AG40=6,AH40*$AS$54)+IF(AG40=7,AH40*$AS$55)+IF(AG40=8,AH40*$AS$56)+IF(AG40=9,AH40*$AS$57)+IF(AG40=10,AH40*$AS$58)+IF(AG40=11,AH40*$AS$59,0)</f>
        <v>0</v>
      </c>
      <c r="DK40" s="654" t="n">
        <f aca="false">IF(AI40=1,AJ40*$AS$49,0)+IF(AI40=2,AJ40*$AS$50,0)+IF(AI40=3,AJ40*$AS$51,0)+IF(AI40=4,AJ40*$AS$52,0)+IF(AI40=5,AJ40*$AS$53,0)+IF(AI40=6,AJ40*$AS$54)+IF(AI40=7,AJ40*$AS$55)+IF(AI40=8,AJ40*$AS$56)+IF(AI40=9,AJ40*$AS$57)+IF(AI40=10,AJ40*$AS$58)+IF(AI40=11,AJ40*$AS$59,0)</f>
        <v>0</v>
      </c>
      <c r="DL40" s="654" t="n">
        <f aca="false">IF(AK40=1,AL40*$AS$49,0)+IF(AK40=2,AL40*$AS$50,0)+IF(AK40=3,AL40*$AS$51,0)+IF(AK40=4,AL40*$AS$52,0)+IF(AK40=5,AL40*$AS$53,0)+IF(AK40=6,AL40*$AS$54)+IF(AK40=7,AL40*$AS$55)+IF(AK40=8,AL40*$AS$56)+IF(AK40=9,AL40*$AS$57)+IF(AK40=10,AL40*$AS$58)+IF(AK40=11,AL40*$AS$59,0)</f>
        <v>0</v>
      </c>
      <c r="DM40" s="654" t="n">
        <f aca="false">IF(AM40=1,AN40*$AS$49,0)+IF(AM40=2,AN40*$AS$50,0)+IF(AM40=3,AN40*$AS$51,0)+IF(AM40=4,AN40*$AS$52,0)+IF(AM40=5,AN40*$AS$53,0)+IF(AM40=6,AN40*$AS$54)+IF(AM40=7,AN40*$AS$55)+IF(AM40=8,AN40*$AS$56)+IF(AM40=9,AN40*$AS$57)+IF(AM40=10,AN40*$AS$58)+IF(AM40=11,AN40*$AS$59,0)</f>
        <v>0</v>
      </c>
      <c r="DN40" s="654" t="n">
        <f aca="false">IF(AO40=1,AP40*$AS$49,0)+IF(AO40=2,AP40*$AS$50,0)+IF(AO40=3,AP40*$AS$51,0)+IF(AO40=4,AP40*$AS$52,0)+IF(AO40=5,AP40*$AS$53,0)+IF(AO40=6,AP40*$AS$54)+IF(AO40=7,AP40*$AS$55)+IF(AO40=8,AP40*$AS$56)+IF(AO40=9,AP40*$AS$57)+IF(AO40=10,AP40*$AS$58)+IF(AO40=11,AP40*$AS$59,0)</f>
        <v>0</v>
      </c>
      <c r="DO40" s="1569" t="n">
        <f aca="false">D40</f>
        <v>0</v>
      </c>
    </row>
    <row r="41" customFormat="false" ht="19.5" hidden="false" customHeight="true" outlineLevel="0" collapsed="false">
      <c r="A41" s="2672" t="s">
        <v>1586</v>
      </c>
      <c r="B41" s="1599"/>
      <c r="C41" s="1600"/>
      <c r="D41" s="1601"/>
      <c r="E41" s="1602"/>
      <c r="F41" s="1603"/>
      <c r="G41" s="1604"/>
      <c r="H41" s="1605"/>
      <c r="I41" s="1606"/>
      <c r="J41" s="1607"/>
      <c r="K41" s="1608"/>
      <c r="L41" s="1605"/>
      <c r="M41" s="1609"/>
      <c r="N41" s="1610"/>
      <c r="O41" s="1611"/>
      <c r="P41" s="1612" t="n">
        <f aca="false">IF(BQ41=0,0,BN41/BQ41)</f>
        <v>0</v>
      </c>
      <c r="Q41" s="1613" t="n">
        <f aca="false">(D41*F41/324)*(1+K$65)+BB41</f>
        <v>0</v>
      </c>
      <c r="R41" s="1614" t="n">
        <f aca="false">IF(D41=0,0,S41/D41)</f>
        <v>0</v>
      </c>
      <c r="S41" s="1518" t="n">
        <f aca="false">SUM(CM41)*(1+M$45)</f>
        <v>0</v>
      </c>
      <c r="T41" s="1519" t="n">
        <f aca="false">ROUND((CF41+CG41+CH41),0)</f>
        <v>0</v>
      </c>
      <c r="U41" s="1520" t="n">
        <f aca="false">IF(P41-(D41*0.45)&lt;0,0,P41-(D41*0.45))</f>
        <v>0</v>
      </c>
      <c r="V41" s="1521" t="n">
        <f aca="false">IF(D41="",0,IF(D41/-30+Q41&lt;1,0,D41/-30+Q41))</f>
        <v>0</v>
      </c>
      <c r="W41" s="1605"/>
      <c r="X41" s="1609"/>
      <c r="Y41" s="1605"/>
      <c r="Z41" s="1615"/>
      <c r="AA41" s="1605"/>
      <c r="AB41" s="1615"/>
      <c r="AC41" s="1605"/>
      <c r="AD41" s="1609"/>
      <c r="AE41" s="1605"/>
      <c r="AF41" s="1609"/>
      <c r="AG41" s="1605"/>
      <c r="AH41" s="1609"/>
      <c r="AI41" s="1605"/>
      <c r="AJ41" s="1609"/>
      <c r="AK41" s="1605"/>
      <c r="AL41" s="1609"/>
      <c r="AM41" s="1605"/>
      <c r="AN41" s="1615"/>
      <c r="AO41" s="1605"/>
      <c r="AP41" s="1615"/>
      <c r="AQ41" s="654"/>
      <c r="AR41" s="1533" t="str">
        <f aca="false">IF(W41="","",LOOKUP(W41,$B$49:$B$59,$R$49:$R$59)*X41)</f>
        <v/>
      </c>
      <c r="AS41" s="1616" t="str">
        <f aca="false">IF(Y41="","",LOOKUP(Y41,$B$49:$B$59,$R$49:$R$59)*Z41)</f>
        <v/>
      </c>
      <c r="AT41" s="1616" t="str">
        <f aca="false">IF(AB41="","",LOOKUP(AA41,$B$49:$B$59,$R$49:$R$59)*AB41)</f>
        <v/>
      </c>
      <c r="AU41" s="1616" t="str">
        <f aca="false">IF(AC41="","",LOOKUP(AC41,$B$49:$B$59,$R$49:$R$59)*AD41)</f>
        <v/>
      </c>
      <c r="AV41" s="1616" t="str">
        <f aca="false">IF(AE41="","",LOOKUP(AE41,$B$49:$B$59,$R$49:$R$59)*AF41)</f>
        <v/>
      </c>
      <c r="AW41" s="1616" t="str">
        <f aca="false">IF(AG41="","",LOOKUP(AG41,$B$49:$B$59,$R$49:$R$59)*AH41)</f>
        <v/>
      </c>
      <c r="AX41" s="1616" t="str">
        <f aca="false">IF(AI41="","",LOOKUP(AI41,$B$49:$B$59,$R$49:$R$59)*AJ41)</f>
        <v/>
      </c>
      <c r="AY41" s="1616" t="str">
        <f aca="false">IF(AK41="","",LOOKUP(AK41,$B$49:$B$59,$R$49:$R$59)*AL41)</f>
        <v/>
      </c>
      <c r="AZ41" s="1616" t="str">
        <f aca="false">IF(AM41="","",LOOKUP(AM41,$B$49:$B$59,$R$49:$R$59)*AN41)</f>
        <v/>
      </c>
      <c r="BA41" s="1616" t="str">
        <f aca="false">IF(AO41="","",LOOKUP(AO41,$B$49:$B$59,$R$49:$R$59)*AP41)</f>
        <v/>
      </c>
      <c r="BB41" s="1617" t="n">
        <f aca="false">SUM(AR41:BA41)</f>
        <v>0</v>
      </c>
      <c r="BC41" s="1618" t="str">
        <f aca="false">IF(W41="","",LOOKUP(W41,$B$49:$B$59,$P$49:$P$59)*X41)</f>
        <v/>
      </c>
      <c r="BD41" s="726" t="str">
        <f aca="false">IF(Y41="","",LOOKUP(Y41,$B$49:$B$59,$P$49:$P$59)*Z41)</f>
        <v/>
      </c>
      <c r="BE41" s="1616" t="str">
        <f aca="false">IF(AA41="","",LOOKUP(AA41,$B$49:$B$59,$P$49:$P$59)*AB41)</f>
        <v/>
      </c>
      <c r="BF41" s="726" t="str">
        <f aca="false">IF(AC41="","",LOOKUP(AC41,$B$49:$B$59,$P$49:$P$59)*AD41)</f>
        <v/>
      </c>
      <c r="BG41" s="726" t="str">
        <f aca="false">IF(AE41="","",LOOKUP(AE41,$B$49:$B$59,$P$49:$P$59)*AF41)</f>
        <v/>
      </c>
      <c r="BH41" s="726" t="str">
        <f aca="false">IF(AG41="","",LOOKUP(AG41,$B$49:$B$59,$P$49:$P$59)*AH41)</f>
        <v/>
      </c>
      <c r="BI41" s="726" t="str">
        <f aca="false">IF(AI41="","",LOOKUP(AI41,$B$49:$B$59,$P$49:$P$59)*AJ41)</f>
        <v/>
      </c>
      <c r="BJ41" s="726" t="str">
        <f aca="false">IF(AK41="","",LOOKUP(AK41,$B$49:$B$59,$P$49:$P$59)*AL41)</f>
        <v/>
      </c>
      <c r="BK41" s="726" t="str">
        <f aca="false">IF(AM41="","",LOOKUP(AM41,$B$49:$B$59,$P$49:$P$59)*AN41)</f>
        <v/>
      </c>
      <c r="BL41" s="726" t="str">
        <f aca="false">IF(AO41="","",LOOKUP(AO41,$B$49:$B$59,$P$49:$P$59)*AP41)</f>
        <v/>
      </c>
      <c r="BM41" s="1619" t="n">
        <f aca="false">SUM(BC41:BL41)*BQ41</f>
        <v>0</v>
      </c>
      <c r="BN41" s="1536" t="n">
        <f aca="false">BM41+BO41</f>
        <v>0</v>
      </c>
      <c r="BO41" s="1536" t="n">
        <f aca="false">IF(M41=0,0,(M41/12+M41/12)/(M41/12*M41/12)*D41*((L41/16*L41/16)*10.6870159))*(1+K$70)*BQ41</f>
        <v>0</v>
      </c>
      <c r="BP41" s="1536" t="n">
        <f aca="false">IF(O41="Y",D41*(1+K$71)*BQ41,0)</f>
        <v>0</v>
      </c>
      <c r="BQ41" s="1538" t="n">
        <f aca="false">G41</f>
        <v>0</v>
      </c>
      <c r="BR41" s="1411" t="n">
        <f aca="false">IF(O41="y",D41,0)</f>
        <v>0</v>
      </c>
      <c r="BS41" s="1620" t="n">
        <f aca="false">IF($I41=1,$Q41,0)*BQ41</f>
        <v>0</v>
      </c>
      <c r="BT41" s="1621" t="n">
        <f aca="false">IF($I41=2,$Q41,0)*BQ41</f>
        <v>0</v>
      </c>
      <c r="BU41" s="1621" t="n">
        <f aca="false">IF($I41=3,$Q41,0)*BQ41</f>
        <v>0</v>
      </c>
      <c r="BV41" s="1621" t="n">
        <f aca="false">IF($I41=4,$Q41,0)*BQ41</f>
        <v>0</v>
      </c>
      <c r="BW41" s="1621" t="n">
        <f aca="false">IF($I41=5,$Q41,0)*BQ41</f>
        <v>0</v>
      </c>
      <c r="BX41" s="1621" t="n">
        <f aca="false">IF($I41=6,$Q41,0)*BQ41</f>
        <v>0</v>
      </c>
      <c r="BY41" s="1621" t="n">
        <f aca="false">IF($I41=7,$Q41,0)*BQ41</f>
        <v>0</v>
      </c>
      <c r="BZ41" s="1621" t="n">
        <f aca="false">IF($I41=8,$Q41,0)*BQ41</f>
        <v>0</v>
      </c>
      <c r="CA41" s="1621" t="n">
        <f aca="false">IF($I41=9,$Q41,0)*BQ41</f>
        <v>0</v>
      </c>
      <c r="CB41" s="1621" t="n">
        <f aca="false">IF($I41=10,$Q41,0)*BQ41</f>
        <v>0</v>
      </c>
      <c r="CC41" s="1538" t="n">
        <f aca="false">SUM(BS41:BX41)</f>
        <v>0</v>
      </c>
      <c r="CD41" s="1538" t="n">
        <f aca="false">IF(H41="N",0,D41)*BQ41</f>
        <v>0</v>
      </c>
      <c r="CE41" s="1538" t="n">
        <f aca="false">K41*BQ41</f>
        <v>0</v>
      </c>
      <c r="CF41" s="1542" t="n">
        <f aca="false">IF(W41="",0,LOOKUP(W41,B$49:B$59,D$49:D$59)*X41/12)</f>
        <v>0</v>
      </c>
      <c r="CG41" s="1542" t="n">
        <f aca="false">IF(Y41="",0,LOOKUP(Y41,B$49:B$59,D$49:D$59)*Z41/12)</f>
        <v>0</v>
      </c>
      <c r="CH41" s="1542" t="n">
        <f aca="false">IF(AA41="",0,LOOKUP(AA41,B$49:B$59,D$49:D$59)*AB41/12)</f>
        <v>0</v>
      </c>
      <c r="CI41" s="1538" t="n">
        <f aca="false">D41*BQ41</f>
        <v>0</v>
      </c>
      <c r="CJ41" s="1538" t="n">
        <f aca="false">D41*J41/324*(1+K$73)*G41</f>
        <v>0</v>
      </c>
      <c r="CK41" s="1538" t="str">
        <f aca="false">IF(N41="","",N41)</f>
        <v/>
      </c>
      <c r="CL41" s="1538" t="n">
        <f aca="false">P41*BQ41</f>
        <v>0</v>
      </c>
      <c r="CM41" s="1543" t="n">
        <f aca="false">IF(BQ41=0,0,SUM(CN41:DC41)/BQ41)</f>
        <v>0</v>
      </c>
      <c r="CN41" s="656" t="n">
        <f aca="false">(BS41*Pricing!F$3+BT41*Pricing!G$3+BU41*Pricing!H$3+BV41*Pricing!I$3+BW41*Pricing!J$3+BX41*Pricing!K$3)*IF(W$44="N",(1+Y$44),1)</f>
        <v>0</v>
      </c>
      <c r="CO41" s="656" t="n">
        <f aca="false">BN41*G$70*IF(W$44="n",1+Y$44,1)</f>
        <v>0</v>
      </c>
      <c r="CP41" s="656" t="n">
        <f aca="false">C41*D41</f>
        <v>0</v>
      </c>
      <c r="CQ41" s="656" t="n">
        <f aca="false">IF(I$79=0,0,D41*(SUM(O$79:P$82)+O$85)/I$79*BQ41)</f>
        <v>0</v>
      </c>
      <c r="CR41" s="656" t="n">
        <f aca="false">IF(CF41="",0,CF41*E$83)+IF(CG41="",0,CG41*E$83)+IF(CH41="",0,CH41*E$83)</f>
        <v>0</v>
      </c>
      <c r="CS41" s="656"/>
      <c r="CT41" s="656" t="n">
        <f aca="false">IF(I$87=0,0,(P41-(D41*0.35))/2000*E$87)</f>
        <v>0</v>
      </c>
      <c r="CU41" s="656" t="n">
        <f aca="false">IF(D$42=0,0,SUM(O$91:P$93)/D$42*D41)*BQ41</f>
        <v>0</v>
      </c>
      <c r="CV41" s="656" t="n">
        <f aca="false">IF(D$42=0,0,SUM(Z$66:Z$97)/D$42*D41*BQ41)</f>
        <v>0</v>
      </c>
      <c r="CW41" s="656" t="n">
        <f aca="false">IF(D$42=0,0,SUM(O$96:P$101)/D$42*D41)*BQ41</f>
        <v>0</v>
      </c>
      <c r="CX41" s="656" t="n">
        <f aca="false">IF(D$42=0,0,SUM(O$103:O$110)/D$42)*D41*BQ41</f>
        <v>0</v>
      </c>
      <c r="CY41" s="656" t="n">
        <f aca="false">IF(I$79=0,0,IF(I$79=0,0,SUM(Z$98:Z$109)/I$79*D41))</f>
        <v>0</v>
      </c>
      <c r="CZ41" s="656" t="n">
        <f aca="false">IF(J$72&gt;0,J$72/D$42*D41*G41,CD41*(G$72*IF(W$44="n",(1+Y$44),1)))</f>
        <v>0</v>
      </c>
      <c r="DA41" s="656" t="str">
        <f aca="false">IF(CK41="","",CK41*E$86)</f>
        <v/>
      </c>
      <c r="DB41" s="656" t="n">
        <f aca="false">BP41*G$71*IF(W$44="Y",1,1+Y$44)</f>
        <v>0</v>
      </c>
      <c r="DC41" s="656" t="n">
        <f aca="false">CJ41*G$73*IF(W$44="Y",1,1+Y$44)</f>
        <v>0</v>
      </c>
      <c r="DD41" s="1546"/>
      <c r="DE41" s="654" t="n">
        <f aca="false">IF(W41=1,X41*$AS$49,0)+IF(W41=2,X41*$AS$50,0)+IF(W41=3,X41*$AS$51,0)+IF(W41=4,X41*$AS$52,0)+IF(W41=5,X41*$AS$53,0)+IF(W41=6,X41*$AS$54)+IF(W41=7,X41*$AS$55)+IF(W41=8,X41*$AS$56)+IF(W41=9,X41*$AS$57)+IF(W41=10,X41*$AS$58)+IF(W41=11,X41*$AS$59,0)</f>
        <v>0</v>
      </c>
      <c r="DF41" s="654" t="n">
        <f aca="false">IF(Y41=1,Z41*$AS$49,0)+IF(Y41=2,Z41*$AS$50,0)+IF(Y41=3,Z41*$AS$51,0)+IF(Y41=4,Z41*$AS$52,0)+IF(Y41=5,Z41*$AS$53,0)+IF(Y41=6,Z41*$AS$54)+IF(Y41=7,Z41*$AS$55)+IF(Y41=8,Z41*$AS$56)+IF(Y41=9,Z41*$AS$57)+IF(Y41=10,Z41*$AS$58)+IF(Y41=11,Z41*$AS$59,0)</f>
        <v>0</v>
      </c>
      <c r="DG41" s="654" t="n">
        <f aca="false">IF(AA41=1,AB41*$AS$49,0)+IF(AA41=2,AB41*$AS$50,0)+IF(AA41=3,AB41*$AS$51,0)+IF(AA41=4,AB41*$AS$52,0)+IF(AA41=5,AB41*$AS$53,0)+IF(AA41=6,AB41*$AS$54)+IF(AA41=7,AB41*$AS$55)+IF(AA41=8,AB41*$AS$56)+IF(AA41=9,AB41*$AS$57)+IF(AA41=10,AB41*$AS$58)+IF(AA41=11,AB41*$AS$59,0)</f>
        <v>0</v>
      </c>
      <c r="DH41" s="654" t="n">
        <f aca="false">IF(AC41=1,AD41*$AS$49,0)+IF(AC41=2,AD41*$AS$50,0)+IF(AC41=3,AD41*$AS$51,0)+IF(AC41=4,AD41*$AS$52,0)+IF(AC41=5,AD41*$AS$53,0)+IF(AC41=6,AD41*$AS$54)+IF(AC41=7,AD41*$AS$55)+IF(AC41=8,AD41*$AS$56)+IF(AC41=9,AD41*$AS$57)+IF(AC41=10,AD41*$AS$58)+IF(AC41=11,AD41*$AS$59,0)</f>
        <v>0</v>
      </c>
      <c r="DI41" s="654" t="n">
        <f aca="false">IF(AE41=1,AF41*$AS$49,0)+IF(AE41=2,AF41*$AS$50,0)+IF(AE41=3,AF41*$AS$51,0)+IF(AE41=4,AF41*$AS$52,0)+IF(AE41=5,AF41*$AS$53,0)+IF(AE41=6,AF41*$AS$54)+IF(AE41=7,AF41*$AS$55)+IF(AE41=8,AF41*$AS$56)+IF(AE41=9,AF41*$AS$57)+IF(AE41=10,AF41*$AS$58)+IF(AE41=11,AF41*$AS$59,0)</f>
        <v>0</v>
      </c>
      <c r="DJ41" s="654" t="n">
        <f aca="false">IF(AG41=1,AH41*$AS$49,0)+IF(AG41=2,AH41*$AS$50,0)+IF(AG41=3,AH41*$AS$51,0)+IF(AG41=4,AH41*$AS$52,0)+IF(AG41=5,AH41*$AS$53,0)+IF(AG41=6,AH41*$AS$54)+IF(AG41=7,AH41*$AS$55)+IF(AG41=8,AH41*$AS$56)+IF(AG41=9,AH41*$AS$57)+IF(AG41=10,AH41*$AS$58)+IF(AG41=11,AH41*$AS$59,0)</f>
        <v>0</v>
      </c>
      <c r="DK41" s="654" t="n">
        <f aca="false">IF(AI41=1,AJ41*$AS$49,0)+IF(AI41=2,AJ41*$AS$50,0)+IF(AI41=3,AJ41*$AS$51,0)+IF(AI41=4,AJ41*$AS$52,0)+IF(AI41=5,AJ41*$AS$53,0)+IF(AI41=6,AJ41*$AS$54)+IF(AI41=7,AJ41*$AS$55)+IF(AI41=8,AJ41*$AS$56)+IF(AI41=9,AJ41*$AS$57)+IF(AI41=10,AJ41*$AS$58)+IF(AI41=11,AJ41*$AS$59,0)</f>
        <v>0</v>
      </c>
      <c r="DL41" s="654" t="n">
        <f aca="false">IF(AK41=1,AL41*$AS$49,0)+IF(AK41=2,AL41*$AS$50,0)+IF(AK41=3,AL41*$AS$51,0)+IF(AK41=4,AL41*$AS$52,0)+IF(AK41=5,AL41*$AS$53,0)+IF(AK41=6,AL41*$AS$54)+IF(AK41=7,AL41*$AS$55)+IF(AK41=8,AL41*$AS$56)+IF(AK41=9,AL41*$AS$57)+IF(AK41=10,AL41*$AS$58)+IF(AK41=11,AL41*$AS$59,0)</f>
        <v>0</v>
      </c>
      <c r="DM41" s="654" t="n">
        <f aca="false">IF(AM41=1,AN41*$AS$49,0)+IF(AM41=2,AN41*$AS$50,0)+IF(AM41=3,AN41*$AS$51,0)+IF(AM41=4,AN41*$AS$52,0)+IF(AM41=5,AN41*$AS$53,0)+IF(AM41=6,AN41*$AS$54)+IF(AM41=7,AN41*$AS$55)+IF(AM41=8,AN41*$AS$56)+IF(AM41=9,AN41*$AS$57)+IF(AM41=10,AN41*$AS$58)+IF(AM41=11,AN41*$AS$59,0)</f>
        <v>0</v>
      </c>
      <c r="DN41" s="654" t="n">
        <f aca="false">IF(AO41=1,AP41*$AS$49,0)+IF(AO41=2,AP41*$AS$50,0)+IF(AO41=3,AP41*$AS$51,0)+IF(AO41=4,AP41*$AS$52,0)+IF(AO41=5,AP41*$AS$53,0)+IF(AO41=6,AP41*$AS$54)+IF(AO41=7,AP41*$AS$55)+IF(AO41=8,AP41*$AS$56)+IF(AO41=9,AP41*$AS$57)+IF(AO41=10,AP41*$AS$58)+IF(AO41=11,AP41*$AS$59,0)</f>
        <v>0</v>
      </c>
      <c r="DO41" s="1569" t="n">
        <f aca="false">D41</f>
        <v>0</v>
      </c>
    </row>
    <row r="42" customFormat="false" ht="34.5" hidden="false" customHeight="true" outlineLevel="0" collapsed="false">
      <c r="A42" s="2672"/>
      <c r="B42" s="592"/>
      <c r="C42" s="5" t="s">
        <v>1587</v>
      </c>
      <c r="D42" s="1623" t="n">
        <f aca="false">SUM(CI42)</f>
        <v>0</v>
      </c>
      <c r="E42" s="1623"/>
      <c r="G42" s="405" t="n">
        <f aca="false">SUM(G10:G41)</f>
        <v>0</v>
      </c>
      <c r="H42" s="654"/>
      <c r="I42" s="654"/>
      <c r="J42" s="654"/>
      <c r="K42" s="1624" t="n">
        <f aca="false">SUM(K10:K41)</f>
        <v>0</v>
      </c>
      <c r="L42" s="654"/>
      <c r="M42" s="654"/>
      <c r="N42" s="654"/>
      <c r="O42" s="654"/>
      <c r="P42" s="654"/>
      <c r="Q42" s="1625" t="n">
        <f aca="false">ROUND(SUM(Q10:Q41),0)</f>
        <v>0</v>
      </c>
      <c r="R42" s="1626" t="n">
        <f aca="false">S42-E45</f>
        <v>0</v>
      </c>
      <c r="S42" s="656" t="n">
        <f aca="false">SUM(S10:S41)</f>
        <v>0</v>
      </c>
      <c r="T42" s="656"/>
      <c r="U42" s="656"/>
      <c r="V42" s="656"/>
      <c r="W42" s="1414"/>
      <c r="X42" s="1628" t="s">
        <v>1588</v>
      </c>
      <c r="Y42" s="1629"/>
      <c r="Z42" s="1537"/>
      <c r="AA42" s="1414"/>
      <c r="AB42" s="1414"/>
      <c r="AC42" s="1465"/>
      <c r="AD42" s="1630"/>
      <c r="AE42" s="246"/>
      <c r="AF42" s="246"/>
      <c r="AG42" s="1058"/>
      <c r="AH42" s="1058"/>
      <c r="AI42" s="1058"/>
      <c r="AJ42" s="1058"/>
      <c r="AK42" s="1058"/>
      <c r="AL42" s="726"/>
      <c r="AM42" s="1258"/>
      <c r="AN42" s="654"/>
      <c r="AO42" s="654"/>
      <c r="AP42" s="654"/>
      <c r="AQ42" s="654"/>
      <c r="AR42" s="654"/>
      <c r="AS42" s="654"/>
      <c r="AT42" s="654"/>
      <c r="AU42" s="654"/>
      <c r="AV42" s="654"/>
      <c r="AW42" s="654"/>
      <c r="AX42" s="654"/>
      <c r="AY42" s="654"/>
      <c r="AZ42" s="654"/>
      <c r="BA42" s="654"/>
      <c r="BB42" s="1536" t="n">
        <f aca="false">SUM(BB10:BB41)</f>
        <v>0</v>
      </c>
      <c r="BC42" s="654"/>
      <c r="BD42" s="654"/>
      <c r="BE42" s="654"/>
      <c r="BF42" s="654"/>
      <c r="BG42" s="654"/>
      <c r="BH42" s="654"/>
      <c r="BI42" s="654"/>
      <c r="BJ42" s="654"/>
      <c r="BK42" s="654"/>
      <c r="BL42" s="654"/>
      <c r="BM42" s="1536" t="n">
        <f aca="false">SUM(BM10:BM41)</f>
        <v>0</v>
      </c>
      <c r="BN42" s="1537" t="n">
        <f aca="false">SUM(BN10:BN41)</f>
        <v>0</v>
      </c>
      <c r="BO42" s="1536" t="n">
        <f aca="false">SUM(BO10:BO41)</f>
        <v>0</v>
      </c>
      <c r="BP42" s="654" t="n">
        <f aca="false">SUM(BP10:BP41)</f>
        <v>0</v>
      </c>
      <c r="BQ42" s="1538" t="n">
        <f aca="false">SUM(BQ10:BQ41)/2</f>
        <v>0</v>
      </c>
      <c r="BR42" s="1538" t="n">
        <f aca="false">SUM(BR10:BR41)</f>
        <v>0</v>
      </c>
      <c r="BS42" s="1430" t="n">
        <f aca="false">SUM(BS10:BS41)</f>
        <v>0</v>
      </c>
      <c r="BT42" s="1430" t="n">
        <f aca="false">SUM(BT10:BT41)</f>
        <v>0</v>
      </c>
      <c r="BU42" s="1430" t="n">
        <f aca="false">SUM(BU10:BU41)</f>
        <v>0</v>
      </c>
      <c r="BV42" s="1430" t="n">
        <f aca="false">SUM(BV10:BV41)</f>
        <v>0</v>
      </c>
      <c r="BW42" s="1430" t="n">
        <f aca="false">SUM(BW10:BW41)</f>
        <v>0</v>
      </c>
      <c r="BX42" s="1430" t="n">
        <f aca="false">SUM(BX10:BX41)</f>
        <v>0</v>
      </c>
      <c r="BY42" s="1430" t="n">
        <f aca="false">SUM(BY10:BY41)</f>
        <v>0</v>
      </c>
      <c r="BZ42" s="1430" t="n">
        <f aca="false">SUM(BZ10:BZ41)</f>
        <v>0</v>
      </c>
      <c r="CA42" s="1430" t="n">
        <f aca="false">SUM(CA10:CA41)</f>
        <v>0</v>
      </c>
      <c r="CB42" s="1430" t="n">
        <f aca="false">SUM(CB10:CB41)</f>
        <v>0</v>
      </c>
      <c r="CC42" s="1430" t="n">
        <f aca="false">SUM(CC10:CC41)</f>
        <v>0</v>
      </c>
      <c r="CD42" s="1430" t="n">
        <f aca="false">SUM(CD10:CD41)</f>
        <v>0</v>
      </c>
      <c r="CE42" s="1430" t="n">
        <f aca="false">SUM(CE10:CE41)</f>
        <v>0</v>
      </c>
      <c r="CF42" s="1430" t="n">
        <f aca="false">SUM(CF10:CF41)</f>
        <v>0</v>
      </c>
      <c r="CG42" s="1430" t="n">
        <f aca="false">SUM(CG10:CG41)</f>
        <v>0</v>
      </c>
      <c r="CH42" s="1537" t="n">
        <f aca="false">SUM(CH10:CH41)</f>
        <v>0</v>
      </c>
      <c r="CI42" s="1537" t="n">
        <f aca="false">SUM(CI10:CI41)</f>
        <v>0</v>
      </c>
      <c r="CJ42" s="1537" t="n">
        <f aca="false">SUM(CJ10:CJ41)</f>
        <v>0</v>
      </c>
      <c r="CK42" s="1537" t="n">
        <f aca="false">SUM(CK10:CK41)</f>
        <v>0</v>
      </c>
      <c r="CL42" s="1537" t="n">
        <f aca="false">SUM(CL10:CL41)</f>
        <v>0</v>
      </c>
      <c r="CM42" s="1631" t="n">
        <f aca="false">SUM(CM10:CM41)</f>
        <v>0</v>
      </c>
      <c r="CN42" s="1632" t="n">
        <f aca="false">SUM(CN10:CN41)</f>
        <v>0</v>
      </c>
      <c r="CO42" s="1632" t="n">
        <f aca="false">SUM(CO10:CO41)</f>
        <v>0</v>
      </c>
      <c r="CP42" s="1632" t="n">
        <f aca="false">SUM(CP10:CP41)</f>
        <v>0</v>
      </c>
      <c r="CQ42" s="1632" t="n">
        <f aca="false">SUM(CQ10:CQ41)</f>
        <v>0</v>
      </c>
      <c r="CR42" s="1632" t="n">
        <f aca="false">SUM(CR10:CR41)</f>
        <v>0</v>
      </c>
      <c r="CS42" s="1632" t="n">
        <f aca="false">SUM(CS10:CS41)</f>
        <v>0</v>
      </c>
      <c r="CT42" s="1632" t="n">
        <f aca="false">SUM(CT10:CT41)</f>
        <v>0</v>
      </c>
      <c r="CU42" s="1632" t="n">
        <f aca="false">SUM(CU10:CU41)</f>
        <v>0</v>
      </c>
      <c r="CV42" s="1632" t="n">
        <f aca="false">SUM(CV10:CV41)</f>
        <v>0</v>
      </c>
      <c r="CW42" s="1632" t="n">
        <f aca="false">SUM(CW10:CW41)</f>
        <v>0</v>
      </c>
      <c r="CX42" s="1632" t="n">
        <f aca="false">SUM(CX10:CX41)</f>
        <v>0</v>
      </c>
      <c r="CY42" s="1632" t="n">
        <f aca="false">SUM(CY10:CY41)</f>
        <v>0</v>
      </c>
      <c r="CZ42" s="1632" t="n">
        <f aca="false">SUM(CZ10:CZ41)</f>
        <v>0</v>
      </c>
      <c r="DA42" s="1632" t="n">
        <f aca="false">SUM(DA10:DA41)</f>
        <v>0</v>
      </c>
      <c r="DB42" s="1632" t="n">
        <f aca="false">SUM(DB10:DB41)</f>
        <v>0</v>
      </c>
      <c r="DC42" s="1632" t="n">
        <f aca="false">SUM(DB10:DC41)</f>
        <v>0</v>
      </c>
      <c r="DD42" s="1636" t="n">
        <f aca="false">SUM(DD10:DD41)</f>
        <v>0</v>
      </c>
      <c r="DE42" s="1637" t="n">
        <f aca="false">SUM(DE10:DE41)</f>
        <v>0</v>
      </c>
      <c r="DF42" s="1637" t="n">
        <f aca="false">SUM(DF10:DF41)</f>
        <v>0</v>
      </c>
      <c r="DG42" s="1637"/>
      <c r="DH42" s="1637" t="n">
        <f aca="false">SUM(DH10:DH41)</f>
        <v>0</v>
      </c>
      <c r="DI42" s="1637" t="n">
        <f aca="false">SUM(DI10:DI41)</f>
        <v>0</v>
      </c>
      <c r="DJ42" s="1637" t="n">
        <f aca="false">SUM(DJ10:DJ41)</f>
        <v>0</v>
      </c>
      <c r="DK42" s="1637" t="n">
        <f aca="false">SUM(DK10:DK41)</f>
        <v>0</v>
      </c>
      <c r="DL42" s="1637" t="n">
        <f aca="false">SUM(DL10:DL41)</f>
        <v>0</v>
      </c>
      <c r="DM42" s="1637" t="n">
        <f aca="false">SUM(DM10:DM41)</f>
        <v>0</v>
      </c>
      <c r="DN42" s="1637" t="n">
        <f aca="false">SUM(DN10:DN41)</f>
        <v>0</v>
      </c>
      <c r="DO42" s="1638" t="n">
        <f aca="false">SUM(DO10:DO41)</f>
        <v>0</v>
      </c>
    </row>
    <row r="43" customFormat="false" ht="19.5" hidden="false" customHeight="true" outlineLevel="0" collapsed="false">
      <c r="A43" s="2672"/>
      <c r="B43" s="949"/>
      <c r="C43" s="950"/>
      <c r="D43" s="951" t="s">
        <v>1261</v>
      </c>
      <c r="E43" s="1639"/>
      <c r="F43" s="1639"/>
      <c r="G43" s="950"/>
      <c r="H43" s="950"/>
      <c r="I43" s="950"/>
      <c r="J43" s="950"/>
      <c r="K43" s="950"/>
      <c r="L43" s="954"/>
      <c r="M43" s="950"/>
      <c r="N43" s="950"/>
      <c r="O43" s="950"/>
      <c r="P43" s="950"/>
      <c r="Q43" s="1640"/>
      <c r="R43" s="1640"/>
      <c r="S43" s="950"/>
      <c r="T43" s="950"/>
      <c r="U43" s="950"/>
      <c r="V43" s="950"/>
      <c r="W43" s="950"/>
      <c r="X43" s="950"/>
      <c r="Y43" s="950"/>
      <c r="Z43" s="1641"/>
      <c r="AH43" s="654"/>
      <c r="AI43" s="654"/>
      <c r="AJ43" s="654"/>
      <c r="AK43" s="654"/>
      <c r="AL43" s="654"/>
      <c r="AM43" s="654"/>
      <c r="AN43" s="654"/>
      <c r="AO43" s="654"/>
      <c r="AP43" s="654"/>
      <c r="AQ43" s="654"/>
      <c r="AR43" s="654"/>
      <c r="AS43" s="654"/>
      <c r="AT43" s="654"/>
      <c r="AU43" s="654"/>
      <c r="AV43" s="654"/>
      <c r="AW43" s="654"/>
      <c r="AX43" s="654"/>
      <c r="AY43" s="654"/>
      <c r="AZ43" s="654"/>
      <c r="BA43" s="654"/>
      <c r="BB43" s="654"/>
      <c r="BC43" s="654"/>
      <c r="BD43" s="654"/>
      <c r="BE43" s="654"/>
      <c r="BF43" s="654"/>
      <c r="BH43" s="654"/>
      <c r="BI43" s="654"/>
      <c r="BJ43" s="654"/>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c r="CI43" s="654"/>
      <c r="CJ43" s="654"/>
      <c r="CK43" s="654"/>
      <c r="CL43" s="654"/>
      <c r="CM43" s="1003" t="n">
        <f aca="false">SUM(CN43:DD43)</f>
        <v>0</v>
      </c>
      <c r="CN43" s="1003" t="n">
        <f aca="false">SUM(O65:P69)</f>
        <v>0</v>
      </c>
      <c r="CO43" s="1003" t="n">
        <f aca="false">O70</f>
        <v>0</v>
      </c>
      <c r="CP43" s="1003" t="n">
        <f aca="false">O84</f>
        <v>0</v>
      </c>
      <c r="CQ43" s="1003" t="n">
        <f aca="false">SUM(O79:P85)-O83-O84</f>
        <v>0</v>
      </c>
      <c r="CR43" s="1003" t="n">
        <f aca="false">O83</f>
        <v>0</v>
      </c>
      <c r="CS43" s="1003"/>
      <c r="CT43" s="1003" t="n">
        <f aca="false">O87</f>
        <v>0</v>
      </c>
      <c r="CU43" s="1003" t="n">
        <f aca="false">M92</f>
        <v>0</v>
      </c>
      <c r="CV43" s="1003" t="n">
        <f aca="false">SUM(Z66:Z97)</f>
        <v>0</v>
      </c>
      <c r="CW43" s="1003" t="n">
        <f aca="false">SUM(O96:P101)</f>
        <v>0</v>
      </c>
      <c r="CX43" s="1003" t="n">
        <f aca="false">SUM(O103:P110)</f>
        <v>0</v>
      </c>
      <c r="CY43" s="1003" t="n">
        <f aca="false">Z98+Z99+Z100+Z105</f>
        <v>0</v>
      </c>
      <c r="CZ43" s="1003" t="n">
        <f aca="false">O72</f>
        <v>0</v>
      </c>
      <c r="DA43" s="1003" t="n">
        <f aca="false">O86</f>
        <v>0</v>
      </c>
      <c r="DB43" s="1003" t="n">
        <f aca="false">O71</f>
        <v>0</v>
      </c>
      <c r="DC43" s="1003" t="n">
        <f aca="false">O73</f>
        <v>0</v>
      </c>
      <c r="DD43" s="1003"/>
      <c r="DE43" s="654" t="n">
        <f aca="false">AB69</f>
        <v>0</v>
      </c>
      <c r="DF43" s="654"/>
      <c r="DG43" s="654"/>
      <c r="DH43" s="654"/>
      <c r="DI43" s="654"/>
      <c r="DJ43" s="654"/>
      <c r="DK43" s="654"/>
      <c r="DL43" s="654"/>
      <c r="DM43" s="654"/>
      <c r="DN43" s="654"/>
    </row>
    <row r="44" customFormat="false" ht="18" hidden="false" customHeight="true" outlineLevel="0" collapsed="false">
      <c r="A44" s="2672"/>
      <c r="B44" s="958" t="s">
        <v>1262</v>
      </c>
      <c r="C44" s="958"/>
      <c r="D44" s="958"/>
      <c r="E44" s="1642" t="s">
        <v>982</v>
      </c>
      <c r="F44" s="1644"/>
      <c r="G44" s="1643" t="s">
        <v>1263</v>
      </c>
      <c r="H44" s="1643"/>
      <c r="I44" s="1644"/>
      <c r="J44" s="1167" t="s">
        <v>1264</v>
      </c>
      <c r="K44" s="1168"/>
      <c r="L44" s="1169"/>
      <c r="M44" s="1170" t="s">
        <v>1265</v>
      </c>
      <c r="N44" s="1171"/>
      <c r="O44" s="1171"/>
      <c r="P44" s="1172"/>
      <c r="Q44" s="1645"/>
      <c r="R44" s="1645"/>
      <c r="S44" s="961"/>
      <c r="T44" s="599" t="s">
        <v>1266</v>
      </c>
      <c r="V44" s="16" t="s">
        <v>1267</v>
      </c>
      <c r="W44" s="962" t="str">
        <f aca="false">Summary!P62</f>
        <v>N</v>
      </c>
      <c r="X44" s="833" t="s">
        <v>1268</v>
      </c>
      <c r="Y44" s="963" t="n">
        <f aca="false">Summary!R62</f>
        <v>0.0825</v>
      </c>
      <c r="Z44" s="964"/>
      <c r="AH44" s="654"/>
      <c r="AI44" s="654"/>
      <c r="AJ44" s="654"/>
      <c r="AK44" s="654"/>
      <c r="AL44" s="654"/>
      <c r="AM44" s="654"/>
      <c r="AN44" s="654"/>
      <c r="AO44" s="654"/>
      <c r="AP44" s="654"/>
      <c r="AQ44" s="654"/>
      <c r="AR44" s="654"/>
      <c r="AS44" s="654"/>
      <c r="AT44" s="654"/>
      <c r="AU44" s="654"/>
      <c r="AV44" s="654"/>
      <c r="AW44" s="654"/>
      <c r="AX44" s="654"/>
      <c r="AY44" s="654"/>
      <c r="AZ44" s="654"/>
      <c r="BA44" s="654"/>
      <c r="BB44" s="654"/>
      <c r="BC44" s="654"/>
      <c r="BD44" s="654"/>
      <c r="BE44" s="654"/>
      <c r="BF44" s="654"/>
      <c r="BH44" s="654"/>
      <c r="BI44" s="654"/>
      <c r="BJ44" s="654"/>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c r="CI44" s="654"/>
      <c r="CJ44" s="654"/>
      <c r="CK44" s="654"/>
      <c r="CL44" s="654"/>
      <c r="CM44" s="1648" t="n">
        <f aca="false">CM42-CM43</f>
        <v>0</v>
      </c>
      <c r="CN44" s="1648" t="n">
        <f aca="false">CN42-CN43</f>
        <v>0</v>
      </c>
      <c r="CO44" s="1648" t="n">
        <f aca="false">CO42-CO43</f>
        <v>0</v>
      </c>
      <c r="CP44" s="1648" t="n">
        <f aca="false">CP42-CP43</f>
        <v>0</v>
      </c>
      <c r="CQ44" s="1648" t="n">
        <f aca="false">CQ42-CQ43</f>
        <v>0</v>
      </c>
      <c r="CR44" s="1648" t="n">
        <f aca="false">CR42-CR43</f>
        <v>0</v>
      </c>
      <c r="CS44" s="1648" t="n">
        <f aca="false">CS42-CS43</f>
        <v>0</v>
      </c>
      <c r="CT44" s="1648" t="n">
        <f aca="false">CT42-CT43</f>
        <v>0</v>
      </c>
      <c r="CU44" s="1648" t="n">
        <f aca="false">CU42-CU43</f>
        <v>0</v>
      </c>
      <c r="CV44" s="1648" t="n">
        <f aca="false">CV42-CV43</f>
        <v>0</v>
      </c>
      <c r="CW44" s="1648" t="n">
        <f aca="false">CW42-CW43</f>
        <v>0</v>
      </c>
      <c r="CX44" s="1648" t="n">
        <f aca="false">CX42-CX43</f>
        <v>0</v>
      </c>
      <c r="CY44" s="1648" t="n">
        <f aca="false">CY42-CY43</f>
        <v>0</v>
      </c>
      <c r="CZ44" s="1648" t="n">
        <f aca="false">CZ42-CZ43</f>
        <v>0</v>
      </c>
      <c r="DA44" s="1648" t="n">
        <f aca="false">DA42-DA43</f>
        <v>0</v>
      </c>
      <c r="DB44" s="1648" t="n">
        <f aca="false">DB42-DB43</f>
        <v>0</v>
      </c>
      <c r="DC44" s="1648" t="n">
        <f aca="false">DC42-DC43</f>
        <v>0</v>
      </c>
      <c r="DD44" s="1648" t="n">
        <f aca="false">DD42-DD43</f>
        <v>0</v>
      </c>
      <c r="DE44" s="654"/>
      <c r="DF44" s="654"/>
      <c r="DG44" s="654"/>
      <c r="DH44" s="654"/>
      <c r="DI44" s="654"/>
      <c r="DJ44" s="654"/>
      <c r="DK44" s="654"/>
      <c r="DL44" s="654"/>
      <c r="DM44" s="654"/>
      <c r="DN44" s="654"/>
    </row>
    <row r="45" customFormat="false" ht="18" hidden="false" customHeight="true" outlineLevel="0" collapsed="false">
      <c r="A45" s="2672"/>
      <c r="B45" s="965" t="s">
        <v>1269</v>
      </c>
      <c r="C45" s="1649" t="n">
        <f aca="false">IF(I79=0,0,E45/I79)</f>
        <v>0</v>
      </c>
      <c r="D45" s="1649"/>
      <c r="E45" s="967" t="n">
        <f aca="false">(V45-O110)*(1+M45)</f>
        <v>0</v>
      </c>
      <c r="F45" s="967"/>
      <c r="G45" s="1650" t="n">
        <f aca="false">IF(H45=0,0,H45/E45)</f>
        <v>0</v>
      </c>
      <c r="H45" s="736" t="n">
        <f aca="false">(E45-V45)</f>
        <v>0</v>
      </c>
      <c r="I45" s="736"/>
      <c r="J45" s="1651" t="n">
        <f aca="false">IF(D42=0,0,V45/D42)</f>
        <v>0</v>
      </c>
      <c r="K45" s="1652"/>
      <c r="L45" s="1653"/>
      <c r="M45" s="1654" t="n">
        <f aca="false">Summary!P59</f>
        <v>0.18</v>
      </c>
      <c r="N45" s="1655"/>
      <c r="O45" s="1655"/>
      <c r="P45" s="1656"/>
      <c r="Q45" s="1645"/>
      <c r="R45" s="1646"/>
      <c r="S45" s="961"/>
      <c r="T45" s="970" t="s">
        <v>980</v>
      </c>
      <c r="V45" s="971" t="n">
        <f aca="false">SUM(O65:P77)+SUM(O79:P88)+SUM(L79:M88)+SUM(O91:P93)+SUM(O96:P101)+SUM(O103:P110)+Z110+O94</f>
        <v>0</v>
      </c>
      <c r="W45" s="971"/>
      <c r="X45" s="1659"/>
      <c r="Y45" s="16"/>
      <c r="Z45" s="964"/>
      <c r="AH45" s="654"/>
      <c r="AI45" s="654"/>
      <c r="AJ45" s="654"/>
      <c r="AK45" s="654"/>
      <c r="AL45" s="654"/>
      <c r="AM45" s="654"/>
      <c r="AN45" s="654"/>
      <c r="AO45" s="654"/>
      <c r="AP45" s="654"/>
      <c r="AQ45" s="654"/>
      <c r="AR45" s="654"/>
      <c r="AS45" s="654"/>
      <c r="AT45" s="654"/>
      <c r="AU45" s="654"/>
      <c r="AV45" s="654"/>
      <c r="AW45" s="654"/>
      <c r="AX45" s="654"/>
      <c r="AY45" s="654"/>
      <c r="AZ45" s="654"/>
      <c r="BA45" s="654"/>
      <c r="BB45" s="654"/>
      <c r="BC45" s="654"/>
      <c r="BD45" s="654"/>
      <c r="BE45" s="654"/>
      <c r="BF45" s="654"/>
      <c r="BH45" s="654"/>
      <c r="BI45" s="654"/>
      <c r="BJ45" s="654"/>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c r="CI45" s="654"/>
      <c r="CJ45" s="654"/>
      <c r="CK45" s="654"/>
      <c r="CL45" s="654"/>
      <c r="CM45" s="654"/>
      <c r="CN45" s="654"/>
      <c r="CO45" s="654"/>
      <c r="CP45" s="654"/>
      <c r="CQ45" s="654"/>
      <c r="CR45" s="654"/>
      <c r="CS45" s="654"/>
      <c r="CT45" s="654"/>
      <c r="CU45" s="654"/>
      <c r="CV45" s="654"/>
      <c r="CW45" s="654"/>
      <c r="CX45" s="654"/>
      <c r="CY45" s="654"/>
      <c r="CZ45" s="654"/>
      <c r="DA45" s="654"/>
      <c r="DB45" s="654"/>
      <c r="DC45" s="654"/>
      <c r="DD45" s="654"/>
      <c r="DE45" s="654"/>
      <c r="DF45" s="654"/>
      <c r="DG45" s="654"/>
      <c r="DH45" s="654"/>
      <c r="DI45" s="654"/>
      <c r="DJ45" s="654"/>
      <c r="DK45" s="654"/>
      <c r="DL45" s="654"/>
      <c r="DM45" s="654"/>
      <c r="DN45" s="654"/>
    </row>
    <row r="46" customFormat="false" ht="18" hidden="false" customHeight="true" outlineLevel="0" collapsed="false">
      <c r="A46" s="2672"/>
      <c r="B46" s="1660"/>
      <c r="C46" s="955"/>
      <c r="D46" s="1661" t="str">
        <f aca="false">IF(ROUND(E46,0)=0,"BINGO!!",IF(ROUND(E46,0)&lt;0,"To Low","T0 High"))</f>
        <v>BINGO!!</v>
      </c>
      <c r="E46" s="1662" t="n">
        <f aca="false">E45-E43</f>
        <v>0</v>
      </c>
      <c r="F46" s="1662"/>
      <c r="G46" s="1663"/>
      <c r="H46" s="1663"/>
      <c r="I46" s="976" t="s">
        <v>1270</v>
      </c>
      <c r="J46" s="977"/>
      <c r="K46" s="1664"/>
      <c r="L46" s="1664"/>
      <c r="M46" s="979"/>
      <c r="N46" s="980" t="n">
        <f aca="false">IF(K46&gt;0,(K46-E45)/(1+M45),0)</f>
        <v>0</v>
      </c>
      <c r="O46" s="1665"/>
      <c r="P46" s="961"/>
      <c r="Q46" s="1645"/>
      <c r="R46" s="1645"/>
      <c r="S46" s="1265"/>
      <c r="T46" s="1666"/>
      <c r="U46" s="961"/>
      <c r="V46" s="1667" t="n">
        <f aca="false">D118</f>
        <v>0</v>
      </c>
      <c r="W46" s="1667"/>
      <c r="X46" s="1668" t="n">
        <f aca="false">V45-V46</f>
        <v>0</v>
      </c>
      <c r="Y46" s="961"/>
      <c r="Z46" s="964"/>
      <c r="AH46" s="654"/>
      <c r="AI46" s="654"/>
      <c r="AJ46" s="654"/>
      <c r="AK46" s="654"/>
      <c r="AL46" s="654"/>
      <c r="AM46" s="654"/>
      <c r="AN46" s="654"/>
      <c r="AO46" s="654"/>
      <c r="AP46" s="654"/>
      <c r="AQ46" s="654"/>
      <c r="AR46" s="654"/>
      <c r="AS46" s="654"/>
      <c r="AT46" s="654"/>
      <c r="AU46" s="654"/>
      <c r="AV46" s="654"/>
      <c r="AW46" s="654"/>
      <c r="AX46" s="654"/>
      <c r="AY46" s="654"/>
      <c r="AZ46" s="654"/>
      <c r="BA46" s="654"/>
      <c r="BB46" s="654"/>
      <c r="BC46" s="654"/>
      <c r="BD46" s="654"/>
      <c r="BE46" s="654"/>
      <c r="BF46" s="654"/>
      <c r="BH46" s="654"/>
      <c r="BI46" s="654"/>
      <c r="BJ46" s="654"/>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c r="CI46" s="654"/>
      <c r="CJ46" s="654"/>
      <c r="CK46" s="654"/>
      <c r="CL46" s="654"/>
      <c r="CM46" s="654"/>
      <c r="CN46" s="654"/>
      <c r="CO46" s="654"/>
      <c r="CP46" s="654"/>
      <c r="CQ46" s="654"/>
      <c r="CR46" s="654"/>
      <c r="CS46" s="654"/>
      <c r="CT46" s="654"/>
      <c r="CU46" s="654"/>
      <c r="CV46" s="654"/>
      <c r="CW46" s="654"/>
      <c r="CX46" s="654"/>
      <c r="CY46" s="654"/>
      <c r="CZ46" s="654"/>
      <c r="DA46" s="654"/>
      <c r="DB46" s="654"/>
      <c r="DC46" s="654"/>
      <c r="DD46" s="654"/>
      <c r="DE46" s="654"/>
      <c r="DF46" s="654"/>
      <c r="DG46" s="654"/>
      <c r="DH46" s="654"/>
      <c r="DI46" s="654"/>
      <c r="DJ46" s="654"/>
      <c r="DK46" s="654"/>
      <c r="DL46" s="654"/>
      <c r="DM46" s="654"/>
      <c r="DN46" s="654"/>
    </row>
    <row r="47" customFormat="false" ht="29.25" hidden="false" customHeight="true" outlineLevel="0" collapsed="false">
      <c r="B47" s="1669"/>
      <c r="C47" s="1068" t="s">
        <v>1356</v>
      </c>
      <c r="D47" s="1068"/>
      <c r="E47" s="1670" t="s">
        <v>1357</v>
      </c>
      <c r="F47" s="1671"/>
      <c r="G47" s="1670" t="s">
        <v>1590</v>
      </c>
      <c r="H47" s="1671"/>
      <c r="I47" s="1670" t="s">
        <v>1359</v>
      </c>
      <c r="J47" s="1671"/>
      <c r="K47" s="1670" t="s">
        <v>1360</v>
      </c>
      <c r="L47" s="1671"/>
      <c r="M47" s="1670" t="s">
        <v>1361</v>
      </c>
      <c r="N47" s="1202"/>
      <c r="O47" s="865"/>
      <c r="P47" s="1452" t="s">
        <v>1591</v>
      </c>
      <c r="Q47" s="1672"/>
      <c r="R47" s="1452" t="s">
        <v>1592</v>
      </c>
      <c r="S47" s="1673"/>
      <c r="U47" s="1674" t="n">
        <f aca="false">IF(I79=0,0,I79/SUM(L65:L69))</f>
        <v>0</v>
      </c>
      <c r="V47" s="1675" t="s">
        <v>1906</v>
      </c>
      <c r="W47" s="654"/>
      <c r="X47" s="654"/>
      <c r="Y47" s="1414"/>
      <c r="Z47" s="1414"/>
      <c r="AH47" s="654"/>
      <c r="AI47" s="654"/>
      <c r="AJ47" s="654"/>
      <c r="AK47" s="654"/>
      <c r="AL47" s="654"/>
      <c r="AM47" s="654"/>
      <c r="AN47" s="654"/>
      <c r="AO47" s="654"/>
      <c r="AP47" s="654"/>
      <c r="AQ47" s="654"/>
      <c r="AR47" s="654"/>
      <c r="AS47" s="654"/>
      <c r="AT47" s="654"/>
      <c r="AU47" s="654"/>
      <c r="AV47" s="654"/>
      <c r="AW47" s="654"/>
      <c r="AX47" s="654"/>
      <c r="AY47" s="654"/>
      <c r="AZ47" s="654"/>
      <c r="BA47" s="654"/>
      <c r="BB47" s="654"/>
      <c r="BC47" s="654"/>
      <c r="BD47" s="654"/>
      <c r="BE47" s="654"/>
      <c r="BF47" s="654"/>
      <c r="BH47" s="654"/>
      <c r="BI47" s="654"/>
      <c r="BJ47" s="654"/>
      <c r="BK47" s="654"/>
      <c r="BL47" s="654"/>
      <c r="BM47" s="654"/>
      <c r="BN47" s="654"/>
      <c r="BO47" s="654"/>
      <c r="BP47" s="654"/>
      <c r="BQ47" s="654"/>
      <c r="BR47" s="654"/>
      <c r="BS47" s="654"/>
      <c r="BT47" s="654"/>
      <c r="BU47" s="654"/>
      <c r="BV47" s="654"/>
      <c r="BW47" s="656"/>
      <c r="BX47" s="656"/>
      <c r="BY47" s="656"/>
      <c r="BZ47" s="656"/>
      <c r="CA47" s="656"/>
      <c r="CB47" s="656"/>
      <c r="CC47" s="656"/>
      <c r="CD47" s="656"/>
      <c r="CE47" s="654"/>
      <c r="CF47" s="654"/>
      <c r="CG47" s="654"/>
      <c r="CH47" s="654"/>
      <c r="CI47" s="656"/>
      <c r="CJ47" s="656"/>
      <c r="CK47" s="656"/>
      <c r="CL47" s="656"/>
      <c r="CM47" s="656"/>
      <c r="CN47" s="656"/>
      <c r="CO47" s="654"/>
      <c r="CP47" s="654"/>
      <c r="CQ47" s="654"/>
      <c r="CR47" s="656"/>
      <c r="CS47" s="654"/>
      <c r="CT47" s="1430"/>
      <c r="CU47" s="1430"/>
      <c r="CV47" s="1430"/>
      <c r="CW47" s="1430"/>
      <c r="CX47" s="1676"/>
      <c r="CY47" s="1469"/>
      <c r="CZ47" s="1469"/>
      <c r="DA47" s="1469" t="s">
        <v>1594</v>
      </c>
      <c r="DB47" s="1677" t="n">
        <f aca="false">SUM(DE42:DO42)</f>
        <v>0</v>
      </c>
      <c r="DC47" s="1469" t="s">
        <v>1418</v>
      </c>
      <c r="DD47" s="1469"/>
      <c r="DE47" s="1469"/>
      <c r="DF47" s="1469"/>
      <c r="DG47" s="1470"/>
      <c r="DH47" s="654"/>
      <c r="DI47" s="654"/>
      <c r="DJ47" s="654"/>
      <c r="DK47" s="654"/>
      <c r="DL47" s="654"/>
      <c r="DM47" s="654"/>
      <c r="DN47" s="654"/>
    </row>
    <row r="48" customFormat="false" ht="42.75" hidden="false" customHeight="true" outlineLevel="0" collapsed="false">
      <c r="B48" s="1678" t="s">
        <v>1595</v>
      </c>
      <c r="C48" s="1226" t="s">
        <v>1367</v>
      </c>
      <c r="D48" s="1225" t="s">
        <v>1596</v>
      </c>
      <c r="E48" s="1226" t="s">
        <v>1369</v>
      </c>
      <c r="F48" s="1225" t="s">
        <v>1215</v>
      </c>
      <c r="G48" s="1226" t="s">
        <v>1369</v>
      </c>
      <c r="H48" s="1225" t="s">
        <v>1215</v>
      </c>
      <c r="I48" s="1226" t="s">
        <v>1369</v>
      </c>
      <c r="J48" s="1225" t="s">
        <v>1215</v>
      </c>
      <c r="K48" s="1226" t="s">
        <v>1215</v>
      </c>
      <c r="L48" s="1679" t="s">
        <v>1216</v>
      </c>
      <c r="M48" s="1226" t="s">
        <v>1215</v>
      </c>
      <c r="N48" s="1227" t="s">
        <v>1597</v>
      </c>
      <c r="O48" s="1680" t="s">
        <v>1598</v>
      </c>
      <c r="P48" s="1480" t="s">
        <v>1599</v>
      </c>
      <c r="Q48" s="1681"/>
      <c r="R48" s="1480" t="s">
        <v>998</v>
      </c>
      <c r="S48" s="1682"/>
      <c r="U48" s="1684" t="s">
        <v>1602</v>
      </c>
      <c r="V48" s="1684"/>
      <c r="W48" s="1301" t="s">
        <v>1259</v>
      </c>
      <c r="X48" s="1302" t="s">
        <v>1215</v>
      </c>
      <c r="Y48" s="1303" t="s">
        <v>1369</v>
      </c>
      <c r="Z48" s="1304" t="s">
        <v>1414</v>
      </c>
      <c r="AS48" s="16" t="s">
        <v>1603</v>
      </c>
      <c r="AT48" s="654"/>
      <c r="AU48" s="654"/>
      <c r="AV48" s="654"/>
      <c r="AW48" s="654"/>
      <c r="AX48" s="654"/>
      <c r="AY48" s="654"/>
      <c r="AZ48" s="654"/>
      <c r="BA48" s="654"/>
      <c r="BB48" s="654"/>
      <c r="BC48" s="654"/>
      <c r="BD48" s="654"/>
      <c r="BE48" s="654"/>
      <c r="BF48" s="654"/>
      <c r="BG48" s="654"/>
      <c r="BH48" s="654"/>
      <c r="BI48" s="654"/>
      <c r="BJ48" s="654"/>
      <c r="BK48" s="654"/>
      <c r="BL48" s="654"/>
      <c r="BM48" s="654"/>
      <c r="BN48" s="654"/>
      <c r="BO48" s="654"/>
      <c r="BP48" s="654"/>
      <c r="BQ48" s="654"/>
      <c r="BR48" s="654"/>
      <c r="BS48" s="1411"/>
      <c r="BT48" s="654"/>
      <c r="BU48" s="654"/>
      <c r="BV48" s="654"/>
      <c r="BW48" s="654"/>
      <c r="BX48" s="654"/>
      <c r="BY48" s="654"/>
      <c r="BZ48" s="654"/>
      <c r="CA48" s="654"/>
      <c r="CB48" s="654"/>
      <c r="CC48" s="654"/>
      <c r="CD48" s="654"/>
      <c r="CE48" s="654"/>
      <c r="CF48" s="654"/>
      <c r="CG48" s="654"/>
      <c r="CH48" s="654"/>
      <c r="CI48" s="654"/>
      <c r="CJ48" s="654"/>
      <c r="CK48" s="654"/>
      <c r="CL48" s="654"/>
      <c r="CM48" s="654"/>
      <c r="CN48" s="654"/>
      <c r="CO48" s="654"/>
      <c r="CP48" s="654"/>
      <c r="CQ48" s="1536" t="n">
        <f aca="false">CO42-CC47</f>
        <v>0</v>
      </c>
      <c r="CR48" s="654"/>
      <c r="CS48" s="654"/>
      <c r="CT48" s="654"/>
      <c r="CU48" s="654"/>
      <c r="CV48" s="654"/>
      <c r="CW48" s="654"/>
      <c r="CX48" s="654"/>
      <c r="CY48" s="654"/>
      <c r="CZ48" s="654"/>
      <c r="DA48" s="654"/>
      <c r="DB48" s="654"/>
      <c r="DC48" s="654"/>
      <c r="DD48" s="654"/>
      <c r="DE48" s="654"/>
      <c r="DF48" s="654"/>
      <c r="DG48" s="654"/>
      <c r="DH48" s="654"/>
      <c r="DI48" s="654"/>
      <c r="DJ48" s="654"/>
      <c r="DK48" s="654"/>
      <c r="DL48" s="654"/>
      <c r="DM48" s="654"/>
      <c r="DN48" s="654"/>
      <c r="DO48" s="654"/>
    </row>
    <row r="49" customFormat="false" ht="19.5" hidden="false" customHeight="true" outlineLevel="0" collapsed="false">
      <c r="B49" s="1685" t="n">
        <v>1</v>
      </c>
      <c r="C49" s="1866"/>
      <c r="D49" s="1867"/>
      <c r="E49" s="528"/>
      <c r="F49" s="1582"/>
      <c r="G49" s="1686"/>
      <c r="H49" s="1867"/>
      <c r="I49" s="528"/>
      <c r="J49" s="1867"/>
      <c r="K49" s="528"/>
      <c r="L49" s="1867"/>
      <c r="M49" s="1686"/>
      <c r="N49" s="528"/>
      <c r="O49" s="1575"/>
      <c r="P49" s="1687" t="n">
        <f aca="false">IF(C49=0,0,(E49*F49/16*F49/16*10.680159)+((G49*H49/16*H49/16*10.680159)+(I49*2*J49/16*J49/16*10.680159)+IF(L49=0,0,((K49/16*K49/16)*3.145*0.2836*((((C49*2))+(D49*2))*12/L49))))+(M49/16*M49/16*10.680159*(12/IF(N49=0,1,N49))*O49))*(1+K$70)</f>
        <v>0</v>
      </c>
      <c r="Q49" s="1688"/>
      <c r="R49" s="1689" t="n">
        <f aca="false">(C49/12*D49/324)*(1+K$65)</f>
        <v>0</v>
      </c>
      <c r="S49" s="1690"/>
      <c r="U49" s="1691" t="n">
        <f aca="false">IF(I79=0,0,L70/I79)</f>
        <v>0</v>
      </c>
      <c r="V49" s="1691"/>
      <c r="W49" s="149" t="n">
        <v>22</v>
      </c>
      <c r="X49" s="150" t="n">
        <v>7</v>
      </c>
      <c r="Y49" s="151" t="n">
        <v>20</v>
      </c>
      <c r="Z49" s="152" t="n">
        <f aca="false">W49*(X49*X49*0.04180884375)*Y49</f>
        <v>901.39867125</v>
      </c>
      <c r="AS49" s="16" t="n">
        <f aca="false">D49*2/12</f>
        <v>0</v>
      </c>
    </row>
    <row r="50" customFormat="false" ht="19.5" hidden="false" customHeight="true" outlineLevel="0" collapsed="false">
      <c r="B50" s="1692" t="n">
        <v>2</v>
      </c>
      <c r="C50" s="1686"/>
      <c r="D50" s="895"/>
      <c r="E50" s="528"/>
      <c r="F50" s="1582"/>
      <c r="G50" s="528"/>
      <c r="H50" s="895"/>
      <c r="I50" s="528"/>
      <c r="J50" s="895"/>
      <c r="K50" s="528"/>
      <c r="L50" s="895"/>
      <c r="M50" s="1686"/>
      <c r="N50" s="528"/>
      <c r="O50" s="1574"/>
      <c r="P50" s="1687" t="n">
        <f aca="false">IF(C50=0,0,(E50*F50/16*F50/16*10.680159)+((G50*H50/16*H50/16*10.680159)+(I50*2*J50/16*J50/16*10.680159)+IF(L50=0,0,((K50/16*K50/16)*3.145*0.2836*((((C50*2))+(D50*2))*12/L50))))+(M50/16*M50/16*10.680159*(12/IF(N50=0,1,N50))*O50))*(1+K$70)</f>
        <v>0</v>
      </c>
      <c r="Q50" s="1688"/>
      <c r="R50" s="1693" t="n">
        <f aca="false">(C50/12*D50/324)*(1+K$65)</f>
        <v>0</v>
      </c>
      <c r="S50" s="1690"/>
      <c r="U50" s="1691"/>
      <c r="V50" s="1691"/>
      <c r="W50" s="149" t="n">
        <v>18</v>
      </c>
      <c r="X50" s="150" t="n">
        <v>7</v>
      </c>
      <c r="Y50" s="151" t="n">
        <v>24</v>
      </c>
      <c r="Z50" s="152" t="n">
        <f aca="false">W50*(X50*X50*0.04180884375)*Y50</f>
        <v>885.0096045</v>
      </c>
      <c r="AS50" s="16" t="n">
        <f aca="false">D50*2/12</f>
        <v>0</v>
      </c>
    </row>
    <row r="51" customFormat="false" ht="19.5" hidden="false" customHeight="true" outlineLevel="0" collapsed="false">
      <c r="B51" s="1685" t="n">
        <v>3</v>
      </c>
      <c r="C51" s="1686"/>
      <c r="D51" s="895"/>
      <c r="E51" s="528"/>
      <c r="F51" s="895"/>
      <c r="G51" s="528"/>
      <c r="H51" s="895"/>
      <c r="I51" s="528"/>
      <c r="J51" s="895"/>
      <c r="K51" s="528"/>
      <c r="L51" s="895"/>
      <c r="M51" s="1686"/>
      <c r="N51" s="528"/>
      <c r="O51" s="1574"/>
      <c r="P51" s="1687" t="n">
        <f aca="false">IF(C51=0,0,(E51*F51/16*F51/16*10.680159)+((G51*H51/16*H51/16*10.680159)+(I51*2*J51/16*J51/16*10.680159)+IF(L51=0,0,((K51/16*K51/16)*3.145*0.2836*((((C51*2))+(D51*2))*12/L51))))+(M51/16*M51/16*10.680159*(12/IF(N51=0,1,N51))*O51))*(1+K$70)</f>
        <v>0</v>
      </c>
      <c r="Q51" s="1688"/>
      <c r="R51" s="1693" t="n">
        <f aca="false">(C51/12*D51/324)*(1+K$65)</f>
        <v>0</v>
      </c>
      <c r="S51" s="1690"/>
      <c r="U51" s="1694" t="s">
        <v>1604</v>
      </c>
      <c r="V51" s="1694"/>
      <c r="W51" s="149" t="n">
        <v>22</v>
      </c>
      <c r="X51" s="150" t="n">
        <v>5</v>
      </c>
      <c r="Y51" s="151" t="n">
        <v>20</v>
      </c>
      <c r="Z51" s="152" t="n">
        <f aca="false">W51*(X51*X51*0.04180884375)*Y51</f>
        <v>459.89728125</v>
      </c>
      <c r="AS51" s="16" t="n">
        <f aca="false">D51*2/12</f>
        <v>0</v>
      </c>
    </row>
    <row r="52" customFormat="false" ht="19.5" hidden="false" customHeight="true" outlineLevel="0" collapsed="false">
      <c r="B52" s="1685" t="n">
        <v>4</v>
      </c>
      <c r="C52" s="1686"/>
      <c r="D52" s="895"/>
      <c r="E52" s="528"/>
      <c r="F52" s="895"/>
      <c r="G52" s="528"/>
      <c r="H52" s="895"/>
      <c r="I52" s="528"/>
      <c r="J52" s="895"/>
      <c r="K52" s="528"/>
      <c r="L52" s="895"/>
      <c r="M52" s="1686"/>
      <c r="N52" s="528"/>
      <c r="O52" s="1574"/>
      <c r="P52" s="1687" t="n">
        <f aca="false">IF(C52=0,0,(E52*F52/16*F52/16*10.680159)+((G52*H52/16*H52/16*10.680159)+(I52*2*J52/16*J52/16*10.680159)+IF(L52=0,0,((K52/16*K52/16)*3.145*0.2836*((((C52*2))+(D52*2))*12/L52))))+(M52/16*M52/16*10.680159*(12/IF(N52=0,1,N52))*O52))*(1+K$70)</f>
        <v>0</v>
      </c>
      <c r="Q52" s="1688"/>
      <c r="R52" s="1693" t="n">
        <f aca="false">(C52/12*D52/324)*(1+K$65)</f>
        <v>0</v>
      </c>
      <c r="S52" s="1690"/>
      <c r="U52" s="1695" t="n">
        <f aca="false">Summary!L16</f>
        <v>0.027860308296891</v>
      </c>
      <c r="V52" s="1695"/>
      <c r="W52" s="149" t="n">
        <v>18</v>
      </c>
      <c r="X52" s="150" t="n">
        <v>5</v>
      </c>
      <c r="Y52" s="151" t="n">
        <v>24</v>
      </c>
      <c r="Z52" s="152" t="n">
        <f aca="false">W52*(X52*X52*0.04180884375)*Y52</f>
        <v>451.5355125</v>
      </c>
      <c r="AS52" s="16" t="n">
        <f aca="false">D52*2/12</f>
        <v>0</v>
      </c>
    </row>
    <row r="53" customFormat="false" ht="19.5" hidden="false" customHeight="true" outlineLevel="0" collapsed="false">
      <c r="B53" s="1685" t="n">
        <v>5</v>
      </c>
      <c r="C53" s="1686"/>
      <c r="D53" s="895"/>
      <c r="E53" s="528"/>
      <c r="F53" s="895"/>
      <c r="G53" s="528"/>
      <c r="H53" s="895"/>
      <c r="I53" s="528"/>
      <c r="J53" s="895"/>
      <c r="K53" s="528"/>
      <c r="L53" s="895"/>
      <c r="M53" s="1686"/>
      <c r="N53" s="528"/>
      <c r="O53" s="1574"/>
      <c r="P53" s="1687" t="n">
        <f aca="false">IF(C53=0,0,(E53*F53/16*F53/16*10.680159)+((G53*H53/16*H53/16*10.680159)+(I53*2*J53/16*J53/16*10.680159)+IF(L53=0,0,((K53/16*K53/16)*3.145*0.2836*((((C53*2))+(D53*2))*12/L53))))+(M53/16*M53/16*10.680159*(12/IF(N53=0,1,N53))*O53))*(1+K$70)</f>
        <v>0</v>
      </c>
      <c r="Q53" s="1688"/>
      <c r="R53" s="1693" t="n">
        <f aca="false">(C53/12*D53/324)*(1+K$65)</f>
        <v>0</v>
      </c>
      <c r="S53" s="1690"/>
      <c r="U53" s="1695"/>
      <c r="V53" s="1695"/>
      <c r="W53" s="1322"/>
      <c r="X53" s="1323"/>
      <c r="Y53" s="1324"/>
      <c r="Z53" s="1325" t="n">
        <f aca="false">W53*(X53*X53*0.04180884375)*Y53</f>
        <v>0</v>
      </c>
      <c r="AS53" s="16" t="n">
        <f aca="false">D53*2/12</f>
        <v>0</v>
      </c>
    </row>
    <row r="54" customFormat="false" ht="19.5" hidden="false" customHeight="true" outlineLevel="0" collapsed="false">
      <c r="B54" s="1685" t="n">
        <v>6</v>
      </c>
      <c r="C54" s="1686"/>
      <c r="D54" s="895"/>
      <c r="E54" s="528"/>
      <c r="F54" s="1582"/>
      <c r="G54" s="1686"/>
      <c r="H54" s="895"/>
      <c r="I54" s="528"/>
      <c r="J54" s="895"/>
      <c r="K54" s="528"/>
      <c r="L54" s="895"/>
      <c r="M54" s="1686"/>
      <c r="N54" s="1696"/>
      <c r="O54" s="1574"/>
      <c r="P54" s="1687" t="n">
        <f aca="false">IF(C54=0,0,(E54*F54/16*F54/16*10.680159)+((G54*H54/16*H54/16*10.680159)+(I54*2*J54/16*J54/16*10.680159)+IF(L54=0,0,((K54/16*K54/16)*3.145*0.2836*((((C54*2))+(D54*2))*12/L54))))+(M54/16*M54/16*10.680159*(12/IF(N54=0,1,N54))*O54))*(1+K$70)</f>
        <v>0</v>
      </c>
      <c r="Q54" s="1688"/>
      <c r="R54" s="1693" t="n">
        <f aca="false">(C54/12*D54/324)*(1+K$65)</f>
        <v>0</v>
      </c>
      <c r="S54" s="1690"/>
      <c r="W54" s="149"/>
      <c r="X54" s="150"/>
      <c r="Y54" s="151"/>
      <c r="Z54" s="152" t="n">
        <f aca="false">W54*(X54*X54*0.04180884375)*Y54</f>
        <v>0</v>
      </c>
      <c r="AS54" s="16" t="n">
        <f aca="false">D54*2/12</f>
        <v>0</v>
      </c>
    </row>
    <row r="55" customFormat="false" ht="19.5" hidden="false" customHeight="true" outlineLevel="0" collapsed="false">
      <c r="B55" s="1685" t="n">
        <v>7</v>
      </c>
      <c r="C55" s="1686"/>
      <c r="D55" s="895"/>
      <c r="E55" s="528"/>
      <c r="F55" s="1582"/>
      <c r="G55" s="528"/>
      <c r="H55" s="895"/>
      <c r="I55" s="528"/>
      <c r="J55" s="895"/>
      <c r="K55" s="528"/>
      <c r="L55" s="895"/>
      <c r="M55" s="1686"/>
      <c r="N55" s="1696"/>
      <c r="O55" s="1574"/>
      <c r="P55" s="1687" t="n">
        <f aca="false">IF(C55=0,0,(E55*F55/16*F55/16*10.680159)+((G55*H55/16*H55/16*10.680159)+(I55*2*J55/16*J55/16*10.680159)+IF(L55=0,0,((K55/16*K55/16)*3.145*0.2836*((((C55*2))+(D55*2))*12/L55))))+(M55/16*M55/16*10.680159*(12/IF(N55=0,1,N55))*O55))*(1+K$70)</f>
        <v>0</v>
      </c>
      <c r="Q55" s="1688"/>
      <c r="R55" s="1693" t="n">
        <f aca="false">(C55/12*D55/324)*(1+K$65)</f>
        <v>0</v>
      </c>
      <c r="S55" s="1690"/>
      <c r="W55" s="149"/>
      <c r="X55" s="150"/>
      <c r="Y55" s="151"/>
      <c r="Z55" s="152" t="n">
        <f aca="false">W55*(X55*X55*0.04180884375)*Y55</f>
        <v>0</v>
      </c>
      <c r="AS55" s="16" t="n">
        <f aca="false">D55*2/12</f>
        <v>0</v>
      </c>
    </row>
    <row r="56" customFormat="false" ht="19.5" hidden="false" customHeight="true" outlineLevel="0" collapsed="false">
      <c r="B56" s="1685" t="n">
        <v>8</v>
      </c>
      <c r="C56" s="1686"/>
      <c r="D56" s="895"/>
      <c r="E56" s="528"/>
      <c r="F56" s="895"/>
      <c r="G56" s="528"/>
      <c r="H56" s="895"/>
      <c r="I56" s="528"/>
      <c r="J56" s="895"/>
      <c r="K56" s="528"/>
      <c r="L56" s="895"/>
      <c r="M56" s="1686"/>
      <c r="N56" s="528"/>
      <c r="O56" s="1574"/>
      <c r="P56" s="1687" t="n">
        <f aca="false">IF(C56=0,0,(E56*F56/16*F56/16*10.680159)+((G56*H56/16*H56/16*10.680159)+(I56*2*J56/16*J56/16*10.680159)+IF(L56=0,0,((K56/16*K56/16)*3.145*0.2836*((((C56*2))+(D56*2))*12/L56))))+(M56/16*M56/16*10.680159*(12/IF(N56=0,1,N56))*O56))*(1+K$70)</f>
        <v>0</v>
      </c>
      <c r="Q56" s="1688"/>
      <c r="R56" s="1693" t="n">
        <f aca="false">(C56/12*D56/324)*(1+K$65)</f>
        <v>0</v>
      </c>
      <c r="S56" s="1690"/>
      <c r="W56" s="149"/>
      <c r="X56" s="150"/>
      <c r="Y56" s="151"/>
      <c r="Z56" s="152" t="n">
        <f aca="false">W56*(X56*X56*0.04180884375)*Y56</f>
        <v>0</v>
      </c>
      <c r="AS56" s="16" t="n">
        <f aca="false">D56*2/12</f>
        <v>0</v>
      </c>
    </row>
    <row r="57" customFormat="false" ht="19.5" hidden="false" customHeight="true" outlineLevel="0" collapsed="false">
      <c r="B57" s="1685" t="n">
        <v>9</v>
      </c>
      <c r="C57" s="1686"/>
      <c r="D57" s="895"/>
      <c r="E57" s="528"/>
      <c r="F57" s="895"/>
      <c r="G57" s="528"/>
      <c r="H57" s="895"/>
      <c r="I57" s="528"/>
      <c r="J57" s="895"/>
      <c r="K57" s="528"/>
      <c r="L57" s="895"/>
      <c r="M57" s="1686"/>
      <c r="N57" s="528"/>
      <c r="O57" s="1574"/>
      <c r="P57" s="1687" t="n">
        <f aca="false">IF(C57=0,0,(E57*F57/16*F57/16*10.680159)+((G57*H57/16*H57/16*10.680159)+(I57*2*J57/16*J57/16*10.680159)+IF(L57=0,0,((K57/16*K57/16)*3.145*0.2836*((((C57*2))+(D57*2))*12/L57))))+(M57/16*M57/16*10.680159*(12/IF(N57=0,1,N57))*O57))*(1+K$70)</f>
        <v>0</v>
      </c>
      <c r="Q57" s="1688"/>
      <c r="R57" s="1693" t="n">
        <f aca="false">(C57/12*D57/324)*(1+K$65)</f>
        <v>0</v>
      </c>
      <c r="S57" s="1690"/>
      <c r="W57" s="1335"/>
      <c r="X57" s="150"/>
      <c r="Y57" s="151"/>
      <c r="Z57" s="152" t="n">
        <f aca="false">W57*(X57*X57*0.04180884375)*Y57</f>
        <v>0</v>
      </c>
      <c r="AS57" s="16" t="n">
        <f aca="false">D57*2/12</f>
        <v>0</v>
      </c>
    </row>
    <row r="58" customFormat="false" ht="19.5" hidden="false" customHeight="true" outlineLevel="0" collapsed="false">
      <c r="B58" s="1685" t="n">
        <v>10</v>
      </c>
      <c r="C58" s="1686"/>
      <c r="D58" s="895"/>
      <c r="E58" s="528"/>
      <c r="F58" s="895"/>
      <c r="G58" s="528"/>
      <c r="H58" s="895"/>
      <c r="I58" s="528"/>
      <c r="J58" s="895"/>
      <c r="K58" s="528"/>
      <c r="L58" s="895"/>
      <c r="M58" s="1686"/>
      <c r="N58" s="528"/>
      <c r="O58" s="1574"/>
      <c r="P58" s="1687" t="n">
        <f aca="false">IF(C58=0,0,(E58*F58/16*F58/16*10.680159)+((G58*H58/16*H58/16*10.680159)+(I58*2*J58/16*J58/16*10.680159)+IF(L58=0,0,((K58/16*K58/16)*3.145*0.2836*((((C58*2))+(D58*2))*12/L58))))+(M58/16*M58/16*10.680159*(12/IF(N58=0,1,N58))*O58))*(1+K$70)</f>
        <v>0</v>
      </c>
      <c r="Q58" s="1688"/>
      <c r="R58" s="1693" t="n">
        <f aca="false">(C58/12*D58/324)*(1+K$65)</f>
        <v>0</v>
      </c>
      <c r="S58" s="1690"/>
      <c r="W58" s="1322"/>
      <c r="X58" s="1323"/>
      <c r="Y58" s="1324"/>
      <c r="Z58" s="1325" t="n">
        <f aca="false">W58*(X58*X58*0.04180884375)*Y58</f>
        <v>0</v>
      </c>
      <c r="AS58" s="16" t="n">
        <f aca="false">D58*2/12</f>
        <v>0</v>
      </c>
    </row>
    <row r="59" customFormat="false" ht="19.5" hidden="false" customHeight="true" outlineLevel="0" collapsed="false">
      <c r="B59" s="1697" t="n">
        <v>11</v>
      </c>
      <c r="C59" s="1555"/>
      <c r="D59" s="1556"/>
      <c r="E59" s="1559"/>
      <c r="F59" s="1556"/>
      <c r="G59" s="1559"/>
      <c r="H59" s="1556"/>
      <c r="I59" s="1559"/>
      <c r="J59" s="1556"/>
      <c r="K59" s="1559"/>
      <c r="L59" s="1556"/>
      <c r="M59" s="1555"/>
      <c r="N59" s="1559"/>
      <c r="O59" s="1561"/>
      <c r="P59" s="1698" t="n">
        <f aca="false">IF(C59=0,0,(E59*F59/16*F59/16*10.680159)+((G59*H59/16*H59/16*10.680159)+(I59*2*J59/16*J59/16*10.680159)+IF(L59=0,0,((K59/16*K59/16)*3.145*0.2836*((((C59*2))+(D59*2))*12/L59))))+(M59/16*M59/16*10.680159*(12/IF(N59=0,1,N59))*O59))*(1+K$70)</f>
        <v>0</v>
      </c>
      <c r="Q59" s="1699"/>
      <c r="R59" s="1700" t="n">
        <f aca="false">(C59/12*D59/324)*(1+K$65)</f>
        <v>0</v>
      </c>
      <c r="S59" s="1868"/>
      <c r="U59" s="1703" t="n">
        <f aca="false">SUM(CN42:DC42)</f>
        <v>0</v>
      </c>
      <c r="V59" s="1703"/>
      <c r="W59" s="1703"/>
      <c r="X59" s="1704" t="n">
        <f aca="false">V45-U59</f>
        <v>0</v>
      </c>
      <c r="Y59" s="1705"/>
      <c r="Z59" s="1705"/>
      <c r="AS59" s="16" t="n">
        <f aca="false">D59*2/12</f>
        <v>0</v>
      </c>
    </row>
    <row r="60" customFormat="false" ht="21.75" hidden="false" customHeight="true" outlineLevel="0" collapsed="false">
      <c r="B60" s="2677" t="s">
        <v>1271</v>
      </c>
      <c r="C60" s="2678"/>
      <c r="D60" s="1271"/>
      <c r="E60" s="2679"/>
      <c r="F60" s="2680"/>
      <c r="G60" s="1716"/>
      <c r="H60" s="1271"/>
      <c r="I60" s="1271"/>
      <c r="J60" s="1271"/>
      <c r="K60" s="1271"/>
      <c r="L60" s="1271"/>
      <c r="M60" s="1271"/>
      <c r="N60" s="1271"/>
      <c r="O60" s="990" t="s">
        <v>721</v>
      </c>
      <c r="P60" s="990"/>
      <c r="Q60" s="910"/>
      <c r="R60" s="373"/>
      <c r="AA60" s="16"/>
    </row>
    <row r="61" customFormat="false" ht="21.75" hidden="false" customHeight="true" outlineLevel="0" collapsed="false">
      <c r="B61" s="421"/>
      <c r="C61" s="2681"/>
      <c r="D61" s="1271"/>
      <c r="E61" s="2682"/>
      <c r="F61" s="2680"/>
      <c r="G61" s="1282"/>
      <c r="H61" s="1271"/>
      <c r="I61" s="1271"/>
      <c r="J61" s="1271"/>
      <c r="K61" s="1271"/>
      <c r="L61" s="1271"/>
      <c r="M61" s="1271"/>
      <c r="N61" s="1271"/>
      <c r="O61" s="1000" t="s">
        <v>1274</v>
      </c>
      <c r="P61" s="2268"/>
      <c r="AA61" s="16"/>
    </row>
    <row r="62" customFormat="false" ht="21.75" hidden="false" customHeight="true" outlineLevel="0" collapsed="false">
      <c r="B62" s="421"/>
      <c r="C62" s="2681"/>
      <c r="D62" s="1271"/>
      <c r="E62" s="2683"/>
      <c r="F62" s="2684"/>
      <c r="G62" s="1271"/>
      <c r="H62" s="1271"/>
      <c r="I62" s="1271"/>
      <c r="J62" s="1271"/>
      <c r="K62" s="1271"/>
      <c r="L62" s="1271"/>
      <c r="M62" s="1271"/>
      <c r="N62" s="1271"/>
      <c r="O62" s="1008" t="s">
        <v>1276</v>
      </c>
      <c r="P62" s="2270" t="n">
        <f aca="false">L70</f>
        <v>0</v>
      </c>
      <c r="AA62" s="16"/>
    </row>
    <row r="63" customFormat="false" ht="21.75" hidden="false" customHeight="true" outlineLevel="0" collapsed="false">
      <c r="B63" s="421"/>
      <c r="C63" s="2685"/>
      <c r="D63" s="1271"/>
      <c r="E63" s="1271"/>
      <c r="F63" s="1271"/>
      <c r="G63" s="1271"/>
      <c r="H63" s="1271"/>
      <c r="I63" s="1271"/>
      <c r="J63" s="1271"/>
      <c r="K63" s="1271"/>
      <c r="L63" s="1271"/>
      <c r="M63" s="1271"/>
      <c r="N63" s="1999"/>
      <c r="O63" s="1271"/>
      <c r="P63" s="1722"/>
      <c r="AA63" s="16"/>
    </row>
    <row r="64" customFormat="false" ht="36" hidden="false" customHeight="true" outlineLevel="0" collapsed="false">
      <c r="B64" s="1723" t="s">
        <v>1280</v>
      </c>
      <c r="C64" s="1296" t="s">
        <v>1413</v>
      </c>
      <c r="D64" s="1019"/>
      <c r="E64" s="1019"/>
      <c r="F64" s="1019"/>
      <c r="G64" s="1019"/>
      <c r="H64" s="1019"/>
      <c r="I64" s="1019"/>
      <c r="J64" s="1019"/>
      <c r="K64" s="1019" t="s">
        <v>1907</v>
      </c>
      <c r="L64" s="1724" t="str">
        <f aca="false">IF(ROUND(SUM(L65:L69),0)=Q42,"Good","Missing Concrete!!!")</f>
        <v>Good</v>
      </c>
      <c r="M64" s="1724"/>
      <c r="N64" s="1019"/>
      <c r="O64" s="1019"/>
      <c r="P64" s="1021"/>
      <c r="R64" s="1039" t="s">
        <v>1284</v>
      </c>
      <c r="S64" s="1022" t="s">
        <v>1283</v>
      </c>
      <c r="T64" s="1223"/>
      <c r="U64" s="879" t="s">
        <v>835</v>
      </c>
      <c r="V64" s="1023"/>
      <c r="W64" s="1024" t="s">
        <v>518</v>
      </c>
      <c r="X64" s="1023"/>
      <c r="Y64" s="1025"/>
      <c r="Z64" s="1299"/>
    </row>
    <row r="65" customFormat="false" ht="21.75" hidden="false" customHeight="true" outlineLevel="0" collapsed="false">
      <c r="B65" s="1725" t="n">
        <v>1</v>
      </c>
      <c r="C65" s="16" t="str">
        <f aca="false">IF(B65=1,Pricing!F$2,IF(B65=2,Pricing!G$2,IF(B65=3,Pricing!H$2,IF(B65=4,Pricing!I$2,IF(B65=5,Pricing!J$2,IF(B65=6,Pricing!K$2,IF(B65=7,Pricing!L$2,IF(B65=8,Pricing!M$2,IF(B65=9,Pricing!N$2,IF(B65=10,Pricing!O$2,0))))))))))</f>
        <v>3,000 PSI 5sk /Ash and Air</v>
      </c>
      <c r="D65" s="1726"/>
      <c r="E65" s="1726"/>
      <c r="F65" s="1726"/>
      <c r="G65" s="2686" t="n">
        <f aca="false">IF(B65=1,Pricing!F$3,IF(B65=2,Pricing!G$3,IF(B65=3,Pricing!H$3,IF(B65=4,Pricing!I$3,IF(B65=5,Pricing!J$3,IF(B65=6,Pricing!K$3,IF(B65=7,Pricing!L$3,IF(B65=8,Pricing!M$3,IF(B65=9,Pricing!N$3,IF(B65=10,Pricing!O$3,0))))))))))</f>
        <v>134</v>
      </c>
      <c r="H65" s="1726" t="s">
        <v>1285</v>
      </c>
      <c r="I65" s="1728"/>
      <c r="J65" s="1729"/>
      <c r="K65" s="1334" t="n">
        <v>0.06</v>
      </c>
      <c r="L65" s="1310" t="n">
        <f aca="false">IF(B65=1,BS$42,IF(B65=2,BT$42,IF(B65=3,BU$42,IF(B65=4,BV$42,IF(B65=5,BW$42,IF(B65=6,BX$42,IF(B65=7,BY$42,IF(B65=8,BZ$42,IF(B65=9,CA$42,IF(B65=10,CB$42))))))))))</f>
        <v>0</v>
      </c>
      <c r="M65" s="1310"/>
      <c r="N65" s="1034" t="s">
        <v>1286</v>
      </c>
      <c r="O65" s="1052" t="n">
        <f aca="false">L65*G65*(IF(W$44="N",1+Y$44,1))</f>
        <v>0</v>
      </c>
      <c r="P65" s="1052"/>
      <c r="R65" s="1147"/>
      <c r="S65" s="920"/>
      <c r="T65" s="1311"/>
      <c r="U65" s="78" t="s">
        <v>1415</v>
      </c>
      <c r="W65" s="1730" t="n">
        <v>0.5</v>
      </c>
      <c r="X65" s="1308" t="s">
        <v>1605</v>
      </c>
      <c r="Y65" s="1731" t="n">
        <f aca="false">IF(I79=0,0,Z110/I79)</f>
        <v>0</v>
      </c>
      <c r="Z65" s="1732"/>
      <c r="AT65" s="654"/>
      <c r="AU65" s="654"/>
    </row>
    <row r="66" customFormat="false" ht="21.75" hidden="false" customHeight="true" outlineLevel="0" collapsed="false">
      <c r="B66" s="1733" t="n">
        <v>2</v>
      </c>
      <c r="C66" s="16" t="str">
        <f aca="false">IF(B66=1,Pricing!F$2,IF(B66=2,Pricing!G$2,IF(B66=3,Pricing!H$2,IF(B66=4,Pricing!I$2,IF(B66=5,Pricing!J$2,IF(B66=6,Pricing!K$2,IF(B66=7,Pricing!L$2,IF(B66=8,Pricing!M$2,IF(B66=9,Pricing!N$2,IF(B66=10,Pricing!O$2,0))))))))))</f>
        <v>3,000 PSI / Ash no Air</v>
      </c>
      <c r="G66" s="2686" t="n">
        <f aca="false">IF(B66=1,Pricing!F$3,IF(B66=2,Pricing!G$3,IF(B66=3,Pricing!H$3,IF(B66=4,Pricing!I$3,IF(B66=5,Pricing!J$3,IF(B66=6,Pricing!K$3,IF(B66=7,Pricing!L$3,IF(B66=8,Pricing!M$3,IF(B66=9,Pricing!N$3,IF(B66=10,Pricing!O$3,0))))))))))</f>
        <v>145</v>
      </c>
      <c r="H66" s="16" t="s">
        <v>1285</v>
      </c>
      <c r="I66" s="1734"/>
      <c r="J66" s="1735"/>
      <c r="K66" s="1334"/>
      <c r="L66" s="1310" t="n">
        <f aca="false">IF(B66=1,BS$42,IF(B66=2,BT$42,IF(B66=3,BU$42,IF(B66=4,BV$42,IF(B66=5,BW$42,IF(B66=6,BX$42,IF(B66=7,BY$42,IF(B66=8,BZ$42,IF(B66=9,CA$42,IF(B66=10,CB$42))))))))))</f>
        <v>0</v>
      </c>
      <c r="M66" s="1310"/>
      <c r="N66" s="15" t="s">
        <v>1286</v>
      </c>
      <c r="O66" s="1035" t="n">
        <f aca="false">L66*G66*(IF(W$44="N",1+Y$44,1))</f>
        <v>0</v>
      </c>
      <c r="P66" s="1035"/>
      <c r="R66" s="1039" t="s">
        <v>1069</v>
      </c>
      <c r="S66" s="920" t="s">
        <v>526</v>
      </c>
      <c r="T66" s="78"/>
      <c r="V66" s="1311" t="n">
        <f aca="false">V69*2.5+I83*W65</f>
        <v>0</v>
      </c>
      <c r="W66" s="78" t="s">
        <v>1259</v>
      </c>
      <c r="X66" s="1308" t="n">
        <f aca="false">Pricing!Q4+0.0578</f>
        <v>0.917175</v>
      </c>
      <c r="Y66" s="78" t="s">
        <v>527</v>
      </c>
      <c r="Z66" s="1736" t="n">
        <f aca="false">IF(W$44="Y",V66*X66,V66*X66*(1+Y$44))</f>
        <v>0</v>
      </c>
      <c r="AA66" s="373"/>
      <c r="AT66" s="654"/>
      <c r="AU66" s="654"/>
    </row>
    <row r="67" customFormat="false" ht="21.75" hidden="false" customHeight="true" outlineLevel="0" collapsed="false">
      <c r="B67" s="1737" t="n">
        <v>3</v>
      </c>
      <c r="C67" s="16" t="str">
        <f aca="false">IF(B67=1,Pricing!F$2,IF(B67=2,Pricing!G$2,IF(B67=3,Pricing!H$2,IF(B67=4,Pricing!I$2,IF(B67=5,Pricing!J$2,IF(B67=6,Pricing!K$2,IF(B67=7,Pricing!L$2,IF(B67=8,Pricing!M$2,IF(B67=9,Pricing!N$2,IF(B67=10,Pricing!O$2,0))))))))))</f>
        <v>3,500 PSI 5.5sk /Ash and Air</v>
      </c>
      <c r="G67" s="2686" t="n">
        <f aca="false">IF(B67=1,Pricing!F$3,IF(B67=2,Pricing!G$3,IF(B67=3,Pricing!H$3,IF(B67=4,Pricing!I$3,IF(B67=5,Pricing!J$3,IF(B67=6,Pricing!K$3,IF(B67=7,Pricing!L$3,IF(B67=8,Pricing!M$3,IF(B67=9,Pricing!N$3,IF(B67=10,Pricing!O$3,0))))))))))</f>
        <v>140</v>
      </c>
      <c r="H67" s="16" t="s">
        <v>1285</v>
      </c>
      <c r="I67" s="1734"/>
      <c r="J67" s="1735"/>
      <c r="K67" s="1334"/>
      <c r="L67" s="1310" t="n">
        <f aca="false">IF(B67=1,BS$42,IF(B67=2,BT$42,IF(B67=3,BU$42,IF(B67=4,BV$42,IF(B67=5,BW$42,IF(B67=6,BX$42,IF(B67=7,BY$42,IF(B67=8,BZ$42,IF(B67=9,CA$42,IF(B67=10,CB$42))))))))))</f>
        <v>0</v>
      </c>
      <c r="M67" s="1310"/>
      <c r="N67" s="15" t="s">
        <v>1286</v>
      </c>
      <c r="O67" s="1035" t="n">
        <f aca="false">L67*G67*(IF(W$44="N",1+Y$44,1))</f>
        <v>0</v>
      </c>
      <c r="P67" s="1035"/>
      <c r="R67" s="1039"/>
      <c r="S67" s="920"/>
      <c r="T67" s="78"/>
      <c r="V67" s="1311"/>
      <c r="W67" s="78"/>
      <c r="X67" s="1308"/>
      <c r="Y67" s="78"/>
      <c r="Z67" s="1736"/>
      <c r="AA67" s="373"/>
      <c r="AT67" s="654"/>
      <c r="AU67" s="654"/>
    </row>
    <row r="68" customFormat="false" ht="21.75" hidden="false" customHeight="true" outlineLevel="0" collapsed="false">
      <c r="B68" s="1737" t="n">
        <v>4</v>
      </c>
      <c r="C68" s="16" t="str">
        <f aca="false">IF(B68=1,Pricing!F$2,IF(B68=2,Pricing!G$2,IF(B68=3,Pricing!H$2,IF(B68=4,Pricing!I$2,IF(B68=5,Pricing!J$2,IF(B68=6,Pricing!K$2,IF(B68=7,Pricing!L$2,IF(B68=8,Pricing!M$2,IF(B68=9,Pricing!N$2,IF(B68=10,Pricing!O$2,0))))))))))</f>
        <v>3,500 PSI /Ash No Air</v>
      </c>
      <c r="G68" s="2686" t="n">
        <f aca="false">IF(B68=1,Pricing!F$3,IF(B68=2,Pricing!G$3,IF(B68=3,Pricing!H$3,IF(B68=4,Pricing!I$3,IF(B68=5,Pricing!J$3,IF(B68=6,Pricing!K$3,IF(B68=7,Pricing!L$3,IF(B68=8,Pricing!M$3,IF(B68=9,Pricing!N$3,IF(B68=10,Pricing!O$3,0))))))))))</f>
        <v>140</v>
      </c>
      <c r="H68" s="16" t="s">
        <v>1285</v>
      </c>
      <c r="I68" s="1734"/>
      <c r="J68" s="1735"/>
      <c r="K68" s="1334"/>
      <c r="L68" s="1310" t="n">
        <f aca="false">IF(B68=1,BS$42,IF(B68=2,BT$42,IF(B68=3,BU$42,IF(B68=4,BV$42,IF(B68=5,BW$42,IF(B68=6,BX$42,IF(B68=7,BY$42,IF(B68=8,BZ$42,IF(B68=9,CA$42,IF(B68=10,CB$42))))))))))</f>
        <v>0</v>
      </c>
      <c r="M68" s="1310"/>
      <c r="N68" s="15" t="s">
        <v>1286</v>
      </c>
      <c r="O68" s="1035" t="n">
        <f aca="false">L68*G68*(IF(W$44="N",1+Y$44,1))</f>
        <v>0</v>
      </c>
      <c r="P68" s="1035"/>
      <c r="R68" s="1039"/>
      <c r="S68" s="920"/>
      <c r="T68" s="78"/>
      <c r="V68" s="1311"/>
      <c r="W68" s="78"/>
      <c r="X68" s="1308"/>
      <c r="Y68" s="78"/>
      <c r="Z68" s="1736"/>
      <c r="AA68" s="373"/>
      <c r="AT68" s="654"/>
      <c r="AU68" s="654"/>
    </row>
    <row r="69" customFormat="false" ht="21.75" hidden="false" customHeight="true" outlineLevel="0" collapsed="false">
      <c r="B69" s="1738" t="n">
        <v>5</v>
      </c>
      <c r="C69" s="1044" t="str">
        <f aca="false">IF(B69=1,Pricing!F$2,IF(B69=2,Pricing!G$2,IF(B69=3,Pricing!H$2,IF(B69=4,Pricing!I$2,IF(B69=5,Pricing!J$2,IF(B69=6,Pricing!K$2,IF(B69=7,Pricing!L$2,IF(B69=8,Pricing!M$2,IF(B69=9,Pricing!N$2,IF(B69=10,Pricing!O$2,0))))))))))</f>
        <v>4,000 PSI /Ash and Air</v>
      </c>
      <c r="D69" s="397"/>
      <c r="E69" s="397"/>
      <c r="F69" s="397"/>
      <c r="G69" s="2687" t="n">
        <f aca="false">IF(B69=1,Pricing!F$3,IF(B69=2,Pricing!G$3,IF(B69=3,Pricing!H$3,IF(B69=4,Pricing!I$3,IF(B69=5,Pricing!J$3,IF(B69=6,Pricing!K$3,IF(B69=7,Pricing!L$3,IF(B69=8,Pricing!M$3,IF(B69=9,Pricing!N$3,IF(B69=10,Pricing!O$3,0))))))))))</f>
        <v>145</v>
      </c>
      <c r="H69" s="397" t="s">
        <v>1285</v>
      </c>
      <c r="I69" s="1739"/>
      <c r="J69" s="1030"/>
      <c r="K69" s="1334"/>
      <c r="L69" s="1316" t="n">
        <f aca="false">IF(B69=1,BS$42,IF(B69=2,BT$42,IF(B69=3,BU$42,IF(B69=4,BV$42,IF(B69=5,BW$42,IF(B69=6,BX$42,IF(B69=7,BY$42,IF(B69=8,BZ$42,IF(B69=9,CA$42,IF(B69=10,CB$42))))))))))</f>
        <v>0</v>
      </c>
      <c r="M69" s="1316"/>
      <c r="N69" s="1046" t="s">
        <v>1286</v>
      </c>
      <c r="O69" s="1740" t="n">
        <f aca="false">L69*G69*(IF(W$44="N",1+Y$44,1))</f>
        <v>0</v>
      </c>
      <c r="P69" s="1740"/>
      <c r="R69" s="1147" t="s">
        <v>1069</v>
      </c>
      <c r="S69" s="920" t="s">
        <v>534</v>
      </c>
      <c r="T69" s="78"/>
      <c r="V69" s="1311" t="n">
        <f aca="false">V71*0.7</f>
        <v>0</v>
      </c>
      <c r="W69" s="78" t="s">
        <v>1259</v>
      </c>
      <c r="X69" s="1308" t="n">
        <f aca="false">Pricing!Q5</f>
        <v>1.4453125</v>
      </c>
      <c r="Y69" s="78" t="s">
        <v>527</v>
      </c>
      <c r="Z69" s="1732" t="n">
        <f aca="false">IF(W$44="Y",V69*X69,V69*X69*(1+Y$44))</f>
        <v>0</v>
      </c>
      <c r="AT69" s="654"/>
      <c r="AU69" s="654"/>
    </row>
    <row r="70" customFormat="false" ht="21.75" hidden="false" customHeight="true" outlineLevel="0" collapsed="false">
      <c r="B70" s="1741" t="str">
        <f aca="false">Summary!V60</f>
        <v>Import</v>
      </c>
      <c r="C70" s="1312" t="s">
        <v>1287</v>
      </c>
      <c r="D70" s="1312"/>
      <c r="E70" s="1312"/>
      <c r="F70" s="1312"/>
      <c r="G70" s="1048" t="n">
        <f aca="false">Pricing!D22</f>
        <v>0.6</v>
      </c>
      <c r="H70" s="16" t="s">
        <v>555</v>
      </c>
      <c r="I70" s="833"/>
      <c r="J70" s="1742"/>
      <c r="K70" s="1743" t="n">
        <v>0.1</v>
      </c>
      <c r="L70" s="1310" t="n">
        <f aca="false">SUM(BM10:BM41)+SUM(BO10:BO41)</f>
        <v>0</v>
      </c>
      <c r="M70" s="1310"/>
      <c r="N70" s="16" t="s">
        <v>1288</v>
      </c>
      <c r="O70" s="1052" t="n">
        <f aca="false">G70*L70*(IF(W44="N",1+Y44,1))</f>
        <v>0</v>
      </c>
      <c r="P70" s="1052"/>
      <c r="R70" s="1147" t="s">
        <v>1069</v>
      </c>
      <c r="S70" s="920" t="s">
        <v>1606</v>
      </c>
      <c r="T70" s="78"/>
      <c r="V70" s="1311" t="n">
        <f aca="false">SUM(W10:X41)*3</f>
        <v>0</v>
      </c>
      <c r="W70" s="78" t="s">
        <v>1259</v>
      </c>
      <c r="X70" s="1308" t="n">
        <f aca="false">X66*0.65</f>
        <v>0.59616375</v>
      </c>
      <c r="Y70" s="78" t="s">
        <v>527</v>
      </c>
      <c r="Z70" s="1732" t="n">
        <f aca="false">IF(W$44="Y",V70*X70,V70*X70*(1+Y$44))</f>
        <v>0</v>
      </c>
      <c r="AP70" s="654"/>
      <c r="AQ70" s="654"/>
      <c r="AR70" s="654"/>
      <c r="AS70" s="654"/>
      <c r="AT70" s="654"/>
      <c r="AU70" s="654"/>
    </row>
    <row r="71" customFormat="false" ht="21.75" hidden="false" customHeight="true" outlineLevel="0" collapsed="false">
      <c r="B71" s="507" t="s">
        <v>598</v>
      </c>
      <c r="C71" s="1312"/>
      <c r="D71" s="1312"/>
      <c r="E71" s="1312"/>
      <c r="F71" s="1312"/>
      <c r="G71" s="1319" t="n">
        <f aca="false">Pricing!D28</f>
        <v>0.8625</v>
      </c>
      <c r="H71" s="16" t="s">
        <v>600</v>
      </c>
      <c r="I71" s="833"/>
      <c r="J71" s="1742"/>
      <c r="K71" s="1321" t="n">
        <v>0.1</v>
      </c>
      <c r="L71" s="1744" t="n">
        <f aca="false">BP42</f>
        <v>0</v>
      </c>
      <c r="M71" s="1744"/>
      <c r="N71" s="16" t="s">
        <v>1418</v>
      </c>
      <c r="O71" s="1035" t="n">
        <f aca="false">G71*L71*(IF(W$44="N",1+Y$44,1))</f>
        <v>0</v>
      </c>
      <c r="P71" s="1035"/>
      <c r="R71" s="1147" t="s">
        <v>1069</v>
      </c>
      <c r="S71" s="920" t="s">
        <v>538</v>
      </c>
      <c r="T71" s="78"/>
      <c r="V71" s="1311" t="n">
        <f aca="false">CE42*W65</f>
        <v>0</v>
      </c>
      <c r="W71" s="78" t="s">
        <v>1259</v>
      </c>
      <c r="X71" s="1308" t="n">
        <f aca="false">Pricing!Q7</f>
        <v>1.09375</v>
      </c>
      <c r="Y71" s="78" t="s">
        <v>527</v>
      </c>
      <c r="Z71" s="1732" t="n">
        <f aca="false">IF(W$44="Y",V71*X71,V71*X71*(1+Y$44))</f>
        <v>0</v>
      </c>
      <c r="AP71" s="654"/>
      <c r="AQ71" s="654"/>
      <c r="AR71" s="654"/>
      <c r="AS71" s="654"/>
      <c r="AT71" s="654"/>
      <c r="AU71" s="654"/>
    </row>
    <row r="72" customFormat="false" ht="21.75" hidden="false" customHeight="true" outlineLevel="0" collapsed="false">
      <c r="B72" s="507" t="s">
        <v>1419</v>
      </c>
      <c r="C72" s="1312"/>
      <c r="D72" s="1312"/>
      <c r="E72" s="1312" t="s">
        <v>1908</v>
      </c>
      <c r="F72" s="1801"/>
      <c r="G72" s="1319" t="n">
        <v>0.5</v>
      </c>
      <c r="H72" s="1142" t="s">
        <v>600</v>
      </c>
      <c r="I72" s="782" t="s">
        <v>1291</v>
      </c>
      <c r="J72" s="1745"/>
      <c r="K72" s="1745"/>
      <c r="L72" s="1746" t="n">
        <f aca="false">CD42*0.4</f>
        <v>0</v>
      </c>
      <c r="M72" s="1746"/>
      <c r="N72" s="16" t="s">
        <v>1288</v>
      </c>
      <c r="O72" s="1038" t="n">
        <f aca="false">IF(J72=0,CD42*G72*IF(W44="n",(1+Y44),1),J72)</f>
        <v>0</v>
      </c>
      <c r="P72" s="1038"/>
      <c r="R72" s="1147" t="s">
        <v>1069</v>
      </c>
      <c r="S72" s="920" t="s">
        <v>1292</v>
      </c>
      <c r="T72" s="78"/>
      <c r="V72" s="1311" t="n">
        <f aca="false">ROUNDUP(SUM(K10:K41)*0.03/16,0)</f>
        <v>0</v>
      </c>
      <c r="W72" s="78" t="s">
        <v>1609</v>
      </c>
      <c r="X72" s="1308" t="n">
        <f aca="false">Pricing!Q9</f>
        <v>20</v>
      </c>
      <c r="Y72" s="78" t="s">
        <v>1610</v>
      </c>
      <c r="Z72" s="1732" t="n">
        <f aca="false">IF(W$44="Y",V72*X72,V72*X72*(1+Y$44))</f>
        <v>0</v>
      </c>
      <c r="AP72" s="654"/>
      <c r="AQ72" s="654"/>
      <c r="AR72" s="654"/>
      <c r="AS72" s="654"/>
      <c r="AT72" s="654"/>
      <c r="AU72" s="654"/>
    </row>
    <row r="73" customFormat="false" ht="21.75" hidden="false" customHeight="true" outlineLevel="0" collapsed="false">
      <c r="B73" s="1747" t="s">
        <v>1513</v>
      </c>
      <c r="C73" s="1748"/>
      <c r="D73" s="1748"/>
      <c r="E73" s="1748"/>
      <c r="F73" s="1748"/>
      <c r="G73" s="1315" t="n">
        <v>14</v>
      </c>
      <c r="H73" s="397" t="s">
        <v>1285</v>
      </c>
      <c r="I73" s="1749"/>
      <c r="J73" s="1750"/>
      <c r="K73" s="1751"/>
      <c r="L73" s="1752" t="n">
        <f aca="false">CJ42</f>
        <v>0</v>
      </c>
      <c r="M73" s="1752"/>
      <c r="N73" s="397" t="s">
        <v>1286</v>
      </c>
      <c r="O73" s="1740" t="n">
        <f aca="false">G73*L73*(IF(W$44="N",1+Y$44,1))</f>
        <v>0</v>
      </c>
      <c r="P73" s="1740"/>
      <c r="R73" s="1147" t="s">
        <v>1069</v>
      </c>
      <c r="S73" s="920" t="s">
        <v>540</v>
      </c>
      <c r="T73" s="78"/>
      <c r="V73" s="1311" t="n">
        <f aca="false">I83/32*W65</f>
        <v>0</v>
      </c>
      <c r="W73" s="78" t="s">
        <v>1420</v>
      </c>
      <c r="X73" s="1308" t="n">
        <f aca="false">Pricing!Q8</f>
        <v>74.75</v>
      </c>
      <c r="Y73" s="78" t="s">
        <v>541</v>
      </c>
      <c r="Z73" s="1732" t="n">
        <f aca="false">IF(W$44="Y",V73*X73,V73*X73*(1+Y$44))</f>
        <v>0</v>
      </c>
      <c r="AP73" s="654"/>
      <c r="AQ73" s="654"/>
      <c r="AR73" s="654"/>
      <c r="AS73" s="654"/>
      <c r="AT73" s="654"/>
      <c r="AU73" s="654"/>
    </row>
    <row r="74" customFormat="false" ht="21.75" hidden="false" customHeight="true" outlineLevel="0" collapsed="false">
      <c r="B74" s="599" t="s">
        <v>1612</v>
      </c>
      <c r="E74" s="1753" t="s">
        <v>1613</v>
      </c>
      <c r="F74" s="1754"/>
      <c r="G74" s="1755" t="n">
        <v>1</v>
      </c>
      <c r="H74" s="16" t="s">
        <v>1259</v>
      </c>
      <c r="I74" s="833"/>
      <c r="J74" s="1742"/>
      <c r="K74" s="1756" t="n">
        <v>0.1</v>
      </c>
      <c r="L74" s="1757"/>
      <c r="M74" s="1757"/>
      <c r="N74" s="16" t="s">
        <v>1259</v>
      </c>
      <c r="O74" s="1052" t="n">
        <f aca="false">L74*G74*(IF(W$44="N",1+Y$44,1))</f>
        <v>0</v>
      </c>
      <c r="P74" s="1052"/>
      <c r="R74" s="1147" t="s">
        <v>1069</v>
      </c>
      <c r="S74" s="920" t="s">
        <v>1298</v>
      </c>
      <c r="T74" s="78"/>
      <c r="V74" s="1311" t="n">
        <f aca="false">ROUND(V71/25,0)</f>
        <v>0</v>
      </c>
      <c r="W74" s="78" t="s">
        <v>1299</v>
      </c>
      <c r="X74" s="1308" t="n">
        <f aca="false">Pricing!Q15</f>
        <v>24</v>
      </c>
      <c r="Y74" s="78" t="s">
        <v>1300</v>
      </c>
      <c r="Z74" s="1732" t="n">
        <f aca="false">IF(W$44="Y",V74*X74,V74*X74*(1+Y$44))</f>
        <v>0</v>
      </c>
      <c r="AP74" s="654"/>
      <c r="AQ74" s="654"/>
      <c r="AR74" s="654"/>
      <c r="AS74" s="654"/>
      <c r="AT74" s="654"/>
      <c r="AU74" s="654"/>
    </row>
    <row r="75" customFormat="false" ht="23.25" hidden="false" customHeight="true" outlineLevel="0" collapsed="false">
      <c r="B75" s="599" t="s">
        <v>1614</v>
      </c>
      <c r="E75" s="1753"/>
      <c r="F75" s="1173" t="s">
        <v>1047</v>
      </c>
      <c r="G75" s="1755" t="n">
        <v>1.35</v>
      </c>
      <c r="H75" s="16" t="s">
        <v>600</v>
      </c>
      <c r="K75" s="1758" t="n">
        <v>0.1</v>
      </c>
      <c r="L75" s="1759" t="n">
        <f aca="false">IF(F75="Y",SUM(D$42)*(1+K$75),0)</f>
        <v>0</v>
      </c>
      <c r="M75" s="1759"/>
      <c r="N75" s="16" t="s">
        <v>1418</v>
      </c>
      <c r="O75" s="1035" t="n">
        <f aca="false">L75*G75*(IF(W$44="N",1+Y$44,1))</f>
        <v>0</v>
      </c>
      <c r="P75" s="1035"/>
      <c r="R75" s="1147" t="s">
        <v>1069</v>
      </c>
      <c r="S75" s="920" t="s">
        <v>561</v>
      </c>
      <c r="T75" s="78"/>
      <c r="V75" s="1311" t="n">
        <f aca="false">ROUNDUP((SUM(K10:K41))*1.25/500,0)</f>
        <v>0</v>
      </c>
      <c r="W75" s="78" t="s">
        <v>1303</v>
      </c>
      <c r="X75" s="1308" t="n">
        <f aca="false">Pricing!Q16</f>
        <v>68.2</v>
      </c>
      <c r="Y75" s="78" t="s">
        <v>562</v>
      </c>
      <c r="Z75" s="1732" t="n">
        <f aca="false">IF(W$44="Y",V75*X75,V75*X75*(1+Y$44))</f>
        <v>0</v>
      </c>
      <c r="AP75" s="654"/>
      <c r="AQ75" s="654"/>
      <c r="AR75" s="654"/>
      <c r="AS75" s="654"/>
      <c r="AT75" s="654"/>
      <c r="AU75" s="654" t="s">
        <v>860</v>
      </c>
    </row>
    <row r="76" customFormat="false" ht="21.75" hidden="false" customHeight="true" outlineLevel="0" collapsed="false">
      <c r="B76" s="599" t="s">
        <v>1615</v>
      </c>
      <c r="E76" s="1753"/>
      <c r="F76" s="1173" t="s">
        <v>1047</v>
      </c>
      <c r="G76" s="1337" t="n">
        <v>0.35</v>
      </c>
      <c r="H76" s="16" t="s">
        <v>600</v>
      </c>
      <c r="I76" s="405"/>
      <c r="J76" s="1320"/>
      <c r="K76" s="1758"/>
      <c r="L76" s="1759" t="n">
        <f aca="false">IF(F76="Y",SUM(D$42)*(1+K$75),0)</f>
        <v>0</v>
      </c>
      <c r="M76" s="1759"/>
      <c r="N76" s="16" t="s">
        <v>1418</v>
      </c>
      <c r="O76" s="1035" t="n">
        <f aca="false">L76*G76*(IF(W$44="N",1+Y$44,1))</f>
        <v>0</v>
      </c>
      <c r="P76" s="1035"/>
      <c r="R76" s="1147" t="s">
        <v>1069</v>
      </c>
      <c r="S76" s="920" t="s">
        <v>563</v>
      </c>
      <c r="T76" s="78"/>
      <c r="V76" s="1311" t="n">
        <f aca="false">ROUNDUP((SUM(K11:K42))*1.25/500,0)</f>
        <v>0</v>
      </c>
      <c r="W76" s="78" t="s">
        <v>1303</v>
      </c>
      <c r="X76" s="1308" t="n">
        <f aca="false">Pricing!Q17</f>
        <v>68.2</v>
      </c>
      <c r="Y76" s="78" t="s">
        <v>562</v>
      </c>
      <c r="Z76" s="1732" t="n">
        <f aca="false">IF(W$44="Y",V76*X76,V76*X76*(1+Y$44))</f>
        <v>0</v>
      </c>
      <c r="AP76" s="654"/>
      <c r="AQ76" s="654"/>
      <c r="AR76" s="654"/>
      <c r="AS76" s="654"/>
      <c r="AT76" s="654"/>
      <c r="AU76" s="654"/>
    </row>
    <row r="77" customFormat="false" ht="21.75" hidden="false" customHeight="true" outlineLevel="0" collapsed="false">
      <c r="B77" s="1109" t="s">
        <v>1067</v>
      </c>
      <c r="C77" s="855"/>
      <c r="D77" s="855"/>
      <c r="E77" s="855"/>
      <c r="F77" s="1760"/>
      <c r="G77" s="1371" t="n">
        <v>20</v>
      </c>
      <c r="H77" s="1058" t="s">
        <v>1616</v>
      </c>
      <c r="I77" s="855"/>
      <c r="J77" s="855"/>
      <c r="K77" s="1761" t="n">
        <v>0.1</v>
      </c>
      <c r="L77" s="1762" t="n">
        <v>0</v>
      </c>
      <c r="M77" s="1762"/>
      <c r="N77" s="1058" t="s">
        <v>1463</v>
      </c>
      <c r="O77" s="1763" t="n">
        <f aca="false">L77*G77*(IF(W$44="N",1+Y$44,1))</f>
        <v>0</v>
      </c>
      <c r="P77" s="1763"/>
      <c r="R77" s="1147" t="s">
        <v>1069</v>
      </c>
      <c r="S77" s="920" t="s">
        <v>1617</v>
      </c>
      <c r="T77" s="78"/>
      <c r="V77" s="1311" t="n">
        <f aca="false">ROUNDUP((SUM(K12:K47))*1.25/500,0)</f>
        <v>0</v>
      </c>
      <c r="W77" s="78" t="s">
        <v>1303</v>
      </c>
      <c r="X77" s="1308" t="n">
        <f aca="false">Pricing!Q16</f>
        <v>68.2</v>
      </c>
      <c r="Y77" s="78" t="s">
        <v>562</v>
      </c>
      <c r="Z77" s="1732" t="n">
        <f aca="false">IF(W$44="Y",V77*X77,V77*X77*(1+Y$44))</f>
        <v>0</v>
      </c>
      <c r="AP77" s="654"/>
      <c r="AQ77" s="654"/>
      <c r="AR77" s="654"/>
      <c r="AS77" s="654"/>
      <c r="AT77" s="654"/>
      <c r="AU77" s="654"/>
    </row>
    <row r="78" customFormat="false" ht="21.75" hidden="false" customHeight="true" outlineLevel="0" collapsed="false">
      <c r="B78" s="1764" t="s">
        <v>1434</v>
      </c>
      <c r="C78" s="1765"/>
      <c r="D78" s="1765" t="s">
        <v>1296</v>
      </c>
      <c r="E78" s="1765"/>
      <c r="F78" s="1765"/>
      <c r="G78" s="1765"/>
      <c r="H78" s="1345"/>
      <c r="I78" s="1765"/>
      <c r="J78" s="1765"/>
      <c r="K78" s="1765"/>
      <c r="L78" s="1765" t="s">
        <v>973</v>
      </c>
      <c r="M78" s="1765"/>
      <c r="N78" s="1765" t="s">
        <v>1297</v>
      </c>
      <c r="O78" s="1765"/>
      <c r="P78" s="1766"/>
      <c r="R78" s="1147" t="s">
        <v>1069</v>
      </c>
      <c r="S78" s="920" t="s">
        <v>1310</v>
      </c>
      <c r="T78" s="78"/>
      <c r="V78" s="1311" t="n">
        <f aca="false">CE42/150</f>
        <v>0</v>
      </c>
      <c r="W78" s="78" t="s">
        <v>1303</v>
      </c>
      <c r="X78" s="1308" t="n">
        <f aca="false">Pricing!Q34</f>
        <v>45.24</v>
      </c>
      <c r="Y78" s="78" t="s">
        <v>562</v>
      </c>
      <c r="Z78" s="1732" t="n">
        <f aca="false">IF(W$44="Y",V78*X78,V78*X78*(1+Y$44))</f>
        <v>0</v>
      </c>
      <c r="AP78" s="654"/>
      <c r="AQ78" s="654"/>
      <c r="AR78" s="654"/>
      <c r="AS78" s="654"/>
      <c r="AT78" s="654"/>
      <c r="AU78" s="654"/>
    </row>
    <row r="79" customFormat="false" ht="21.75" hidden="false" customHeight="true" outlineLevel="0" collapsed="false">
      <c r="B79" s="1347" t="s">
        <v>1437</v>
      </c>
      <c r="C79" s="695"/>
      <c r="D79" s="1066" t="s">
        <v>1302</v>
      </c>
      <c r="E79" s="1767" t="n">
        <v>0.05</v>
      </c>
      <c r="F79" s="1767"/>
      <c r="G79" s="1068" t="s">
        <v>1618</v>
      </c>
      <c r="H79" s="1768" t="n">
        <f aca="false">SUM(E79:F82)</f>
        <v>0.85</v>
      </c>
      <c r="I79" s="1769" t="n">
        <f aca="false">D42</f>
        <v>0</v>
      </c>
      <c r="J79" s="1769"/>
      <c r="K79" s="1068" t="s">
        <v>1418</v>
      </c>
      <c r="L79" s="1770" t="n">
        <f aca="false">IF(D79="N",E79*I$79,0)</f>
        <v>0</v>
      </c>
      <c r="M79" s="1770"/>
      <c r="N79" s="175"/>
      <c r="O79" s="1102" t="n">
        <f aca="false">IF(D79="y",I$79*E79,0)</f>
        <v>0</v>
      </c>
      <c r="P79" s="1102"/>
      <c r="R79" s="1147" t="s">
        <v>1069</v>
      </c>
      <c r="S79" s="920" t="s">
        <v>571</v>
      </c>
      <c r="T79" s="78"/>
      <c r="V79" s="1311"/>
      <c r="W79" s="78" t="s">
        <v>1259</v>
      </c>
      <c r="X79" s="1308" t="n">
        <f aca="false">Pricing!Q19</f>
        <v>0.95</v>
      </c>
      <c r="Y79" s="78" t="s">
        <v>527</v>
      </c>
      <c r="Z79" s="1732" t="n">
        <f aca="false">IF(W$44="Y",V79*X79,V79*X79*(1+Y$44))</f>
        <v>0</v>
      </c>
      <c r="AP79" s="654"/>
      <c r="AQ79" s="654"/>
      <c r="AR79" s="654"/>
      <c r="AS79" s="654"/>
      <c r="AT79" s="654"/>
      <c r="AU79" s="656"/>
    </row>
    <row r="80" customFormat="false" ht="21.75" hidden="false" customHeight="true" outlineLevel="0" collapsed="false">
      <c r="B80" s="507" t="s">
        <v>1909</v>
      </c>
      <c r="C80" s="1771"/>
      <c r="D80" s="1074" t="s">
        <v>1302</v>
      </c>
      <c r="E80" s="1772" t="n">
        <v>0.1</v>
      </c>
      <c r="F80" s="1772"/>
      <c r="G80" s="16" t="s">
        <v>600</v>
      </c>
      <c r="H80" s="1768"/>
      <c r="I80" s="1769"/>
      <c r="J80" s="1769"/>
      <c r="K80" s="1771" t="s">
        <v>1418</v>
      </c>
      <c r="L80" s="1773" t="n">
        <f aca="false">IF(D80="N",E80*I$79,0)</f>
        <v>0</v>
      </c>
      <c r="M80" s="1773"/>
      <c r="O80" s="1038" t="n">
        <f aca="false">IF(D80="y",I$79*E80,0)</f>
        <v>0</v>
      </c>
      <c r="P80" s="1038"/>
      <c r="R80" s="1147" t="s">
        <v>1069</v>
      </c>
      <c r="S80" s="920" t="s">
        <v>576</v>
      </c>
      <c r="T80" s="78"/>
      <c r="V80" s="1311" t="n">
        <v>0</v>
      </c>
      <c r="W80" s="78" t="s">
        <v>1259</v>
      </c>
      <c r="X80" s="1308" t="n">
        <f aca="false">Pricing!Q20</f>
        <v>0.25</v>
      </c>
      <c r="Y80" s="78" t="s">
        <v>527</v>
      </c>
      <c r="Z80" s="1732" t="n">
        <f aca="false">IF(W$44="Y",V80*X80,V80*X80*(1+Y$44))</f>
        <v>0</v>
      </c>
      <c r="AP80" s="654"/>
      <c r="AQ80" s="654"/>
      <c r="AR80" s="654"/>
      <c r="AS80" s="654"/>
      <c r="AT80" s="654"/>
      <c r="AU80" s="656"/>
    </row>
    <row r="81" customFormat="false" ht="21.75" hidden="false" customHeight="true" outlineLevel="0" collapsed="false">
      <c r="B81" s="507" t="s">
        <v>1442</v>
      </c>
      <c r="C81" s="405"/>
      <c r="D81" s="1074" t="s">
        <v>1302</v>
      </c>
      <c r="E81" s="1774" t="n">
        <v>0.5</v>
      </c>
      <c r="F81" s="1774"/>
      <c r="G81" s="16" t="s">
        <v>1618</v>
      </c>
      <c r="H81" s="1768"/>
      <c r="I81" s="1769"/>
      <c r="J81" s="1769"/>
      <c r="K81" s="16" t="s">
        <v>1418</v>
      </c>
      <c r="L81" s="1773" t="n">
        <f aca="false">IF(D81="N",E81*I$79,0)</f>
        <v>0</v>
      </c>
      <c r="M81" s="1773"/>
      <c r="O81" s="1038" t="n">
        <f aca="false">IF(D81="y",I$79*E81,0)</f>
        <v>0</v>
      </c>
      <c r="P81" s="1038"/>
      <c r="R81" s="1147" t="s">
        <v>1069</v>
      </c>
      <c r="S81" s="920" t="s">
        <v>551</v>
      </c>
      <c r="T81" s="78"/>
      <c r="V81" s="1311" t="n">
        <v>0</v>
      </c>
      <c r="W81" s="78" t="s">
        <v>1259</v>
      </c>
      <c r="X81" s="1308" t="n">
        <f aca="false">Pricing!Q12</f>
        <v>1.063125</v>
      </c>
      <c r="Y81" s="78" t="s">
        <v>527</v>
      </c>
      <c r="Z81" s="1732" t="n">
        <f aca="false">IF(W$44="Y",V81*X81,V81*X81*(1+Y$44))</f>
        <v>0</v>
      </c>
    </row>
    <row r="82" customFormat="false" ht="21.75" hidden="false" customHeight="true" outlineLevel="0" collapsed="false">
      <c r="B82" s="507" t="s">
        <v>1443</v>
      </c>
      <c r="C82" s="405"/>
      <c r="D82" s="1074" t="s">
        <v>1302</v>
      </c>
      <c r="E82" s="1775" t="n">
        <v>0.2</v>
      </c>
      <c r="F82" s="1775"/>
      <c r="G82" s="16" t="s">
        <v>1618</v>
      </c>
      <c r="H82" s="1768"/>
      <c r="I82" s="1769"/>
      <c r="J82" s="1769"/>
      <c r="K82" s="16" t="s">
        <v>1418</v>
      </c>
      <c r="L82" s="1773" t="n">
        <f aca="false">IF(D82="N",E82*I$79,0)</f>
        <v>0</v>
      </c>
      <c r="M82" s="1773"/>
      <c r="O82" s="1038" t="n">
        <f aca="false">IF(D82="y",I$79*E82,0)</f>
        <v>0</v>
      </c>
      <c r="P82" s="1038"/>
      <c r="R82" s="1147" t="s">
        <v>1069</v>
      </c>
      <c r="S82" s="920" t="s">
        <v>552</v>
      </c>
      <c r="T82" s="78"/>
      <c r="V82" s="1311" t="n">
        <v>0</v>
      </c>
      <c r="W82" s="78" t="s">
        <v>1259</v>
      </c>
      <c r="X82" s="1308" t="n">
        <f aca="false">Pricing!Q13</f>
        <v>1.494375</v>
      </c>
      <c r="Y82" s="78" t="s">
        <v>527</v>
      </c>
      <c r="Z82" s="1732" t="n">
        <f aca="false">IF(W$44="Y",V82*X82,V82*X82*(1+Y$44))</f>
        <v>0</v>
      </c>
    </row>
    <row r="83" customFormat="false" ht="21.75" hidden="false" customHeight="true" outlineLevel="0" collapsed="false">
      <c r="B83" s="507" t="s">
        <v>1488</v>
      </c>
      <c r="C83" s="405"/>
      <c r="D83" s="1074" t="s">
        <v>1302</v>
      </c>
      <c r="E83" s="1776" t="n">
        <v>8</v>
      </c>
      <c r="F83" s="1776"/>
      <c r="G83" s="16" t="s">
        <v>1620</v>
      </c>
      <c r="I83" s="1777" t="n">
        <f aca="false">SUM(T10:T41)</f>
        <v>0</v>
      </c>
      <c r="J83" s="1777"/>
      <c r="K83" s="16" t="s">
        <v>1621</v>
      </c>
      <c r="L83" s="1773" t="n">
        <f aca="false">IF(D83="N",E83*I$83,0)</f>
        <v>0</v>
      </c>
      <c r="M83" s="1773"/>
      <c r="O83" s="1038" t="n">
        <f aca="false">IF(D83="y",I$83*E83,0)</f>
        <v>0</v>
      </c>
      <c r="P83" s="1038"/>
      <c r="R83" s="1147" t="s">
        <v>1069</v>
      </c>
      <c r="S83" s="920" t="s">
        <v>1319</v>
      </c>
      <c r="T83" s="78"/>
      <c r="V83" s="1311" t="n">
        <f aca="false">SUM(V81:V82)</f>
        <v>0</v>
      </c>
      <c r="W83" s="78" t="s">
        <v>1259</v>
      </c>
      <c r="X83" s="1308" t="n">
        <f aca="false">Pricing!Q10</f>
        <v>0.70875</v>
      </c>
      <c r="Y83" s="78" t="s">
        <v>527</v>
      </c>
      <c r="Z83" s="1732" t="n">
        <f aca="false">IF(W$44="Y",V83*X83,V83*X83*(1+Y$44))</f>
        <v>0</v>
      </c>
    </row>
    <row r="84" customFormat="false" ht="21.75" hidden="false" customHeight="true" outlineLevel="0" collapsed="false">
      <c r="B84" s="507" t="s">
        <v>1473</v>
      </c>
      <c r="C84" s="405"/>
      <c r="D84" s="1074" t="s">
        <v>1302</v>
      </c>
      <c r="E84" s="1778"/>
      <c r="F84" s="1779"/>
      <c r="G84" s="1780"/>
      <c r="H84" s="1781"/>
      <c r="I84" s="1782"/>
      <c r="J84" s="1782"/>
      <c r="K84" s="1780"/>
      <c r="L84" s="1783"/>
      <c r="M84" s="1783"/>
      <c r="N84" s="1781"/>
      <c r="O84" s="1038" t="n">
        <f aca="false">SUM(CP10:CP41)</f>
        <v>0</v>
      </c>
      <c r="P84" s="1038"/>
      <c r="R84" s="1147" t="s">
        <v>1069</v>
      </c>
      <c r="S84" s="920"/>
      <c r="T84" s="78"/>
      <c r="V84" s="1311"/>
      <c r="W84" s="78"/>
      <c r="X84" s="1308"/>
      <c r="Y84" s="78"/>
      <c r="Z84" s="1732" t="n">
        <f aca="false">IF(W$44="Y",V84*X84,V84*X84*(1+Y$44))</f>
        <v>0</v>
      </c>
    </row>
    <row r="85" customFormat="false" ht="21.75" hidden="false" customHeight="true" outlineLevel="0" collapsed="false">
      <c r="B85" s="507" t="s">
        <v>1626</v>
      </c>
      <c r="C85" s="405"/>
      <c r="D85" s="1074" t="s">
        <v>1302</v>
      </c>
      <c r="E85" s="1776" t="n">
        <v>12</v>
      </c>
      <c r="F85" s="1776"/>
      <c r="G85" s="16" t="s">
        <v>1285</v>
      </c>
      <c r="I85" s="1777" t="n">
        <f aca="false">IF((SUM(L65:M69)-I79/30)&lt;0,0,SUM(L65:M69)-I79/30)</f>
        <v>0</v>
      </c>
      <c r="J85" s="1777"/>
      <c r="K85" s="16" t="s">
        <v>998</v>
      </c>
      <c r="L85" s="1773" t="n">
        <f aca="false">IF(D85="N",E85*I$85,0)</f>
        <v>0</v>
      </c>
      <c r="M85" s="1773"/>
      <c r="O85" s="1038" t="n">
        <f aca="false">IF(D85="y",I$85*E85,0)</f>
        <v>0</v>
      </c>
      <c r="P85" s="1038"/>
      <c r="R85" s="1147" t="s">
        <v>1069</v>
      </c>
      <c r="S85" s="920"/>
      <c r="T85" s="78"/>
      <c r="V85" s="1311"/>
      <c r="W85" s="78"/>
      <c r="X85" s="1308"/>
      <c r="Y85" s="78"/>
      <c r="Z85" s="1732" t="n">
        <f aca="false">IF(W$44="Y",V85*X85,V85*X85*(1+Y$44))</f>
        <v>0</v>
      </c>
    </row>
    <row r="86" customFormat="false" ht="21.75" hidden="false" customHeight="true" outlineLevel="0" collapsed="false">
      <c r="B86" s="507" t="s">
        <v>1628</v>
      </c>
      <c r="C86" s="405"/>
      <c r="D86" s="1074" t="s">
        <v>1302</v>
      </c>
      <c r="E86" s="1776" t="n">
        <v>85</v>
      </c>
      <c r="F86" s="1776"/>
      <c r="G86" s="16" t="s">
        <v>1624</v>
      </c>
      <c r="I86" s="1784" t="n">
        <f aca="false">CK42</f>
        <v>0</v>
      </c>
      <c r="J86" s="1784"/>
      <c r="K86" s="16" t="s">
        <v>1000</v>
      </c>
      <c r="L86" s="1773" t="n">
        <f aca="false">IF(D86="N",E86*I$86,0)</f>
        <v>0</v>
      </c>
      <c r="M86" s="1773"/>
      <c r="O86" s="1038" t="n">
        <f aca="false">IF(D86="y",I$86*E86,0)</f>
        <v>0</v>
      </c>
      <c r="P86" s="1038"/>
      <c r="R86" s="1147" t="s">
        <v>1069</v>
      </c>
      <c r="S86" s="1357"/>
      <c r="T86" s="1358"/>
      <c r="U86" s="265"/>
      <c r="V86" s="1359"/>
      <c r="W86" s="1358"/>
      <c r="X86" s="1360"/>
      <c r="Y86" s="1358"/>
      <c r="Z86" s="1785" t="n">
        <f aca="false">IF(W$44="Y",V86*X86,V86*X86*(1+Y$44))</f>
        <v>0</v>
      </c>
    </row>
    <row r="87" customFormat="false" ht="21.75" hidden="false" customHeight="true" outlineLevel="0" collapsed="false">
      <c r="B87" s="507" t="s">
        <v>1307</v>
      </c>
      <c r="C87" s="405"/>
      <c r="D87" s="1074" t="s">
        <v>1302</v>
      </c>
      <c r="E87" s="1776" t="n">
        <v>350</v>
      </c>
      <c r="F87" s="1776"/>
      <c r="G87" s="16" t="s">
        <v>1308</v>
      </c>
      <c r="I87" s="1784" t="n">
        <f aca="false">IF(I79*0.35&gt;L70,0,(L70-I79*0.35)/2000)</f>
        <v>0</v>
      </c>
      <c r="J87" s="1784"/>
      <c r="K87" s="16" t="s">
        <v>1309</v>
      </c>
      <c r="L87" s="1773" t="n">
        <f aca="false">IF(D87="N",E87*I$87,0)</f>
        <v>0</v>
      </c>
      <c r="M87" s="1773"/>
      <c r="O87" s="1038" t="n">
        <f aca="false">IF(D87="y",I87*E87,0)</f>
        <v>0</v>
      </c>
      <c r="P87" s="1038"/>
      <c r="R87" s="1039" t="s">
        <v>1077</v>
      </c>
      <c r="S87" s="920" t="s">
        <v>1629</v>
      </c>
      <c r="T87" s="78" t="s">
        <v>1630</v>
      </c>
      <c r="V87" s="1311" t="n">
        <f aca="false">DB47/1900</f>
        <v>0</v>
      </c>
      <c r="W87" s="78" t="s">
        <v>1711</v>
      </c>
      <c r="X87" s="1308" t="n">
        <v>0</v>
      </c>
      <c r="Y87" s="78" t="s">
        <v>1882</v>
      </c>
      <c r="Z87" s="1732" t="n">
        <f aca="false">IF(W$44="Y",V87*X87,V87*X87*(1+Y$44))</f>
        <v>0</v>
      </c>
    </row>
    <row r="88" customFormat="false" ht="21.75" hidden="false" customHeight="true" outlineLevel="0" collapsed="false">
      <c r="B88" s="1747" t="s">
        <v>1313</v>
      </c>
      <c r="C88" s="1082"/>
      <c r="D88" s="1083" t="s">
        <v>1302</v>
      </c>
      <c r="E88" s="1787"/>
      <c r="F88" s="1787"/>
      <c r="G88" s="397"/>
      <c r="H88" s="397"/>
      <c r="I88" s="2688"/>
      <c r="J88" s="2688"/>
      <c r="K88" s="397"/>
      <c r="L88" s="1789" t="n">
        <f aca="false">IF(D88="N",E88,0)</f>
        <v>0</v>
      </c>
      <c r="M88" s="1789"/>
      <c r="N88" s="265"/>
      <c r="O88" s="1056" t="n">
        <f aca="false">IF(D88="y",E88,0)</f>
        <v>0</v>
      </c>
      <c r="P88" s="1056"/>
      <c r="R88" s="1039" t="s">
        <v>1077</v>
      </c>
      <c r="S88" s="920"/>
      <c r="T88" s="78"/>
      <c r="V88" s="1311"/>
      <c r="W88" s="78"/>
      <c r="X88" s="1308"/>
      <c r="Y88" s="78"/>
      <c r="Z88" s="1732" t="n">
        <f aca="false">IF(W$44="Y",V88*X88,V88*X88*(1+Y$44))</f>
        <v>0</v>
      </c>
    </row>
    <row r="89" customFormat="false" ht="21.75" hidden="false" customHeight="true" outlineLevel="0" collapsed="false">
      <c r="B89" s="1087" t="s">
        <v>1447</v>
      </c>
      <c r="C89" s="1088"/>
      <c r="D89" s="1089"/>
      <c r="E89" s="1090" t="n">
        <f aca="false">IF(I79=0,0,(O89-O88+L89)/I79)</f>
        <v>0</v>
      </c>
      <c r="F89" s="1790"/>
      <c r="G89" s="855"/>
      <c r="H89" s="1058"/>
      <c r="I89" s="1088" t="s">
        <v>980</v>
      </c>
      <c r="J89" s="1088"/>
      <c r="K89" s="1088"/>
      <c r="L89" s="1791" t="n">
        <f aca="false">SUM(L79:M88)</f>
        <v>0</v>
      </c>
      <c r="M89" s="1791"/>
      <c r="N89" s="246"/>
      <c r="O89" s="736" t="n">
        <f aca="false">SUM(O79:P88)</f>
        <v>0</v>
      </c>
      <c r="P89" s="736"/>
      <c r="R89" s="1039" t="s">
        <v>1910</v>
      </c>
      <c r="S89" s="920" t="s">
        <v>1632</v>
      </c>
      <c r="T89" s="78" t="s">
        <v>1633</v>
      </c>
      <c r="V89" s="1311"/>
      <c r="W89" s="78" t="s">
        <v>1711</v>
      </c>
      <c r="X89" s="1308" t="n">
        <v>275</v>
      </c>
      <c r="Y89" s="78" t="s">
        <v>630</v>
      </c>
      <c r="Z89" s="1732" t="n">
        <f aca="false">IF(W$44="Y",V89*X89,V89*X89*(1+Y$44))</f>
        <v>0</v>
      </c>
    </row>
    <row r="90" customFormat="false" ht="21.75" hidden="false" customHeight="true" outlineLevel="0" collapsed="false">
      <c r="B90" s="1344" t="s">
        <v>1449</v>
      </c>
      <c r="C90" s="1345"/>
      <c r="D90" s="1345"/>
      <c r="E90" s="1345"/>
      <c r="F90" s="1345"/>
      <c r="G90" s="1345"/>
      <c r="H90" s="1345"/>
      <c r="I90" s="1345"/>
      <c r="J90" s="1345"/>
      <c r="K90" s="1345"/>
      <c r="L90" s="1345"/>
      <c r="M90" s="1345"/>
      <c r="N90" s="1345"/>
      <c r="O90" s="1345"/>
      <c r="P90" s="2114"/>
      <c r="R90" s="1039" t="s">
        <v>1077</v>
      </c>
      <c r="S90" s="920" t="s">
        <v>1634</v>
      </c>
      <c r="T90" s="78" t="s">
        <v>1911</v>
      </c>
      <c r="V90" s="1311" t="n">
        <f aca="false">DB$47/1760</f>
        <v>0</v>
      </c>
      <c r="W90" s="78" t="s">
        <v>1711</v>
      </c>
      <c r="X90" s="1308"/>
      <c r="Y90" s="78" t="s">
        <v>630</v>
      </c>
      <c r="Z90" s="1732" t="n">
        <f aca="false">IF(W$44="Y",V90*X90,V90*X90*(1+Y$44))</f>
        <v>0</v>
      </c>
    </row>
    <row r="91" customFormat="false" ht="21.75" hidden="false" customHeight="true" outlineLevel="0" collapsed="false">
      <c r="B91" s="1794" t="s">
        <v>1316</v>
      </c>
      <c r="C91" s="1068"/>
      <c r="D91" s="1097"/>
      <c r="E91" s="1098"/>
      <c r="F91" s="1068" t="s">
        <v>1317</v>
      </c>
      <c r="G91" s="1099" t="n">
        <v>425</v>
      </c>
      <c r="H91" s="1100" t="s">
        <v>620</v>
      </c>
      <c r="I91" s="1068"/>
      <c r="J91" s="1068"/>
      <c r="K91" s="1068"/>
      <c r="M91" s="2689" t="n">
        <f aca="false">IF(E45=0,0,(SUM(O91:P93))/E45)</f>
        <v>0</v>
      </c>
      <c r="N91" s="2689"/>
      <c r="O91" s="1102" t="n">
        <f aca="false">E91*G91</f>
        <v>0</v>
      </c>
      <c r="P91" s="1102"/>
      <c r="R91" s="1039" t="s">
        <v>1077</v>
      </c>
      <c r="S91" s="1357" t="s">
        <v>1636</v>
      </c>
      <c r="T91" s="1358" t="s">
        <v>1912</v>
      </c>
      <c r="U91" s="265"/>
      <c r="V91" s="1359" t="n">
        <f aca="false">DB47/2360</f>
        <v>0</v>
      </c>
      <c r="W91" s="1358" t="s">
        <v>1711</v>
      </c>
      <c r="X91" s="1360"/>
      <c r="Y91" s="1358" t="s">
        <v>630</v>
      </c>
      <c r="Z91" s="1785" t="n">
        <f aca="false">IF(W$44="Y",V91*X91,V91*X91*(1+Y$44))</f>
        <v>0</v>
      </c>
    </row>
    <row r="92" customFormat="false" ht="21.75" hidden="false" customHeight="true" outlineLevel="0" collapsed="false">
      <c r="B92" s="507" t="s">
        <v>1318</v>
      </c>
      <c r="E92" s="1103"/>
      <c r="F92" s="1104" t="s">
        <v>1317</v>
      </c>
      <c r="G92" s="1105" t="n">
        <v>250</v>
      </c>
      <c r="H92" s="1142" t="s">
        <v>620</v>
      </c>
      <c r="M92" s="1106" t="n">
        <f aca="false">SUM(O91:P93)</f>
        <v>0</v>
      </c>
      <c r="N92" s="1106"/>
      <c r="O92" s="1038" t="n">
        <f aca="false">E92*G92</f>
        <v>0</v>
      </c>
      <c r="P92" s="1038"/>
      <c r="R92" s="1039" t="s">
        <v>1451</v>
      </c>
      <c r="S92" s="920"/>
      <c r="T92" s="78"/>
      <c r="V92" s="1311"/>
      <c r="W92" s="1361"/>
      <c r="X92" s="1308"/>
      <c r="Y92" s="78"/>
      <c r="Z92" s="1732" t="n">
        <f aca="false">IF(W$44="Y",V92*X92,V92*X92*(1+Y$44))</f>
        <v>0</v>
      </c>
    </row>
    <row r="93" customFormat="false" ht="21.75" hidden="false" customHeight="true" outlineLevel="0" collapsed="false">
      <c r="B93" s="507" t="s">
        <v>1320</v>
      </c>
      <c r="E93" s="1103" t="n">
        <f aca="false">E91</f>
        <v>0</v>
      </c>
      <c r="F93" s="16" t="s">
        <v>1317</v>
      </c>
      <c r="G93" s="1105" t="n">
        <v>100</v>
      </c>
      <c r="H93" s="16" t="s">
        <v>620</v>
      </c>
      <c r="N93" s="2359"/>
      <c r="O93" s="1038" t="n">
        <f aca="false">E93*G93</f>
        <v>0</v>
      </c>
      <c r="P93" s="1038"/>
      <c r="R93" s="1306" t="s">
        <v>1451</v>
      </c>
      <c r="S93" s="920"/>
      <c r="T93" s="78"/>
      <c r="V93" s="1311"/>
      <c r="W93" s="78"/>
      <c r="X93" s="1308"/>
      <c r="Y93" s="78"/>
      <c r="Z93" s="1732" t="n">
        <f aca="false">IF(W$44="Y",V93*X93,V93*X93*(1+Y$44))</f>
        <v>0</v>
      </c>
    </row>
    <row r="94" customFormat="false" ht="21.75" hidden="false" customHeight="true" outlineLevel="0" collapsed="false">
      <c r="B94" s="1798" t="s">
        <v>1321</v>
      </c>
      <c r="C94" s="1058"/>
      <c r="D94" s="1058"/>
      <c r="E94" s="1110" t="n">
        <f aca="false">E91</f>
        <v>0</v>
      </c>
      <c r="F94" s="1058"/>
      <c r="G94" s="1126" t="n">
        <v>200</v>
      </c>
      <c r="H94" s="1058"/>
      <c r="I94" s="1058"/>
      <c r="J94" s="1058"/>
      <c r="K94" s="1058"/>
      <c r="L94" s="1058"/>
      <c r="M94" s="1372" t="n">
        <f aca="false">IF(E45=0,0,O94/E45)</f>
        <v>0</v>
      </c>
      <c r="N94" s="1372"/>
      <c r="O94" s="1038" t="n">
        <f aca="false">E94*G94</f>
        <v>0</v>
      </c>
      <c r="P94" s="1038"/>
      <c r="R94" s="1306"/>
      <c r="S94" s="920"/>
      <c r="T94" s="78"/>
      <c r="V94" s="1311"/>
      <c r="W94" s="78"/>
      <c r="X94" s="1308"/>
      <c r="Y94" s="78"/>
      <c r="Z94" s="1732"/>
    </row>
    <row r="95" customFormat="false" ht="21.75" hidden="false" customHeight="true" outlineLevel="0" collapsed="false">
      <c r="B95" s="1344" t="s">
        <v>1325</v>
      </c>
      <c r="C95" s="1345"/>
      <c r="D95" s="2690"/>
      <c r="E95" s="2690"/>
      <c r="F95" s="2690"/>
      <c r="G95" s="2690"/>
      <c r="H95" s="1345"/>
      <c r="I95" s="1345"/>
      <c r="J95" s="1345"/>
      <c r="K95" s="1345"/>
      <c r="L95" s="1345"/>
      <c r="M95" s="1345"/>
      <c r="N95" s="1345"/>
      <c r="O95" s="1345"/>
      <c r="P95" s="2114"/>
      <c r="R95" s="1039" t="s">
        <v>1451</v>
      </c>
      <c r="S95" s="920" t="s">
        <v>1657</v>
      </c>
      <c r="T95" s="78"/>
      <c r="V95" s="1311"/>
      <c r="W95" s="78" t="s">
        <v>1658</v>
      </c>
      <c r="X95" s="1308" t="n">
        <v>25</v>
      </c>
      <c r="Y95" s="78"/>
      <c r="Z95" s="1732" t="n">
        <f aca="false">IF(W$44="Y",V95*X95,V95*X95*(1+Y$44))</f>
        <v>0</v>
      </c>
    </row>
    <row r="96" customFormat="false" ht="21.75" hidden="false" customHeight="true" outlineLevel="0" collapsed="false">
      <c r="B96" s="1794" t="s">
        <v>1326</v>
      </c>
      <c r="C96" s="1799"/>
      <c r="D96" s="1800"/>
      <c r="E96" s="1115"/>
      <c r="F96" s="1068" t="s">
        <v>1327</v>
      </c>
      <c r="G96" s="1099" t="n">
        <f aca="false">Pricing!D32</f>
        <v>425</v>
      </c>
      <c r="H96" s="1068" t="s">
        <v>620</v>
      </c>
      <c r="I96" s="1068"/>
      <c r="J96" s="1068"/>
      <c r="K96" s="1068"/>
      <c r="L96" s="1068"/>
      <c r="M96" s="1068"/>
      <c r="N96" s="1068"/>
      <c r="O96" s="1102" t="n">
        <f aca="false">((IF(AND(E96&gt;0,E96&lt;4),E96*G96,0)+IF(AND(E96&gt;3,E96&lt;8),G96*3,0)+IF(AND(E96&gt;7,E96&lt;21),E96/7*G96*3,0)+IF(AND(E96&gt;20,E96&lt;30),G96*9,0)+IF(E96&gt;29,E96/30*G96*9,0)))*(1+$Y$44+J$98)</f>
        <v>0</v>
      </c>
      <c r="P96" s="1102"/>
      <c r="R96" s="1039" t="s">
        <v>1451</v>
      </c>
      <c r="S96" s="920"/>
      <c r="T96" s="78"/>
      <c r="V96" s="1311"/>
      <c r="W96" s="78"/>
      <c r="X96" s="1308"/>
      <c r="Y96" s="78"/>
      <c r="Z96" s="1732" t="n">
        <f aca="false">IF(W$44="Y",V96*X96,V96*X96*(1+Y$44))</f>
        <v>0</v>
      </c>
    </row>
    <row r="97" customFormat="false" ht="21.75" hidden="false" customHeight="true" outlineLevel="0" collapsed="false">
      <c r="B97" s="507" t="s">
        <v>622</v>
      </c>
      <c r="C97" s="1312"/>
      <c r="D97" s="1801"/>
      <c r="E97" s="1115"/>
      <c r="F97" s="16" t="s">
        <v>1327</v>
      </c>
      <c r="G97" s="1105" t="n">
        <f aca="false">Pricing!D33</f>
        <v>475</v>
      </c>
      <c r="H97" s="16" t="s">
        <v>620</v>
      </c>
      <c r="J97" s="1118" t="s">
        <v>1329</v>
      </c>
      <c r="K97" s="1118"/>
      <c r="M97" s="1119" t="n">
        <f aca="false">IF(E45=0,0,(SUM(O96:P101))/E45)</f>
        <v>0</v>
      </c>
      <c r="N97" s="1119"/>
      <c r="O97" s="1802" t="n">
        <f aca="false">((IF(AND(E97&gt;0,E97&lt;4),E97*G97,0)+IF(AND(E97&gt;3,E97&lt;8),G97*3,0)+IF(AND(E97&gt;7,E97&lt;21),E97/7*G97*3,0)+IF(AND(E97&gt;20,E97&lt;30),G97*9,0)+IF(E97&gt;29,E97/30*G97*9,0)))*(1+$Y$44+J$98)</f>
        <v>0</v>
      </c>
      <c r="P97" s="1802"/>
      <c r="R97" s="1039" t="s">
        <v>1451</v>
      </c>
      <c r="S97" s="1357" t="s">
        <v>1913</v>
      </c>
      <c r="T97" s="1358"/>
      <c r="U97" s="265"/>
      <c r="V97" s="1359"/>
      <c r="W97" s="1358" t="s">
        <v>1323</v>
      </c>
      <c r="X97" s="1360" t="n">
        <v>500</v>
      </c>
      <c r="Y97" s="1358" t="s">
        <v>1747</v>
      </c>
      <c r="Z97" s="1785" t="n">
        <f aca="false">IF(W$44="Y",V97*X97,V97*X97*(1+Y$44))</f>
        <v>0</v>
      </c>
    </row>
    <row r="98" customFormat="false" ht="21.75" hidden="false" customHeight="true" outlineLevel="0" collapsed="false">
      <c r="B98" s="507" t="s">
        <v>624</v>
      </c>
      <c r="C98" s="1312"/>
      <c r="D98" s="1801"/>
      <c r="E98" s="1115"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78" t="s">
        <v>1327</v>
      </c>
      <c r="G98" s="1105" t="n">
        <f aca="false">Pricing!D34</f>
        <v>325</v>
      </c>
      <c r="H98" s="16" t="s">
        <v>620</v>
      </c>
      <c r="J98" s="1803" t="n">
        <v>0.5</v>
      </c>
      <c r="K98" s="1803"/>
      <c r="M98" s="1106" t="n">
        <f aca="false">SUM(O96:P101)</f>
        <v>0</v>
      </c>
      <c r="N98" s="1106"/>
      <c r="O98" s="1802" t="n">
        <f aca="false">((IF(AND(E98&gt;0,E98&lt;4),E98*G98,0)+IF(AND(E98&gt;3,E98&lt;8),G98*3,0)+IF(AND(E98&gt;7,E98&lt;21),E98/7*G98*3,0)+IF(AND(E98&gt;20,E98&lt;30),G98*9,0)+IF(E98&gt;29,E98/30*G98*9,0)))*(1+$Y$44+J$98)</f>
        <v>0</v>
      </c>
      <c r="P98" s="1802"/>
      <c r="R98" s="1039" t="s">
        <v>1073</v>
      </c>
      <c r="S98" s="920" t="s">
        <v>618</v>
      </c>
      <c r="T98" s="78"/>
      <c r="V98" s="1311" t="n">
        <f aca="false">ROUNDUP(D42/15000,0)</f>
        <v>0</v>
      </c>
      <c r="W98" s="16" t="s">
        <v>1452</v>
      </c>
      <c r="X98" s="1308" t="n">
        <f aca="false">Pricing!Q31</f>
        <v>27</v>
      </c>
      <c r="Y98" s="16" t="s">
        <v>607</v>
      </c>
      <c r="Z98" s="1732" t="n">
        <f aca="false">IF(W$44="Y",V98*X98,V98*X98*(1+Y$44))</f>
        <v>0</v>
      </c>
    </row>
    <row r="99" customFormat="false" ht="21.75" hidden="false" customHeight="true" outlineLevel="0" collapsed="false">
      <c r="B99" s="507" t="s">
        <v>626</v>
      </c>
      <c r="C99" s="1312"/>
      <c r="D99" s="1801"/>
      <c r="E99" s="1115"/>
      <c r="F99" s="16" t="s">
        <v>1327</v>
      </c>
      <c r="G99" s="1105" t="n">
        <v>225</v>
      </c>
      <c r="H99" s="16" t="s">
        <v>620</v>
      </c>
      <c r="J99" s="1803"/>
      <c r="K99" s="1803"/>
      <c r="O99" s="1038" t="n">
        <f aca="false">((IF(AND(E99&gt;0,E99&lt;4),E99*G99,0)+IF(AND(E99&gt;3,E99&lt;8),G99*3,0)+IF(AND(E99&gt;7,E99&lt;21),E99/7*G99*3,0)+IF(AND(E99&gt;20,E99&lt;30),G99*9,0)+IF(E99&gt;29,E99/30*G99*9,0)))*(1+$Y$44+J$98)</f>
        <v>0</v>
      </c>
      <c r="P99" s="1038"/>
      <c r="R99" s="1039" t="s">
        <v>1073</v>
      </c>
      <c r="S99" s="920" t="s">
        <v>629</v>
      </c>
      <c r="T99" s="78"/>
      <c r="V99" s="1311" t="n">
        <f aca="false">I79/15000</f>
        <v>0</v>
      </c>
      <c r="W99" s="16" t="s">
        <v>1644</v>
      </c>
      <c r="X99" s="1308" t="n">
        <f aca="false">Pricing!Q36</f>
        <v>37.8</v>
      </c>
      <c r="Y99" s="16" t="s">
        <v>630</v>
      </c>
      <c r="Z99" s="1732" t="n">
        <f aca="false">IF(W$44="Y",V99*X99,V99*X99*(1+Y$44))</f>
        <v>0</v>
      </c>
    </row>
    <row r="100" customFormat="false" ht="21.75" hidden="false" customHeight="true" outlineLevel="0" collapsed="false">
      <c r="B100" s="507" t="s">
        <v>1333</v>
      </c>
      <c r="C100" s="1312"/>
      <c r="D100" s="1801"/>
      <c r="E100" s="1115"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16" t="s">
        <v>1327</v>
      </c>
      <c r="G100" s="1105" t="n">
        <v>25</v>
      </c>
      <c r="H100" s="16" t="s">
        <v>620</v>
      </c>
      <c r="O100" s="1038" t="n">
        <f aca="false">((IF(AND(E100&gt;0,E100&lt;4),E100*G100,0)+IF(AND(E100&gt;3,E100&lt;8),G100*3,0)+IF(AND(E100&gt;7,E100&lt;21),E100/7*G100*3,0)+IF(AND(E100&gt;20,E100&lt;30),G100*9,0)+IF(E100&gt;29,E100/30*G100*9,0)))*(1+$Y$44+J$98)</f>
        <v>0</v>
      </c>
      <c r="P100" s="1038"/>
      <c r="R100" s="1039" t="s">
        <v>1073</v>
      </c>
      <c r="S100" s="1357" t="s">
        <v>554</v>
      </c>
      <c r="T100" s="1358"/>
      <c r="U100" s="265"/>
      <c r="V100" s="1359" t="n">
        <f aca="false">L70+(L71*0.75)</f>
        <v>0</v>
      </c>
      <c r="W100" s="397" t="s">
        <v>1288</v>
      </c>
      <c r="X100" s="1360" t="n">
        <v>0.02</v>
      </c>
      <c r="Y100" s="397" t="s">
        <v>555</v>
      </c>
      <c r="Z100" s="1785" t="n">
        <f aca="false">IF(W$44="Y",V100*X100,V100*X100*(1+Y$44))</f>
        <v>0</v>
      </c>
    </row>
    <row r="101" customFormat="false" ht="21.75" hidden="false" customHeight="true" outlineLevel="0" collapsed="false">
      <c r="B101" s="1798" t="s">
        <v>1067</v>
      </c>
      <c r="C101" s="1804"/>
      <c r="D101" s="1805"/>
      <c r="E101" s="1115" t="n">
        <f aca="false">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1058" t="s">
        <v>1645</v>
      </c>
      <c r="G101" s="1126" t="n">
        <v>55</v>
      </c>
      <c r="H101" s="1058" t="s">
        <v>620</v>
      </c>
      <c r="I101" s="1058"/>
      <c r="J101" s="1058"/>
      <c r="K101" s="1058"/>
      <c r="L101" s="1058"/>
      <c r="M101" s="1127"/>
      <c r="N101" s="1058"/>
      <c r="O101" s="736" t="n">
        <f aca="false">((IF(AND(E101&gt;0,E101&lt;4),E101*G101,0)+IF(AND(E101&gt;3,E101&lt;8),G101*3,0)+IF(AND(E101&gt;7,E101&lt;21),E101/7*G101*3,0)+IF(AND(E101&gt;20,E101&lt;30),G101*9,0)+IF(E101&gt;29,E101/30*G101*9,0)))</f>
        <v>0</v>
      </c>
      <c r="P101" s="736"/>
      <c r="R101" s="1039" t="s">
        <v>1078</v>
      </c>
      <c r="S101" s="920" t="s">
        <v>1105</v>
      </c>
      <c r="T101" s="78"/>
      <c r="V101" s="78"/>
      <c r="X101" s="1308"/>
      <c r="Y101" s="16"/>
      <c r="Z101" s="1732" t="n">
        <f aca="false">IF(W$44="Y",V101*X101,V101*X101*(1+Y$44))</f>
        <v>0</v>
      </c>
    </row>
    <row r="102" customFormat="false" ht="21.75" hidden="false" customHeight="true" outlineLevel="0" collapsed="false">
      <c r="B102" s="1344" t="s">
        <v>1336</v>
      </c>
      <c r="C102" s="1345"/>
      <c r="D102" s="1345"/>
      <c r="E102" s="1345"/>
      <c r="F102" s="1345"/>
      <c r="G102" s="1345"/>
      <c r="H102" s="1345"/>
      <c r="I102" s="1345"/>
      <c r="J102" s="1345"/>
      <c r="K102" s="1345"/>
      <c r="L102" s="1345"/>
      <c r="M102" s="1345"/>
      <c r="N102" s="1345"/>
      <c r="O102" s="1345"/>
      <c r="P102" s="2114"/>
      <c r="R102" s="1039" t="s">
        <v>1328</v>
      </c>
      <c r="S102" s="920" t="s">
        <v>1105</v>
      </c>
      <c r="T102" s="78"/>
      <c r="V102" s="78"/>
      <c r="X102" s="1308"/>
      <c r="Y102" s="16"/>
      <c r="Z102" s="1732" t="n">
        <f aca="false">IF(W$44="Y",V102*X102,V102*X102*(1+Y$44))</f>
        <v>0</v>
      </c>
    </row>
    <row r="103" customFormat="false" ht="21.75" hidden="false" customHeight="true" outlineLevel="0" collapsed="false">
      <c r="B103" s="1794" t="s">
        <v>1340</v>
      </c>
      <c r="C103" s="1799"/>
      <c r="D103" s="1800"/>
      <c r="E103" s="1381"/>
      <c r="F103" s="1133" t="s">
        <v>1341</v>
      </c>
      <c r="G103" s="1806" t="n">
        <v>1.75</v>
      </c>
      <c r="H103" s="1807"/>
      <c r="I103" s="1068" t="s">
        <v>600</v>
      </c>
      <c r="J103" s="1068"/>
      <c r="K103" s="1068"/>
      <c r="L103" s="1068"/>
      <c r="M103" s="1068"/>
      <c r="N103" s="1068"/>
      <c r="O103" s="1102" t="n">
        <f aca="false">E103*G103</f>
        <v>0</v>
      </c>
      <c r="P103" s="1102"/>
      <c r="R103" s="1039" t="s">
        <v>1330</v>
      </c>
      <c r="S103" s="1357" t="s">
        <v>1108</v>
      </c>
      <c r="T103" s="1358"/>
      <c r="U103" s="265"/>
      <c r="V103" s="1358"/>
      <c r="W103" s="397"/>
      <c r="X103" s="1360"/>
      <c r="Y103" s="397"/>
      <c r="Z103" s="1785" t="n">
        <f aca="false">IF(W$44="Y",V103*X103,V103*X103*(1+Y$44))</f>
        <v>0</v>
      </c>
    </row>
    <row r="104" customFormat="false" ht="21.75" hidden="false" customHeight="true" outlineLevel="0" collapsed="false">
      <c r="B104" s="507" t="s">
        <v>1647</v>
      </c>
      <c r="C104" s="1312"/>
      <c r="D104" s="1312"/>
      <c r="E104" s="1809"/>
      <c r="F104" s="16" t="s">
        <v>1618</v>
      </c>
      <c r="G104" s="1810" t="n">
        <v>0.65</v>
      </c>
      <c r="H104" s="1811"/>
      <c r="I104" s="16" t="s">
        <v>600</v>
      </c>
      <c r="J104" s="1812" t="s">
        <v>1648</v>
      </c>
      <c r="K104" s="1813"/>
      <c r="L104" s="1814" t="n">
        <v>20</v>
      </c>
      <c r="N104" s="525"/>
      <c r="O104" s="1038" t="n">
        <f aca="false">IF(E104=0,0,E104*G104)</f>
        <v>0</v>
      </c>
      <c r="P104" s="1038"/>
      <c r="R104" s="1039" t="s">
        <v>1342</v>
      </c>
      <c r="S104" s="920"/>
      <c r="T104" s="78"/>
      <c r="V104" s="78"/>
      <c r="X104" s="1308"/>
      <c r="Y104" s="16"/>
      <c r="Z104" s="1732" t="n">
        <f aca="false">IF(W$44="Y",V104*X104,V104*X104*(1+Y$44))</f>
        <v>0</v>
      </c>
    </row>
    <row r="105" customFormat="false" ht="21.75" hidden="false" customHeight="true" outlineLevel="0" collapsed="false">
      <c r="B105" s="507" t="s">
        <v>1462</v>
      </c>
      <c r="C105" s="1312"/>
      <c r="D105" s="1801"/>
      <c r="E105" s="1815"/>
      <c r="F105" s="16" t="s">
        <v>1341</v>
      </c>
      <c r="G105" s="1810" t="n">
        <v>0.35</v>
      </c>
      <c r="H105" s="1816"/>
      <c r="I105" s="16" t="s">
        <v>1341</v>
      </c>
      <c r="J105" s="1817"/>
      <c r="K105" s="1813"/>
      <c r="L105" s="1814" t="n">
        <v>20</v>
      </c>
      <c r="O105" s="1038" t="n">
        <f aca="false">E105*G105</f>
        <v>0</v>
      </c>
      <c r="P105" s="1038"/>
      <c r="R105" s="1039" t="s">
        <v>1342</v>
      </c>
      <c r="S105" s="920" t="s">
        <v>646</v>
      </c>
      <c r="T105" s="78"/>
      <c r="V105" s="1311" t="n">
        <f aca="false">ROUNDUP(I79/300/55,0)</f>
        <v>0</v>
      </c>
      <c r="W105" s="16" t="s">
        <v>1649</v>
      </c>
      <c r="X105" s="1308" t="n">
        <v>225</v>
      </c>
      <c r="Y105" s="16" t="s">
        <v>647</v>
      </c>
      <c r="Z105" s="1732" t="n">
        <f aca="false">IF(W$44="Y",V105*X105,V105*X105*(1+Y$44))</f>
        <v>0</v>
      </c>
    </row>
    <row r="106" customFormat="false" ht="21.75" hidden="false" customHeight="true" outlineLevel="0" collapsed="false">
      <c r="B106" s="507" t="s">
        <v>1343</v>
      </c>
      <c r="C106" s="1312"/>
      <c r="D106" s="1801"/>
      <c r="E106" s="1389" t="n">
        <f aca="false">SUM(L65:M69)</f>
        <v>0</v>
      </c>
      <c r="F106" s="1142" t="s">
        <v>998</v>
      </c>
      <c r="G106" s="1810" t="n">
        <v>20</v>
      </c>
      <c r="H106" s="1816"/>
      <c r="I106" s="16" t="s">
        <v>1285</v>
      </c>
      <c r="O106" s="1038" t="n">
        <f aca="false">E106*G106</f>
        <v>0</v>
      </c>
      <c r="P106" s="1038"/>
      <c r="R106" s="1039" t="s">
        <v>1342</v>
      </c>
      <c r="S106" s="1357" t="s">
        <v>649</v>
      </c>
      <c r="T106" s="1358"/>
      <c r="U106" s="265"/>
      <c r="V106" s="1359" t="n">
        <v>0</v>
      </c>
      <c r="W106" s="397" t="s">
        <v>1649</v>
      </c>
      <c r="X106" s="1360" t="n">
        <f aca="false">Pricing!Q45</f>
        <v>542</v>
      </c>
      <c r="Y106" s="397" t="s">
        <v>647</v>
      </c>
      <c r="Z106" s="1785" t="n">
        <f aca="false">IF(W$44="Y",V106*X106,V106*X106*(1+Y$44))</f>
        <v>0</v>
      </c>
    </row>
    <row r="107" customFormat="false" ht="21.75" hidden="false" customHeight="true" outlineLevel="0" collapsed="false">
      <c r="B107" s="507" t="s">
        <v>1234</v>
      </c>
      <c r="C107" s="1312"/>
      <c r="D107" s="1312"/>
      <c r="E107" s="1815"/>
      <c r="F107" s="1142" t="s">
        <v>998</v>
      </c>
      <c r="G107" s="1818" t="n">
        <v>12</v>
      </c>
      <c r="H107" s="1819"/>
      <c r="I107" s="16" t="s">
        <v>1285</v>
      </c>
      <c r="O107" s="1038" t="n">
        <f aca="false">E107*G107</f>
        <v>0</v>
      </c>
      <c r="P107" s="1038"/>
      <c r="R107" s="1147"/>
      <c r="S107" s="920"/>
      <c r="T107" s="78"/>
      <c r="U107" s="78"/>
      <c r="W107" s="78"/>
      <c r="Z107" s="1820"/>
    </row>
    <row r="108" customFormat="false" ht="21.75" hidden="false" customHeight="true" outlineLevel="0" collapsed="false">
      <c r="B108" s="507" t="s">
        <v>1346</v>
      </c>
      <c r="C108" s="1312"/>
      <c r="D108" s="1312"/>
      <c r="E108" s="1144"/>
      <c r="F108" s="922" t="s">
        <v>1347</v>
      </c>
      <c r="G108" s="1810" t="n">
        <v>200</v>
      </c>
      <c r="H108" s="1821"/>
      <c r="I108" s="16" t="s">
        <v>620</v>
      </c>
      <c r="O108" s="1038" t="n">
        <f aca="false">E108*G108</f>
        <v>0</v>
      </c>
      <c r="P108" s="1038"/>
      <c r="R108" s="1147"/>
      <c r="S108" s="1822" t="s">
        <v>1349</v>
      </c>
      <c r="T108" s="1823"/>
      <c r="U108" s="1271" t="n">
        <v>18</v>
      </c>
      <c r="V108" s="16" t="s">
        <v>1350</v>
      </c>
      <c r="W108" s="78"/>
      <c r="Z108" s="1820"/>
    </row>
    <row r="109" customFormat="false" ht="21.75" hidden="false" customHeight="true" outlineLevel="0" collapsed="false">
      <c r="B109" s="1798" t="s">
        <v>1067</v>
      </c>
      <c r="C109" s="1804"/>
      <c r="D109" s="1804"/>
      <c r="E109" s="1110"/>
      <c r="F109" s="1058"/>
      <c r="G109" s="1824" t="n">
        <v>1000</v>
      </c>
      <c r="H109" s="1825"/>
      <c r="I109" s="1058" t="s">
        <v>1348</v>
      </c>
      <c r="J109" s="1058"/>
      <c r="K109" s="1058"/>
      <c r="L109" s="1058"/>
      <c r="M109" s="1058"/>
      <c r="N109" s="1058"/>
      <c r="O109" s="736" t="n">
        <f aca="false">E109*G109</f>
        <v>0</v>
      </c>
      <c r="P109" s="736"/>
      <c r="R109" s="1039" t="s">
        <v>1072</v>
      </c>
      <c r="S109" s="1599" t="s">
        <v>1353</v>
      </c>
      <c r="T109" s="1826"/>
      <c r="U109" s="1826" t="n">
        <f aca="false">ROUNDUP((V79+V81+V82)*12/U108,0)</f>
        <v>0</v>
      </c>
      <c r="V109" s="1058" t="s">
        <v>1354</v>
      </c>
      <c r="W109" s="1827" t="n">
        <f aca="false">Pricing!D25</f>
        <v>1.45</v>
      </c>
      <c r="X109" s="1827"/>
      <c r="Y109" s="246"/>
      <c r="Z109" s="1732" t="n">
        <f aca="false">IF(W$44="Y",U109*W109,U109*W109*(1+Y$44))</f>
        <v>0</v>
      </c>
    </row>
    <row r="110" customFormat="false" ht="21.75" hidden="false" customHeight="true" outlineLevel="0" collapsed="false">
      <c r="B110" s="1394" t="s">
        <v>1191</v>
      </c>
      <c r="C110" s="1394"/>
      <c r="D110" s="1394"/>
      <c r="E110" s="1395" t="n">
        <f aca="false">Summary!P60</f>
        <v>0</v>
      </c>
      <c r="F110" s="1396" t="s">
        <v>1465</v>
      </c>
      <c r="G110" s="2691" t="n">
        <f aca="false">(SUM(O65:P77)+SUM(O79:P88)+SUM(L79:M88)+SUM(O91:P93)+SUM(O96:P101)+SUM(O103:P109))*E110</f>
        <v>0</v>
      </c>
      <c r="H110" s="2691"/>
      <c r="I110" s="1398" t="s">
        <v>1039</v>
      </c>
      <c r="J110" s="1398"/>
      <c r="K110" s="1398"/>
      <c r="L110" s="1398"/>
      <c r="M110" s="1398"/>
      <c r="N110" s="1398"/>
      <c r="O110" s="1399" t="n">
        <f aca="false">G110</f>
        <v>0</v>
      </c>
      <c r="P110" s="1399"/>
      <c r="Y110" s="16"/>
      <c r="Z110" s="1393" t="n">
        <f aca="false">SUM(Z66:Z109)</f>
        <v>0</v>
      </c>
    </row>
    <row r="111" customFormat="false" ht="21.75" hidden="false" customHeight="true" outlineLevel="0" collapsed="false">
      <c r="B111" s="421"/>
      <c r="C111" s="654"/>
      <c r="D111" s="654"/>
      <c r="E111" s="654"/>
      <c r="F111" s="654"/>
      <c r="G111" s="654"/>
      <c r="H111" s="654"/>
      <c r="I111" s="654"/>
      <c r="J111" s="654"/>
      <c r="K111" s="654"/>
      <c r="L111" s="654"/>
      <c r="M111" s="654"/>
      <c r="N111" s="654"/>
      <c r="O111" s="654"/>
      <c r="P111" s="654"/>
      <c r="Q111" s="1826"/>
      <c r="R111" s="1826"/>
      <c r="S111" s="1826"/>
      <c r="T111" s="1826"/>
      <c r="U111" s="1058"/>
      <c r="V111" s="1827"/>
      <c r="W111" s="1827"/>
      <c r="X111" s="246"/>
      <c r="Y111" s="246"/>
      <c r="Z111" s="246"/>
    </row>
    <row r="112" customFormat="false" ht="28.55" hidden="false" customHeight="false" outlineLevel="0" collapsed="false">
      <c r="B112" s="958" t="s">
        <v>1262</v>
      </c>
      <c r="C112" s="958"/>
      <c r="D112" s="958"/>
      <c r="E112" s="1642" t="s">
        <v>982</v>
      </c>
      <c r="F112" s="1644"/>
      <c r="G112" s="1642" t="s">
        <v>1263</v>
      </c>
      <c r="H112" s="1643"/>
      <c r="I112" s="1644"/>
      <c r="J112" s="1167" t="s">
        <v>1264</v>
      </c>
      <c r="K112" s="1168"/>
      <c r="L112" s="1169"/>
      <c r="M112" s="1170" t="s">
        <v>1265</v>
      </c>
      <c r="N112" s="1171"/>
      <c r="O112" s="1171"/>
      <c r="P112" s="1172"/>
      <c r="Q112" s="1645"/>
      <c r="R112" s="1645"/>
      <c r="S112" s="961"/>
      <c r="T112" s="599" t="s">
        <v>1266</v>
      </c>
      <c r="V112" s="16" t="s">
        <v>1267</v>
      </c>
      <c r="W112" s="1173" t="str">
        <f aca="false">W44</f>
        <v>N</v>
      </c>
      <c r="X112" s="833" t="s">
        <v>1268</v>
      </c>
      <c r="Y112" s="1401" t="n">
        <f aca="false">Y44</f>
        <v>0.0825</v>
      </c>
      <c r="Z112" s="964"/>
    </row>
    <row r="113" customFormat="false" ht="15" hidden="false" customHeight="false" outlineLevel="0" collapsed="false">
      <c r="B113" s="965" t="s">
        <v>1269</v>
      </c>
      <c r="C113" s="1649" t="n">
        <f aca="false">C45</f>
        <v>0</v>
      </c>
      <c r="D113" s="966"/>
      <c r="E113" s="967" t="n">
        <f aca="false">E45</f>
        <v>0</v>
      </c>
      <c r="F113" s="967"/>
      <c r="G113" s="968" t="n">
        <f aca="false">G45</f>
        <v>0</v>
      </c>
      <c r="H113" s="736" t="n">
        <f aca="false">H45</f>
        <v>0</v>
      </c>
      <c r="I113" s="736"/>
      <c r="J113" s="1651" t="n">
        <f aca="false">J45</f>
        <v>0</v>
      </c>
      <c r="K113" s="1652"/>
      <c r="L113" s="1653"/>
      <c r="M113" s="1829" t="n">
        <f aca="false">M45</f>
        <v>0.18</v>
      </c>
      <c r="N113" s="1655"/>
      <c r="O113" s="1655"/>
      <c r="P113" s="1656"/>
      <c r="Q113" s="1645"/>
      <c r="R113" s="1645"/>
      <c r="S113" s="1265"/>
      <c r="T113" s="970" t="s">
        <v>980</v>
      </c>
      <c r="V113" s="971" t="n">
        <f aca="false">V45</f>
        <v>0</v>
      </c>
      <c r="W113" s="971"/>
      <c r="X113" s="1659"/>
      <c r="Y113" s="16"/>
    </row>
    <row r="114" customFormat="false" ht="21.75" hidden="false" customHeight="true" outlineLevel="0" collapsed="false">
      <c r="B114" s="955"/>
      <c r="C114" s="961"/>
      <c r="D114" s="961"/>
      <c r="E114" s="961"/>
      <c r="F114" s="961"/>
      <c r="G114" s="961"/>
      <c r="H114" s="961"/>
      <c r="I114" s="961"/>
      <c r="J114" s="961"/>
      <c r="K114" s="961"/>
      <c r="L114" s="961"/>
      <c r="M114" s="961"/>
      <c r="N114" s="961"/>
      <c r="O114" s="961"/>
      <c r="P114" s="961"/>
      <c r="Q114" s="1645"/>
      <c r="R114" s="1645"/>
      <c r="S114" s="961"/>
      <c r="T114" s="961"/>
      <c r="U114" s="961"/>
      <c r="V114" s="961"/>
      <c r="W114" s="961"/>
      <c r="X114" s="961"/>
      <c r="Y114" s="961"/>
    </row>
    <row r="115" customFormat="false" ht="15" hidden="false" customHeight="true" outlineLevel="0" collapsed="false">
      <c r="A115" s="0"/>
      <c r="B115" s="0"/>
      <c r="C115" s="0"/>
      <c r="D115" s="0"/>
      <c r="E115" s="0"/>
      <c r="F115" s="0"/>
      <c r="G115" s="0"/>
      <c r="H115" s="0"/>
      <c r="I115" s="0"/>
      <c r="J115" s="0"/>
      <c r="K115" s="0"/>
      <c r="L115" s="0"/>
      <c r="M115" s="0"/>
      <c r="N115" s="0"/>
      <c r="O115" s="0"/>
      <c r="P115" s="0"/>
      <c r="Q115" s="0"/>
      <c r="R115" s="0"/>
      <c r="S115" s="0"/>
      <c r="T115" s="0"/>
      <c r="U115" s="0"/>
      <c r="V115" s="0"/>
      <c r="W115" s="0"/>
      <c r="X115" s="0"/>
      <c r="AB115" s="0"/>
      <c r="AC115" s="0"/>
      <c r="AD115" s="0"/>
      <c r="AE115" s="0"/>
      <c r="AF115" s="0"/>
      <c r="AG115" s="0"/>
      <c r="AH115" s="0"/>
      <c r="AI115" s="0"/>
      <c r="AJ115" s="0"/>
      <c r="AK115" s="0"/>
      <c r="AL115" s="0"/>
      <c r="AM115" s="0"/>
      <c r="AN115" s="0"/>
      <c r="AO115" s="0"/>
      <c r="AP115" s="0"/>
      <c r="AQ115" s="0"/>
      <c r="AR115" s="0"/>
      <c r="AS115" s="0"/>
      <c r="AT115" s="0"/>
      <c r="AU115" s="0"/>
      <c r="AV115" s="0"/>
      <c r="AW115" s="0"/>
      <c r="AX115" s="0"/>
      <c r="AY115" s="0"/>
      <c r="AZ115" s="0"/>
      <c r="BA115" s="0"/>
      <c r="BB115" s="0"/>
      <c r="BC115" s="0"/>
      <c r="BD115" s="0"/>
      <c r="BE115" s="0"/>
      <c r="BF115" s="0"/>
      <c r="BG115" s="0"/>
      <c r="BH115" s="0"/>
      <c r="BI115" s="0"/>
      <c r="BJ115" s="0"/>
      <c r="BK115" s="0"/>
      <c r="BL115" s="0"/>
      <c r="BM115" s="0"/>
      <c r="BN115" s="0"/>
      <c r="BO115" s="0"/>
      <c r="BP115" s="0"/>
      <c r="BQ115" s="0"/>
      <c r="BR115" s="0"/>
      <c r="BS115" s="0"/>
      <c r="BT115" s="0"/>
      <c r="BU115" s="0"/>
      <c r="BV115" s="0"/>
      <c r="BW115" s="0"/>
      <c r="BX115" s="0"/>
      <c r="BY115" s="0"/>
      <c r="BZ115" s="0"/>
      <c r="CA115" s="0"/>
      <c r="CB115" s="0"/>
      <c r="CC115" s="0"/>
      <c r="CD115" s="0"/>
      <c r="CE115" s="0"/>
      <c r="CF115" s="0"/>
      <c r="CG115" s="0"/>
      <c r="CH115" s="0"/>
      <c r="CI115" s="0"/>
      <c r="CJ115" s="0"/>
      <c r="CK115" s="0"/>
      <c r="CL115" s="0"/>
      <c r="CM115" s="0"/>
      <c r="CN115" s="0"/>
      <c r="CO115" s="0"/>
      <c r="CP115" s="0"/>
      <c r="CQ115" s="0"/>
      <c r="CR115" s="0"/>
      <c r="CS115" s="0"/>
      <c r="CT115" s="0"/>
      <c r="CU115" s="0"/>
      <c r="CV115" s="0"/>
      <c r="CW115" s="0"/>
      <c r="CX115" s="0"/>
      <c r="CY115" s="0"/>
      <c r="CZ115" s="0"/>
      <c r="DA115" s="0"/>
      <c r="DB115" s="0"/>
      <c r="DC115" s="0"/>
      <c r="DD115" s="0"/>
      <c r="DE115" s="0"/>
      <c r="DF115" s="0"/>
      <c r="DG115" s="0"/>
      <c r="DH115" s="0"/>
      <c r="DI115" s="0"/>
      <c r="DJ115" s="0"/>
      <c r="DK115" s="0"/>
      <c r="DL115" s="0"/>
      <c r="DM115" s="0"/>
      <c r="DN115" s="0"/>
      <c r="DO115" s="0"/>
      <c r="DP115" s="0"/>
      <c r="DQ115" s="0"/>
      <c r="DR115" s="0"/>
      <c r="DS115" s="0"/>
      <c r="DT115" s="0"/>
      <c r="DU115" s="0"/>
      <c r="DV115" s="0"/>
      <c r="DW115" s="0"/>
      <c r="DX115" s="0"/>
      <c r="DY115" s="0"/>
      <c r="DZ115" s="0"/>
      <c r="EA115" s="0"/>
      <c r="EB115" s="0"/>
      <c r="EC115" s="0"/>
      <c r="ED115" s="0"/>
      <c r="EE115" s="0"/>
      <c r="EF115" s="0"/>
      <c r="EG115" s="0"/>
      <c r="EH115" s="0"/>
      <c r="EI115" s="0"/>
      <c r="EJ115" s="0"/>
      <c r="EK115" s="0"/>
      <c r="EL115" s="0"/>
      <c r="EM115" s="0"/>
      <c r="EN115" s="0"/>
      <c r="EO115" s="0"/>
      <c r="EP115" s="0"/>
      <c r="EQ115" s="0"/>
      <c r="ER115" s="0"/>
      <c r="ES115" s="0"/>
      <c r="ET115" s="0"/>
      <c r="EU115" s="0"/>
      <c r="EV115" s="0"/>
      <c r="EW115" s="0"/>
      <c r="EX115" s="0"/>
      <c r="EY115" s="0"/>
      <c r="EZ115" s="0"/>
      <c r="FA115" s="0"/>
      <c r="FB115" s="0"/>
      <c r="FC115" s="0"/>
      <c r="FD115" s="0"/>
      <c r="FE115" s="0"/>
      <c r="FF115" s="0"/>
      <c r="FG115" s="0"/>
      <c r="FH115" s="0"/>
      <c r="FI115" s="0"/>
      <c r="FJ115" s="0"/>
      <c r="FK115" s="0"/>
      <c r="FL115" s="0"/>
      <c r="FM115" s="0"/>
      <c r="FN115" s="0"/>
      <c r="FO115" s="0"/>
      <c r="FP115" s="0"/>
      <c r="FQ115" s="0"/>
      <c r="FR115" s="0"/>
      <c r="FS115" s="0"/>
      <c r="FT115" s="0"/>
      <c r="FU115" s="0"/>
      <c r="FV115" s="0"/>
      <c r="FW115" s="0"/>
      <c r="FX115" s="0"/>
      <c r="FY115" s="0"/>
      <c r="FZ115" s="0"/>
      <c r="GA115" s="0"/>
      <c r="GB115" s="0"/>
      <c r="GC115" s="0"/>
      <c r="GD115" s="0"/>
      <c r="GE115" s="0"/>
      <c r="GF115" s="0"/>
      <c r="GG115" s="0"/>
      <c r="GH115" s="0"/>
      <c r="GI115" s="0"/>
      <c r="GJ115" s="0"/>
      <c r="GK115" s="0"/>
      <c r="GL115" s="0"/>
      <c r="IQ115" s="0"/>
      <c r="IR115" s="0"/>
      <c r="IS115" s="0"/>
      <c r="IT115" s="0"/>
      <c r="IU115" s="0"/>
      <c r="IV115" s="0"/>
      <c r="IW115" s="0"/>
      <c r="IX115" s="0"/>
      <c r="IY115" s="0"/>
      <c r="IZ115" s="0"/>
      <c r="JA115" s="0"/>
      <c r="JB115" s="0"/>
      <c r="JC115" s="0"/>
      <c r="JD115" s="0"/>
      <c r="JE115" s="0"/>
      <c r="JF115" s="0"/>
      <c r="JG115" s="0"/>
      <c r="JH115" s="0"/>
      <c r="JI115" s="0"/>
      <c r="JJ115" s="0"/>
      <c r="JK115" s="0"/>
      <c r="JL115" s="0"/>
      <c r="JM115" s="0"/>
      <c r="JN115" s="0"/>
      <c r="JO115" s="0"/>
      <c r="JP115" s="0"/>
      <c r="JQ115" s="0"/>
      <c r="JR115" s="0"/>
      <c r="JS115" s="0"/>
      <c r="JT115" s="0"/>
      <c r="JU115" s="0"/>
      <c r="JV115" s="0"/>
      <c r="JW115" s="0"/>
      <c r="JX115" s="0"/>
      <c r="JY115" s="0"/>
      <c r="JZ115" s="0"/>
      <c r="KA115" s="0"/>
      <c r="KB115" s="0"/>
      <c r="KC115" s="0"/>
      <c r="KD115" s="0"/>
      <c r="KE115" s="0"/>
      <c r="KF115" s="0"/>
      <c r="KG115" s="0"/>
      <c r="KH115" s="0"/>
      <c r="KI115" s="0"/>
      <c r="KJ115" s="0"/>
      <c r="KK115" s="0"/>
      <c r="KL115" s="0"/>
      <c r="KM115" s="0"/>
      <c r="KN115" s="0"/>
      <c r="KO115" s="0"/>
      <c r="KP115" s="0"/>
      <c r="KQ115" s="0"/>
      <c r="KR115" s="0"/>
      <c r="KS115" s="0"/>
      <c r="KT115" s="0"/>
      <c r="KU115" s="0"/>
      <c r="KV115" s="0"/>
      <c r="KW115" s="0"/>
      <c r="KX115" s="0"/>
      <c r="KY115" s="0"/>
      <c r="KZ115" s="0"/>
      <c r="LA115" s="0"/>
      <c r="LB115" s="0"/>
      <c r="LC115" s="0"/>
      <c r="LD115" s="0"/>
      <c r="LE115" s="0"/>
      <c r="LF115" s="0"/>
      <c r="LG115" s="0"/>
      <c r="LH115" s="0"/>
      <c r="LI115" s="0"/>
      <c r="LJ115" s="0"/>
      <c r="LK115" s="0"/>
      <c r="LL115" s="0"/>
      <c r="LM115" s="0"/>
      <c r="LN115" s="0"/>
      <c r="LO115" s="0"/>
      <c r="LP115" s="0"/>
      <c r="LQ115" s="0"/>
      <c r="LR115" s="0"/>
      <c r="LS115" s="0"/>
      <c r="LT115" s="0"/>
      <c r="LU115" s="0"/>
      <c r="LV115" s="0"/>
      <c r="LW115" s="0"/>
      <c r="LX115" s="0"/>
      <c r="LY115" s="0"/>
      <c r="LZ115" s="0"/>
      <c r="MA115" s="0"/>
      <c r="MB115" s="0"/>
      <c r="MC115" s="0"/>
      <c r="MD115" s="0"/>
      <c r="ME115" s="0"/>
      <c r="MF115" s="0"/>
      <c r="MG115" s="0"/>
      <c r="MH115" s="0"/>
      <c r="MI115" s="0"/>
      <c r="MJ115" s="0"/>
      <c r="MK115" s="0"/>
      <c r="ML115" s="0"/>
      <c r="MM115" s="0"/>
      <c r="MN115" s="0"/>
      <c r="MO115" s="0"/>
      <c r="MP115" s="0"/>
      <c r="MQ115" s="0"/>
      <c r="MR115" s="0"/>
      <c r="MS115" s="0"/>
      <c r="MT115" s="0"/>
      <c r="MU115" s="0"/>
      <c r="MV115" s="0"/>
      <c r="MW115" s="0"/>
      <c r="MX115" s="0"/>
      <c r="MY115" s="0"/>
      <c r="MZ115" s="0"/>
      <c r="NA115" s="0"/>
      <c r="NB115" s="0"/>
      <c r="NC115" s="0"/>
      <c r="ND115" s="0"/>
      <c r="NE115" s="0"/>
      <c r="NF115" s="0"/>
      <c r="NG115" s="0"/>
      <c r="NH115" s="0"/>
      <c r="NI115" s="0"/>
      <c r="NJ115" s="0"/>
      <c r="NK115" s="0"/>
      <c r="NL115" s="0"/>
      <c r="NM115" s="0"/>
      <c r="NN115" s="0"/>
      <c r="NO115" s="0"/>
      <c r="NP115" s="0"/>
      <c r="NQ115" s="0"/>
      <c r="NR115" s="0"/>
      <c r="NS115" s="0"/>
      <c r="NT115" s="0"/>
      <c r="NU115" s="0"/>
      <c r="NV115" s="0"/>
      <c r="NW115" s="0"/>
      <c r="NX115" s="0"/>
      <c r="NY115" s="0"/>
      <c r="NZ115" s="0"/>
      <c r="OA115" s="0"/>
      <c r="OB115" s="0"/>
      <c r="OC115" s="0"/>
      <c r="OD115" s="0"/>
      <c r="OE115" s="0"/>
      <c r="OF115" s="0"/>
      <c r="OG115" s="0"/>
      <c r="OH115" s="0"/>
      <c r="OI115" s="0"/>
      <c r="OJ115" s="0"/>
      <c r="OK115" s="0"/>
      <c r="OL115" s="0"/>
      <c r="OM115" s="0"/>
      <c r="ON115" s="0"/>
      <c r="OO115" s="0"/>
      <c r="OP115" s="0"/>
      <c r="OQ115" s="0"/>
      <c r="OR115" s="0"/>
      <c r="OS115" s="0"/>
      <c r="OT115" s="0"/>
      <c r="OU115" s="0"/>
      <c r="OV115" s="0"/>
      <c r="OW115" s="0"/>
      <c r="OX115" s="0"/>
      <c r="OY115" s="0"/>
      <c r="OZ115" s="0"/>
      <c r="PA115" s="0"/>
      <c r="PB115" s="0"/>
      <c r="PC115" s="0"/>
      <c r="PD115" s="0"/>
      <c r="PE115" s="0"/>
      <c r="PF115" s="0"/>
      <c r="PG115" s="0"/>
      <c r="PH115" s="0"/>
      <c r="PI115" s="0"/>
      <c r="PJ115" s="0"/>
      <c r="PK115" s="0"/>
      <c r="PL115" s="0"/>
      <c r="PM115" s="0"/>
      <c r="PN115" s="0"/>
      <c r="PO115" s="0"/>
      <c r="PP115" s="0"/>
      <c r="PQ115" s="0"/>
      <c r="PR115" s="0"/>
      <c r="PS115" s="0"/>
      <c r="PT115" s="0"/>
      <c r="PU115" s="0"/>
      <c r="PV115" s="0"/>
      <c r="PW115" s="0"/>
      <c r="PX115" s="0"/>
      <c r="PY115" s="0"/>
      <c r="PZ115" s="0"/>
      <c r="QA115" s="0"/>
      <c r="QB115" s="0"/>
      <c r="QC115" s="0"/>
      <c r="QD115" s="0"/>
      <c r="QE115" s="0"/>
      <c r="QF115" s="0"/>
      <c r="QG115" s="0"/>
      <c r="QH115" s="0"/>
      <c r="QI115" s="0"/>
      <c r="QJ115" s="0"/>
      <c r="QK115" s="0"/>
      <c r="QL115" s="0"/>
      <c r="QM115" s="0"/>
      <c r="QN115" s="0"/>
      <c r="QO115" s="0"/>
      <c r="QP115" s="0"/>
      <c r="QQ115" s="0"/>
      <c r="QR115" s="0"/>
      <c r="QS115" s="0"/>
      <c r="QT115" s="0"/>
      <c r="QU115" s="0"/>
      <c r="QV115" s="0"/>
      <c r="QW115" s="0"/>
      <c r="QX115" s="0"/>
      <c r="QY115" s="0"/>
      <c r="QZ115" s="0"/>
      <c r="RA115" s="0"/>
      <c r="RB115" s="0"/>
      <c r="RC115" s="0"/>
      <c r="RD115" s="0"/>
      <c r="RE115" s="0"/>
      <c r="RF115" s="0"/>
      <c r="RG115" s="0"/>
      <c r="RH115" s="0"/>
      <c r="RI115" s="0"/>
      <c r="RJ115" s="0"/>
      <c r="RK115" s="0"/>
      <c r="RL115" s="0"/>
      <c r="RM115" s="0"/>
      <c r="RN115" s="0"/>
      <c r="RO115" s="0"/>
      <c r="RP115" s="0"/>
      <c r="RQ115" s="0"/>
      <c r="RR115" s="0"/>
      <c r="RS115" s="0"/>
      <c r="RT115" s="0"/>
      <c r="RU115" s="0"/>
      <c r="RV115" s="0"/>
      <c r="RW115" s="0"/>
      <c r="RX115" s="0"/>
      <c r="RY115" s="0"/>
      <c r="RZ115" s="0"/>
      <c r="SA115" s="0"/>
      <c r="SB115" s="0"/>
      <c r="SC115" s="0"/>
      <c r="SD115" s="0"/>
      <c r="SE115" s="0"/>
      <c r="SF115" s="0"/>
      <c r="SG115" s="0"/>
      <c r="SH115" s="0"/>
      <c r="SI115" s="0"/>
      <c r="SJ115" s="0"/>
      <c r="SK115" s="0"/>
      <c r="SL115" s="0"/>
      <c r="SM115" s="0"/>
      <c r="SN115" s="0"/>
      <c r="SO115" s="0"/>
      <c r="SP115" s="0"/>
      <c r="SQ115" s="0"/>
      <c r="SR115" s="0"/>
      <c r="SS115" s="0"/>
      <c r="ST115" s="0"/>
      <c r="SU115" s="0"/>
      <c r="SV115" s="0"/>
      <c r="SW115" s="0"/>
      <c r="SX115" s="0"/>
      <c r="SY115" s="0"/>
      <c r="SZ115" s="0"/>
      <c r="TA115" s="0"/>
      <c r="TB115" s="0"/>
      <c r="TC115" s="0"/>
      <c r="TD115" s="0"/>
      <c r="TE115" s="0"/>
      <c r="TF115" s="0"/>
      <c r="TG115" s="0"/>
      <c r="TH115" s="0"/>
      <c r="TI115" s="0"/>
      <c r="TJ115" s="0"/>
      <c r="TK115" s="0"/>
      <c r="TL115" s="0"/>
      <c r="TM115" s="0"/>
      <c r="TN115" s="0"/>
      <c r="TO115" s="0"/>
      <c r="TP115" s="0"/>
      <c r="TQ115" s="0"/>
      <c r="TR115" s="0"/>
      <c r="TS115" s="0"/>
      <c r="TT115" s="0"/>
      <c r="TU115" s="0"/>
      <c r="TV115" s="0"/>
      <c r="TW115" s="0"/>
      <c r="TX115" s="0"/>
      <c r="TY115" s="0"/>
      <c r="TZ115" s="0"/>
      <c r="UA115" s="0"/>
      <c r="UB115" s="0"/>
      <c r="UC115" s="0"/>
      <c r="UD115" s="0"/>
      <c r="UE115" s="0"/>
      <c r="UF115" s="0"/>
      <c r="UG115" s="0"/>
      <c r="UH115" s="0"/>
      <c r="UI115" s="0"/>
      <c r="UJ115" s="0"/>
      <c r="UK115" s="0"/>
      <c r="UL115" s="0"/>
      <c r="UM115" s="0"/>
      <c r="UN115" s="0"/>
      <c r="UO115" s="0"/>
      <c r="UP115" s="0"/>
      <c r="UQ115" s="0"/>
      <c r="UR115" s="0"/>
      <c r="US115" s="0"/>
      <c r="UT115" s="0"/>
      <c r="UU115" s="0"/>
      <c r="UV115" s="0"/>
      <c r="UW115" s="0"/>
      <c r="UX115" s="0"/>
      <c r="UY115" s="0"/>
      <c r="UZ115" s="0"/>
      <c r="VA115" s="0"/>
      <c r="VB115" s="0"/>
      <c r="VC115" s="0"/>
      <c r="VD115" s="0"/>
      <c r="VE115" s="0"/>
      <c r="VF115" s="0"/>
      <c r="VG115" s="0"/>
      <c r="VH115" s="0"/>
      <c r="VI115" s="0"/>
      <c r="VJ115" s="0"/>
      <c r="VK115" s="0"/>
      <c r="VL115" s="0"/>
      <c r="VM115" s="0"/>
      <c r="VN115" s="0"/>
      <c r="VO115" s="0"/>
      <c r="VP115" s="0"/>
      <c r="VQ115" s="0"/>
      <c r="VR115" s="0"/>
      <c r="VS115" s="0"/>
      <c r="VT115" s="0"/>
      <c r="VU115" s="0"/>
      <c r="VV115" s="0"/>
      <c r="VW115" s="0"/>
      <c r="VX115" s="0"/>
      <c r="VY115" s="0"/>
      <c r="VZ115" s="0"/>
      <c r="WA115" s="0"/>
      <c r="WB115" s="0"/>
      <c r="WC115" s="0"/>
      <c r="WD115" s="0"/>
      <c r="WE115" s="0"/>
      <c r="WF115" s="0"/>
      <c r="WG115" s="0"/>
      <c r="WH115" s="0"/>
      <c r="WI115" s="0"/>
      <c r="WJ115" s="0"/>
      <c r="WK115" s="0"/>
      <c r="WL115" s="0"/>
      <c r="WM115" s="0"/>
      <c r="WN115" s="0"/>
      <c r="WO115" s="0"/>
      <c r="WP115" s="0"/>
      <c r="WQ115" s="0"/>
      <c r="WR115" s="0"/>
      <c r="WS115" s="0"/>
      <c r="WT115" s="0"/>
      <c r="WU115" s="0"/>
      <c r="WV115" s="0"/>
      <c r="WW115" s="0"/>
      <c r="WX115" s="0"/>
      <c r="WY115" s="0"/>
      <c r="WZ115" s="0"/>
      <c r="XA115" s="0"/>
      <c r="XB115" s="0"/>
      <c r="XC115" s="0"/>
      <c r="XD115" s="0"/>
      <c r="XE115" s="0"/>
      <c r="XF115" s="0"/>
      <c r="XG115" s="0"/>
      <c r="XH115" s="0"/>
      <c r="XI115" s="0"/>
      <c r="XJ115" s="0"/>
      <c r="XK115" s="0"/>
      <c r="XL115" s="0"/>
      <c r="XM115" s="0"/>
      <c r="XN115" s="0"/>
      <c r="XO115" s="0"/>
      <c r="XP115" s="0"/>
      <c r="XQ115" s="0"/>
      <c r="XR115" s="0"/>
      <c r="XS115" s="0"/>
      <c r="XT115" s="0"/>
      <c r="XU115" s="0"/>
      <c r="XV115" s="0"/>
      <c r="XW115" s="0"/>
      <c r="XX115" s="0"/>
      <c r="XY115" s="0"/>
      <c r="XZ115" s="0"/>
      <c r="YA115" s="0"/>
      <c r="YB115" s="0"/>
      <c r="YC115" s="0"/>
      <c r="YD115" s="0"/>
      <c r="YE115" s="0"/>
      <c r="YF115" s="0"/>
      <c r="YG115" s="0"/>
      <c r="YH115" s="0"/>
      <c r="YI115" s="0"/>
      <c r="YJ115" s="0"/>
      <c r="YK115" s="0"/>
      <c r="YL115" s="0"/>
      <c r="YM115" s="0"/>
      <c r="YN115" s="0"/>
      <c r="YO115" s="0"/>
      <c r="YP115" s="0"/>
      <c r="YQ115" s="0"/>
      <c r="YR115" s="0"/>
      <c r="YS115" s="0"/>
      <c r="YT115" s="0"/>
      <c r="YU115" s="0"/>
      <c r="YV115" s="0"/>
      <c r="YW115" s="0"/>
      <c r="YX115" s="0"/>
      <c r="YY115" s="0"/>
      <c r="YZ115" s="0"/>
      <c r="ZA115" s="0"/>
      <c r="ZB115" s="0"/>
      <c r="ZC115" s="0"/>
      <c r="ZD115" s="0"/>
      <c r="ZE115" s="0"/>
      <c r="ZF115" s="0"/>
      <c r="ZG115" s="0"/>
      <c r="ZH115" s="0"/>
      <c r="ZI115" s="0"/>
      <c r="ZJ115" s="0"/>
      <c r="ZK115" s="0"/>
      <c r="ZL115" s="0"/>
      <c r="ZM115" s="0"/>
      <c r="ZN115" s="0"/>
      <c r="ZO115" s="0"/>
      <c r="ZP115" s="0"/>
      <c r="ZQ115" s="0"/>
      <c r="ZR115" s="0"/>
      <c r="ZS115" s="0"/>
      <c r="ZT115" s="0"/>
      <c r="ZU115" s="0"/>
      <c r="ZV115" s="0"/>
      <c r="ZW115" s="0"/>
      <c r="ZX115" s="0"/>
      <c r="ZY115" s="0"/>
      <c r="ZZ115" s="0"/>
      <c r="AAA115" s="0"/>
      <c r="AAB115" s="0"/>
      <c r="AAC115" s="0"/>
      <c r="AAD115" s="0"/>
      <c r="AAE115" s="0"/>
      <c r="AAF115" s="0"/>
      <c r="AAG115" s="0"/>
      <c r="AAH115" s="0"/>
      <c r="AAI115" s="0"/>
      <c r="AAJ115" s="0"/>
      <c r="AAK115" s="0"/>
      <c r="AAL115" s="0"/>
      <c r="AAM115" s="0"/>
      <c r="AAN115" s="0"/>
      <c r="AAO115" s="0"/>
      <c r="AAP115" s="0"/>
      <c r="AAQ115" s="0"/>
      <c r="AAR115" s="0"/>
      <c r="AAS115" s="0"/>
      <c r="AAT115" s="0"/>
      <c r="AAU115" s="0"/>
      <c r="AAV115" s="0"/>
      <c r="AAW115" s="0"/>
      <c r="AAX115" s="0"/>
      <c r="AAY115" s="0"/>
      <c r="AAZ115" s="0"/>
      <c r="ABA115" s="0"/>
      <c r="ABB115" s="0"/>
      <c r="ABC115" s="0"/>
      <c r="ABD115" s="0"/>
      <c r="ABE115" s="0"/>
      <c r="ABF115" s="0"/>
      <c r="ABG115" s="0"/>
      <c r="ABH115" s="0"/>
      <c r="ABI115" s="0"/>
      <c r="ABJ115" s="0"/>
      <c r="ABK115" s="0"/>
      <c r="ABL115" s="0"/>
      <c r="ABM115" s="0"/>
      <c r="ABN115" s="0"/>
      <c r="ABO115" s="0"/>
      <c r="ABP115" s="0"/>
      <c r="ABQ115" s="0"/>
      <c r="ABR115" s="0"/>
      <c r="ABS115" s="0"/>
      <c r="ABT115" s="0"/>
      <c r="ABU115" s="0"/>
      <c r="ABV115" s="0"/>
      <c r="ABW115" s="0"/>
      <c r="ABX115" s="0"/>
      <c r="ABY115" s="0"/>
      <c r="ABZ115" s="0"/>
      <c r="ACA115" s="0"/>
      <c r="ACB115" s="0"/>
      <c r="ACC115" s="0"/>
      <c r="ACD115" s="0"/>
      <c r="ACE115" s="0"/>
      <c r="ACF115" s="0"/>
      <c r="ACG115" s="0"/>
      <c r="ACH115" s="0"/>
      <c r="ACI115" s="0"/>
      <c r="ACJ115" s="0"/>
      <c r="ACK115" s="0"/>
      <c r="ACL115" s="0"/>
      <c r="ACM115" s="0"/>
      <c r="ACN115" s="0"/>
      <c r="ACO115" s="0"/>
      <c r="ACP115" s="0"/>
      <c r="ACQ115" s="0"/>
      <c r="ACR115" s="0"/>
      <c r="ACS115" s="0"/>
      <c r="ACT115" s="0"/>
      <c r="ACU115" s="0"/>
      <c r="ACV115" s="0"/>
      <c r="ACW115" s="0"/>
      <c r="ACX115" s="0"/>
      <c r="ACY115" s="0"/>
      <c r="ACZ115" s="0"/>
      <c r="ADA115" s="0"/>
      <c r="ADB115" s="0"/>
      <c r="ADC115" s="0"/>
      <c r="ADD115" s="0"/>
      <c r="ADE115" s="0"/>
      <c r="ADF115" s="0"/>
      <c r="ADG115" s="0"/>
      <c r="ADH115" s="0"/>
      <c r="ADI115" s="0"/>
      <c r="ADJ115" s="0"/>
      <c r="ADK115" s="0"/>
      <c r="ADL115" s="0"/>
      <c r="ADM115" s="0"/>
      <c r="ADN115" s="0"/>
      <c r="ADO115" s="0"/>
      <c r="ADP115" s="0"/>
      <c r="ADQ115" s="0"/>
      <c r="ADR115" s="0"/>
      <c r="ADS115" s="0"/>
      <c r="ADT115" s="0"/>
      <c r="ADU115" s="0"/>
      <c r="ADV115" s="0"/>
      <c r="ADW115" s="0"/>
      <c r="ADX115" s="0"/>
      <c r="ADY115" s="0"/>
      <c r="ADZ115" s="0"/>
      <c r="AEA115" s="0"/>
      <c r="AEB115" s="0"/>
      <c r="AEC115" s="0"/>
      <c r="AED115" s="0"/>
      <c r="AEE115" s="0"/>
      <c r="AEF115" s="0"/>
      <c r="AEG115" s="0"/>
      <c r="AEH115" s="0"/>
      <c r="AEI115" s="0"/>
      <c r="AEJ115" s="0"/>
      <c r="AEK115" s="0"/>
      <c r="AEL115" s="0"/>
      <c r="AEM115" s="0"/>
      <c r="AEN115" s="0"/>
      <c r="AEO115" s="0"/>
      <c r="AEP115" s="0"/>
      <c r="AEQ115" s="0"/>
      <c r="AER115" s="0"/>
      <c r="AES115" s="0"/>
      <c r="AET115" s="0"/>
      <c r="AEU115" s="0"/>
      <c r="AEV115" s="0"/>
      <c r="AEW115" s="0"/>
      <c r="AEX115" s="0"/>
      <c r="AEY115" s="0"/>
      <c r="AEZ115" s="0"/>
      <c r="AFA115" s="0"/>
      <c r="AFB115" s="0"/>
      <c r="AFC115" s="0"/>
      <c r="AFD115" s="0"/>
      <c r="AFE115" s="0"/>
      <c r="AFF115" s="0"/>
      <c r="AFG115" s="0"/>
      <c r="AFH115" s="0"/>
      <c r="AFI115" s="0"/>
      <c r="AFJ115" s="0"/>
      <c r="AFK115" s="0"/>
      <c r="AFL115" s="0"/>
      <c r="AFM115" s="0"/>
      <c r="AFN115" s="0"/>
      <c r="AFO115" s="0"/>
      <c r="AFP115" s="0"/>
      <c r="AFQ115" s="0"/>
      <c r="AFR115" s="0"/>
      <c r="AFS115" s="0"/>
      <c r="AFT115" s="0"/>
      <c r="AFU115" s="0"/>
      <c r="AFV115" s="0"/>
      <c r="AFW115" s="0"/>
      <c r="AFX115" s="0"/>
      <c r="AFY115" s="0"/>
      <c r="AFZ115" s="0"/>
      <c r="AGA115" s="0"/>
      <c r="AGB115" s="0"/>
      <c r="AGC115" s="0"/>
      <c r="AGD115" s="0"/>
      <c r="AGE115" s="0"/>
      <c r="AGF115" s="0"/>
      <c r="AGG115" s="0"/>
      <c r="AGH115" s="0"/>
      <c r="AGI115" s="0"/>
      <c r="AGJ115" s="0"/>
      <c r="AGK115" s="0"/>
      <c r="AGL115" s="0"/>
      <c r="AGM115" s="0"/>
      <c r="AGN115" s="0"/>
      <c r="AGO115" s="0"/>
      <c r="AGP115" s="0"/>
      <c r="AGQ115" s="0"/>
      <c r="AGR115" s="0"/>
      <c r="AGS115" s="0"/>
      <c r="AGT115" s="0"/>
      <c r="AGU115" s="0"/>
      <c r="AGV115" s="0"/>
      <c r="AGW115" s="0"/>
      <c r="AGX115" s="0"/>
      <c r="AGY115" s="0"/>
      <c r="AGZ115" s="0"/>
      <c r="AHA115" s="0"/>
      <c r="AHB115" s="0"/>
      <c r="AHC115" s="0"/>
      <c r="AHD115" s="0"/>
      <c r="AHE115" s="0"/>
      <c r="AHF115" s="0"/>
      <c r="AHG115" s="0"/>
      <c r="AHH115" s="0"/>
      <c r="AHI115" s="0"/>
      <c r="AHJ115" s="0"/>
      <c r="AHK115" s="0"/>
      <c r="AHL115" s="0"/>
      <c r="AHM115" s="0"/>
      <c r="AHN115" s="0"/>
      <c r="AHO115" s="0"/>
      <c r="AHP115" s="0"/>
      <c r="AHQ115" s="0"/>
      <c r="AHR115" s="0"/>
      <c r="AHS115" s="0"/>
      <c r="AHT115" s="0"/>
      <c r="AHU115" s="0"/>
      <c r="AHV115" s="0"/>
      <c r="AHW115" s="0"/>
      <c r="AHX115" s="0"/>
      <c r="AHY115" s="0"/>
      <c r="AHZ115" s="0"/>
      <c r="AIA115" s="0"/>
      <c r="AIB115" s="0"/>
      <c r="AIC115" s="0"/>
      <c r="AID115" s="0"/>
      <c r="AIE115" s="0"/>
      <c r="AIF115" s="0"/>
      <c r="AIG115" s="0"/>
      <c r="AIH115" s="0"/>
      <c r="AII115" s="0"/>
      <c r="AIJ115" s="0"/>
      <c r="AIK115" s="0"/>
      <c r="AIL115" s="0"/>
      <c r="AIM115" s="0"/>
      <c r="AIN115" s="0"/>
      <c r="AIO115" s="0"/>
      <c r="AIP115" s="0"/>
      <c r="AIQ115" s="0"/>
      <c r="AIR115" s="0"/>
      <c r="AIS115" s="0"/>
      <c r="AIT115" s="0"/>
      <c r="AIU115" s="0"/>
      <c r="AIV115" s="0"/>
      <c r="AIW115" s="0"/>
      <c r="AIX115" s="0"/>
      <c r="AIY115" s="0"/>
      <c r="AIZ115" s="0"/>
      <c r="AJA115" s="0"/>
      <c r="AJB115" s="0"/>
      <c r="AJC115" s="0"/>
      <c r="AJD115" s="0"/>
      <c r="AJE115" s="0"/>
      <c r="AJF115" s="0"/>
      <c r="AJG115" s="0"/>
      <c r="AJH115" s="0"/>
      <c r="AJI115" s="0"/>
      <c r="AJJ115" s="0"/>
      <c r="AJK115" s="0"/>
      <c r="AJL115" s="0"/>
      <c r="AJM115" s="0"/>
      <c r="AJN115" s="0"/>
      <c r="AJO115" s="0"/>
      <c r="AJP115" s="0"/>
      <c r="AJQ115" s="0"/>
      <c r="AJR115" s="0"/>
      <c r="AJS115" s="0"/>
      <c r="AJT115" s="0"/>
      <c r="AJU115" s="0"/>
      <c r="AJV115" s="0"/>
      <c r="AJW115" s="0"/>
      <c r="AJX115" s="0"/>
      <c r="AJY115" s="0"/>
      <c r="AJZ115" s="0"/>
      <c r="AKA115" s="0"/>
      <c r="AKB115" s="0"/>
      <c r="AKC115" s="0"/>
      <c r="AKD115" s="0"/>
      <c r="AKE115" s="0"/>
      <c r="AKF115" s="0"/>
      <c r="AKG115" s="0"/>
      <c r="AKH115" s="0"/>
      <c r="AKI115" s="0"/>
      <c r="AKJ115" s="0"/>
      <c r="AKK115" s="0"/>
      <c r="AKL115" s="0"/>
      <c r="AKM115" s="0"/>
      <c r="AKN115" s="0"/>
      <c r="AKO115" s="0"/>
      <c r="AKP115" s="0"/>
      <c r="AKQ115" s="0"/>
      <c r="AKR115" s="0"/>
      <c r="AKS115" s="0"/>
      <c r="AKT115" s="0"/>
      <c r="AKU115" s="0"/>
      <c r="AKV115" s="0"/>
      <c r="AKW115" s="0"/>
      <c r="AKX115" s="0"/>
      <c r="AKY115" s="0"/>
      <c r="AKZ115" s="0"/>
      <c r="ALA115" s="0"/>
      <c r="ALB115" s="0"/>
      <c r="ALC115" s="0"/>
      <c r="ALD115" s="0"/>
      <c r="ALE115" s="0"/>
      <c r="ALF115" s="0"/>
      <c r="ALG115" s="0"/>
      <c r="ALH115" s="0"/>
      <c r="ALI115" s="0"/>
      <c r="ALJ115" s="0"/>
      <c r="ALK115" s="0"/>
      <c r="ALL115" s="0"/>
      <c r="ALM115" s="0"/>
      <c r="ALN115" s="0"/>
      <c r="ALO115" s="0"/>
      <c r="ALP115" s="0"/>
      <c r="ALQ115" s="0"/>
      <c r="ALR115" s="0"/>
      <c r="ALS115" s="0"/>
      <c r="ALT115" s="0"/>
      <c r="ALU115" s="0"/>
      <c r="ALV115" s="0"/>
      <c r="ALW115" s="0"/>
      <c r="ALX115" s="0"/>
      <c r="ALY115" s="0"/>
      <c r="ALZ115" s="0"/>
      <c r="AMA115" s="0"/>
      <c r="AMB115" s="0"/>
      <c r="AMC115" s="0"/>
      <c r="AMD115" s="0"/>
      <c r="AME115" s="0"/>
      <c r="AMF115" s="0"/>
      <c r="AMG115" s="0"/>
      <c r="AMH115" s="0"/>
      <c r="AMI115" s="0"/>
      <c r="AMJ115" s="0"/>
      <c r="AMK115" s="0"/>
      <c r="AML115" s="0"/>
      <c r="AMM115" s="0"/>
      <c r="AMN115" s="0"/>
      <c r="AMO115" s="0"/>
      <c r="AMP115" s="0"/>
      <c r="AMQ115" s="0"/>
      <c r="AMR115" s="0"/>
      <c r="AMS115" s="0"/>
      <c r="AMT115" s="0"/>
      <c r="AMU115" s="0"/>
      <c r="AMV115" s="0"/>
      <c r="AMW115" s="0"/>
      <c r="AMX115" s="0"/>
      <c r="AMY115" s="0"/>
      <c r="AMZ115" s="0"/>
      <c r="ANA115" s="0"/>
      <c r="ANB115" s="0"/>
      <c r="ANC115" s="0"/>
      <c r="AND115" s="0"/>
      <c r="ANE115" s="0"/>
      <c r="ANF115" s="0"/>
      <c r="ANG115" s="0"/>
      <c r="ANH115" s="0"/>
      <c r="ANI115" s="0"/>
      <c r="ANJ115" s="0"/>
      <c r="ANK115" s="0"/>
      <c r="ANL115" s="0"/>
      <c r="ANM115" s="0"/>
      <c r="ANN115" s="0"/>
      <c r="ANO115" s="0"/>
      <c r="ANP115" s="0"/>
      <c r="ANQ115" s="0"/>
      <c r="ANR115" s="0"/>
      <c r="ANS115" s="0"/>
      <c r="ANT115" s="0"/>
      <c r="ANU115" s="0"/>
      <c r="ANV115" s="0"/>
      <c r="ANW115" s="0"/>
      <c r="ANX115" s="0"/>
      <c r="ANY115" s="0"/>
      <c r="ANZ115" s="0"/>
      <c r="AOA115" s="0"/>
      <c r="AOB115" s="0"/>
      <c r="AOC115" s="0"/>
      <c r="AOD115" s="0"/>
      <c r="AOE115" s="0"/>
      <c r="AOF115" s="0"/>
      <c r="AOG115" s="0"/>
      <c r="AOH115" s="0"/>
      <c r="AOI115" s="0"/>
      <c r="AOJ115" s="0"/>
      <c r="AOK115" s="0"/>
      <c r="AOL115" s="0"/>
      <c r="AOM115" s="0"/>
      <c r="AON115" s="0"/>
      <c r="AOO115" s="0"/>
      <c r="AOP115" s="0"/>
      <c r="AOQ115" s="0"/>
      <c r="AOR115" s="0"/>
      <c r="AOS115" s="0"/>
      <c r="AOT115" s="0"/>
      <c r="AOU115" s="0"/>
      <c r="AOV115" s="0"/>
      <c r="AOW115" s="0"/>
      <c r="AOX115" s="0"/>
      <c r="AOY115" s="0"/>
      <c r="AOZ115" s="0"/>
      <c r="APA115" s="0"/>
      <c r="APB115" s="0"/>
      <c r="APC115" s="0"/>
      <c r="APD115" s="0"/>
      <c r="APE115" s="0"/>
      <c r="APF115" s="0"/>
      <c r="APG115" s="0"/>
      <c r="APH115" s="0"/>
      <c r="API115" s="0"/>
      <c r="APJ115" s="0"/>
      <c r="APK115" s="0"/>
      <c r="APL115" s="0"/>
      <c r="APM115" s="0"/>
      <c r="APN115" s="0"/>
      <c r="APO115" s="0"/>
      <c r="APP115" s="0"/>
      <c r="APQ115" s="0"/>
      <c r="APR115" s="0"/>
      <c r="APS115" s="0"/>
      <c r="APT115" s="0"/>
      <c r="APU115" s="0"/>
      <c r="APV115" s="0"/>
      <c r="APW115" s="0"/>
      <c r="APX115" s="0"/>
      <c r="APY115" s="0"/>
      <c r="APZ115" s="0"/>
      <c r="AQA115" s="0"/>
      <c r="AQB115" s="0"/>
      <c r="AQC115" s="0"/>
      <c r="AQD115" s="0"/>
      <c r="AQE115" s="0"/>
      <c r="AQF115" s="0"/>
      <c r="AQG115" s="0"/>
      <c r="AQH115" s="0"/>
      <c r="AQI115" s="0"/>
      <c r="AQJ115" s="0"/>
      <c r="AQK115" s="0"/>
      <c r="AQL115" s="0"/>
      <c r="AQM115" s="0"/>
      <c r="AQN115" s="0"/>
      <c r="AQO115" s="0"/>
      <c r="AQP115" s="0"/>
      <c r="AQQ115" s="0"/>
      <c r="AQR115" s="0"/>
      <c r="AQS115" s="0"/>
      <c r="AQT115" s="0"/>
      <c r="AQU115" s="0"/>
      <c r="AQV115" s="0"/>
      <c r="AQW115" s="0"/>
      <c r="AQX115" s="0"/>
      <c r="AQY115" s="0"/>
      <c r="AQZ115" s="0"/>
      <c r="ARA115" s="0"/>
      <c r="ARB115" s="0"/>
      <c r="ARC115" s="0"/>
      <c r="ARD115" s="0"/>
      <c r="ARE115" s="0"/>
      <c r="ARF115" s="0"/>
      <c r="ARG115" s="0"/>
      <c r="ARH115" s="0"/>
      <c r="ARI115" s="0"/>
      <c r="ARJ115" s="0"/>
      <c r="ARK115" s="0"/>
      <c r="ARL115" s="0"/>
      <c r="ARM115" s="0"/>
      <c r="ARN115" s="0"/>
      <c r="ARO115" s="0"/>
      <c r="ARP115" s="0"/>
      <c r="ARQ115" s="0"/>
      <c r="ARR115" s="0"/>
      <c r="ARS115" s="0"/>
      <c r="ART115" s="0"/>
      <c r="ARU115" s="0"/>
      <c r="ARV115" s="0"/>
      <c r="ARW115" s="0"/>
      <c r="ARX115" s="0"/>
      <c r="ARY115" s="0"/>
      <c r="ARZ115" s="0"/>
      <c r="ASA115" s="0"/>
      <c r="ASB115" s="0"/>
      <c r="ASC115" s="0"/>
      <c r="ASD115" s="0"/>
      <c r="ASE115" s="0"/>
      <c r="ASF115" s="0"/>
      <c r="ASG115" s="0"/>
      <c r="ASH115" s="0"/>
      <c r="ASI115" s="0"/>
      <c r="ASJ115" s="0"/>
      <c r="ASK115" s="0"/>
      <c r="ASL115" s="0"/>
      <c r="ASM115" s="0"/>
      <c r="ASN115" s="0"/>
      <c r="ASO115" s="0"/>
      <c r="ASP115" s="0"/>
      <c r="ASQ115" s="0"/>
      <c r="ASR115" s="0"/>
      <c r="ASS115" s="0"/>
      <c r="AST115" s="0"/>
      <c r="ASU115" s="0"/>
      <c r="ASV115" s="0"/>
      <c r="ASW115" s="0"/>
      <c r="ASX115" s="0"/>
      <c r="ASY115" s="0"/>
      <c r="ASZ115" s="0"/>
      <c r="ATA115" s="0"/>
      <c r="ATB115" s="0"/>
      <c r="ATC115" s="0"/>
      <c r="ATD115" s="0"/>
      <c r="ATE115" s="0"/>
      <c r="ATF115" s="0"/>
      <c r="ATG115" s="0"/>
      <c r="ATH115" s="0"/>
      <c r="ATI115" s="0"/>
      <c r="ATJ115" s="0"/>
      <c r="ATK115" s="0"/>
      <c r="ATL115" s="0"/>
      <c r="ATM115" s="0"/>
      <c r="ATN115" s="0"/>
      <c r="ATO115" s="0"/>
      <c r="ATP115" s="0"/>
      <c r="ATQ115" s="0"/>
      <c r="ATR115" s="0"/>
      <c r="ATS115" s="0"/>
      <c r="ATT115" s="0"/>
      <c r="ATU115" s="0"/>
      <c r="ATV115" s="0"/>
      <c r="ATW115" s="0"/>
      <c r="ATX115" s="0"/>
      <c r="ATY115" s="0"/>
      <c r="ATZ115" s="0"/>
      <c r="AUA115" s="0"/>
      <c r="AUB115" s="0"/>
      <c r="AUC115" s="0"/>
      <c r="AUD115" s="0"/>
      <c r="AUE115" s="0"/>
      <c r="AUF115" s="0"/>
      <c r="AUG115" s="0"/>
      <c r="AUH115" s="0"/>
      <c r="AUI115" s="0"/>
      <c r="AUJ115" s="0"/>
      <c r="AUK115" s="0"/>
      <c r="AUL115" s="0"/>
      <c r="AUM115" s="0"/>
      <c r="AUN115" s="0"/>
      <c r="AUO115" s="0"/>
      <c r="AUP115" s="0"/>
      <c r="AUQ115" s="0"/>
      <c r="AUR115" s="0"/>
      <c r="AUS115" s="0"/>
      <c r="AUT115" s="0"/>
      <c r="AUU115" s="0"/>
      <c r="AUV115" s="0"/>
      <c r="AUW115" s="0"/>
      <c r="AUX115" s="0"/>
      <c r="AUY115" s="0"/>
      <c r="AUZ115" s="0"/>
      <c r="AVA115" s="0"/>
      <c r="AVB115" s="0"/>
      <c r="AVC115" s="0"/>
      <c r="AVD115" s="0"/>
      <c r="AVE115" s="0"/>
      <c r="AVF115" s="0"/>
      <c r="AVG115" s="0"/>
      <c r="AVH115" s="0"/>
      <c r="AVI115" s="0"/>
      <c r="AVJ115" s="0"/>
      <c r="AVK115" s="0"/>
      <c r="AVL115" s="0"/>
      <c r="AVM115" s="0"/>
      <c r="AVN115" s="0"/>
      <c r="AVO115" s="0"/>
      <c r="AVP115" s="0"/>
      <c r="AVQ115" s="0"/>
      <c r="AVR115" s="0"/>
      <c r="AVS115" s="0"/>
      <c r="AVT115" s="0"/>
      <c r="AVU115" s="0"/>
      <c r="AVV115" s="0"/>
      <c r="AVW115" s="0"/>
      <c r="AVX115" s="0"/>
      <c r="AVY115" s="0"/>
      <c r="AVZ115" s="0"/>
      <c r="AWA115" s="0"/>
      <c r="AWB115" s="0"/>
      <c r="AWC115" s="0"/>
      <c r="AWD115" s="0"/>
      <c r="AWE115" s="0"/>
      <c r="AWF115" s="0"/>
      <c r="AWG115" s="0"/>
      <c r="AWH115" s="0"/>
      <c r="AWI115" s="0"/>
      <c r="AWJ115" s="0"/>
      <c r="AWK115" s="0"/>
      <c r="AWL115" s="0"/>
      <c r="AWM115" s="0"/>
      <c r="AWN115" s="0"/>
      <c r="AWO115" s="0"/>
      <c r="AWP115" s="0"/>
      <c r="AWQ115" s="0"/>
      <c r="AWR115" s="0"/>
      <c r="AWS115" s="0"/>
      <c r="AWT115" s="0"/>
      <c r="AWU115" s="0"/>
      <c r="AWV115" s="0"/>
      <c r="AWW115" s="0"/>
      <c r="AWX115" s="0"/>
      <c r="AWY115" s="0"/>
      <c r="AWZ115" s="0"/>
      <c r="AXA115" s="0"/>
      <c r="AXB115" s="0"/>
      <c r="AXC115" s="0"/>
      <c r="AXD115" s="0"/>
      <c r="AXE115" s="0"/>
      <c r="AXF115" s="0"/>
      <c r="AXG115" s="0"/>
      <c r="AXH115" s="0"/>
      <c r="AXI115" s="0"/>
      <c r="AXJ115" s="0"/>
      <c r="AXK115" s="0"/>
      <c r="AXL115" s="0"/>
      <c r="AXM115" s="0"/>
      <c r="AXN115" s="0"/>
      <c r="AXO115" s="0"/>
      <c r="AXP115" s="0"/>
      <c r="AXQ115" s="0"/>
      <c r="AXR115" s="0"/>
      <c r="AXS115" s="0"/>
      <c r="AXT115" s="0"/>
      <c r="AXU115" s="0"/>
      <c r="AXV115" s="0"/>
      <c r="AXW115" s="0"/>
      <c r="AXX115" s="0"/>
      <c r="AXY115" s="0"/>
      <c r="AXZ115" s="0"/>
      <c r="AYA115" s="0"/>
      <c r="AYB115" s="0"/>
      <c r="AYC115" s="0"/>
      <c r="AYD115" s="0"/>
      <c r="AYE115" s="0"/>
      <c r="AYF115" s="0"/>
      <c r="AYG115" s="0"/>
      <c r="AYH115" s="0"/>
      <c r="AYI115" s="0"/>
      <c r="AYJ115" s="0"/>
      <c r="AYK115" s="0"/>
      <c r="AYL115" s="0"/>
      <c r="AYM115" s="0"/>
      <c r="AYN115" s="0"/>
      <c r="AYO115" s="0"/>
      <c r="AYP115" s="0"/>
      <c r="AYQ115" s="0"/>
      <c r="AYR115" s="0"/>
      <c r="AYS115" s="0"/>
      <c r="AYT115" s="0"/>
      <c r="AYU115" s="0"/>
      <c r="AYV115" s="0"/>
      <c r="AYW115" s="0"/>
      <c r="AYX115" s="0"/>
      <c r="AYY115" s="0"/>
      <c r="AYZ115" s="0"/>
      <c r="AZA115" s="0"/>
      <c r="AZB115" s="0"/>
      <c r="AZC115" s="0"/>
      <c r="AZD115" s="0"/>
      <c r="AZE115" s="0"/>
      <c r="AZF115" s="0"/>
      <c r="AZG115" s="0"/>
      <c r="AZH115" s="0"/>
      <c r="AZI115" s="0"/>
      <c r="AZJ115" s="0"/>
      <c r="AZK115" s="0"/>
      <c r="AZL115" s="0"/>
      <c r="AZM115" s="0"/>
      <c r="AZN115" s="0"/>
      <c r="AZO115" s="0"/>
      <c r="AZP115" s="0"/>
      <c r="AZQ115" s="0"/>
      <c r="AZR115" s="0"/>
      <c r="AZS115" s="0"/>
      <c r="AZT115" s="0"/>
      <c r="AZU115" s="0"/>
      <c r="AZV115" s="0"/>
      <c r="AZW115" s="0"/>
      <c r="AZX115" s="0"/>
      <c r="AZY115" s="0"/>
      <c r="AZZ115" s="0"/>
      <c r="BAA115" s="0"/>
      <c r="BAB115" s="0"/>
      <c r="BAC115" s="0"/>
      <c r="BAD115" s="0"/>
      <c r="BAE115" s="0"/>
      <c r="BAF115" s="0"/>
      <c r="BAG115" s="0"/>
      <c r="BAH115" s="0"/>
      <c r="BAI115" s="0"/>
      <c r="BAJ115" s="0"/>
      <c r="BAK115" s="0"/>
      <c r="BAL115" s="0"/>
      <c r="BAM115" s="0"/>
      <c r="BAN115" s="0"/>
      <c r="BAO115" s="0"/>
      <c r="BAP115" s="0"/>
      <c r="BAQ115" s="0"/>
      <c r="BAR115" s="0"/>
      <c r="BAS115" s="0"/>
      <c r="BAT115" s="0"/>
      <c r="BAU115" s="0"/>
      <c r="BAV115" s="0"/>
      <c r="BAW115" s="0"/>
      <c r="BAX115" s="0"/>
      <c r="BAY115" s="0"/>
      <c r="BAZ115" s="0"/>
      <c r="BBA115" s="0"/>
      <c r="BBB115" s="0"/>
      <c r="BBC115" s="0"/>
      <c r="BBD115" s="0"/>
      <c r="BBE115" s="0"/>
      <c r="BBF115" s="0"/>
      <c r="BBG115" s="0"/>
      <c r="BBH115" s="0"/>
      <c r="BBI115" s="0"/>
      <c r="BBJ115" s="0"/>
      <c r="BBK115" s="0"/>
      <c r="BBL115" s="0"/>
      <c r="BBM115" s="0"/>
      <c r="BBN115" s="0"/>
      <c r="BBO115" s="0"/>
      <c r="BBP115" s="0"/>
      <c r="BBQ115" s="0"/>
      <c r="BBR115" s="0"/>
      <c r="BBS115" s="0"/>
      <c r="BBT115" s="0"/>
      <c r="BBU115" s="0"/>
      <c r="BBV115" s="0"/>
      <c r="BBW115" s="0"/>
      <c r="BBX115" s="0"/>
      <c r="BBY115" s="0"/>
      <c r="BBZ115" s="0"/>
      <c r="BCA115" s="0"/>
      <c r="BCB115" s="0"/>
      <c r="BCC115" s="0"/>
      <c r="BCD115" s="0"/>
      <c r="BCE115" s="0"/>
      <c r="BCF115" s="0"/>
      <c r="BCG115" s="0"/>
      <c r="BCH115" s="0"/>
      <c r="BCI115" s="0"/>
      <c r="BCJ115" s="0"/>
      <c r="BCK115" s="0"/>
      <c r="BCL115" s="0"/>
      <c r="BCM115" s="0"/>
      <c r="BCN115" s="0"/>
      <c r="BCO115" s="0"/>
      <c r="BCP115" s="0"/>
      <c r="BCQ115" s="0"/>
      <c r="BCR115" s="0"/>
      <c r="BCS115" s="0"/>
      <c r="BCT115" s="0"/>
      <c r="BCU115" s="0"/>
      <c r="BCV115" s="0"/>
      <c r="BCW115" s="0"/>
      <c r="BCX115" s="0"/>
      <c r="BCY115" s="0"/>
      <c r="BCZ115" s="0"/>
      <c r="BDA115" s="0"/>
      <c r="BDB115" s="0"/>
      <c r="BDC115" s="0"/>
      <c r="BDD115" s="0"/>
      <c r="BDE115" s="0"/>
      <c r="BDF115" s="0"/>
      <c r="BDG115" s="0"/>
      <c r="BDH115" s="0"/>
      <c r="BDI115" s="0"/>
      <c r="BDJ115" s="0"/>
      <c r="BDK115" s="0"/>
      <c r="BDL115" s="0"/>
      <c r="BDM115" s="0"/>
      <c r="BDN115" s="0"/>
      <c r="BDO115" s="0"/>
      <c r="BDP115" s="0"/>
      <c r="BDQ115" s="0"/>
      <c r="BDR115" s="0"/>
      <c r="BDS115" s="0"/>
      <c r="BDT115" s="0"/>
      <c r="BDU115" s="0"/>
      <c r="BDV115" s="0"/>
      <c r="BDW115" s="0"/>
      <c r="BDX115" s="0"/>
      <c r="BDY115" s="0"/>
      <c r="BDZ115" s="0"/>
      <c r="BEA115" s="0"/>
      <c r="BEB115" s="0"/>
      <c r="BEC115" s="0"/>
      <c r="BED115" s="0"/>
      <c r="BEE115" s="0"/>
      <c r="BEF115" s="0"/>
      <c r="BEG115" s="0"/>
      <c r="BEH115" s="0"/>
      <c r="BEI115" s="0"/>
      <c r="BEJ115" s="0"/>
      <c r="BEK115" s="0"/>
      <c r="BEL115" s="0"/>
      <c r="BEM115" s="0"/>
      <c r="BEN115" s="0"/>
      <c r="BEO115" s="0"/>
      <c r="BEP115" s="0"/>
      <c r="BEQ115" s="0"/>
      <c r="BER115" s="0"/>
      <c r="BES115" s="0"/>
      <c r="BET115" s="0"/>
      <c r="BEU115" s="0"/>
      <c r="BEV115" s="0"/>
      <c r="BEW115" s="0"/>
      <c r="BEX115" s="0"/>
      <c r="BEY115" s="0"/>
      <c r="BEZ115" s="0"/>
      <c r="BFA115" s="0"/>
      <c r="BFB115" s="0"/>
      <c r="BFC115" s="0"/>
      <c r="BFD115" s="0"/>
      <c r="BFE115" s="0"/>
      <c r="BFF115" s="0"/>
      <c r="BFG115" s="0"/>
      <c r="BFH115" s="0"/>
      <c r="BFI115" s="0"/>
      <c r="BFJ115" s="0"/>
      <c r="BFK115" s="0"/>
      <c r="BFL115" s="0"/>
      <c r="BFM115" s="0"/>
      <c r="BFN115" s="0"/>
      <c r="BFO115" s="0"/>
      <c r="BFP115" s="0"/>
      <c r="BFQ115" s="0"/>
      <c r="BFR115" s="0"/>
      <c r="BFS115" s="0"/>
      <c r="BFT115" s="0"/>
      <c r="BFU115" s="0"/>
      <c r="BFV115" s="0"/>
      <c r="BFW115" s="0"/>
      <c r="BFX115" s="0"/>
      <c r="BFY115" s="0"/>
      <c r="BFZ115" s="0"/>
      <c r="BGA115" s="0"/>
      <c r="BGB115" s="0"/>
      <c r="BGC115" s="0"/>
      <c r="BGD115" s="0"/>
      <c r="BGE115" s="0"/>
      <c r="BGF115" s="0"/>
      <c r="BGG115" s="0"/>
      <c r="BGH115" s="0"/>
      <c r="BGI115" s="0"/>
      <c r="BGJ115" s="0"/>
      <c r="BGK115" s="0"/>
      <c r="BGL115" s="0"/>
      <c r="BGM115" s="0"/>
      <c r="BGN115" s="0"/>
      <c r="BGO115" s="0"/>
      <c r="BGP115" s="0"/>
      <c r="BGQ115" s="0"/>
      <c r="BGR115" s="0"/>
      <c r="BGS115" s="0"/>
      <c r="BGT115" s="0"/>
      <c r="BGU115" s="0"/>
      <c r="BGV115" s="0"/>
      <c r="BGW115" s="0"/>
      <c r="BGX115" s="0"/>
      <c r="BGY115" s="0"/>
      <c r="BGZ115" s="0"/>
      <c r="BHA115" s="0"/>
      <c r="BHB115" s="0"/>
      <c r="BHC115" s="0"/>
      <c r="BHD115" s="0"/>
      <c r="BHE115" s="0"/>
      <c r="BHF115" s="0"/>
      <c r="BHG115" s="0"/>
      <c r="BHH115" s="0"/>
      <c r="BHI115" s="0"/>
      <c r="BHJ115" s="0"/>
      <c r="BHK115" s="0"/>
      <c r="BHL115" s="0"/>
      <c r="BHM115" s="0"/>
      <c r="BHN115" s="0"/>
      <c r="BHO115" s="0"/>
      <c r="BHP115" s="0"/>
      <c r="BHQ115" s="0"/>
      <c r="BHR115" s="0"/>
      <c r="BHS115" s="0"/>
      <c r="BHT115" s="0"/>
      <c r="BHU115" s="0"/>
      <c r="BHV115" s="0"/>
      <c r="BHW115" s="0"/>
      <c r="BHX115" s="0"/>
      <c r="BHY115" s="0"/>
      <c r="BHZ115" s="0"/>
      <c r="BIA115" s="0"/>
      <c r="BIB115" s="0"/>
      <c r="BIC115" s="0"/>
      <c r="BID115" s="0"/>
      <c r="BIE115" s="0"/>
      <c r="BIF115" s="0"/>
      <c r="BIG115" s="0"/>
      <c r="BIH115" s="0"/>
      <c r="BII115" s="0"/>
      <c r="BIJ115" s="0"/>
      <c r="BIK115" s="0"/>
      <c r="BIL115" s="0"/>
      <c r="BIM115" s="0"/>
      <c r="BIN115" s="0"/>
      <c r="BIO115" s="0"/>
      <c r="BIP115" s="0"/>
      <c r="BIQ115" s="0"/>
      <c r="BIR115" s="0"/>
      <c r="BIS115" s="0"/>
      <c r="BIT115" s="0"/>
      <c r="BIU115" s="0"/>
      <c r="BIV115" s="0"/>
      <c r="BIW115" s="0"/>
      <c r="BIX115" s="0"/>
      <c r="BIY115" s="0"/>
      <c r="BIZ115" s="0"/>
      <c r="BJA115" s="0"/>
      <c r="BJB115" s="0"/>
      <c r="BJC115" s="0"/>
      <c r="BJD115" s="0"/>
      <c r="BJE115" s="0"/>
      <c r="BJF115" s="0"/>
      <c r="BJG115" s="0"/>
      <c r="BJH115" s="0"/>
      <c r="BJI115" s="0"/>
      <c r="BJJ115" s="0"/>
      <c r="BJK115" s="0"/>
      <c r="BJL115" s="0"/>
      <c r="BJM115" s="0"/>
      <c r="BJN115" s="0"/>
      <c r="BJO115" s="0"/>
      <c r="BJP115" s="0"/>
      <c r="BJQ115" s="0"/>
      <c r="BJR115" s="0"/>
      <c r="BJS115" s="0"/>
      <c r="BJT115" s="0"/>
      <c r="BJU115" s="0"/>
      <c r="BJV115" s="0"/>
      <c r="BJW115" s="0"/>
      <c r="BJX115" s="0"/>
      <c r="BJY115" s="0"/>
      <c r="BJZ115" s="0"/>
      <c r="BKA115" s="0"/>
      <c r="BKB115" s="0"/>
      <c r="BKC115" s="0"/>
      <c r="BKD115" s="0"/>
      <c r="BKE115" s="0"/>
      <c r="BKF115" s="0"/>
      <c r="BKG115" s="0"/>
      <c r="BKH115" s="0"/>
      <c r="BKI115" s="0"/>
      <c r="BKJ115" s="0"/>
      <c r="BKK115" s="0"/>
      <c r="BKL115" s="0"/>
      <c r="BKM115" s="0"/>
      <c r="BKN115" s="0"/>
      <c r="BKO115" s="0"/>
      <c r="BKP115" s="0"/>
      <c r="BKQ115" s="0"/>
      <c r="BKR115" s="0"/>
      <c r="BKS115" s="0"/>
      <c r="BKT115" s="0"/>
      <c r="BKU115" s="0"/>
      <c r="BKV115" s="0"/>
      <c r="BKW115" s="0"/>
      <c r="BKX115" s="0"/>
      <c r="BKY115" s="0"/>
      <c r="BKZ115" s="0"/>
      <c r="BLA115" s="0"/>
      <c r="BLB115" s="0"/>
      <c r="BLC115" s="0"/>
      <c r="BLD115" s="0"/>
      <c r="BLE115" s="0"/>
      <c r="BLF115" s="0"/>
      <c r="BLG115" s="0"/>
      <c r="BLH115" s="0"/>
      <c r="BLI115" s="0"/>
      <c r="BLJ115" s="0"/>
      <c r="BLK115" s="0"/>
      <c r="BLL115" s="0"/>
      <c r="BLM115" s="0"/>
      <c r="BLN115" s="0"/>
      <c r="BLO115" s="0"/>
      <c r="BLP115" s="0"/>
      <c r="BLQ115" s="0"/>
      <c r="BLR115" s="0"/>
      <c r="BLS115" s="0"/>
      <c r="BLT115" s="0"/>
      <c r="BLU115" s="0"/>
      <c r="BLV115" s="0"/>
      <c r="BLW115" s="0"/>
      <c r="BLX115" s="0"/>
      <c r="BLY115" s="0"/>
      <c r="BLZ115" s="0"/>
      <c r="BMA115" s="0"/>
      <c r="BMB115" s="0"/>
      <c r="BMC115" s="0"/>
      <c r="BMD115" s="0"/>
      <c r="BME115" s="0"/>
      <c r="BMF115" s="0"/>
      <c r="BMG115" s="0"/>
      <c r="BMH115" s="0"/>
      <c r="BMI115" s="0"/>
      <c r="BMJ115" s="0"/>
      <c r="BMK115" s="0"/>
      <c r="BML115" s="0"/>
      <c r="BMM115" s="0"/>
      <c r="BMN115" s="0"/>
      <c r="BMO115" s="0"/>
      <c r="BMP115" s="0"/>
      <c r="BMQ115" s="0"/>
      <c r="BMR115" s="0"/>
      <c r="BMS115" s="0"/>
      <c r="BMT115" s="0"/>
      <c r="BMU115" s="0"/>
      <c r="BMV115" s="0"/>
      <c r="BMW115" s="0"/>
      <c r="BMX115" s="0"/>
      <c r="BMY115" s="0"/>
      <c r="BMZ115" s="0"/>
      <c r="BNA115" s="0"/>
      <c r="BNB115" s="0"/>
      <c r="BNC115" s="0"/>
      <c r="BND115" s="0"/>
      <c r="BNE115" s="0"/>
      <c r="BNF115" s="0"/>
      <c r="BNG115" s="0"/>
      <c r="BNH115" s="0"/>
      <c r="BNI115" s="0"/>
      <c r="BNJ115" s="0"/>
      <c r="BNK115" s="0"/>
      <c r="BNL115" s="0"/>
      <c r="BNM115" s="0"/>
      <c r="BNN115" s="0"/>
      <c r="BNO115" s="0"/>
      <c r="BNP115" s="0"/>
      <c r="BNQ115" s="0"/>
      <c r="BNR115" s="0"/>
      <c r="BNS115" s="0"/>
      <c r="BNT115" s="0"/>
      <c r="BNU115" s="0"/>
      <c r="BNV115" s="0"/>
      <c r="BNW115" s="0"/>
      <c r="BNX115" s="0"/>
      <c r="BNY115" s="0"/>
      <c r="BNZ115" s="0"/>
      <c r="BOA115" s="0"/>
      <c r="BOB115" s="0"/>
      <c r="BOC115" s="0"/>
      <c r="BOD115" s="0"/>
      <c r="BOE115" s="0"/>
      <c r="BOF115" s="0"/>
      <c r="BOG115" s="0"/>
      <c r="BOH115" s="0"/>
      <c r="BOI115" s="0"/>
      <c r="BOJ115" s="0"/>
      <c r="BOK115" s="0"/>
      <c r="BOL115" s="0"/>
      <c r="BOM115" s="0"/>
      <c r="BON115" s="0"/>
      <c r="BOO115" s="0"/>
      <c r="BOP115" s="0"/>
      <c r="BOQ115" s="0"/>
      <c r="BOR115" s="0"/>
      <c r="BOS115" s="0"/>
      <c r="BOT115" s="0"/>
      <c r="BOU115" s="0"/>
      <c r="BOV115" s="0"/>
      <c r="BOW115" s="0"/>
      <c r="BOX115" s="0"/>
      <c r="BOY115" s="0"/>
      <c r="BOZ115" s="0"/>
      <c r="BPA115" s="0"/>
      <c r="BPB115" s="0"/>
      <c r="BPC115" s="0"/>
      <c r="BPD115" s="0"/>
      <c r="BPE115" s="0"/>
      <c r="BPF115" s="0"/>
      <c r="BPG115" s="0"/>
      <c r="BPH115" s="0"/>
      <c r="BPI115" s="0"/>
      <c r="BPJ115" s="0"/>
      <c r="BPK115" s="0"/>
      <c r="BPL115" s="0"/>
      <c r="BPM115" s="0"/>
      <c r="BPN115" s="0"/>
      <c r="BPO115" s="0"/>
      <c r="BPP115" s="0"/>
      <c r="BPQ115" s="0"/>
      <c r="BPR115" s="0"/>
      <c r="BPS115" s="0"/>
      <c r="BPT115" s="0"/>
      <c r="BPU115" s="0"/>
      <c r="BPV115" s="0"/>
      <c r="BPW115" s="0"/>
      <c r="BPX115" s="0"/>
      <c r="BPY115" s="0"/>
      <c r="BPZ115" s="0"/>
      <c r="BQA115" s="0"/>
      <c r="BQB115" s="0"/>
      <c r="BQC115" s="0"/>
      <c r="BQD115" s="0"/>
      <c r="BQE115" s="0"/>
      <c r="BQF115" s="0"/>
      <c r="BQG115" s="0"/>
      <c r="BQH115" s="0"/>
      <c r="BQI115" s="0"/>
      <c r="BQJ115" s="0"/>
      <c r="BQK115" s="0"/>
      <c r="BQL115" s="0"/>
      <c r="BQM115" s="0"/>
      <c r="BQN115" s="0"/>
      <c r="BQO115" s="0"/>
      <c r="BQP115" s="0"/>
      <c r="BQQ115" s="0"/>
      <c r="BQR115" s="0"/>
      <c r="BQS115" s="0"/>
      <c r="BQT115" s="0"/>
      <c r="BQU115" s="0"/>
      <c r="BQV115" s="0"/>
      <c r="BQW115" s="0"/>
      <c r="BQX115" s="0"/>
      <c r="BQY115" s="0"/>
      <c r="BQZ115" s="0"/>
      <c r="BRA115" s="0"/>
      <c r="BRB115" s="0"/>
      <c r="BRC115" s="0"/>
      <c r="BRD115" s="0"/>
      <c r="BRE115" s="0"/>
      <c r="BRF115" s="0"/>
      <c r="BRG115" s="0"/>
      <c r="BRH115" s="0"/>
      <c r="BRI115" s="0"/>
      <c r="BRJ115" s="0"/>
      <c r="BRK115" s="0"/>
      <c r="BRL115" s="0"/>
      <c r="BRM115" s="0"/>
      <c r="BRN115" s="0"/>
      <c r="BRO115" s="0"/>
      <c r="BRP115" s="0"/>
      <c r="BRQ115" s="0"/>
      <c r="BRR115" s="0"/>
      <c r="BRS115" s="0"/>
      <c r="BRT115" s="0"/>
      <c r="BRU115" s="0"/>
      <c r="BRV115" s="0"/>
      <c r="BRW115" s="0"/>
      <c r="BRX115" s="0"/>
      <c r="BRY115" s="0"/>
      <c r="BRZ115" s="0"/>
      <c r="BSA115" s="0"/>
      <c r="BSB115" s="0"/>
      <c r="BSC115" s="0"/>
      <c r="BSD115" s="0"/>
      <c r="BSE115" s="0"/>
      <c r="BSF115" s="0"/>
      <c r="BSG115" s="0"/>
      <c r="BSH115" s="0"/>
      <c r="BSI115" s="0"/>
      <c r="BSJ115" s="0"/>
      <c r="BSK115" s="0"/>
      <c r="BSL115" s="0"/>
      <c r="BSM115" s="0"/>
      <c r="BSN115" s="0"/>
      <c r="BSO115" s="0"/>
      <c r="BSP115" s="0"/>
      <c r="BSQ115" s="0"/>
      <c r="BSR115" s="0"/>
      <c r="BSS115" s="0"/>
      <c r="BST115" s="0"/>
      <c r="BSU115" s="0"/>
      <c r="BSV115" s="0"/>
      <c r="BSW115" s="0"/>
      <c r="BSX115" s="0"/>
      <c r="BSY115" s="0"/>
      <c r="BSZ115" s="0"/>
      <c r="BTA115" s="0"/>
      <c r="BTB115" s="0"/>
      <c r="BTC115" s="0"/>
      <c r="BTD115" s="0"/>
      <c r="BTE115" s="0"/>
      <c r="BTF115" s="0"/>
      <c r="BTG115" s="0"/>
      <c r="BTH115" s="0"/>
      <c r="BTI115" s="0"/>
      <c r="BTJ115" s="0"/>
      <c r="BTK115" s="0"/>
      <c r="BTL115" s="0"/>
      <c r="BTM115" s="0"/>
      <c r="BTN115" s="0"/>
      <c r="BTO115" s="0"/>
      <c r="BTP115" s="0"/>
      <c r="BTQ115" s="0"/>
      <c r="BTR115" s="0"/>
      <c r="BTS115" s="0"/>
      <c r="BTT115" s="0"/>
      <c r="BTU115" s="0"/>
      <c r="BTV115" s="0"/>
      <c r="BTW115" s="0"/>
      <c r="BTX115" s="0"/>
      <c r="BTY115" s="0"/>
      <c r="BTZ115" s="0"/>
      <c r="BUA115" s="0"/>
      <c r="BUB115" s="0"/>
      <c r="BUC115" s="0"/>
      <c r="BUD115" s="0"/>
      <c r="BUE115" s="0"/>
      <c r="BUF115" s="0"/>
      <c r="BUG115" s="0"/>
      <c r="BUH115" s="0"/>
      <c r="BUI115" s="0"/>
      <c r="BUJ115" s="0"/>
      <c r="BUK115" s="0"/>
      <c r="BUL115" s="0"/>
      <c r="BUM115" s="0"/>
      <c r="BUN115" s="0"/>
      <c r="BUO115" s="0"/>
      <c r="BUP115" s="0"/>
      <c r="BUQ115" s="0"/>
      <c r="BUR115" s="0"/>
      <c r="BUS115" s="0"/>
      <c r="BUT115" s="0"/>
      <c r="BUU115" s="0"/>
      <c r="BUV115" s="0"/>
      <c r="BUW115" s="0"/>
      <c r="BUX115" s="0"/>
      <c r="BUY115" s="0"/>
      <c r="BUZ115" s="0"/>
      <c r="BVA115" s="0"/>
      <c r="BVB115" s="0"/>
      <c r="BVC115" s="0"/>
      <c r="BVD115" s="0"/>
      <c r="BVE115" s="0"/>
      <c r="BVF115" s="0"/>
      <c r="BVG115" s="0"/>
      <c r="BVH115" s="0"/>
      <c r="BVI115" s="0"/>
      <c r="BVJ115" s="0"/>
      <c r="BVK115" s="0"/>
      <c r="BVL115" s="0"/>
      <c r="BVM115" s="0"/>
      <c r="BVN115" s="0"/>
      <c r="BVO115" s="0"/>
      <c r="BVP115" s="0"/>
      <c r="BVQ115" s="0"/>
      <c r="BVR115" s="0"/>
      <c r="BVS115" s="0"/>
      <c r="BVT115" s="0"/>
      <c r="BVU115" s="0"/>
      <c r="BVV115" s="0"/>
      <c r="BVW115" s="0"/>
      <c r="BVX115" s="0"/>
      <c r="BVY115" s="0"/>
      <c r="BVZ115" s="0"/>
      <c r="BWA115" s="0"/>
      <c r="BWB115" s="0"/>
      <c r="BWC115" s="0"/>
      <c r="BWD115" s="0"/>
      <c r="BWE115" s="0"/>
      <c r="BWF115" s="0"/>
      <c r="BWG115" s="0"/>
      <c r="BWH115" s="0"/>
      <c r="BWI115" s="0"/>
      <c r="BWJ115" s="0"/>
      <c r="BWK115" s="0"/>
      <c r="BWL115" s="0"/>
      <c r="BWM115" s="0"/>
      <c r="BWN115" s="0"/>
      <c r="BWO115" s="0"/>
      <c r="BWP115" s="0"/>
      <c r="BWQ115" s="0"/>
      <c r="BWR115" s="0"/>
      <c r="BWS115" s="0"/>
      <c r="BWT115" s="0"/>
      <c r="BWU115" s="0"/>
      <c r="BWV115" s="0"/>
      <c r="BWW115" s="0"/>
      <c r="BWX115" s="0"/>
      <c r="BWY115" s="0"/>
      <c r="BWZ115" s="0"/>
      <c r="BXA115" s="0"/>
      <c r="BXB115" s="0"/>
      <c r="BXC115" s="0"/>
      <c r="BXD115" s="0"/>
      <c r="BXE115" s="0"/>
      <c r="BXF115" s="0"/>
      <c r="BXG115" s="0"/>
      <c r="BXH115" s="0"/>
      <c r="BXI115" s="0"/>
      <c r="BXJ115" s="0"/>
      <c r="BXK115" s="0"/>
      <c r="BXL115" s="0"/>
      <c r="BXM115" s="0"/>
      <c r="BXN115" s="0"/>
      <c r="BXO115" s="0"/>
      <c r="BXP115" s="0"/>
      <c r="BXQ115" s="0"/>
      <c r="BXR115" s="0"/>
      <c r="BXS115" s="0"/>
      <c r="BXT115" s="0"/>
      <c r="BXU115" s="0"/>
      <c r="BXV115" s="0"/>
      <c r="BXW115" s="0"/>
      <c r="BXX115" s="0"/>
      <c r="BXY115" s="0"/>
      <c r="BXZ115" s="0"/>
      <c r="BYA115" s="0"/>
      <c r="BYB115" s="0"/>
      <c r="BYC115" s="0"/>
      <c r="BYD115" s="0"/>
      <c r="BYE115" s="0"/>
      <c r="BYF115" s="0"/>
      <c r="BYG115" s="0"/>
      <c r="BYH115" s="0"/>
      <c r="BYI115" s="0"/>
      <c r="BYJ115" s="0"/>
      <c r="BYK115" s="0"/>
      <c r="BYL115" s="0"/>
      <c r="BYM115" s="0"/>
      <c r="BYN115" s="0"/>
      <c r="BYO115" s="0"/>
      <c r="BYP115" s="0"/>
      <c r="BYQ115" s="0"/>
      <c r="BYR115" s="0"/>
      <c r="BYS115" s="0"/>
      <c r="BYT115" s="0"/>
      <c r="BYU115" s="0"/>
      <c r="BYV115" s="0"/>
      <c r="BYW115" s="0"/>
      <c r="BYX115" s="0"/>
      <c r="BYY115" s="0"/>
      <c r="BYZ115" s="0"/>
      <c r="BZA115" s="0"/>
      <c r="BZB115" s="0"/>
      <c r="BZC115" s="0"/>
      <c r="BZD115" s="0"/>
      <c r="BZE115" s="0"/>
      <c r="BZF115" s="0"/>
      <c r="BZG115" s="0"/>
      <c r="BZH115" s="0"/>
      <c r="BZI115" s="0"/>
      <c r="BZJ115" s="0"/>
      <c r="BZK115" s="0"/>
      <c r="BZL115" s="0"/>
      <c r="BZM115" s="0"/>
      <c r="BZN115" s="0"/>
      <c r="BZO115" s="0"/>
      <c r="BZP115" s="0"/>
      <c r="BZQ115" s="0"/>
      <c r="BZR115" s="0"/>
      <c r="BZS115" s="0"/>
      <c r="BZT115" s="0"/>
      <c r="BZU115" s="0"/>
      <c r="BZV115" s="0"/>
      <c r="BZW115" s="0"/>
      <c r="BZX115" s="0"/>
      <c r="BZY115" s="0"/>
      <c r="BZZ115" s="0"/>
      <c r="CAA115" s="0"/>
      <c r="CAB115" s="0"/>
      <c r="CAC115" s="0"/>
      <c r="CAD115" s="0"/>
      <c r="CAE115" s="0"/>
      <c r="CAF115" s="0"/>
      <c r="CAG115" s="0"/>
      <c r="CAH115" s="0"/>
      <c r="CAI115" s="0"/>
      <c r="CAJ115" s="0"/>
      <c r="CAK115" s="0"/>
      <c r="CAL115" s="0"/>
      <c r="CAM115" s="0"/>
      <c r="CAN115" s="0"/>
      <c r="CAO115" s="0"/>
      <c r="CAP115" s="0"/>
      <c r="CAQ115" s="0"/>
      <c r="CAR115" s="0"/>
      <c r="CAS115" s="0"/>
      <c r="CAT115" s="0"/>
      <c r="CAU115" s="0"/>
      <c r="CAV115" s="0"/>
      <c r="CAW115" s="0"/>
      <c r="CAX115" s="0"/>
      <c r="CAY115" s="0"/>
      <c r="CAZ115" s="0"/>
      <c r="CBA115" s="0"/>
      <c r="CBB115" s="0"/>
      <c r="CBC115" s="0"/>
      <c r="CBD115" s="0"/>
      <c r="CBE115" s="0"/>
      <c r="CBF115" s="0"/>
      <c r="CBG115" s="0"/>
      <c r="CBH115" s="0"/>
      <c r="CBI115" s="0"/>
      <c r="CBJ115" s="0"/>
      <c r="CBK115" s="0"/>
      <c r="CBL115" s="0"/>
      <c r="CBM115" s="0"/>
      <c r="CBN115" s="0"/>
      <c r="CBO115" s="0"/>
      <c r="CBP115" s="0"/>
      <c r="CBQ115" s="0"/>
      <c r="CBR115" s="0"/>
      <c r="CBS115" s="0"/>
      <c r="CBT115" s="0"/>
      <c r="CBU115" s="0"/>
      <c r="CBV115" s="0"/>
      <c r="CBW115" s="0"/>
      <c r="CBX115" s="0"/>
      <c r="CBY115" s="0"/>
      <c r="CBZ115" s="0"/>
      <c r="CCA115" s="0"/>
      <c r="CCB115" s="0"/>
      <c r="CCC115" s="0"/>
      <c r="CCD115" s="0"/>
      <c r="CCE115" s="0"/>
      <c r="CCF115" s="0"/>
      <c r="CCG115" s="0"/>
      <c r="CCH115" s="0"/>
      <c r="CCI115" s="0"/>
      <c r="CCJ115" s="0"/>
      <c r="CCK115" s="0"/>
      <c r="CCL115" s="0"/>
      <c r="CCM115" s="0"/>
      <c r="CCN115" s="0"/>
      <c r="CCO115" s="0"/>
      <c r="CCP115" s="0"/>
      <c r="CCQ115" s="0"/>
      <c r="CCR115" s="0"/>
      <c r="CCS115" s="0"/>
      <c r="CCT115" s="0"/>
      <c r="CCU115" s="0"/>
      <c r="CCV115" s="0"/>
      <c r="CCW115" s="0"/>
      <c r="CCX115" s="0"/>
      <c r="CCY115" s="0"/>
      <c r="CCZ115" s="0"/>
      <c r="CDA115" s="0"/>
      <c r="CDB115" s="0"/>
      <c r="CDC115" s="0"/>
      <c r="CDD115" s="0"/>
      <c r="CDE115" s="0"/>
      <c r="CDF115" s="0"/>
      <c r="CDG115" s="0"/>
      <c r="CDH115" s="0"/>
      <c r="CDI115" s="0"/>
      <c r="CDJ115" s="0"/>
      <c r="CDK115" s="0"/>
      <c r="CDL115" s="0"/>
      <c r="CDM115" s="0"/>
      <c r="CDN115" s="0"/>
      <c r="CDO115" s="0"/>
      <c r="CDP115" s="0"/>
      <c r="CDQ115" s="0"/>
      <c r="CDR115" s="0"/>
      <c r="CDS115" s="0"/>
      <c r="CDT115" s="0"/>
      <c r="CDU115" s="0"/>
      <c r="CDV115" s="0"/>
      <c r="CDW115" s="0"/>
      <c r="CDX115" s="0"/>
      <c r="CDY115" s="0"/>
      <c r="CDZ115" s="0"/>
      <c r="CEA115" s="0"/>
      <c r="CEB115" s="0"/>
      <c r="CEC115" s="0"/>
      <c r="CED115" s="0"/>
      <c r="CEE115" s="0"/>
      <c r="CEF115" s="0"/>
      <c r="CEG115" s="0"/>
      <c r="CEH115" s="0"/>
      <c r="CEI115" s="0"/>
      <c r="CEJ115" s="0"/>
      <c r="CEK115" s="0"/>
      <c r="CEL115" s="0"/>
      <c r="CEM115" s="0"/>
      <c r="CEN115" s="0"/>
      <c r="CEO115" s="0"/>
      <c r="CEP115" s="0"/>
      <c r="CEQ115" s="0"/>
      <c r="CER115" s="0"/>
      <c r="CES115" s="0"/>
      <c r="CET115" s="0"/>
      <c r="CEU115" s="0"/>
      <c r="CEV115" s="0"/>
      <c r="CEW115" s="0"/>
      <c r="CEX115" s="0"/>
      <c r="CEY115" s="0"/>
      <c r="CEZ115" s="0"/>
      <c r="CFA115" s="0"/>
      <c r="CFB115" s="0"/>
      <c r="CFC115" s="0"/>
      <c r="CFD115" s="0"/>
      <c r="CFE115" s="0"/>
      <c r="CFF115" s="0"/>
      <c r="CFG115" s="0"/>
      <c r="CFH115" s="0"/>
      <c r="CFI115" s="0"/>
      <c r="CFJ115" s="0"/>
      <c r="CFK115" s="0"/>
      <c r="CFL115" s="0"/>
      <c r="CFM115" s="0"/>
      <c r="CFN115" s="0"/>
      <c r="CFO115" s="0"/>
      <c r="CFP115" s="0"/>
      <c r="CFQ115" s="0"/>
      <c r="CFR115" s="0"/>
      <c r="CFS115" s="0"/>
      <c r="CFT115" s="0"/>
      <c r="CFU115" s="0"/>
      <c r="CFV115" s="0"/>
      <c r="CFW115" s="0"/>
      <c r="CFX115" s="0"/>
      <c r="CFY115" s="0"/>
      <c r="CFZ115" s="0"/>
      <c r="CGA115" s="0"/>
      <c r="CGB115" s="0"/>
      <c r="CGC115" s="0"/>
      <c r="CGD115" s="0"/>
      <c r="CGE115" s="0"/>
      <c r="CGF115" s="0"/>
      <c r="CGG115" s="0"/>
      <c r="CGH115" s="0"/>
      <c r="CGI115" s="0"/>
      <c r="CGJ115" s="0"/>
      <c r="CGK115" s="0"/>
      <c r="CGL115" s="0"/>
      <c r="CGM115" s="0"/>
      <c r="CGN115" s="0"/>
      <c r="CGO115" s="0"/>
      <c r="CGP115" s="0"/>
      <c r="CGQ115" s="0"/>
      <c r="CGR115" s="0"/>
      <c r="CGS115" s="0"/>
      <c r="CGT115" s="0"/>
      <c r="CGU115" s="0"/>
      <c r="CGV115" s="0"/>
      <c r="CGW115" s="0"/>
      <c r="CGX115" s="0"/>
      <c r="CGY115" s="0"/>
      <c r="CGZ115" s="0"/>
      <c r="CHA115" s="0"/>
      <c r="CHB115" s="0"/>
      <c r="CHC115" s="0"/>
      <c r="CHD115" s="0"/>
      <c r="CHE115" s="0"/>
      <c r="CHF115" s="0"/>
      <c r="CHG115" s="0"/>
      <c r="CHH115" s="0"/>
      <c r="CHI115" s="0"/>
      <c r="CHJ115" s="0"/>
      <c r="CHK115" s="0"/>
      <c r="CHL115" s="0"/>
      <c r="CHM115" s="0"/>
      <c r="CHN115" s="0"/>
      <c r="CHO115" s="0"/>
      <c r="CHP115" s="0"/>
      <c r="CHQ115" s="0"/>
      <c r="CHR115" s="0"/>
      <c r="CHS115" s="0"/>
      <c r="CHT115" s="0"/>
      <c r="CHU115" s="0"/>
      <c r="CHV115" s="0"/>
      <c r="CHW115" s="0"/>
      <c r="CHX115" s="0"/>
      <c r="CHY115" s="0"/>
      <c r="CHZ115" s="0"/>
      <c r="CIA115" s="0"/>
      <c r="CIB115" s="0"/>
      <c r="CIC115" s="0"/>
      <c r="CID115" s="0"/>
      <c r="CIE115" s="0"/>
      <c r="CIF115" s="0"/>
      <c r="CIG115" s="0"/>
      <c r="CIH115" s="0"/>
      <c r="CII115" s="0"/>
      <c r="CIJ115" s="0"/>
      <c r="CIK115" s="0"/>
      <c r="CIL115" s="0"/>
      <c r="CIM115" s="0"/>
      <c r="CIN115" s="0"/>
      <c r="CIO115" s="0"/>
      <c r="CIP115" s="0"/>
      <c r="CIQ115" s="0"/>
      <c r="CIR115" s="0"/>
      <c r="CIS115" s="0"/>
      <c r="CIT115" s="0"/>
      <c r="CIU115" s="0"/>
      <c r="CIV115" s="0"/>
      <c r="CIW115" s="0"/>
      <c r="CIX115" s="0"/>
      <c r="CIY115" s="0"/>
      <c r="CIZ115" s="0"/>
      <c r="CJA115" s="0"/>
      <c r="CJB115" s="0"/>
      <c r="CJC115" s="0"/>
      <c r="CJD115" s="0"/>
      <c r="CJE115" s="0"/>
      <c r="CJF115" s="0"/>
      <c r="CJG115" s="0"/>
      <c r="CJH115" s="0"/>
      <c r="CJI115" s="0"/>
      <c r="CJJ115" s="0"/>
      <c r="CJK115" s="0"/>
      <c r="CJL115" s="0"/>
      <c r="CJM115" s="0"/>
      <c r="CJN115" s="0"/>
      <c r="CJO115" s="0"/>
      <c r="CJP115" s="0"/>
      <c r="CJQ115" s="0"/>
      <c r="CJR115" s="0"/>
      <c r="CJS115" s="0"/>
      <c r="CJT115" s="0"/>
      <c r="CJU115" s="0"/>
      <c r="CJV115" s="0"/>
      <c r="CJW115" s="0"/>
      <c r="CJX115" s="0"/>
      <c r="CJY115" s="0"/>
      <c r="CJZ115" s="0"/>
      <c r="CKA115" s="0"/>
      <c r="CKB115" s="0"/>
      <c r="CKC115" s="0"/>
      <c r="CKD115" s="0"/>
      <c r="CKE115" s="0"/>
      <c r="CKF115" s="0"/>
      <c r="CKG115" s="0"/>
      <c r="CKH115" s="0"/>
      <c r="CKI115" s="0"/>
      <c r="CKJ115" s="0"/>
      <c r="CKK115" s="0"/>
      <c r="CKL115" s="0"/>
      <c r="CKM115" s="0"/>
      <c r="CKN115" s="0"/>
      <c r="CKO115" s="0"/>
      <c r="CKP115" s="0"/>
      <c r="CKQ115" s="0"/>
      <c r="CKR115" s="0"/>
      <c r="CKS115" s="0"/>
      <c r="CKT115" s="0"/>
      <c r="CKU115" s="0"/>
      <c r="CKV115" s="0"/>
      <c r="CKW115" s="0"/>
      <c r="CKX115" s="0"/>
      <c r="CKY115" s="0"/>
      <c r="CKZ115" s="0"/>
      <c r="CLA115" s="0"/>
      <c r="CLB115" s="0"/>
      <c r="CLC115" s="0"/>
      <c r="CLD115" s="0"/>
      <c r="CLE115" s="0"/>
      <c r="CLF115" s="0"/>
      <c r="CLG115" s="0"/>
      <c r="CLH115" s="0"/>
      <c r="CLI115" s="0"/>
      <c r="CLJ115" s="0"/>
      <c r="CLK115" s="0"/>
      <c r="CLL115" s="0"/>
      <c r="CLM115" s="0"/>
      <c r="CLN115" s="0"/>
      <c r="CLO115" s="0"/>
      <c r="CLP115" s="0"/>
      <c r="CLQ115" s="0"/>
      <c r="CLR115" s="0"/>
      <c r="CLS115" s="0"/>
      <c r="CLT115" s="0"/>
      <c r="CLU115" s="0"/>
      <c r="CLV115" s="0"/>
      <c r="CLW115" s="0"/>
      <c r="CLX115" s="0"/>
      <c r="CLY115" s="0"/>
      <c r="CLZ115" s="0"/>
      <c r="CMA115" s="0"/>
      <c r="CMB115" s="0"/>
      <c r="CMC115" s="0"/>
      <c r="CMD115" s="0"/>
      <c r="CME115" s="0"/>
      <c r="CMF115" s="0"/>
      <c r="CMG115" s="0"/>
      <c r="CMH115" s="0"/>
      <c r="CMI115" s="0"/>
      <c r="CMJ115" s="0"/>
      <c r="CMK115" s="0"/>
      <c r="CML115" s="0"/>
      <c r="CMM115" s="0"/>
      <c r="CMN115" s="0"/>
      <c r="CMO115" s="0"/>
      <c r="CMP115" s="0"/>
      <c r="CMQ115" s="0"/>
      <c r="CMR115" s="0"/>
      <c r="CMS115" s="0"/>
      <c r="CMT115" s="0"/>
      <c r="CMU115" s="0"/>
      <c r="CMV115" s="0"/>
      <c r="CMW115" s="0"/>
      <c r="CMX115" s="0"/>
      <c r="CMY115" s="0"/>
      <c r="CMZ115" s="0"/>
      <c r="CNA115" s="0"/>
      <c r="CNB115" s="0"/>
      <c r="CNC115" s="0"/>
      <c r="CND115" s="0"/>
      <c r="CNE115" s="0"/>
      <c r="CNF115" s="0"/>
      <c r="CNG115" s="0"/>
      <c r="CNH115" s="0"/>
      <c r="CNI115" s="0"/>
      <c r="CNJ115" s="0"/>
      <c r="CNK115" s="0"/>
      <c r="CNL115" s="0"/>
      <c r="CNM115" s="0"/>
      <c r="CNN115" s="0"/>
      <c r="CNO115" s="0"/>
      <c r="CNP115" s="0"/>
      <c r="CNQ115" s="0"/>
      <c r="CNR115" s="0"/>
      <c r="CNS115" s="0"/>
      <c r="CNT115" s="0"/>
      <c r="CNU115" s="0"/>
      <c r="CNV115" s="0"/>
      <c r="CNW115" s="0"/>
      <c r="CNX115" s="0"/>
      <c r="CNY115" s="0"/>
      <c r="CNZ115" s="0"/>
      <c r="COA115" s="0"/>
      <c r="COB115" s="0"/>
      <c r="COC115" s="0"/>
      <c r="COD115" s="0"/>
      <c r="COE115" s="0"/>
      <c r="COF115" s="0"/>
      <c r="COG115" s="0"/>
      <c r="COH115" s="0"/>
      <c r="COI115" s="0"/>
      <c r="COJ115" s="0"/>
      <c r="COK115" s="0"/>
      <c r="COL115" s="0"/>
      <c r="COM115" s="0"/>
      <c r="CON115" s="0"/>
      <c r="COO115" s="0"/>
      <c r="COP115" s="0"/>
      <c r="COQ115" s="0"/>
      <c r="COR115" s="0"/>
      <c r="COS115" s="0"/>
      <c r="COT115" s="0"/>
      <c r="COU115" s="0"/>
      <c r="COV115" s="0"/>
      <c r="COW115" s="0"/>
      <c r="COX115" s="0"/>
      <c r="COY115" s="0"/>
      <c r="COZ115" s="0"/>
      <c r="CPA115" s="0"/>
      <c r="CPB115" s="0"/>
      <c r="CPC115" s="0"/>
      <c r="CPD115" s="0"/>
      <c r="CPE115" s="0"/>
      <c r="CPF115" s="0"/>
      <c r="CPG115" s="0"/>
      <c r="CPH115" s="0"/>
      <c r="CPI115" s="0"/>
      <c r="CPJ115" s="0"/>
      <c r="CPK115" s="0"/>
      <c r="CPL115" s="0"/>
      <c r="CPM115" s="0"/>
      <c r="CPN115" s="0"/>
      <c r="CPO115" s="0"/>
      <c r="CPP115" s="0"/>
      <c r="CPQ115" s="0"/>
      <c r="CPR115" s="0"/>
      <c r="CPS115" s="0"/>
      <c r="CPT115" s="0"/>
      <c r="CPU115" s="0"/>
      <c r="CPV115" s="0"/>
      <c r="CPW115" s="0"/>
      <c r="CPX115" s="0"/>
      <c r="CPY115" s="0"/>
      <c r="CPZ115" s="0"/>
      <c r="CQA115" s="0"/>
      <c r="CQB115" s="0"/>
      <c r="CQC115" s="0"/>
      <c r="CQD115" s="0"/>
      <c r="CQE115" s="0"/>
      <c r="CQF115" s="0"/>
      <c r="CQG115" s="0"/>
      <c r="CQH115" s="0"/>
      <c r="CQI115" s="0"/>
      <c r="CQJ115" s="0"/>
      <c r="CQK115" s="0"/>
      <c r="CQL115" s="0"/>
      <c r="CQM115" s="0"/>
      <c r="CQN115" s="0"/>
      <c r="CQO115" s="0"/>
      <c r="CQP115" s="0"/>
      <c r="CQQ115" s="0"/>
      <c r="CQR115" s="0"/>
      <c r="CQS115" s="0"/>
      <c r="CQT115" s="0"/>
      <c r="CQU115" s="0"/>
      <c r="CQV115" s="0"/>
      <c r="CQW115" s="0"/>
      <c r="CQX115" s="0"/>
      <c r="CQY115" s="0"/>
      <c r="CQZ115" s="0"/>
      <c r="CRA115" s="0"/>
      <c r="CRB115" s="0"/>
      <c r="CRC115" s="0"/>
      <c r="CRD115" s="0"/>
      <c r="CRE115" s="0"/>
      <c r="CRF115" s="0"/>
      <c r="CRG115" s="0"/>
      <c r="CRH115" s="0"/>
      <c r="CRI115" s="0"/>
      <c r="CRJ115" s="0"/>
      <c r="CRK115" s="0"/>
      <c r="CRL115" s="0"/>
      <c r="CRM115" s="0"/>
      <c r="CRN115" s="0"/>
      <c r="CRO115" s="0"/>
      <c r="CRP115" s="0"/>
      <c r="CRQ115" s="0"/>
      <c r="CRR115" s="0"/>
      <c r="CRS115" s="0"/>
      <c r="CRT115" s="0"/>
      <c r="CRU115" s="0"/>
      <c r="CRV115" s="0"/>
      <c r="CRW115" s="0"/>
      <c r="CRX115" s="0"/>
      <c r="CRY115" s="0"/>
      <c r="CRZ115" s="0"/>
      <c r="CSA115" s="0"/>
      <c r="CSB115" s="0"/>
      <c r="CSC115" s="0"/>
      <c r="CSD115" s="0"/>
      <c r="CSE115" s="0"/>
      <c r="CSF115" s="0"/>
      <c r="CSG115" s="0"/>
      <c r="CSH115" s="0"/>
      <c r="CSI115" s="0"/>
      <c r="CSJ115" s="0"/>
      <c r="CSK115" s="0"/>
      <c r="CSL115" s="0"/>
      <c r="CSM115" s="0"/>
      <c r="CSN115" s="0"/>
      <c r="CSO115" s="0"/>
      <c r="CSP115" s="0"/>
      <c r="CSQ115" s="0"/>
      <c r="CSR115" s="0"/>
      <c r="CSS115" s="0"/>
      <c r="CST115" s="0"/>
      <c r="CSU115" s="0"/>
      <c r="CSV115" s="0"/>
      <c r="CSW115" s="0"/>
      <c r="CSX115" s="0"/>
      <c r="CSY115" s="0"/>
      <c r="CSZ115" s="0"/>
      <c r="CTA115" s="0"/>
      <c r="CTB115" s="0"/>
      <c r="CTC115" s="0"/>
      <c r="CTD115" s="0"/>
      <c r="CTE115" s="0"/>
      <c r="CTF115" s="0"/>
      <c r="CTG115" s="0"/>
      <c r="CTH115" s="0"/>
      <c r="CTI115" s="0"/>
      <c r="CTJ115" s="0"/>
      <c r="CTK115" s="0"/>
      <c r="CTL115" s="0"/>
      <c r="CTM115" s="0"/>
      <c r="CTN115" s="0"/>
      <c r="CTO115" s="0"/>
      <c r="CTP115" s="0"/>
      <c r="CTQ115" s="0"/>
      <c r="CTR115" s="0"/>
      <c r="CTS115" s="0"/>
      <c r="CTT115" s="0"/>
      <c r="CTU115" s="0"/>
      <c r="CTV115" s="0"/>
      <c r="CTW115" s="0"/>
      <c r="CTX115" s="0"/>
      <c r="CTY115" s="0"/>
      <c r="CTZ115" s="0"/>
      <c r="CUA115" s="0"/>
      <c r="CUB115" s="0"/>
      <c r="CUC115" s="0"/>
      <c r="CUD115" s="0"/>
      <c r="CUE115" s="0"/>
      <c r="CUF115" s="0"/>
      <c r="CUG115" s="0"/>
      <c r="CUH115" s="0"/>
      <c r="CUI115" s="0"/>
      <c r="CUJ115" s="0"/>
      <c r="CUK115" s="0"/>
      <c r="CUL115" s="0"/>
      <c r="CUM115" s="0"/>
      <c r="CUN115" s="0"/>
      <c r="CUO115" s="0"/>
      <c r="CUP115" s="0"/>
      <c r="CUQ115" s="0"/>
      <c r="CUR115" s="0"/>
      <c r="CUS115" s="0"/>
      <c r="CUT115" s="0"/>
      <c r="CUU115" s="0"/>
      <c r="CUV115" s="0"/>
      <c r="CUW115" s="0"/>
      <c r="CUX115" s="0"/>
      <c r="CUY115" s="0"/>
      <c r="CUZ115" s="0"/>
      <c r="CVA115" s="0"/>
      <c r="CVB115" s="0"/>
      <c r="CVC115" s="0"/>
      <c r="CVD115" s="0"/>
      <c r="CVE115" s="0"/>
      <c r="CVF115" s="0"/>
      <c r="CVG115" s="0"/>
      <c r="CVH115" s="0"/>
      <c r="CVI115" s="0"/>
      <c r="CVJ115" s="0"/>
      <c r="CVK115" s="0"/>
      <c r="CVL115" s="0"/>
      <c r="CVM115" s="0"/>
      <c r="CVN115" s="0"/>
      <c r="CVO115" s="0"/>
      <c r="CVP115" s="0"/>
      <c r="CVQ115" s="0"/>
      <c r="CVR115" s="0"/>
      <c r="CVS115" s="0"/>
      <c r="CVT115" s="0"/>
      <c r="CVU115" s="0"/>
      <c r="CVV115" s="0"/>
      <c r="CVW115" s="0"/>
      <c r="CVX115" s="0"/>
      <c r="CVY115" s="0"/>
      <c r="CVZ115" s="0"/>
      <c r="CWA115" s="0"/>
      <c r="CWB115" s="0"/>
      <c r="CWC115" s="0"/>
      <c r="CWD115" s="0"/>
      <c r="CWE115" s="0"/>
      <c r="CWF115" s="0"/>
      <c r="CWG115" s="0"/>
      <c r="CWH115" s="0"/>
      <c r="CWI115" s="0"/>
      <c r="CWJ115" s="0"/>
      <c r="CWK115" s="0"/>
      <c r="CWL115" s="0"/>
      <c r="CWM115" s="0"/>
      <c r="CWN115" s="0"/>
      <c r="CWO115" s="0"/>
      <c r="CWP115" s="0"/>
      <c r="CWQ115" s="0"/>
      <c r="CWR115" s="0"/>
      <c r="CWS115" s="0"/>
      <c r="CWT115" s="0"/>
      <c r="CWU115" s="0"/>
      <c r="CWV115" s="0"/>
      <c r="CWW115" s="0"/>
      <c r="CWX115" s="0"/>
      <c r="CWY115" s="0"/>
      <c r="CWZ115" s="0"/>
      <c r="CXA115" s="0"/>
      <c r="CXB115" s="0"/>
      <c r="CXC115" s="0"/>
      <c r="CXD115" s="0"/>
      <c r="CXE115" s="0"/>
      <c r="CXF115" s="0"/>
      <c r="CXG115" s="0"/>
      <c r="CXH115" s="0"/>
      <c r="CXI115" s="0"/>
      <c r="CXJ115" s="0"/>
      <c r="CXK115" s="0"/>
      <c r="CXL115" s="0"/>
      <c r="CXM115" s="0"/>
      <c r="CXN115" s="0"/>
      <c r="CXO115" s="0"/>
      <c r="CXP115" s="0"/>
      <c r="CXQ115" s="0"/>
      <c r="CXR115" s="0"/>
      <c r="CXS115" s="0"/>
      <c r="CXT115" s="0"/>
      <c r="CXU115" s="0"/>
      <c r="CXV115" s="0"/>
      <c r="CXW115" s="0"/>
      <c r="CXX115" s="0"/>
      <c r="CXY115" s="0"/>
      <c r="CXZ115" s="0"/>
      <c r="CYA115" s="0"/>
      <c r="CYB115" s="0"/>
      <c r="CYC115" s="0"/>
      <c r="CYD115" s="0"/>
      <c r="CYE115" s="0"/>
      <c r="CYF115" s="0"/>
      <c r="CYG115" s="0"/>
      <c r="CYH115" s="0"/>
      <c r="CYI115" s="0"/>
      <c r="CYJ115" s="0"/>
      <c r="CYK115" s="0"/>
      <c r="CYL115" s="0"/>
      <c r="CYM115" s="0"/>
      <c r="CYN115" s="0"/>
      <c r="CYO115" s="0"/>
      <c r="CYP115" s="0"/>
      <c r="CYQ115" s="0"/>
      <c r="CYR115" s="0"/>
      <c r="CYS115" s="0"/>
      <c r="CYT115" s="0"/>
      <c r="CYU115" s="0"/>
      <c r="CYV115" s="0"/>
      <c r="CYW115" s="0"/>
      <c r="CYX115" s="0"/>
      <c r="CYY115" s="0"/>
      <c r="CYZ115" s="0"/>
      <c r="CZA115" s="0"/>
      <c r="CZB115" s="0"/>
      <c r="CZC115" s="0"/>
      <c r="CZD115" s="0"/>
      <c r="CZE115" s="0"/>
      <c r="CZF115" s="0"/>
      <c r="CZG115" s="0"/>
      <c r="CZH115" s="0"/>
      <c r="CZI115" s="0"/>
      <c r="CZJ115" s="0"/>
      <c r="CZK115" s="0"/>
      <c r="CZL115" s="0"/>
      <c r="CZM115" s="0"/>
      <c r="CZN115" s="0"/>
      <c r="CZO115" s="0"/>
      <c r="CZP115" s="0"/>
      <c r="CZQ115" s="0"/>
      <c r="CZR115" s="0"/>
      <c r="CZS115" s="0"/>
      <c r="CZT115" s="0"/>
      <c r="CZU115" s="0"/>
      <c r="CZV115" s="0"/>
      <c r="CZW115" s="0"/>
      <c r="CZX115" s="0"/>
      <c r="CZY115" s="0"/>
      <c r="CZZ115" s="0"/>
      <c r="DAA115" s="0"/>
      <c r="DAB115" s="0"/>
      <c r="DAC115" s="0"/>
      <c r="DAD115" s="0"/>
      <c r="DAE115" s="0"/>
      <c r="DAF115" s="0"/>
      <c r="DAG115" s="0"/>
      <c r="DAH115" s="0"/>
      <c r="DAI115" s="0"/>
      <c r="DAJ115" s="0"/>
      <c r="DAK115" s="0"/>
      <c r="DAL115" s="0"/>
      <c r="DAM115" s="0"/>
      <c r="DAN115" s="0"/>
      <c r="DAO115" s="0"/>
      <c r="DAP115" s="0"/>
      <c r="DAQ115" s="0"/>
      <c r="DAR115" s="0"/>
      <c r="DAS115" s="0"/>
      <c r="DAT115" s="0"/>
      <c r="DAU115" s="0"/>
      <c r="DAV115" s="0"/>
      <c r="DAW115" s="0"/>
      <c r="DAX115" s="0"/>
      <c r="DAY115" s="0"/>
      <c r="DAZ115" s="0"/>
      <c r="DBA115" s="0"/>
      <c r="DBB115" s="0"/>
      <c r="DBC115" s="0"/>
      <c r="DBD115" s="0"/>
      <c r="DBE115" s="0"/>
      <c r="DBF115" s="0"/>
      <c r="DBG115" s="0"/>
      <c r="DBH115" s="0"/>
      <c r="DBI115" s="0"/>
      <c r="DBJ115" s="0"/>
      <c r="DBK115" s="0"/>
      <c r="DBL115" s="0"/>
      <c r="DBM115" s="0"/>
      <c r="DBN115" s="0"/>
      <c r="DBO115" s="0"/>
      <c r="DBP115" s="0"/>
      <c r="DBQ115" s="0"/>
      <c r="DBR115" s="0"/>
      <c r="DBS115" s="0"/>
      <c r="DBT115" s="0"/>
      <c r="DBU115" s="0"/>
      <c r="DBV115" s="0"/>
      <c r="DBW115" s="0"/>
      <c r="DBX115" s="0"/>
      <c r="DBY115" s="0"/>
      <c r="DBZ115" s="0"/>
      <c r="DCA115" s="0"/>
      <c r="DCB115" s="0"/>
      <c r="DCC115" s="0"/>
      <c r="DCD115" s="0"/>
      <c r="DCE115" s="0"/>
      <c r="DCF115" s="0"/>
      <c r="DCG115" s="0"/>
      <c r="DCH115" s="0"/>
      <c r="DCI115" s="0"/>
      <c r="DCJ115" s="0"/>
      <c r="DCK115" s="0"/>
      <c r="DCL115" s="0"/>
      <c r="DCM115" s="0"/>
      <c r="DCN115" s="0"/>
      <c r="DCO115" s="0"/>
      <c r="DCP115" s="0"/>
      <c r="DCQ115" s="0"/>
      <c r="DCR115" s="0"/>
      <c r="DCS115" s="0"/>
      <c r="DCT115" s="0"/>
      <c r="DCU115" s="0"/>
      <c r="DCV115" s="0"/>
      <c r="DCW115" s="0"/>
      <c r="DCX115" s="0"/>
      <c r="DCY115" s="0"/>
      <c r="DCZ115" s="0"/>
      <c r="DDA115" s="0"/>
      <c r="DDB115" s="0"/>
      <c r="DDC115" s="0"/>
      <c r="DDD115" s="0"/>
      <c r="DDE115" s="0"/>
      <c r="DDF115" s="0"/>
      <c r="DDG115" s="0"/>
      <c r="DDH115" s="0"/>
      <c r="DDI115" s="0"/>
      <c r="DDJ115" s="0"/>
      <c r="DDK115" s="0"/>
      <c r="DDL115" s="0"/>
      <c r="DDM115" s="0"/>
      <c r="DDN115" s="0"/>
      <c r="DDO115" s="0"/>
      <c r="DDP115" s="0"/>
      <c r="DDQ115" s="0"/>
      <c r="DDR115" s="0"/>
      <c r="DDS115" s="0"/>
      <c r="DDT115" s="0"/>
      <c r="DDU115" s="0"/>
      <c r="DDV115" s="0"/>
      <c r="DDW115" s="0"/>
      <c r="DDX115" s="0"/>
      <c r="DDY115" s="0"/>
      <c r="DDZ115" s="0"/>
      <c r="DEA115" s="0"/>
      <c r="DEB115" s="0"/>
      <c r="DEC115" s="0"/>
      <c r="DED115" s="0"/>
      <c r="DEE115" s="0"/>
      <c r="DEF115" s="0"/>
      <c r="DEG115" s="0"/>
      <c r="DEH115" s="0"/>
      <c r="DEI115" s="0"/>
      <c r="DEJ115" s="0"/>
      <c r="DEK115" s="0"/>
      <c r="DEL115" s="0"/>
      <c r="DEM115" s="0"/>
      <c r="DEN115" s="0"/>
      <c r="DEO115" s="0"/>
      <c r="DEP115" s="0"/>
      <c r="DEQ115" s="0"/>
      <c r="DER115" s="0"/>
      <c r="DES115" s="0"/>
      <c r="DET115" s="0"/>
      <c r="DEU115" s="0"/>
      <c r="DEV115" s="0"/>
      <c r="DEW115" s="0"/>
      <c r="DEX115" s="0"/>
      <c r="DEY115" s="0"/>
      <c r="DEZ115" s="0"/>
      <c r="DFA115" s="0"/>
      <c r="DFB115" s="0"/>
      <c r="DFC115" s="0"/>
      <c r="DFD115" s="0"/>
      <c r="DFE115" s="0"/>
      <c r="DFF115" s="0"/>
      <c r="DFG115" s="0"/>
      <c r="DFH115" s="0"/>
      <c r="DFI115" s="0"/>
      <c r="DFJ115" s="0"/>
      <c r="DFK115" s="0"/>
      <c r="DFL115" s="0"/>
      <c r="DFM115" s="0"/>
      <c r="DFN115" s="0"/>
      <c r="DFO115" s="0"/>
      <c r="DFP115" s="0"/>
      <c r="DFQ115" s="0"/>
      <c r="DFR115" s="0"/>
      <c r="DFS115" s="0"/>
      <c r="DFT115" s="0"/>
      <c r="DFU115" s="0"/>
      <c r="DFV115" s="0"/>
      <c r="DFW115" s="0"/>
      <c r="DFX115" s="0"/>
      <c r="DFY115" s="0"/>
      <c r="DFZ115" s="0"/>
      <c r="DGA115" s="0"/>
      <c r="DGB115" s="0"/>
      <c r="DGC115" s="0"/>
      <c r="DGD115" s="0"/>
      <c r="DGE115" s="0"/>
      <c r="DGF115" s="0"/>
      <c r="DGG115" s="0"/>
      <c r="DGH115" s="0"/>
      <c r="DGI115" s="0"/>
      <c r="DGJ115" s="0"/>
      <c r="DGK115" s="0"/>
      <c r="DGL115" s="0"/>
      <c r="DGM115" s="0"/>
      <c r="DGN115" s="0"/>
      <c r="DGO115" s="0"/>
      <c r="DGP115" s="0"/>
      <c r="DGQ115" s="0"/>
      <c r="DGR115" s="0"/>
      <c r="DGS115" s="0"/>
      <c r="DGT115" s="0"/>
      <c r="DGU115" s="0"/>
      <c r="DGV115" s="0"/>
      <c r="DGW115" s="0"/>
      <c r="DGX115" s="0"/>
      <c r="DGY115" s="0"/>
      <c r="DGZ115" s="0"/>
      <c r="DHA115" s="0"/>
      <c r="DHB115" s="0"/>
      <c r="DHC115" s="0"/>
      <c r="DHD115" s="0"/>
      <c r="DHE115" s="0"/>
      <c r="DHF115" s="0"/>
      <c r="DHG115" s="0"/>
      <c r="DHH115" s="0"/>
      <c r="DHI115" s="0"/>
      <c r="DHJ115" s="0"/>
      <c r="DHK115" s="0"/>
      <c r="DHL115" s="0"/>
      <c r="DHM115" s="0"/>
      <c r="DHN115" s="0"/>
      <c r="DHO115" s="0"/>
      <c r="DHP115" s="0"/>
      <c r="DHQ115" s="0"/>
      <c r="DHR115" s="0"/>
      <c r="DHS115" s="0"/>
      <c r="DHT115" s="0"/>
      <c r="DHU115" s="0"/>
      <c r="DHV115" s="0"/>
      <c r="DHW115" s="0"/>
      <c r="DHX115" s="0"/>
      <c r="DHY115" s="0"/>
      <c r="DHZ115" s="0"/>
      <c r="DIA115" s="0"/>
      <c r="DIB115" s="0"/>
      <c r="DIC115" s="0"/>
      <c r="DID115" s="0"/>
      <c r="DIE115" s="0"/>
      <c r="DIF115" s="0"/>
      <c r="DIG115" s="0"/>
      <c r="DIH115" s="0"/>
      <c r="DII115" s="0"/>
      <c r="DIJ115" s="0"/>
      <c r="DIK115" s="0"/>
      <c r="DIL115" s="0"/>
      <c r="DIM115" s="0"/>
      <c r="DIN115" s="0"/>
      <c r="DIO115" s="0"/>
      <c r="DIP115" s="0"/>
      <c r="DIQ115" s="0"/>
      <c r="DIR115" s="0"/>
      <c r="DIS115" s="0"/>
      <c r="DIT115" s="0"/>
      <c r="DIU115" s="0"/>
      <c r="DIV115" s="0"/>
      <c r="DIW115" s="0"/>
      <c r="DIX115" s="0"/>
      <c r="DIY115" s="0"/>
      <c r="DIZ115" s="0"/>
      <c r="DJA115" s="0"/>
      <c r="DJB115" s="0"/>
      <c r="DJC115" s="0"/>
      <c r="DJD115" s="0"/>
      <c r="DJE115" s="0"/>
      <c r="DJF115" s="0"/>
      <c r="DJG115" s="0"/>
      <c r="DJH115" s="0"/>
      <c r="DJI115" s="0"/>
      <c r="DJJ115" s="0"/>
      <c r="DJK115" s="0"/>
      <c r="DJL115" s="0"/>
      <c r="DJM115" s="0"/>
      <c r="DJN115" s="0"/>
      <c r="DJO115" s="0"/>
      <c r="DJP115" s="0"/>
      <c r="DJQ115" s="0"/>
      <c r="DJR115" s="0"/>
      <c r="DJS115" s="0"/>
      <c r="DJT115" s="0"/>
      <c r="DJU115" s="0"/>
      <c r="DJV115" s="0"/>
      <c r="DJW115" s="0"/>
      <c r="DJX115" s="0"/>
      <c r="DJY115" s="0"/>
      <c r="DJZ115" s="0"/>
      <c r="DKA115" s="0"/>
      <c r="DKB115" s="0"/>
      <c r="DKC115" s="0"/>
      <c r="DKD115" s="0"/>
      <c r="DKE115" s="0"/>
      <c r="DKF115" s="0"/>
      <c r="DKG115" s="0"/>
      <c r="DKH115" s="0"/>
      <c r="DKI115" s="0"/>
      <c r="DKJ115" s="0"/>
      <c r="DKK115" s="0"/>
      <c r="DKL115" s="0"/>
      <c r="DKM115" s="0"/>
      <c r="DKN115" s="0"/>
      <c r="DKO115" s="0"/>
      <c r="DKP115" s="0"/>
      <c r="DKQ115" s="0"/>
      <c r="DKR115" s="0"/>
      <c r="DKS115" s="0"/>
      <c r="DKT115" s="0"/>
      <c r="DKU115" s="0"/>
      <c r="DKV115" s="0"/>
      <c r="DKW115" s="0"/>
      <c r="DKX115" s="0"/>
      <c r="DKY115" s="0"/>
      <c r="DKZ115" s="0"/>
      <c r="DLA115" s="0"/>
      <c r="DLB115" s="0"/>
      <c r="DLC115" s="0"/>
      <c r="DLD115" s="0"/>
      <c r="DLE115" s="0"/>
      <c r="DLF115" s="0"/>
      <c r="DLG115" s="0"/>
      <c r="DLH115" s="0"/>
      <c r="DLI115" s="0"/>
      <c r="DLJ115" s="0"/>
      <c r="DLK115" s="0"/>
      <c r="DLL115" s="0"/>
      <c r="DLM115" s="0"/>
      <c r="DLN115" s="0"/>
      <c r="DLO115" s="0"/>
      <c r="DLP115" s="0"/>
      <c r="DLQ115" s="0"/>
      <c r="DLR115" s="0"/>
      <c r="DLS115" s="0"/>
      <c r="DLT115" s="0"/>
      <c r="DLU115" s="0"/>
      <c r="DLV115" s="0"/>
      <c r="DLW115" s="0"/>
      <c r="DLX115" s="0"/>
      <c r="DLY115" s="0"/>
      <c r="DLZ115" s="0"/>
      <c r="DMA115" s="0"/>
      <c r="DMB115" s="0"/>
      <c r="DMC115" s="0"/>
      <c r="DMD115" s="0"/>
      <c r="DME115" s="0"/>
      <c r="DMF115" s="0"/>
      <c r="DMG115" s="0"/>
      <c r="DMH115" s="0"/>
      <c r="DMI115" s="0"/>
      <c r="DMJ115" s="0"/>
      <c r="DMK115" s="0"/>
      <c r="DML115" s="0"/>
      <c r="DMM115" s="0"/>
      <c r="DMN115" s="0"/>
      <c r="DMO115" s="0"/>
      <c r="DMP115" s="0"/>
      <c r="DMQ115" s="0"/>
      <c r="DMR115" s="0"/>
      <c r="DMS115" s="0"/>
      <c r="DMT115" s="0"/>
      <c r="DMU115" s="0"/>
      <c r="DMV115" s="0"/>
      <c r="DMW115" s="0"/>
      <c r="DMX115" s="0"/>
      <c r="DMY115" s="0"/>
      <c r="DMZ115" s="0"/>
      <c r="DNA115" s="0"/>
      <c r="DNB115" s="0"/>
      <c r="DNC115" s="0"/>
      <c r="DND115" s="0"/>
      <c r="DNE115" s="0"/>
      <c r="DNF115" s="0"/>
      <c r="DNG115" s="0"/>
      <c r="DNH115" s="0"/>
      <c r="DNI115" s="0"/>
      <c r="DNJ115" s="0"/>
      <c r="DNK115" s="0"/>
      <c r="DNL115" s="0"/>
      <c r="DNM115" s="0"/>
      <c r="DNN115" s="0"/>
      <c r="DNO115" s="0"/>
      <c r="DNP115" s="0"/>
      <c r="DNQ115" s="0"/>
      <c r="DNR115" s="0"/>
      <c r="DNS115" s="0"/>
      <c r="DNT115" s="0"/>
      <c r="DNU115" s="0"/>
      <c r="DNV115" s="0"/>
      <c r="DNW115" s="0"/>
      <c r="DNX115" s="0"/>
      <c r="DNY115" s="0"/>
      <c r="DNZ115" s="0"/>
      <c r="DOA115" s="0"/>
      <c r="DOB115" s="0"/>
      <c r="DOC115" s="0"/>
      <c r="DOD115" s="0"/>
      <c r="DOE115" s="0"/>
      <c r="DOF115" s="0"/>
      <c r="DOG115" s="0"/>
      <c r="DOH115" s="0"/>
      <c r="DOI115" s="0"/>
      <c r="DOJ115" s="0"/>
      <c r="DOK115" s="0"/>
      <c r="DOL115" s="0"/>
      <c r="DOM115" s="0"/>
      <c r="DON115" s="0"/>
      <c r="DOO115" s="0"/>
      <c r="DOP115" s="0"/>
      <c r="DOQ115" s="0"/>
      <c r="DOR115" s="0"/>
      <c r="DOS115" s="0"/>
      <c r="DOT115" s="0"/>
      <c r="DOU115" s="0"/>
      <c r="DOV115" s="0"/>
      <c r="DOW115" s="0"/>
      <c r="DOX115" s="0"/>
      <c r="DOY115" s="0"/>
      <c r="DOZ115" s="0"/>
      <c r="DPA115" s="0"/>
      <c r="DPB115" s="0"/>
      <c r="DPC115" s="0"/>
      <c r="DPD115" s="0"/>
      <c r="DPE115" s="0"/>
      <c r="DPF115" s="0"/>
      <c r="DPG115" s="0"/>
      <c r="DPH115" s="0"/>
      <c r="DPI115" s="0"/>
      <c r="DPJ115" s="0"/>
      <c r="DPK115" s="0"/>
      <c r="DPL115" s="0"/>
      <c r="DPM115" s="0"/>
      <c r="DPN115" s="0"/>
      <c r="DPO115" s="0"/>
      <c r="DPP115" s="0"/>
      <c r="DPQ115" s="0"/>
      <c r="DPR115" s="0"/>
      <c r="DPS115" s="0"/>
      <c r="DPT115" s="0"/>
      <c r="DPU115" s="0"/>
      <c r="DPV115" s="0"/>
      <c r="DPW115" s="0"/>
      <c r="DPX115" s="0"/>
      <c r="DPY115" s="0"/>
      <c r="DPZ115" s="0"/>
      <c r="DQA115" s="0"/>
      <c r="DQB115" s="0"/>
      <c r="DQC115" s="0"/>
      <c r="DQD115" s="0"/>
      <c r="DQE115" s="0"/>
      <c r="DQF115" s="0"/>
      <c r="DQG115" s="0"/>
      <c r="DQH115" s="0"/>
      <c r="DQI115" s="0"/>
      <c r="DQJ115" s="0"/>
      <c r="DQK115" s="0"/>
      <c r="DQL115" s="0"/>
      <c r="DQM115" s="0"/>
      <c r="DQN115" s="0"/>
      <c r="DQO115" s="0"/>
      <c r="DQP115" s="0"/>
      <c r="DQQ115" s="0"/>
      <c r="DQR115" s="0"/>
      <c r="DQS115" s="0"/>
      <c r="DQT115" s="0"/>
      <c r="DQU115" s="0"/>
      <c r="DQV115" s="0"/>
      <c r="DQW115" s="0"/>
      <c r="DQX115" s="0"/>
      <c r="DQY115" s="0"/>
      <c r="DQZ115" s="0"/>
      <c r="DRA115" s="0"/>
      <c r="DRB115" s="0"/>
      <c r="DRC115" s="0"/>
      <c r="DRD115" s="0"/>
      <c r="DRE115" s="0"/>
      <c r="DRF115" s="0"/>
      <c r="DRG115" s="0"/>
      <c r="DRH115" s="0"/>
      <c r="DRI115" s="0"/>
      <c r="DRJ115" s="0"/>
      <c r="DRK115" s="0"/>
      <c r="DRL115" s="0"/>
      <c r="DRM115" s="0"/>
      <c r="DRN115" s="0"/>
      <c r="DRO115" s="0"/>
      <c r="DRP115" s="0"/>
      <c r="DRQ115" s="0"/>
      <c r="DRR115" s="0"/>
      <c r="DRS115" s="0"/>
      <c r="DRT115" s="0"/>
      <c r="DRU115" s="0"/>
      <c r="DRV115" s="0"/>
      <c r="DRW115" s="0"/>
      <c r="DRX115" s="0"/>
      <c r="DRY115" s="0"/>
      <c r="DRZ115" s="0"/>
      <c r="DSA115" s="0"/>
      <c r="DSB115" s="0"/>
      <c r="DSC115" s="0"/>
      <c r="DSD115" s="0"/>
      <c r="DSE115" s="0"/>
      <c r="DSF115" s="0"/>
      <c r="DSG115" s="0"/>
      <c r="DSH115" s="0"/>
      <c r="DSI115" s="0"/>
      <c r="DSJ115" s="0"/>
      <c r="DSK115" s="0"/>
      <c r="DSL115" s="0"/>
      <c r="DSM115" s="0"/>
      <c r="DSN115" s="0"/>
      <c r="DSO115" s="0"/>
      <c r="DSP115" s="0"/>
      <c r="DSQ115" s="0"/>
      <c r="DSR115" s="0"/>
      <c r="DSS115" s="0"/>
      <c r="DST115" s="0"/>
      <c r="DSU115" s="0"/>
      <c r="DSV115" s="0"/>
      <c r="DSW115" s="0"/>
      <c r="DSX115" s="0"/>
      <c r="DSY115" s="0"/>
      <c r="DSZ115" s="0"/>
      <c r="DTA115" s="0"/>
      <c r="DTB115" s="0"/>
      <c r="DTC115" s="0"/>
      <c r="DTD115" s="0"/>
      <c r="DTE115" s="0"/>
      <c r="DTF115" s="0"/>
      <c r="DTG115" s="0"/>
      <c r="DTH115" s="0"/>
      <c r="DTI115" s="0"/>
      <c r="DTJ115" s="0"/>
      <c r="DTK115" s="0"/>
      <c r="DTL115" s="0"/>
      <c r="DTM115" s="0"/>
      <c r="DTN115" s="0"/>
      <c r="DTO115" s="0"/>
      <c r="DTP115" s="0"/>
      <c r="DTQ115" s="0"/>
      <c r="DTR115" s="0"/>
      <c r="DTS115" s="0"/>
      <c r="DTT115" s="0"/>
      <c r="DTU115" s="0"/>
      <c r="DTV115" s="0"/>
      <c r="DTW115" s="0"/>
      <c r="DTX115" s="0"/>
      <c r="DTY115" s="0"/>
      <c r="DTZ115" s="0"/>
      <c r="DUA115" s="0"/>
      <c r="DUB115" s="0"/>
      <c r="DUC115" s="0"/>
      <c r="DUD115" s="0"/>
      <c r="DUE115" s="0"/>
      <c r="DUF115" s="0"/>
      <c r="DUG115" s="0"/>
      <c r="DUH115" s="0"/>
      <c r="DUI115" s="0"/>
      <c r="DUJ115" s="0"/>
      <c r="DUK115" s="0"/>
      <c r="DUL115" s="0"/>
      <c r="DUM115" s="0"/>
      <c r="DUN115" s="0"/>
      <c r="DUO115" s="0"/>
      <c r="DUP115" s="0"/>
      <c r="DUQ115" s="0"/>
      <c r="DUR115" s="0"/>
      <c r="DUS115" s="0"/>
      <c r="DUT115" s="0"/>
      <c r="DUU115" s="0"/>
      <c r="DUV115" s="0"/>
      <c r="DUW115" s="0"/>
      <c r="DUX115" s="0"/>
      <c r="DUY115" s="0"/>
      <c r="DUZ115" s="0"/>
      <c r="DVA115" s="0"/>
      <c r="DVB115" s="0"/>
      <c r="DVC115" s="0"/>
      <c r="DVD115" s="0"/>
      <c r="DVE115" s="0"/>
      <c r="DVF115" s="0"/>
      <c r="DVG115" s="0"/>
      <c r="DVH115" s="0"/>
      <c r="DVI115" s="0"/>
      <c r="DVJ115" s="0"/>
      <c r="DVK115" s="0"/>
      <c r="DVL115" s="0"/>
      <c r="DVM115" s="0"/>
      <c r="DVN115" s="0"/>
      <c r="DVO115" s="0"/>
      <c r="DVP115" s="0"/>
      <c r="DVQ115" s="0"/>
      <c r="DVR115" s="0"/>
      <c r="DVS115" s="0"/>
      <c r="DVT115" s="0"/>
      <c r="DVU115" s="0"/>
      <c r="DVV115" s="0"/>
      <c r="DVW115" s="0"/>
      <c r="DVX115" s="0"/>
      <c r="DVY115" s="0"/>
      <c r="DVZ115" s="0"/>
      <c r="DWA115" s="0"/>
      <c r="DWB115" s="0"/>
      <c r="DWC115" s="0"/>
      <c r="DWD115" s="0"/>
      <c r="DWE115" s="0"/>
      <c r="DWF115" s="0"/>
      <c r="DWG115" s="0"/>
      <c r="DWH115" s="0"/>
      <c r="DWI115" s="0"/>
      <c r="DWJ115" s="0"/>
      <c r="DWK115" s="0"/>
      <c r="DWL115" s="0"/>
      <c r="DWM115" s="0"/>
      <c r="DWN115" s="0"/>
      <c r="DWO115" s="0"/>
      <c r="DWP115" s="0"/>
      <c r="DWQ115" s="0"/>
      <c r="DWR115" s="0"/>
      <c r="DWS115" s="0"/>
      <c r="DWT115" s="0"/>
      <c r="DWU115" s="0"/>
      <c r="DWV115" s="0"/>
      <c r="DWW115" s="0"/>
      <c r="DWX115" s="0"/>
      <c r="DWY115" s="0"/>
      <c r="DWZ115" s="0"/>
      <c r="DXA115" s="0"/>
      <c r="DXB115" s="0"/>
      <c r="DXC115" s="0"/>
      <c r="DXD115" s="0"/>
      <c r="DXE115" s="0"/>
      <c r="DXF115" s="0"/>
      <c r="DXG115" s="0"/>
      <c r="DXH115" s="0"/>
      <c r="DXI115" s="0"/>
      <c r="DXJ115" s="0"/>
      <c r="DXK115" s="0"/>
      <c r="DXL115" s="0"/>
      <c r="DXM115" s="0"/>
      <c r="DXN115" s="0"/>
      <c r="DXO115" s="0"/>
      <c r="DXP115" s="0"/>
      <c r="DXQ115" s="0"/>
      <c r="DXR115" s="0"/>
      <c r="DXS115" s="0"/>
      <c r="DXT115" s="0"/>
      <c r="DXU115" s="0"/>
      <c r="DXV115" s="0"/>
      <c r="DXW115" s="0"/>
      <c r="DXX115" s="0"/>
      <c r="DXY115" s="0"/>
      <c r="DXZ115" s="0"/>
      <c r="DYA115" s="0"/>
      <c r="DYB115" s="0"/>
      <c r="DYC115" s="0"/>
      <c r="DYD115" s="0"/>
      <c r="DYE115" s="0"/>
      <c r="DYF115" s="0"/>
      <c r="DYG115" s="0"/>
      <c r="DYH115" s="0"/>
      <c r="DYI115" s="0"/>
      <c r="DYJ115" s="0"/>
      <c r="DYK115" s="0"/>
      <c r="DYL115" s="0"/>
      <c r="DYM115" s="0"/>
      <c r="DYN115" s="0"/>
      <c r="DYO115" s="0"/>
      <c r="DYP115" s="0"/>
      <c r="DYQ115" s="0"/>
      <c r="DYR115" s="0"/>
      <c r="DYS115" s="0"/>
      <c r="DYT115" s="0"/>
      <c r="DYU115" s="0"/>
      <c r="DYV115" s="0"/>
      <c r="DYW115" s="0"/>
      <c r="DYX115" s="0"/>
      <c r="DYY115" s="0"/>
      <c r="DYZ115" s="0"/>
      <c r="DZA115" s="0"/>
      <c r="DZB115" s="0"/>
      <c r="DZC115" s="0"/>
      <c r="DZD115" s="0"/>
      <c r="DZE115" s="0"/>
      <c r="DZF115" s="0"/>
      <c r="DZG115" s="0"/>
      <c r="DZH115" s="0"/>
      <c r="DZI115" s="0"/>
      <c r="DZJ115" s="0"/>
      <c r="DZK115" s="0"/>
      <c r="DZL115" s="0"/>
      <c r="DZM115" s="0"/>
      <c r="DZN115" s="0"/>
      <c r="DZO115" s="0"/>
      <c r="DZP115" s="0"/>
      <c r="DZQ115" s="0"/>
      <c r="DZR115" s="0"/>
      <c r="DZS115" s="0"/>
      <c r="DZT115" s="0"/>
      <c r="DZU115" s="0"/>
      <c r="DZV115" s="0"/>
      <c r="DZW115" s="0"/>
      <c r="DZX115" s="0"/>
      <c r="DZY115" s="0"/>
      <c r="DZZ115" s="0"/>
      <c r="EAA115" s="0"/>
      <c r="EAB115" s="0"/>
      <c r="EAC115" s="0"/>
      <c r="EAD115" s="0"/>
      <c r="EAE115" s="0"/>
      <c r="EAF115" s="0"/>
      <c r="EAG115" s="0"/>
      <c r="EAH115" s="0"/>
      <c r="EAI115" s="0"/>
      <c r="EAJ115" s="0"/>
      <c r="EAK115" s="0"/>
      <c r="EAL115" s="0"/>
      <c r="EAM115" s="0"/>
      <c r="EAN115" s="0"/>
      <c r="EAO115" s="0"/>
      <c r="EAP115" s="0"/>
      <c r="EAQ115" s="0"/>
      <c r="EAR115" s="0"/>
      <c r="EAS115" s="0"/>
      <c r="EAT115" s="0"/>
      <c r="EAU115" s="0"/>
      <c r="EAV115" s="0"/>
      <c r="EAW115" s="0"/>
      <c r="EAX115" s="0"/>
      <c r="EAY115" s="0"/>
      <c r="EAZ115" s="0"/>
      <c r="EBA115" s="0"/>
      <c r="EBB115" s="0"/>
      <c r="EBC115" s="0"/>
      <c r="EBD115" s="0"/>
      <c r="EBE115" s="0"/>
      <c r="EBF115" s="0"/>
      <c r="EBG115" s="0"/>
      <c r="EBH115" s="0"/>
      <c r="EBI115" s="0"/>
      <c r="EBJ115" s="0"/>
      <c r="EBK115" s="0"/>
      <c r="EBL115" s="0"/>
      <c r="EBM115" s="0"/>
      <c r="EBN115" s="0"/>
      <c r="EBO115" s="0"/>
      <c r="EBP115" s="0"/>
      <c r="EBQ115" s="0"/>
      <c r="EBR115" s="0"/>
      <c r="EBS115" s="0"/>
      <c r="EBT115" s="0"/>
      <c r="EBU115" s="0"/>
      <c r="EBV115" s="0"/>
      <c r="EBW115" s="0"/>
      <c r="EBX115" s="0"/>
      <c r="EBY115" s="0"/>
      <c r="EBZ115" s="0"/>
      <c r="ECA115" s="0"/>
      <c r="ECB115" s="0"/>
      <c r="ECC115" s="0"/>
      <c r="ECD115" s="0"/>
      <c r="ECE115" s="0"/>
      <c r="ECF115" s="0"/>
      <c r="ECG115" s="0"/>
      <c r="ECH115" s="0"/>
      <c r="ECI115" s="0"/>
      <c r="ECJ115" s="0"/>
      <c r="ECK115" s="0"/>
      <c r="ECL115" s="0"/>
      <c r="ECM115" s="0"/>
      <c r="ECN115" s="0"/>
      <c r="ECO115" s="0"/>
      <c r="ECP115" s="0"/>
      <c r="ECQ115" s="0"/>
      <c r="ECR115" s="0"/>
      <c r="ECS115" s="0"/>
      <c r="ECT115" s="0"/>
      <c r="ECU115" s="0"/>
      <c r="ECV115" s="0"/>
      <c r="ECW115" s="0"/>
      <c r="ECX115" s="0"/>
      <c r="ECY115" s="0"/>
      <c r="ECZ115" s="0"/>
      <c r="EDA115" s="0"/>
      <c r="EDB115" s="0"/>
      <c r="EDC115" s="0"/>
      <c r="EDD115" s="0"/>
      <c r="EDE115" s="0"/>
      <c r="EDF115" s="0"/>
      <c r="EDG115" s="0"/>
      <c r="EDH115" s="0"/>
      <c r="EDI115" s="0"/>
      <c r="EDJ115" s="0"/>
      <c r="EDK115" s="0"/>
      <c r="EDL115" s="0"/>
      <c r="EDM115" s="0"/>
      <c r="EDN115" s="0"/>
      <c r="EDO115" s="0"/>
      <c r="EDP115" s="0"/>
      <c r="EDQ115" s="0"/>
      <c r="EDR115" s="0"/>
      <c r="EDS115" s="0"/>
      <c r="EDT115" s="0"/>
      <c r="EDU115" s="0"/>
      <c r="EDV115" s="0"/>
      <c r="EDW115" s="0"/>
      <c r="EDX115" s="0"/>
      <c r="EDY115" s="0"/>
      <c r="EDZ115" s="0"/>
      <c r="EEA115" s="0"/>
      <c r="EEB115" s="0"/>
      <c r="EEC115" s="0"/>
      <c r="EED115" s="0"/>
      <c r="EEE115" s="0"/>
      <c r="EEF115" s="0"/>
      <c r="EEG115" s="0"/>
      <c r="EEH115" s="0"/>
      <c r="EEI115" s="0"/>
      <c r="EEJ115" s="0"/>
      <c r="EEK115" s="0"/>
      <c r="EEL115" s="0"/>
      <c r="EEM115" s="0"/>
      <c r="EEN115" s="0"/>
      <c r="EEO115" s="0"/>
      <c r="EEP115" s="0"/>
      <c r="EEQ115" s="0"/>
      <c r="EER115" s="0"/>
      <c r="EES115" s="0"/>
      <c r="EET115" s="0"/>
      <c r="EEU115" s="0"/>
      <c r="EEV115" s="0"/>
      <c r="EEW115" s="0"/>
      <c r="EEX115" s="0"/>
      <c r="EEY115" s="0"/>
      <c r="EEZ115" s="0"/>
      <c r="EFA115" s="0"/>
      <c r="EFB115" s="0"/>
      <c r="EFC115" s="0"/>
      <c r="EFD115" s="0"/>
      <c r="EFE115" s="0"/>
      <c r="EFF115" s="0"/>
      <c r="EFG115" s="0"/>
      <c r="EFH115" s="0"/>
      <c r="EFI115" s="0"/>
      <c r="EFJ115" s="0"/>
      <c r="EFK115" s="0"/>
      <c r="EFL115" s="0"/>
      <c r="EFM115" s="0"/>
      <c r="EFN115" s="0"/>
      <c r="EFO115" s="0"/>
      <c r="EFP115" s="0"/>
      <c r="EFQ115" s="0"/>
      <c r="EFR115" s="0"/>
      <c r="EFS115" s="0"/>
      <c r="EFT115" s="0"/>
      <c r="EFU115" s="0"/>
      <c r="EFV115" s="0"/>
      <c r="EFW115" s="0"/>
      <c r="EFX115" s="0"/>
      <c r="EFY115" s="0"/>
      <c r="EFZ115" s="0"/>
      <c r="EGA115" s="0"/>
      <c r="EGB115" s="0"/>
      <c r="EGC115" s="0"/>
      <c r="EGD115" s="0"/>
      <c r="EGE115" s="0"/>
      <c r="EGF115" s="0"/>
      <c r="EGG115" s="0"/>
      <c r="EGH115" s="0"/>
      <c r="EGI115" s="0"/>
      <c r="EGJ115" s="0"/>
      <c r="EGK115" s="0"/>
      <c r="EGL115" s="0"/>
      <c r="EGM115" s="0"/>
      <c r="EGN115" s="0"/>
      <c r="EGO115" s="0"/>
      <c r="EGP115" s="0"/>
      <c r="EGQ115" s="0"/>
      <c r="EGR115" s="0"/>
      <c r="EGS115" s="0"/>
      <c r="EGT115" s="0"/>
      <c r="EGU115" s="0"/>
      <c r="EGV115" s="0"/>
      <c r="EGW115" s="0"/>
      <c r="EGX115" s="0"/>
      <c r="EGY115" s="0"/>
      <c r="EGZ115" s="0"/>
      <c r="EHA115" s="0"/>
      <c r="EHB115" s="0"/>
      <c r="EHC115" s="0"/>
      <c r="EHD115" s="0"/>
      <c r="EHE115" s="0"/>
      <c r="EHF115" s="0"/>
      <c r="EHG115" s="0"/>
      <c r="EHH115" s="0"/>
      <c r="EHI115" s="0"/>
      <c r="EHJ115" s="0"/>
      <c r="EHK115" s="0"/>
      <c r="EHL115" s="0"/>
      <c r="EHM115" s="0"/>
      <c r="EHN115" s="0"/>
      <c r="EHO115" s="0"/>
      <c r="EHP115" s="0"/>
      <c r="EHQ115" s="0"/>
      <c r="EHR115" s="0"/>
      <c r="EHS115" s="0"/>
      <c r="EHT115" s="0"/>
      <c r="EHU115" s="0"/>
      <c r="EHV115" s="0"/>
      <c r="EHW115" s="0"/>
      <c r="EHX115" s="0"/>
      <c r="EHY115" s="0"/>
      <c r="EHZ115" s="0"/>
      <c r="EIA115" s="0"/>
      <c r="EIB115" s="0"/>
      <c r="EIC115" s="0"/>
      <c r="EID115" s="0"/>
      <c r="EIE115" s="0"/>
      <c r="EIF115" s="0"/>
      <c r="EIG115" s="0"/>
      <c r="EIH115" s="0"/>
      <c r="EII115" s="0"/>
      <c r="EIJ115" s="0"/>
      <c r="EIK115" s="0"/>
      <c r="EIL115" s="0"/>
      <c r="EIM115" s="0"/>
      <c r="EIN115" s="0"/>
      <c r="EIO115" s="0"/>
      <c r="EIP115" s="0"/>
      <c r="EIQ115" s="0"/>
      <c r="EIR115" s="0"/>
      <c r="EIS115" s="0"/>
      <c r="EIT115" s="0"/>
      <c r="EIU115" s="0"/>
      <c r="EIV115" s="0"/>
      <c r="EIW115" s="0"/>
      <c r="EIX115" s="0"/>
      <c r="EIY115" s="0"/>
      <c r="EIZ115" s="0"/>
      <c r="EJA115" s="0"/>
      <c r="EJB115" s="0"/>
      <c r="EJC115" s="0"/>
      <c r="EJD115" s="0"/>
      <c r="EJE115" s="0"/>
      <c r="EJF115" s="0"/>
      <c r="EJG115" s="0"/>
      <c r="EJH115" s="0"/>
      <c r="EJI115" s="0"/>
      <c r="EJJ115" s="0"/>
      <c r="EJK115" s="0"/>
      <c r="EJL115" s="0"/>
      <c r="EJM115" s="0"/>
      <c r="EJN115" s="0"/>
      <c r="EJO115" s="0"/>
      <c r="EJP115" s="0"/>
      <c r="EJQ115" s="0"/>
      <c r="EJR115" s="0"/>
      <c r="EJS115" s="0"/>
      <c r="EJT115" s="0"/>
      <c r="EJU115" s="0"/>
      <c r="EJV115" s="0"/>
      <c r="EJW115" s="0"/>
      <c r="EJX115" s="0"/>
      <c r="EJY115" s="0"/>
      <c r="EJZ115" s="0"/>
      <c r="EKA115" s="0"/>
      <c r="EKB115" s="0"/>
      <c r="EKC115" s="0"/>
      <c r="EKD115" s="0"/>
      <c r="EKE115" s="0"/>
      <c r="EKF115" s="0"/>
      <c r="EKG115" s="0"/>
      <c r="EKH115" s="0"/>
      <c r="EKI115" s="0"/>
      <c r="EKJ115" s="0"/>
      <c r="EKK115" s="0"/>
      <c r="EKL115" s="0"/>
      <c r="EKM115" s="0"/>
      <c r="EKN115" s="0"/>
      <c r="EKO115" s="0"/>
      <c r="EKP115" s="0"/>
      <c r="EKQ115" s="0"/>
      <c r="EKR115" s="0"/>
      <c r="EKS115" s="0"/>
      <c r="EKT115" s="0"/>
      <c r="EKU115" s="0"/>
      <c r="EKV115" s="0"/>
      <c r="EKW115" s="0"/>
      <c r="EKX115" s="0"/>
      <c r="EKY115" s="0"/>
      <c r="EKZ115" s="0"/>
      <c r="ELA115" s="0"/>
      <c r="ELB115" s="0"/>
      <c r="ELC115" s="0"/>
      <c r="ELD115" s="0"/>
      <c r="ELE115" s="0"/>
      <c r="ELF115" s="0"/>
      <c r="ELG115" s="0"/>
      <c r="ELH115" s="0"/>
      <c r="ELI115" s="0"/>
      <c r="ELJ115" s="0"/>
      <c r="ELK115" s="0"/>
      <c r="ELL115" s="0"/>
      <c r="ELM115" s="0"/>
      <c r="ELN115" s="0"/>
      <c r="ELO115" s="0"/>
      <c r="ELP115" s="0"/>
      <c r="ELQ115" s="0"/>
      <c r="ELR115" s="0"/>
      <c r="ELS115" s="0"/>
      <c r="ELT115" s="0"/>
      <c r="ELU115" s="0"/>
      <c r="ELV115" s="0"/>
      <c r="ELW115" s="0"/>
      <c r="ELX115" s="0"/>
      <c r="ELY115" s="0"/>
      <c r="ELZ115" s="0"/>
      <c r="EMA115" s="0"/>
      <c r="EMB115" s="0"/>
      <c r="EMC115" s="0"/>
      <c r="EMD115" s="0"/>
      <c r="EME115" s="0"/>
      <c r="EMF115" s="0"/>
      <c r="EMG115" s="0"/>
      <c r="EMH115" s="0"/>
      <c r="EMI115" s="0"/>
      <c r="EMJ115" s="0"/>
      <c r="EMK115" s="0"/>
      <c r="EML115" s="0"/>
      <c r="EMM115" s="0"/>
      <c r="EMN115" s="0"/>
      <c r="EMO115" s="0"/>
      <c r="EMP115" s="0"/>
      <c r="EMQ115" s="0"/>
      <c r="EMR115" s="0"/>
      <c r="EMS115" s="0"/>
      <c r="EMT115" s="0"/>
      <c r="EMU115" s="0"/>
      <c r="EMV115" s="0"/>
      <c r="EMW115" s="0"/>
      <c r="EMX115" s="0"/>
      <c r="EMY115" s="0"/>
      <c r="EMZ115" s="0"/>
      <c r="ENA115" s="0"/>
      <c r="ENB115" s="0"/>
      <c r="ENC115" s="0"/>
      <c r="END115" s="0"/>
      <c r="ENE115" s="0"/>
      <c r="ENF115" s="0"/>
      <c r="ENG115" s="0"/>
      <c r="ENH115" s="0"/>
      <c r="ENI115" s="0"/>
      <c r="ENJ115" s="0"/>
      <c r="ENK115" s="0"/>
      <c r="ENL115" s="0"/>
      <c r="ENM115" s="0"/>
      <c r="ENN115" s="0"/>
      <c r="ENO115" s="0"/>
      <c r="ENP115" s="0"/>
      <c r="ENQ115" s="0"/>
      <c r="ENR115" s="0"/>
      <c r="ENS115" s="0"/>
      <c r="ENT115" s="0"/>
      <c r="ENU115" s="0"/>
      <c r="ENV115" s="0"/>
      <c r="ENW115" s="0"/>
      <c r="ENX115" s="0"/>
      <c r="ENY115" s="0"/>
      <c r="ENZ115" s="0"/>
      <c r="EOA115" s="0"/>
      <c r="EOB115" s="0"/>
      <c r="EOC115" s="0"/>
      <c r="EOD115" s="0"/>
      <c r="EOE115" s="0"/>
      <c r="EOF115" s="0"/>
      <c r="EOG115" s="0"/>
      <c r="EOH115" s="0"/>
      <c r="EOI115" s="0"/>
      <c r="EOJ115" s="0"/>
      <c r="EOK115" s="0"/>
      <c r="EOL115" s="0"/>
      <c r="EOM115" s="0"/>
      <c r="EON115" s="0"/>
      <c r="EOO115" s="0"/>
      <c r="EOP115" s="0"/>
      <c r="EOQ115" s="0"/>
      <c r="EOR115" s="0"/>
      <c r="EOS115" s="0"/>
      <c r="EOT115" s="0"/>
      <c r="EOU115" s="0"/>
      <c r="EOV115" s="0"/>
      <c r="EOW115" s="0"/>
      <c r="EOX115" s="0"/>
      <c r="EOY115" s="0"/>
      <c r="EOZ115" s="0"/>
      <c r="EPA115" s="0"/>
      <c r="EPB115" s="0"/>
      <c r="EPC115" s="0"/>
      <c r="EPD115" s="0"/>
      <c r="EPE115" s="0"/>
      <c r="EPF115" s="0"/>
      <c r="EPG115" s="0"/>
      <c r="EPH115" s="0"/>
      <c r="EPI115" s="0"/>
      <c r="EPJ115" s="0"/>
      <c r="EPK115" s="0"/>
      <c r="EPL115" s="0"/>
      <c r="EPM115" s="0"/>
      <c r="EPN115" s="0"/>
      <c r="EPO115" s="0"/>
      <c r="EPP115" s="0"/>
      <c r="EPQ115" s="0"/>
      <c r="EPR115" s="0"/>
      <c r="EPS115" s="0"/>
      <c r="EPT115" s="0"/>
      <c r="EPU115" s="0"/>
      <c r="EPV115" s="0"/>
      <c r="EPW115" s="0"/>
      <c r="EPX115" s="0"/>
      <c r="EPY115" s="0"/>
      <c r="EPZ115" s="0"/>
      <c r="EQA115" s="0"/>
      <c r="EQB115" s="0"/>
      <c r="EQC115" s="0"/>
      <c r="EQD115" s="0"/>
      <c r="EQE115" s="0"/>
      <c r="EQF115" s="0"/>
      <c r="EQG115" s="0"/>
      <c r="EQH115" s="0"/>
      <c r="EQI115" s="0"/>
      <c r="EQJ115" s="0"/>
      <c r="EQK115" s="0"/>
      <c r="EQL115" s="0"/>
      <c r="EQM115" s="0"/>
      <c r="EQN115" s="0"/>
      <c r="EQO115" s="0"/>
      <c r="EQP115" s="0"/>
      <c r="EQQ115" s="0"/>
      <c r="EQR115" s="0"/>
      <c r="EQS115" s="0"/>
      <c r="EQT115" s="0"/>
      <c r="EQU115" s="0"/>
      <c r="EQV115" s="0"/>
      <c r="EQW115" s="0"/>
      <c r="EQX115" s="0"/>
      <c r="EQY115" s="0"/>
      <c r="EQZ115" s="0"/>
      <c r="ERA115" s="0"/>
      <c r="ERB115" s="0"/>
      <c r="ERC115" s="0"/>
      <c r="ERD115" s="0"/>
      <c r="ERE115" s="0"/>
      <c r="ERF115" s="0"/>
      <c r="ERG115" s="0"/>
      <c r="ERH115" s="0"/>
      <c r="ERI115" s="0"/>
      <c r="ERJ115" s="0"/>
      <c r="ERK115" s="0"/>
      <c r="ERL115" s="0"/>
      <c r="ERM115" s="0"/>
      <c r="ERN115" s="0"/>
      <c r="ERO115" s="0"/>
      <c r="ERP115" s="0"/>
      <c r="ERQ115" s="0"/>
      <c r="ERR115" s="0"/>
      <c r="ERS115" s="0"/>
      <c r="ERT115" s="0"/>
      <c r="ERU115" s="0"/>
      <c r="ERV115" s="0"/>
      <c r="ERW115" s="0"/>
      <c r="ERX115" s="0"/>
      <c r="ERY115" s="0"/>
      <c r="ERZ115" s="0"/>
      <c r="ESA115" s="0"/>
      <c r="ESB115" s="0"/>
      <c r="ESC115" s="0"/>
      <c r="ESD115" s="0"/>
      <c r="ESE115" s="0"/>
      <c r="ESF115" s="0"/>
      <c r="ESG115" s="0"/>
      <c r="ESH115" s="0"/>
      <c r="ESI115" s="0"/>
      <c r="ESJ115" s="0"/>
      <c r="ESK115" s="0"/>
      <c r="ESL115" s="0"/>
      <c r="ESM115" s="0"/>
      <c r="ESN115" s="0"/>
      <c r="ESO115" s="0"/>
      <c r="ESP115" s="0"/>
      <c r="ESQ115" s="0"/>
      <c r="ESR115" s="0"/>
      <c r="ESS115" s="0"/>
      <c r="EST115" s="0"/>
      <c r="ESU115" s="0"/>
      <c r="ESV115" s="0"/>
      <c r="ESW115" s="0"/>
      <c r="ESX115" s="0"/>
      <c r="ESY115" s="0"/>
      <c r="ESZ115" s="0"/>
      <c r="ETA115" s="0"/>
      <c r="ETB115" s="0"/>
      <c r="ETC115" s="0"/>
      <c r="ETD115" s="0"/>
      <c r="ETE115" s="0"/>
      <c r="ETF115" s="0"/>
      <c r="ETG115" s="0"/>
      <c r="ETH115" s="0"/>
      <c r="ETI115" s="0"/>
      <c r="ETJ115" s="0"/>
      <c r="ETK115" s="0"/>
      <c r="ETL115" s="0"/>
      <c r="ETM115" s="0"/>
      <c r="ETN115" s="0"/>
      <c r="ETO115" s="0"/>
      <c r="ETP115" s="0"/>
      <c r="ETQ115" s="0"/>
      <c r="ETR115" s="0"/>
      <c r="ETS115" s="0"/>
      <c r="ETT115" s="0"/>
      <c r="ETU115" s="0"/>
      <c r="ETV115" s="0"/>
      <c r="ETW115" s="0"/>
      <c r="ETX115" s="0"/>
      <c r="ETY115" s="0"/>
      <c r="ETZ115" s="0"/>
      <c r="EUA115" s="0"/>
      <c r="EUB115" s="0"/>
      <c r="EUC115" s="0"/>
      <c r="EUD115" s="0"/>
      <c r="EUE115" s="0"/>
      <c r="EUF115" s="0"/>
      <c r="EUG115" s="0"/>
      <c r="EUH115" s="0"/>
      <c r="EUI115" s="0"/>
      <c r="EUJ115" s="0"/>
      <c r="EUK115" s="0"/>
      <c r="EUL115" s="0"/>
      <c r="EUM115" s="0"/>
      <c r="EUN115" s="0"/>
      <c r="EUO115" s="0"/>
      <c r="EUP115" s="0"/>
      <c r="EUQ115" s="0"/>
      <c r="EUR115" s="0"/>
      <c r="EUS115" s="0"/>
      <c r="EUT115" s="0"/>
      <c r="EUU115" s="0"/>
      <c r="EUV115" s="0"/>
      <c r="EUW115" s="0"/>
      <c r="EUX115" s="0"/>
      <c r="EUY115" s="0"/>
      <c r="EUZ115" s="0"/>
      <c r="EVA115" s="0"/>
      <c r="EVB115" s="0"/>
      <c r="EVC115" s="0"/>
      <c r="EVD115" s="0"/>
      <c r="EVE115" s="0"/>
      <c r="EVF115" s="0"/>
      <c r="EVG115" s="0"/>
      <c r="EVH115" s="0"/>
      <c r="EVI115" s="0"/>
      <c r="EVJ115" s="0"/>
      <c r="EVK115" s="0"/>
      <c r="EVL115" s="0"/>
      <c r="EVM115" s="0"/>
      <c r="EVN115" s="0"/>
      <c r="EVO115" s="0"/>
      <c r="EVP115" s="0"/>
      <c r="EVQ115" s="0"/>
      <c r="EVR115" s="0"/>
      <c r="EVS115" s="0"/>
      <c r="EVT115" s="0"/>
      <c r="EVU115" s="0"/>
      <c r="EVV115" s="0"/>
      <c r="EVW115" s="0"/>
      <c r="EVX115" s="0"/>
      <c r="EVY115" s="0"/>
      <c r="EVZ115" s="0"/>
      <c r="EWA115" s="0"/>
      <c r="EWB115" s="0"/>
      <c r="EWC115" s="0"/>
      <c r="EWD115" s="0"/>
      <c r="EWE115" s="0"/>
      <c r="EWF115" s="0"/>
      <c r="EWG115" s="0"/>
      <c r="EWH115" s="0"/>
      <c r="EWI115" s="0"/>
      <c r="EWJ115" s="0"/>
      <c r="EWK115" s="0"/>
      <c r="EWL115" s="0"/>
      <c r="EWM115" s="0"/>
      <c r="EWN115" s="0"/>
      <c r="EWO115" s="0"/>
      <c r="EWP115" s="0"/>
      <c r="EWQ115" s="0"/>
      <c r="EWR115" s="0"/>
      <c r="EWS115" s="0"/>
      <c r="EWT115" s="0"/>
      <c r="EWU115" s="0"/>
      <c r="EWV115" s="0"/>
      <c r="EWW115" s="0"/>
      <c r="EWX115" s="0"/>
      <c r="EWY115" s="0"/>
      <c r="EWZ115" s="0"/>
      <c r="EXA115" s="0"/>
      <c r="EXB115" s="0"/>
      <c r="EXC115" s="0"/>
      <c r="EXD115" s="0"/>
      <c r="EXE115" s="0"/>
      <c r="EXF115" s="0"/>
      <c r="EXG115" s="0"/>
      <c r="EXH115" s="0"/>
      <c r="EXI115" s="0"/>
      <c r="EXJ115" s="0"/>
      <c r="EXK115" s="0"/>
      <c r="EXL115" s="0"/>
      <c r="EXM115" s="0"/>
      <c r="EXN115" s="0"/>
      <c r="EXO115" s="0"/>
      <c r="EXP115" s="0"/>
      <c r="EXQ115" s="0"/>
      <c r="EXR115" s="0"/>
      <c r="EXS115" s="0"/>
      <c r="EXT115" s="0"/>
      <c r="EXU115" s="0"/>
      <c r="EXV115" s="0"/>
      <c r="EXW115" s="0"/>
      <c r="EXX115" s="0"/>
      <c r="EXY115" s="0"/>
      <c r="EXZ115" s="0"/>
      <c r="EYA115" s="0"/>
      <c r="EYB115" s="0"/>
      <c r="EYC115" s="0"/>
      <c r="EYD115" s="0"/>
      <c r="EYE115" s="0"/>
      <c r="EYF115" s="0"/>
      <c r="EYG115" s="0"/>
      <c r="EYH115" s="0"/>
      <c r="EYI115" s="0"/>
      <c r="EYJ115" s="0"/>
      <c r="EYK115" s="0"/>
      <c r="EYL115" s="0"/>
      <c r="EYM115" s="0"/>
      <c r="EYN115" s="0"/>
      <c r="EYO115" s="0"/>
      <c r="EYP115" s="0"/>
      <c r="EYQ115" s="0"/>
      <c r="EYR115" s="0"/>
      <c r="EYS115" s="0"/>
      <c r="EYT115" s="0"/>
      <c r="EYU115" s="0"/>
      <c r="EYV115" s="0"/>
      <c r="EYW115" s="0"/>
      <c r="EYX115" s="0"/>
      <c r="EYY115" s="0"/>
      <c r="EYZ115" s="0"/>
      <c r="EZA115" s="0"/>
      <c r="EZB115" s="0"/>
      <c r="EZC115" s="0"/>
      <c r="EZD115" s="0"/>
      <c r="EZE115" s="0"/>
      <c r="EZF115" s="0"/>
      <c r="EZG115" s="0"/>
      <c r="EZH115" s="0"/>
      <c r="EZI115" s="0"/>
      <c r="EZJ115" s="0"/>
      <c r="EZK115" s="0"/>
      <c r="EZL115" s="0"/>
      <c r="EZM115" s="0"/>
      <c r="EZN115" s="0"/>
      <c r="EZO115" s="0"/>
      <c r="EZP115" s="0"/>
      <c r="EZQ115" s="0"/>
      <c r="EZR115" s="0"/>
      <c r="EZS115" s="0"/>
      <c r="EZT115" s="0"/>
      <c r="EZU115" s="0"/>
      <c r="EZV115" s="0"/>
      <c r="EZW115" s="0"/>
      <c r="EZX115" s="0"/>
      <c r="EZY115" s="0"/>
      <c r="EZZ115" s="0"/>
      <c r="FAA115" s="0"/>
      <c r="FAB115" s="0"/>
      <c r="FAC115" s="0"/>
      <c r="FAD115" s="0"/>
      <c r="FAE115" s="0"/>
      <c r="FAF115" s="0"/>
      <c r="FAG115" s="0"/>
      <c r="FAH115" s="0"/>
      <c r="FAI115" s="0"/>
      <c r="FAJ115" s="0"/>
      <c r="FAK115" s="0"/>
      <c r="FAL115" s="0"/>
      <c r="FAM115" s="0"/>
      <c r="FAN115" s="0"/>
      <c r="FAO115" s="0"/>
      <c r="FAP115" s="0"/>
      <c r="FAQ115" s="0"/>
      <c r="FAR115" s="0"/>
      <c r="FAS115" s="0"/>
      <c r="FAT115" s="0"/>
      <c r="FAU115" s="0"/>
      <c r="FAV115" s="0"/>
      <c r="FAW115" s="0"/>
      <c r="FAX115" s="0"/>
      <c r="FAY115" s="0"/>
      <c r="FAZ115" s="0"/>
      <c r="FBA115" s="0"/>
      <c r="FBB115" s="0"/>
      <c r="FBC115" s="0"/>
      <c r="FBD115" s="0"/>
      <c r="FBE115" s="0"/>
      <c r="FBF115" s="0"/>
      <c r="FBG115" s="0"/>
      <c r="FBH115" s="0"/>
      <c r="FBI115" s="0"/>
      <c r="FBJ115" s="0"/>
      <c r="FBK115" s="0"/>
      <c r="FBL115" s="0"/>
      <c r="FBM115" s="0"/>
      <c r="FBN115" s="0"/>
      <c r="FBO115" s="0"/>
      <c r="FBP115" s="0"/>
      <c r="FBQ115" s="0"/>
      <c r="FBR115" s="0"/>
      <c r="FBS115" s="0"/>
      <c r="FBT115" s="0"/>
      <c r="FBU115" s="0"/>
      <c r="FBV115" s="0"/>
      <c r="FBW115" s="0"/>
      <c r="FBX115" s="0"/>
      <c r="FBY115" s="0"/>
      <c r="FBZ115" s="0"/>
      <c r="FCA115" s="0"/>
      <c r="FCB115" s="0"/>
      <c r="FCC115" s="0"/>
      <c r="FCD115" s="0"/>
      <c r="FCE115" s="0"/>
      <c r="FCF115" s="0"/>
      <c r="FCG115" s="0"/>
      <c r="FCH115" s="0"/>
      <c r="FCI115" s="0"/>
      <c r="FCJ115" s="0"/>
      <c r="FCK115" s="0"/>
      <c r="FCL115" s="0"/>
      <c r="FCM115" s="0"/>
      <c r="FCN115" s="0"/>
      <c r="FCO115" s="0"/>
      <c r="FCP115" s="0"/>
      <c r="FCQ115" s="0"/>
      <c r="FCR115" s="0"/>
      <c r="FCS115" s="0"/>
      <c r="FCT115" s="0"/>
      <c r="FCU115" s="0"/>
      <c r="FCV115" s="0"/>
      <c r="FCW115" s="0"/>
      <c r="FCX115" s="0"/>
      <c r="FCY115" s="0"/>
      <c r="FCZ115" s="0"/>
      <c r="FDA115" s="0"/>
      <c r="FDB115" s="0"/>
      <c r="FDC115" s="0"/>
      <c r="FDD115" s="0"/>
      <c r="FDE115" s="0"/>
      <c r="FDF115" s="0"/>
      <c r="FDG115" s="0"/>
      <c r="FDH115" s="0"/>
      <c r="FDI115" s="0"/>
      <c r="FDJ115" s="0"/>
      <c r="FDK115" s="0"/>
      <c r="FDL115" s="0"/>
      <c r="FDM115" s="0"/>
      <c r="FDN115" s="0"/>
      <c r="FDO115" s="0"/>
      <c r="FDP115" s="0"/>
      <c r="FDQ115" s="0"/>
      <c r="FDR115" s="0"/>
      <c r="FDS115" s="0"/>
      <c r="FDT115" s="0"/>
      <c r="FDU115" s="0"/>
      <c r="FDV115" s="0"/>
      <c r="FDW115" s="0"/>
      <c r="FDX115" s="0"/>
      <c r="FDY115" s="0"/>
      <c r="FDZ115" s="0"/>
      <c r="FEA115" s="0"/>
      <c r="FEB115" s="0"/>
      <c r="FEC115" s="0"/>
      <c r="FED115" s="0"/>
      <c r="FEE115" s="0"/>
      <c r="FEF115" s="0"/>
      <c r="FEG115" s="0"/>
      <c r="FEH115" s="0"/>
      <c r="FEI115" s="0"/>
      <c r="FEJ115" s="0"/>
      <c r="FEK115" s="0"/>
      <c r="FEL115" s="0"/>
      <c r="FEM115" s="0"/>
      <c r="FEN115" s="0"/>
      <c r="FEO115" s="0"/>
      <c r="FEP115" s="0"/>
      <c r="FEQ115" s="0"/>
      <c r="FER115" s="0"/>
      <c r="FES115" s="0"/>
      <c r="FET115" s="0"/>
      <c r="FEU115" s="0"/>
      <c r="FEV115" s="0"/>
      <c r="FEW115" s="0"/>
      <c r="FEX115" s="0"/>
      <c r="FEY115" s="0"/>
      <c r="FEZ115" s="0"/>
      <c r="FFA115" s="0"/>
      <c r="FFB115" s="0"/>
      <c r="FFC115" s="0"/>
      <c r="FFD115" s="0"/>
      <c r="FFE115" s="0"/>
      <c r="FFF115" s="0"/>
      <c r="FFG115" s="0"/>
      <c r="FFH115" s="0"/>
      <c r="FFI115" s="0"/>
      <c r="FFJ115" s="0"/>
      <c r="FFK115" s="0"/>
      <c r="FFL115" s="0"/>
      <c r="FFM115" s="0"/>
      <c r="FFN115" s="0"/>
      <c r="FFO115" s="0"/>
      <c r="FFP115" s="0"/>
      <c r="FFQ115" s="0"/>
      <c r="FFR115" s="0"/>
      <c r="FFS115" s="0"/>
      <c r="FFT115" s="0"/>
      <c r="FFU115" s="0"/>
      <c r="FFV115" s="0"/>
      <c r="FFW115" s="0"/>
      <c r="FFX115" s="0"/>
      <c r="FFY115" s="0"/>
      <c r="FFZ115" s="0"/>
      <c r="FGA115" s="0"/>
      <c r="FGB115" s="0"/>
      <c r="FGC115" s="0"/>
      <c r="FGD115" s="0"/>
      <c r="FGE115" s="0"/>
      <c r="FGF115" s="0"/>
      <c r="FGG115" s="0"/>
      <c r="FGH115" s="0"/>
      <c r="FGI115" s="0"/>
      <c r="FGJ115" s="0"/>
      <c r="FGK115" s="0"/>
      <c r="FGL115" s="0"/>
      <c r="FGM115" s="0"/>
      <c r="FGN115" s="0"/>
      <c r="FGO115" s="0"/>
      <c r="FGP115" s="0"/>
      <c r="FGQ115" s="0"/>
      <c r="FGR115" s="0"/>
      <c r="FGS115" s="0"/>
      <c r="FGT115" s="0"/>
      <c r="FGU115" s="0"/>
      <c r="FGV115" s="0"/>
      <c r="FGW115" s="0"/>
      <c r="FGX115" s="0"/>
      <c r="FGY115" s="0"/>
      <c r="FGZ115" s="0"/>
      <c r="FHA115" s="0"/>
      <c r="FHB115" s="0"/>
      <c r="FHC115" s="0"/>
      <c r="FHD115" s="0"/>
      <c r="FHE115" s="0"/>
      <c r="FHF115" s="0"/>
      <c r="FHG115" s="0"/>
      <c r="FHH115" s="0"/>
      <c r="FHI115" s="0"/>
      <c r="FHJ115" s="0"/>
      <c r="FHK115" s="0"/>
      <c r="FHL115" s="0"/>
      <c r="FHM115" s="0"/>
      <c r="FHN115" s="0"/>
      <c r="FHO115" s="0"/>
      <c r="FHP115" s="0"/>
      <c r="FHQ115" s="0"/>
      <c r="FHR115" s="0"/>
      <c r="FHS115" s="0"/>
      <c r="FHT115" s="0"/>
      <c r="FHU115" s="0"/>
      <c r="FHV115" s="0"/>
      <c r="FHW115" s="0"/>
      <c r="FHX115" s="0"/>
      <c r="FHY115" s="0"/>
      <c r="FHZ115" s="0"/>
      <c r="FIA115" s="0"/>
      <c r="FIB115" s="0"/>
      <c r="FIC115" s="0"/>
      <c r="FID115" s="0"/>
      <c r="FIE115" s="0"/>
      <c r="FIF115" s="0"/>
      <c r="FIG115" s="0"/>
      <c r="FIH115" s="0"/>
      <c r="FII115" s="0"/>
      <c r="FIJ115" s="0"/>
      <c r="FIK115" s="0"/>
      <c r="FIL115" s="0"/>
      <c r="FIM115" s="0"/>
      <c r="FIN115" s="0"/>
      <c r="FIO115" s="0"/>
      <c r="FIP115" s="0"/>
      <c r="FIQ115" s="0"/>
      <c r="FIR115" s="0"/>
      <c r="FIS115" s="0"/>
      <c r="FIT115" s="0"/>
      <c r="FIU115" s="0"/>
      <c r="FIV115" s="0"/>
      <c r="FIW115" s="0"/>
      <c r="FIX115" s="0"/>
      <c r="FIY115" s="0"/>
      <c r="FIZ115" s="0"/>
      <c r="FJA115" s="0"/>
      <c r="FJB115" s="0"/>
      <c r="FJC115" s="0"/>
      <c r="FJD115" s="0"/>
      <c r="FJE115" s="0"/>
      <c r="FJF115" s="0"/>
      <c r="FJG115" s="0"/>
      <c r="FJH115" s="0"/>
      <c r="FJI115" s="0"/>
      <c r="FJJ115" s="0"/>
      <c r="FJK115" s="0"/>
      <c r="FJL115" s="0"/>
      <c r="FJM115" s="0"/>
      <c r="FJN115" s="0"/>
      <c r="FJO115" s="0"/>
      <c r="FJP115" s="0"/>
      <c r="FJQ115" s="0"/>
      <c r="FJR115" s="0"/>
      <c r="FJS115" s="0"/>
      <c r="FJT115" s="0"/>
      <c r="FJU115" s="0"/>
      <c r="FJV115" s="0"/>
      <c r="FJW115" s="0"/>
      <c r="FJX115" s="0"/>
      <c r="FJY115" s="0"/>
      <c r="FJZ115" s="0"/>
      <c r="FKA115" s="0"/>
      <c r="FKB115" s="0"/>
      <c r="FKC115" s="0"/>
      <c r="FKD115" s="0"/>
      <c r="FKE115" s="0"/>
      <c r="FKF115" s="0"/>
      <c r="FKG115" s="0"/>
      <c r="FKH115" s="0"/>
      <c r="FKI115" s="0"/>
      <c r="FKJ115" s="0"/>
      <c r="FKK115" s="0"/>
      <c r="FKL115" s="0"/>
      <c r="FKM115" s="0"/>
      <c r="FKN115" s="0"/>
      <c r="FKO115" s="0"/>
      <c r="FKP115" s="0"/>
      <c r="FKQ115" s="0"/>
      <c r="FKR115" s="0"/>
      <c r="FKS115" s="0"/>
      <c r="FKT115" s="0"/>
      <c r="FKU115" s="0"/>
      <c r="FKV115" s="0"/>
      <c r="FKW115" s="0"/>
      <c r="FKX115" s="0"/>
      <c r="FKY115" s="0"/>
      <c r="FKZ115" s="0"/>
      <c r="FLA115" s="0"/>
      <c r="FLB115" s="0"/>
      <c r="FLC115" s="0"/>
      <c r="FLD115" s="0"/>
      <c r="FLE115" s="0"/>
      <c r="FLF115" s="0"/>
      <c r="FLG115" s="0"/>
      <c r="FLH115" s="0"/>
      <c r="FLI115" s="0"/>
      <c r="FLJ115" s="0"/>
      <c r="FLK115" s="0"/>
      <c r="FLL115" s="0"/>
      <c r="FLM115" s="0"/>
      <c r="FLN115" s="0"/>
      <c r="FLO115" s="0"/>
      <c r="FLP115" s="0"/>
      <c r="FLQ115" s="0"/>
      <c r="FLR115" s="0"/>
      <c r="FLS115" s="0"/>
      <c r="FLT115" s="0"/>
      <c r="FLU115" s="0"/>
      <c r="FLV115" s="0"/>
      <c r="FLW115" s="0"/>
      <c r="FLX115" s="0"/>
      <c r="FLY115" s="0"/>
      <c r="FLZ115" s="0"/>
      <c r="FMA115" s="0"/>
      <c r="FMB115" s="0"/>
      <c r="FMC115" s="0"/>
      <c r="FMD115" s="0"/>
      <c r="FME115" s="0"/>
      <c r="FMF115" s="0"/>
      <c r="FMG115" s="0"/>
      <c r="FMH115" s="0"/>
      <c r="FMI115" s="0"/>
      <c r="FMJ115" s="0"/>
      <c r="FMK115" s="0"/>
      <c r="FML115" s="0"/>
      <c r="FMM115" s="0"/>
      <c r="FMN115" s="0"/>
      <c r="FMO115" s="0"/>
      <c r="FMP115" s="0"/>
      <c r="FMQ115" s="0"/>
      <c r="FMR115" s="0"/>
      <c r="FMS115" s="0"/>
      <c r="FMT115" s="0"/>
      <c r="FMU115" s="0"/>
      <c r="FMV115" s="0"/>
      <c r="FMW115" s="0"/>
      <c r="FMX115" s="0"/>
      <c r="FMY115" s="0"/>
      <c r="FMZ115" s="0"/>
      <c r="FNA115" s="0"/>
      <c r="FNB115" s="0"/>
      <c r="FNC115" s="0"/>
      <c r="FND115" s="0"/>
      <c r="FNE115" s="0"/>
      <c r="FNF115" s="0"/>
      <c r="FNG115" s="0"/>
      <c r="FNH115" s="0"/>
      <c r="FNI115" s="0"/>
      <c r="FNJ115" s="0"/>
      <c r="FNK115" s="0"/>
      <c r="FNL115" s="0"/>
      <c r="FNM115" s="0"/>
      <c r="FNN115" s="0"/>
      <c r="FNO115" s="0"/>
      <c r="FNP115" s="0"/>
      <c r="FNQ115" s="0"/>
      <c r="FNR115" s="0"/>
      <c r="FNS115" s="0"/>
      <c r="FNT115" s="0"/>
      <c r="FNU115" s="0"/>
      <c r="FNV115" s="0"/>
      <c r="FNW115" s="0"/>
      <c r="FNX115" s="0"/>
      <c r="FNY115" s="0"/>
      <c r="FNZ115" s="0"/>
      <c r="FOA115" s="0"/>
      <c r="FOB115" s="0"/>
      <c r="FOC115" s="0"/>
      <c r="FOD115" s="0"/>
      <c r="FOE115" s="0"/>
      <c r="FOF115" s="0"/>
      <c r="FOG115" s="0"/>
      <c r="FOH115" s="0"/>
      <c r="FOI115" s="0"/>
      <c r="FOJ115" s="0"/>
      <c r="FOK115" s="0"/>
      <c r="FOL115" s="0"/>
      <c r="FOM115" s="0"/>
      <c r="FON115" s="0"/>
      <c r="FOO115" s="0"/>
      <c r="FOP115" s="0"/>
      <c r="FOQ115" s="0"/>
      <c r="FOR115" s="0"/>
      <c r="FOS115" s="0"/>
      <c r="FOT115" s="0"/>
      <c r="FOU115" s="0"/>
      <c r="FOV115" s="0"/>
      <c r="FOW115" s="0"/>
      <c r="FOX115" s="0"/>
      <c r="FOY115" s="0"/>
      <c r="FOZ115" s="0"/>
      <c r="FPA115" s="0"/>
      <c r="FPB115" s="0"/>
      <c r="FPC115" s="0"/>
      <c r="FPD115" s="0"/>
      <c r="FPE115" s="0"/>
      <c r="FPF115" s="0"/>
      <c r="FPG115" s="0"/>
      <c r="FPH115" s="0"/>
      <c r="FPI115" s="0"/>
      <c r="FPJ115" s="0"/>
      <c r="FPK115" s="0"/>
      <c r="FPL115" s="0"/>
      <c r="FPM115" s="0"/>
      <c r="FPN115" s="0"/>
      <c r="FPO115" s="0"/>
      <c r="FPP115" s="0"/>
      <c r="FPQ115" s="0"/>
      <c r="FPR115" s="0"/>
      <c r="FPS115" s="0"/>
      <c r="FPT115" s="0"/>
      <c r="FPU115" s="0"/>
      <c r="FPV115" s="0"/>
      <c r="FPW115" s="0"/>
      <c r="FPX115" s="0"/>
      <c r="FPY115" s="0"/>
      <c r="FPZ115" s="0"/>
      <c r="FQA115" s="0"/>
      <c r="FQB115" s="0"/>
      <c r="FQC115" s="0"/>
      <c r="FQD115" s="0"/>
      <c r="FQE115" s="0"/>
      <c r="FQF115" s="0"/>
      <c r="FQG115" s="0"/>
      <c r="FQH115" s="0"/>
      <c r="FQI115" s="0"/>
      <c r="FQJ115" s="0"/>
      <c r="FQK115" s="0"/>
      <c r="FQL115" s="0"/>
      <c r="FQM115" s="0"/>
      <c r="FQN115" s="0"/>
      <c r="FQO115" s="0"/>
      <c r="FQP115" s="0"/>
      <c r="FQQ115" s="0"/>
      <c r="FQR115" s="0"/>
      <c r="FQS115" s="0"/>
      <c r="FQT115" s="0"/>
      <c r="FQU115" s="0"/>
      <c r="FQV115" s="0"/>
      <c r="FQW115" s="0"/>
      <c r="FQX115" s="0"/>
      <c r="FQY115" s="0"/>
      <c r="FQZ115" s="0"/>
      <c r="FRA115" s="0"/>
      <c r="FRB115" s="0"/>
      <c r="FRC115" s="0"/>
      <c r="FRD115" s="0"/>
      <c r="FRE115" s="0"/>
      <c r="FRF115" s="0"/>
      <c r="FRG115" s="0"/>
      <c r="FRH115" s="0"/>
      <c r="FRI115" s="0"/>
      <c r="FRJ115" s="0"/>
      <c r="FRK115" s="0"/>
      <c r="FRL115" s="0"/>
      <c r="FRM115" s="0"/>
      <c r="FRN115" s="0"/>
      <c r="FRO115" s="0"/>
      <c r="FRP115" s="0"/>
      <c r="FRQ115" s="0"/>
      <c r="FRR115" s="0"/>
      <c r="FRS115" s="0"/>
      <c r="FRT115" s="0"/>
      <c r="FRU115" s="0"/>
      <c r="FRV115" s="0"/>
      <c r="FRW115" s="0"/>
      <c r="FRX115" s="0"/>
      <c r="FRY115" s="0"/>
      <c r="FRZ115" s="0"/>
      <c r="FSA115" s="0"/>
      <c r="FSB115" s="0"/>
      <c r="FSC115" s="0"/>
      <c r="FSD115" s="0"/>
      <c r="FSE115" s="0"/>
      <c r="FSF115" s="0"/>
      <c r="FSG115" s="0"/>
      <c r="FSH115" s="0"/>
      <c r="FSI115" s="0"/>
      <c r="FSJ115" s="0"/>
      <c r="FSK115" s="0"/>
      <c r="FSL115" s="0"/>
      <c r="FSM115" s="0"/>
      <c r="FSN115" s="0"/>
      <c r="FSO115" s="0"/>
      <c r="FSP115" s="0"/>
      <c r="FSQ115" s="0"/>
      <c r="FSR115" s="0"/>
      <c r="FSS115" s="0"/>
      <c r="FST115" s="0"/>
      <c r="FSU115" s="0"/>
      <c r="FSV115" s="0"/>
      <c r="FSW115" s="0"/>
      <c r="FSX115" s="0"/>
      <c r="FSY115" s="0"/>
      <c r="FSZ115" s="0"/>
      <c r="FTA115" s="0"/>
      <c r="FTB115" s="0"/>
      <c r="FTC115" s="0"/>
      <c r="FTD115" s="0"/>
      <c r="FTE115" s="0"/>
      <c r="FTF115" s="0"/>
      <c r="FTG115" s="0"/>
      <c r="FTH115" s="0"/>
      <c r="FTI115" s="0"/>
      <c r="FTJ115" s="0"/>
      <c r="FTK115" s="0"/>
      <c r="FTL115" s="0"/>
      <c r="FTM115" s="0"/>
      <c r="FTN115" s="0"/>
      <c r="FTO115" s="0"/>
      <c r="FTP115" s="0"/>
      <c r="FTQ115" s="0"/>
      <c r="FTR115" s="0"/>
      <c r="FTS115" s="0"/>
      <c r="FTT115" s="0"/>
      <c r="FTU115" s="0"/>
      <c r="FTV115" s="0"/>
      <c r="FTW115" s="0"/>
      <c r="FTX115" s="0"/>
      <c r="FTY115" s="0"/>
      <c r="FTZ115" s="0"/>
      <c r="FUA115" s="0"/>
      <c r="FUB115" s="0"/>
      <c r="FUC115" s="0"/>
      <c r="FUD115" s="0"/>
      <c r="FUE115" s="0"/>
      <c r="FUF115" s="0"/>
      <c r="FUG115" s="0"/>
      <c r="FUH115" s="0"/>
      <c r="FUI115" s="0"/>
      <c r="FUJ115" s="0"/>
      <c r="FUK115" s="0"/>
      <c r="FUL115" s="0"/>
      <c r="FUM115" s="0"/>
      <c r="FUN115" s="0"/>
      <c r="FUO115" s="0"/>
      <c r="FUP115" s="0"/>
      <c r="FUQ115" s="0"/>
      <c r="FUR115" s="0"/>
      <c r="FUS115" s="0"/>
      <c r="FUT115" s="0"/>
      <c r="FUU115" s="0"/>
      <c r="FUV115" s="0"/>
      <c r="FUW115" s="0"/>
      <c r="FUX115" s="0"/>
      <c r="FUY115" s="0"/>
      <c r="FUZ115" s="0"/>
      <c r="FVA115" s="0"/>
      <c r="FVB115" s="0"/>
      <c r="FVC115" s="0"/>
      <c r="FVD115" s="0"/>
      <c r="FVE115" s="0"/>
      <c r="FVF115" s="0"/>
      <c r="FVG115" s="0"/>
      <c r="FVH115" s="0"/>
      <c r="FVI115" s="0"/>
      <c r="FVJ115" s="0"/>
      <c r="FVK115" s="0"/>
      <c r="FVL115" s="0"/>
      <c r="FVM115" s="0"/>
      <c r="FVN115" s="0"/>
      <c r="FVO115" s="0"/>
      <c r="FVP115" s="0"/>
      <c r="FVQ115" s="0"/>
      <c r="FVR115" s="0"/>
      <c r="FVS115" s="0"/>
      <c r="FVT115" s="0"/>
      <c r="FVU115" s="0"/>
      <c r="FVV115" s="0"/>
      <c r="FVW115" s="0"/>
      <c r="FVX115" s="0"/>
      <c r="FVY115" s="0"/>
      <c r="FVZ115" s="0"/>
      <c r="FWA115" s="0"/>
      <c r="FWB115" s="0"/>
      <c r="FWC115" s="0"/>
      <c r="FWD115" s="0"/>
      <c r="FWE115" s="0"/>
      <c r="FWF115" s="0"/>
      <c r="FWG115" s="0"/>
      <c r="FWH115" s="0"/>
      <c r="FWI115" s="0"/>
      <c r="FWJ115" s="0"/>
      <c r="FWK115" s="0"/>
      <c r="FWL115" s="0"/>
      <c r="FWM115" s="0"/>
      <c r="FWN115" s="0"/>
      <c r="FWO115" s="0"/>
      <c r="FWP115" s="0"/>
      <c r="FWQ115" s="0"/>
      <c r="FWR115" s="0"/>
      <c r="FWS115" s="0"/>
      <c r="FWT115" s="0"/>
      <c r="FWU115" s="0"/>
      <c r="FWV115" s="0"/>
      <c r="FWW115" s="0"/>
      <c r="FWX115" s="0"/>
      <c r="FWY115" s="0"/>
      <c r="FWZ115" s="0"/>
      <c r="FXA115" s="0"/>
      <c r="FXB115" s="0"/>
      <c r="FXC115" s="0"/>
      <c r="FXD115" s="0"/>
      <c r="FXE115" s="0"/>
      <c r="FXF115" s="0"/>
      <c r="FXG115" s="0"/>
      <c r="FXH115" s="0"/>
      <c r="FXI115" s="0"/>
      <c r="FXJ115" s="0"/>
      <c r="FXK115" s="0"/>
      <c r="FXL115" s="0"/>
      <c r="FXM115" s="0"/>
      <c r="FXN115" s="0"/>
      <c r="FXO115" s="0"/>
      <c r="FXP115" s="0"/>
      <c r="FXQ115" s="0"/>
      <c r="FXR115" s="0"/>
      <c r="FXS115" s="0"/>
      <c r="FXT115" s="0"/>
      <c r="FXU115" s="0"/>
      <c r="FXV115" s="0"/>
      <c r="FXW115" s="0"/>
      <c r="FXX115" s="0"/>
      <c r="FXY115" s="0"/>
      <c r="FXZ115" s="0"/>
      <c r="FYA115" s="0"/>
      <c r="FYB115" s="0"/>
      <c r="FYC115" s="0"/>
      <c r="FYD115" s="0"/>
      <c r="FYE115" s="0"/>
      <c r="FYF115" s="0"/>
      <c r="FYG115" s="0"/>
      <c r="FYH115" s="0"/>
      <c r="FYI115" s="0"/>
      <c r="FYJ115" s="0"/>
      <c r="FYK115" s="0"/>
      <c r="FYL115" s="0"/>
      <c r="FYM115" s="0"/>
      <c r="FYN115" s="0"/>
      <c r="FYO115" s="0"/>
      <c r="FYP115" s="0"/>
      <c r="FYQ115" s="0"/>
      <c r="FYR115" s="0"/>
      <c r="FYS115" s="0"/>
      <c r="FYT115" s="0"/>
      <c r="FYU115" s="0"/>
      <c r="FYV115" s="0"/>
      <c r="FYW115" s="0"/>
      <c r="FYX115" s="0"/>
      <c r="FYY115" s="0"/>
      <c r="FYZ115" s="0"/>
      <c r="FZA115" s="0"/>
      <c r="FZB115" s="0"/>
      <c r="FZC115" s="0"/>
      <c r="FZD115" s="0"/>
      <c r="FZE115" s="0"/>
      <c r="FZF115" s="0"/>
      <c r="FZG115" s="0"/>
      <c r="FZH115" s="0"/>
      <c r="FZI115" s="0"/>
      <c r="FZJ115" s="0"/>
      <c r="FZK115" s="0"/>
      <c r="FZL115" s="0"/>
      <c r="FZM115" s="0"/>
      <c r="FZN115" s="0"/>
      <c r="FZO115" s="0"/>
      <c r="FZP115" s="0"/>
      <c r="FZQ115" s="0"/>
      <c r="FZR115" s="0"/>
      <c r="FZS115" s="0"/>
      <c r="FZT115" s="0"/>
      <c r="FZU115" s="0"/>
      <c r="FZV115" s="0"/>
      <c r="FZW115" s="0"/>
      <c r="FZX115" s="0"/>
      <c r="FZY115" s="0"/>
      <c r="FZZ115" s="0"/>
      <c r="GAA115" s="0"/>
      <c r="GAB115" s="0"/>
      <c r="GAC115" s="0"/>
      <c r="GAD115" s="0"/>
      <c r="GAE115" s="0"/>
      <c r="GAF115" s="0"/>
      <c r="GAG115" s="0"/>
      <c r="GAH115" s="0"/>
      <c r="GAI115" s="0"/>
      <c r="GAJ115" s="0"/>
      <c r="GAK115" s="0"/>
      <c r="GAL115" s="0"/>
      <c r="GAM115" s="0"/>
      <c r="GAN115" s="0"/>
      <c r="GAO115" s="0"/>
      <c r="GAP115" s="0"/>
      <c r="GAQ115" s="0"/>
      <c r="GAR115" s="0"/>
      <c r="GAS115" s="0"/>
      <c r="GAT115" s="0"/>
      <c r="GAU115" s="0"/>
      <c r="GAV115" s="0"/>
      <c r="GAW115" s="0"/>
      <c r="GAX115" s="0"/>
      <c r="GAY115" s="0"/>
      <c r="GAZ115" s="0"/>
      <c r="GBA115" s="0"/>
      <c r="GBB115" s="0"/>
      <c r="GBC115" s="0"/>
      <c r="GBD115" s="0"/>
      <c r="GBE115" s="0"/>
      <c r="GBF115" s="0"/>
      <c r="GBG115" s="0"/>
      <c r="GBH115" s="0"/>
      <c r="GBI115" s="0"/>
      <c r="GBJ115" s="0"/>
      <c r="GBK115" s="0"/>
      <c r="GBL115" s="0"/>
      <c r="GBM115" s="0"/>
      <c r="GBN115" s="0"/>
      <c r="GBO115" s="0"/>
      <c r="GBP115" s="0"/>
      <c r="GBQ115" s="0"/>
      <c r="GBR115" s="0"/>
      <c r="GBS115" s="0"/>
      <c r="GBT115" s="0"/>
      <c r="GBU115" s="0"/>
      <c r="GBV115" s="0"/>
      <c r="GBW115" s="0"/>
      <c r="GBX115" s="0"/>
      <c r="GBY115" s="0"/>
      <c r="GBZ115" s="0"/>
      <c r="GCA115" s="0"/>
      <c r="GCB115" s="0"/>
      <c r="GCC115" s="0"/>
      <c r="GCD115" s="0"/>
      <c r="GCE115" s="0"/>
      <c r="GCF115" s="0"/>
      <c r="GCG115" s="0"/>
      <c r="GCH115" s="0"/>
      <c r="GCI115" s="0"/>
      <c r="GCJ115" s="0"/>
      <c r="GCK115" s="0"/>
      <c r="GCL115" s="0"/>
      <c r="GCM115" s="0"/>
      <c r="GCN115" s="0"/>
      <c r="GCO115" s="0"/>
      <c r="GCP115" s="0"/>
      <c r="GCQ115" s="0"/>
      <c r="GCR115" s="0"/>
      <c r="GCS115" s="0"/>
      <c r="GCT115" s="0"/>
      <c r="GCU115" s="0"/>
      <c r="GCV115" s="0"/>
      <c r="GCW115" s="0"/>
      <c r="GCX115" s="0"/>
      <c r="GCY115" s="0"/>
      <c r="GCZ115" s="0"/>
      <c r="GDA115" s="0"/>
      <c r="GDB115" s="0"/>
      <c r="GDC115" s="0"/>
      <c r="GDD115" s="0"/>
      <c r="GDE115" s="0"/>
      <c r="GDF115" s="0"/>
      <c r="GDG115" s="0"/>
      <c r="GDH115" s="0"/>
      <c r="GDI115" s="0"/>
      <c r="GDJ115" s="0"/>
      <c r="GDK115" s="0"/>
      <c r="GDL115" s="0"/>
      <c r="GDM115" s="0"/>
      <c r="GDN115" s="0"/>
      <c r="GDO115" s="0"/>
      <c r="GDP115" s="0"/>
      <c r="GDQ115" s="0"/>
      <c r="GDR115" s="0"/>
      <c r="GDS115" s="0"/>
      <c r="GDT115" s="0"/>
      <c r="GDU115" s="0"/>
      <c r="GDV115" s="0"/>
      <c r="GDW115" s="0"/>
      <c r="GDX115" s="0"/>
      <c r="GDY115" s="0"/>
      <c r="GDZ115" s="0"/>
      <c r="GEA115" s="0"/>
      <c r="GEB115" s="0"/>
      <c r="GEC115" s="0"/>
      <c r="GED115" s="0"/>
      <c r="GEE115" s="0"/>
      <c r="GEF115" s="0"/>
      <c r="GEG115" s="0"/>
      <c r="GEH115" s="0"/>
      <c r="GEI115" s="0"/>
      <c r="GEJ115" s="0"/>
      <c r="GEK115" s="0"/>
      <c r="GEL115" s="0"/>
      <c r="GEM115" s="0"/>
      <c r="GEN115" s="0"/>
      <c r="GEO115" s="0"/>
      <c r="GEP115" s="0"/>
      <c r="GEQ115" s="0"/>
      <c r="GER115" s="0"/>
      <c r="GES115" s="0"/>
      <c r="GET115" s="0"/>
      <c r="GEU115" s="0"/>
      <c r="GEV115" s="0"/>
      <c r="GEW115" s="0"/>
      <c r="GEX115" s="0"/>
      <c r="GEY115" s="0"/>
      <c r="GEZ115" s="0"/>
      <c r="GFA115" s="0"/>
      <c r="GFB115" s="0"/>
      <c r="GFC115" s="0"/>
      <c r="GFD115" s="0"/>
      <c r="GFE115" s="0"/>
      <c r="GFF115" s="0"/>
      <c r="GFG115" s="0"/>
      <c r="GFH115" s="0"/>
      <c r="GFI115" s="0"/>
      <c r="GFJ115" s="0"/>
      <c r="GFK115" s="0"/>
      <c r="GFL115" s="0"/>
      <c r="GFM115" s="0"/>
      <c r="GFN115" s="0"/>
      <c r="GFO115" s="0"/>
      <c r="GFP115" s="0"/>
      <c r="GFQ115" s="0"/>
      <c r="GFR115" s="0"/>
      <c r="GFS115" s="0"/>
      <c r="GFT115" s="0"/>
      <c r="GFU115" s="0"/>
      <c r="GFV115" s="0"/>
      <c r="GFW115" s="0"/>
      <c r="GFX115" s="0"/>
      <c r="GFY115" s="0"/>
      <c r="GFZ115" s="0"/>
      <c r="GGA115" s="0"/>
      <c r="GGB115" s="0"/>
      <c r="GGC115" s="0"/>
      <c r="GGD115" s="0"/>
      <c r="GGE115" s="0"/>
      <c r="GGF115" s="0"/>
      <c r="GGG115" s="0"/>
      <c r="GGH115" s="0"/>
      <c r="GGI115" s="0"/>
      <c r="GGJ115" s="0"/>
      <c r="GGK115" s="0"/>
      <c r="GGL115" s="0"/>
      <c r="GGM115" s="0"/>
      <c r="GGN115" s="0"/>
      <c r="GGO115" s="0"/>
      <c r="GGP115" s="0"/>
      <c r="GGQ115" s="0"/>
      <c r="GGR115" s="0"/>
      <c r="GGS115" s="0"/>
      <c r="GGT115" s="0"/>
      <c r="GGU115" s="0"/>
      <c r="GGV115" s="0"/>
      <c r="GGW115" s="0"/>
      <c r="GGX115" s="0"/>
      <c r="GGY115" s="0"/>
      <c r="GGZ115" s="0"/>
      <c r="GHA115" s="0"/>
      <c r="GHB115" s="0"/>
      <c r="GHC115" s="0"/>
      <c r="GHD115" s="0"/>
      <c r="GHE115" s="0"/>
      <c r="GHF115" s="0"/>
      <c r="GHG115" s="0"/>
      <c r="GHH115" s="0"/>
      <c r="GHI115" s="0"/>
      <c r="GHJ115" s="0"/>
      <c r="GHK115" s="0"/>
      <c r="GHL115" s="0"/>
      <c r="GHM115" s="0"/>
      <c r="GHN115" s="0"/>
      <c r="GHO115" s="0"/>
      <c r="GHP115" s="0"/>
      <c r="GHQ115" s="0"/>
      <c r="GHR115" s="0"/>
      <c r="GHS115" s="0"/>
      <c r="GHT115" s="0"/>
      <c r="GHU115" s="0"/>
      <c r="GHV115" s="0"/>
      <c r="GHW115" s="0"/>
      <c r="GHX115" s="0"/>
      <c r="GHY115" s="0"/>
      <c r="GHZ115" s="0"/>
      <c r="GIA115" s="0"/>
      <c r="GIB115" s="0"/>
      <c r="GIC115" s="0"/>
      <c r="GID115" s="0"/>
      <c r="GIE115" s="0"/>
      <c r="GIF115" s="0"/>
      <c r="GIG115" s="0"/>
      <c r="GIH115" s="0"/>
      <c r="GII115" s="0"/>
      <c r="GIJ115" s="0"/>
      <c r="GIK115" s="0"/>
      <c r="GIL115" s="0"/>
      <c r="GIM115" s="0"/>
      <c r="GIN115" s="0"/>
      <c r="GIO115" s="0"/>
      <c r="GIP115" s="0"/>
      <c r="GIQ115" s="0"/>
      <c r="GIR115" s="0"/>
      <c r="GIS115" s="0"/>
      <c r="GIT115" s="0"/>
      <c r="GIU115" s="0"/>
      <c r="GIV115" s="0"/>
      <c r="GIW115" s="0"/>
      <c r="GIX115" s="0"/>
      <c r="GIY115" s="0"/>
      <c r="GIZ115" s="0"/>
      <c r="GJA115" s="0"/>
      <c r="GJB115" s="0"/>
      <c r="GJC115" s="0"/>
      <c r="GJD115" s="0"/>
      <c r="GJE115" s="0"/>
      <c r="GJF115" s="0"/>
      <c r="GJG115" s="0"/>
      <c r="GJH115" s="0"/>
      <c r="GJI115" s="0"/>
      <c r="GJJ115" s="0"/>
      <c r="GJK115" s="0"/>
      <c r="GJL115" s="0"/>
      <c r="GJM115" s="0"/>
      <c r="GJN115" s="0"/>
      <c r="GJO115" s="0"/>
      <c r="GJP115" s="0"/>
      <c r="GJQ115" s="0"/>
      <c r="GJR115" s="0"/>
      <c r="GJS115" s="0"/>
      <c r="GJT115" s="0"/>
      <c r="GJU115" s="0"/>
      <c r="GJV115" s="0"/>
      <c r="GJW115" s="0"/>
      <c r="GJX115" s="0"/>
      <c r="GJY115" s="0"/>
      <c r="GJZ115" s="0"/>
      <c r="GKA115" s="0"/>
      <c r="GKB115" s="0"/>
      <c r="GKC115" s="0"/>
      <c r="GKD115" s="0"/>
      <c r="GKE115" s="0"/>
      <c r="GKF115" s="0"/>
      <c r="GKG115" s="0"/>
      <c r="GKH115" s="0"/>
      <c r="GKI115" s="0"/>
      <c r="GKJ115" s="0"/>
      <c r="GKK115" s="0"/>
      <c r="GKL115" s="0"/>
      <c r="GKM115" s="0"/>
      <c r="GKN115" s="0"/>
      <c r="GKO115" s="0"/>
      <c r="GKP115" s="0"/>
      <c r="GKQ115" s="0"/>
      <c r="GKR115" s="0"/>
      <c r="GKS115" s="0"/>
      <c r="GKT115" s="0"/>
      <c r="GKU115" s="0"/>
      <c r="GKV115" s="0"/>
      <c r="GKW115" s="0"/>
      <c r="GKX115" s="0"/>
      <c r="GKY115" s="0"/>
      <c r="GKZ115" s="0"/>
      <c r="GLA115" s="0"/>
      <c r="GLB115" s="0"/>
      <c r="GLC115" s="0"/>
      <c r="GLD115" s="0"/>
      <c r="GLE115" s="0"/>
      <c r="GLF115" s="0"/>
      <c r="GLG115" s="0"/>
      <c r="GLH115" s="0"/>
      <c r="GLI115" s="0"/>
      <c r="GLJ115" s="0"/>
      <c r="GLK115" s="0"/>
      <c r="GLL115" s="0"/>
      <c r="GLM115" s="0"/>
      <c r="GLN115" s="0"/>
      <c r="GLO115" s="0"/>
      <c r="GLP115" s="0"/>
      <c r="GLQ115" s="0"/>
      <c r="GLR115" s="0"/>
      <c r="GLS115" s="0"/>
      <c r="GLT115" s="0"/>
      <c r="GLU115" s="0"/>
      <c r="GLV115" s="0"/>
      <c r="GLW115" s="0"/>
      <c r="GLX115" s="0"/>
      <c r="GLY115" s="0"/>
      <c r="GLZ115" s="0"/>
      <c r="GMA115" s="0"/>
      <c r="GMB115" s="0"/>
      <c r="GMC115" s="0"/>
      <c r="GMD115" s="0"/>
      <c r="GME115" s="0"/>
      <c r="GMF115" s="0"/>
      <c r="GMG115" s="0"/>
      <c r="GMH115" s="0"/>
      <c r="GMI115" s="0"/>
      <c r="GMJ115" s="0"/>
      <c r="GMK115" s="0"/>
      <c r="GML115" s="0"/>
      <c r="GMM115" s="0"/>
      <c r="GMN115" s="0"/>
      <c r="GMO115" s="0"/>
      <c r="GMP115" s="0"/>
      <c r="GMQ115" s="0"/>
      <c r="GMR115" s="0"/>
      <c r="GMS115" s="0"/>
      <c r="GMT115" s="0"/>
      <c r="GMU115" s="0"/>
      <c r="GMV115" s="0"/>
      <c r="GMW115" s="0"/>
      <c r="GMX115" s="0"/>
      <c r="GMY115" s="0"/>
      <c r="GMZ115" s="0"/>
      <c r="GNA115" s="0"/>
      <c r="GNB115" s="0"/>
      <c r="GNC115" s="0"/>
      <c r="GND115" s="0"/>
      <c r="GNE115" s="0"/>
      <c r="GNF115" s="0"/>
      <c r="GNG115" s="0"/>
      <c r="GNH115" s="0"/>
      <c r="GNI115" s="0"/>
      <c r="GNJ115" s="0"/>
      <c r="GNK115" s="0"/>
      <c r="GNL115" s="0"/>
      <c r="GNM115" s="0"/>
      <c r="GNN115" s="0"/>
      <c r="GNO115" s="0"/>
      <c r="GNP115" s="0"/>
      <c r="GNQ115" s="0"/>
      <c r="GNR115" s="0"/>
      <c r="GNS115" s="0"/>
      <c r="GNT115" s="0"/>
      <c r="GNU115" s="0"/>
      <c r="GNV115" s="0"/>
      <c r="GNW115" s="0"/>
      <c r="GNX115" s="0"/>
      <c r="GNY115" s="0"/>
      <c r="GNZ115" s="0"/>
      <c r="GOA115" s="0"/>
      <c r="GOB115" s="0"/>
      <c r="GOC115" s="0"/>
      <c r="GOD115" s="0"/>
      <c r="GOE115" s="0"/>
      <c r="GOF115" s="0"/>
      <c r="GOG115" s="0"/>
      <c r="GOH115" s="0"/>
      <c r="GOI115" s="0"/>
      <c r="GOJ115" s="0"/>
      <c r="GOK115" s="0"/>
      <c r="GOL115" s="0"/>
      <c r="GOM115" s="0"/>
      <c r="GON115" s="0"/>
      <c r="GOO115" s="0"/>
      <c r="GOP115" s="0"/>
      <c r="GOQ115" s="0"/>
      <c r="GOR115" s="0"/>
      <c r="GOS115" s="0"/>
      <c r="GOT115" s="0"/>
      <c r="GOU115" s="0"/>
      <c r="GOV115" s="0"/>
      <c r="GOW115" s="0"/>
      <c r="GOX115" s="0"/>
      <c r="GOY115" s="0"/>
      <c r="GOZ115" s="0"/>
      <c r="GPA115" s="0"/>
      <c r="GPB115" s="0"/>
      <c r="GPC115" s="0"/>
      <c r="GPD115" s="0"/>
      <c r="GPE115" s="0"/>
      <c r="GPF115" s="0"/>
      <c r="GPG115" s="0"/>
      <c r="GPH115" s="0"/>
      <c r="GPI115" s="0"/>
      <c r="GPJ115" s="0"/>
      <c r="GPK115" s="0"/>
      <c r="GPL115" s="0"/>
      <c r="GPM115" s="0"/>
      <c r="GPN115" s="0"/>
      <c r="GPO115" s="0"/>
      <c r="GPP115" s="0"/>
      <c r="GPQ115" s="0"/>
      <c r="GPR115" s="0"/>
      <c r="GPS115" s="0"/>
      <c r="GPT115" s="0"/>
      <c r="GPU115" s="0"/>
      <c r="GPV115" s="0"/>
      <c r="GPW115" s="0"/>
      <c r="GPX115" s="0"/>
      <c r="GPY115" s="0"/>
      <c r="GPZ115" s="0"/>
      <c r="GQA115" s="0"/>
      <c r="GQB115" s="0"/>
      <c r="GQC115" s="0"/>
      <c r="GQD115" s="0"/>
      <c r="GQE115" s="0"/>
      <c r="GQF115" s="0"/>
      <c r="GQG115" s="0"/>
      <c r="GQH115" s="0"/>
      <c r="GQI115" s="0"/>
      <c r="GQJ115" s="0"/>
      <c r="GQK115" s="0"/>
      <c r="GQL115" s="0"/>
      <c r="GQM115" s="0"/>
      <c r="GQN115" s="0"/>
      <c r="GQO115" s="0"/>
      <c r="GQP115" s="0"/>
      <c r="GQQ115" s="0"/>
      <c r="GQR115" s="0"/>
      <c r="GQS115" s="0"/>
      <c r="GQT115" s="0"/>
      <c r="GQU115" s="0"/>
      <c r="GQV115" s="0"/>
      <c r="GQW115" s="0"/>
      <c r="GQX115" s="0"/>
      <c r="GQY115" s="0"/>
      <c r="GQZ115" s="0"/>
      <c r="GRA115" s="0"/>
      <c r="GRB115" s="0"/>
      <c r="GRC115" s="0"/>
      <c r="GRD115" s="0"/>
      <c r="GRE115" s="0"/>
      <c r="GRF115" s="0"/>
      <c r="GRG115" s="0"/>
      <c r="GRH115" s="0"/>
      <c r="GRI115" s="0"/>
      <c r="GRJ115" s="0"/>
      <c r="GRK115" s="0"/>
      <c r="GRL115" s="0"/>
      <c r="GRM115" s="0"/>
      <c r="GRN115" s="0"/>
      <c r="GRO115" s="0"/>
      <c r="GRP115" s="0"/>
      <c r="GRQ115" s="0"/>
      <c r="GRR115" s="0"/>
      <c r="GRS115" s="0"/>
      <c r="GRT115" s="0"/>
      <c r="GRU115" s="0"/>
      <c r="GRV115" s="0"/>
      <c r="GRW115" s="0"/>
      <c r="GRX115" s="0"/>
      <c r="GRY115" s="0"/>
      <c r="GRZ115" s="0"/>
      <c r="GSA115" s="0"/>
      <c r="GSB115" s="0"/>
      <c r="GSC115" s="0"/>
      <c r="GSD115" s="0"/>
      <c r="GSE115" s="0"/>
      <c r="GSF115" s="0"/>
      <c r="GSG115" s="0"/>
      <c r="GSH115" s="0"/>
      <c r="GSI115" s="0"/>
      <c r="GSJ115" s="0"/>
      <c r="GSK115" s="0"/>
      <c r="GSL115" s="0"/>
      <c r="GSM115" s="0"/>
      <c r="GSN115" s="0"/>
      <c r="GSO115" s="0"/>
      <c r="GSP115" s="0"/>
      <c r="GSQ115" s="0"/>
      <c r="GSR115" s="0"/>
      <c r="GSS115" s="0"/>
      <c r="GST115" s="0"/>
      <c r="GSU115" s="0"/>
      <c r="GSV115" s="0"/>
      <c r="GSW115" s="0"/>
      <c r="GSX115" s="0"/>
      <c r="GSY115" s="0"/>
      <c r="GSZ115" s="0"/>
      <c r="GTA115" s="0"/>
      <c r="GTB115" s="0"/>
      <c r="GTC115" s="0"/>
      <c r="GTD115" s="0"/>
      <c r="GTE115" s="0"/>
      <c r="GTF115" s="0"/>
      <c r="GTG115" s="0"/>
      <c r="GTH115" s="0"/>
      <c r="GTI115" s="0"/>
      <c r="GTJ115" s="0"/>
      <c r="GTK115" s="0"/>
      <c r="GTL115" s="0"/>
      <c r="GTM115" s="0"/>
      <c r="GTN115" s="0"/>
      <c r="GTO115" s="0"/>
      <c r="GTP115" s="0"/>
      <c r="GTQ115" s="0"/>
      <c r="GTR115" s="0"/>
      <c r="GTS115" s="0"/>
      <c r="GTT115" s="0"/>
      <c r="GTU115" s="0"/>
      <c r="GTV115" s="0"/>
      <c r="GTW115" s="0"/>
      <c r="GTX115" s="0"/>
      <c r="GTY115" s="0"/>
      <c r="GTZ115" s="0"/>
      <c r="GUA115" s="0"/>
      <c r="GUB115" s="0"/>
      <c r="GUC115" s="0"/>
      <c r="GUD115" s="0"/>
      <c r="GUE115" s="0"/>
      <c r="GUF115" s="0"/>
      <c r="GUG115" s="0"/>
      <c r="GUH115" s="0"/>
      <c r="GUI115" s="0"/>
      <c r="GUJ115" s="0"/>
      <c r="GUK115" s="0"/>
      <c r="GUL115" s="0"/>
      <c r="GUM115" s="0"/>
      <c r="GUN115" s="0"/>
      <c r="GUO115" s="0"/>
      <c r="GUP115" s="0"/>
      <c r="GUQ115" s="0"/>
      <c r="GUR115" s="0"/>
      <c r="GUS115" s="0"/>
      <c r="GUT115" s="0"/>
      <c r="GUU115" s="0"/>
      <c r="GUV115" s="0"/>
      <c r="GUW115" s="0"/>
      <c r="GUX115" s="0"/>
      <c r="GUY115" s="0"/>
      <c r="GUZ115" s="0"/>
      <c r="GVA115" s="0"/>
      <c r="GVB115" s="0"/>
      <c r="GVC115" s="0"/>
      <c r="GVD115" s="0"/>
      <c r="GVE115" s="0"/>
      <c r="GVF115" s="0"/>
      <c r="GVG115" s="0"/>
      <c r="GVH115" s="0"/>
      <c r="GVI115" s="0"/>
      <c r="GVJ115" s="0"/>
      <c r="GVK115" s="0"/>
      <c r="GVL115" s="0"/>
      <c r="GVM115" s="0"/>
      <c r="GVN115" s="0"/>
      <c r="GVO115" s="0"/>
      <c r="GVP115" s="0"/>
      <c r="GVQ115" s="0"/>
      <c r="GVR115" s="0"/>
      <c r="GVS115" s="0"/>
      <c r="GVT115" s="0"/>
      <c r="GVU115" s="0"/>
      <c r="GVV115" s="0"/>
      <c r="GVW115" s="0"/>
      <c r="GVX115" s="0"/>
      <c r="GVY115" s="0"/>
      <c r="GVZ115" s="0"/>
      <c r="GWA115" s="0"/>
      <c r="GWB115" s="0"/>
      <c r="GWC115" s="0"/>
      <c r="GWD115" s="0"/>
      <c r="GWE115" s="0"/>
      <c r="GWF115" s="0"/>
      <c r="GWG115" s="0"/>
      <c r="GWH115" s="0"/>
      <c r="GWI115" s="0"/>
      <c r="GWJ115" s="0"/>
      <c r="GWK115" s="0"/>
      <c r="GWL115" s="0"/>
      <c r="GWM115" s="0"/>
      <c r="GWN115" s="0"/>
      <c r="GWO115" s="0"/>
      <c r="GWP115" s="0"/>
      <c r="GWQ115" s="0"/>
      <c r="GWR115" s="0"/>
      <c r="GWS115" s="0"/>
      <c r="GWT115" s="0"/>
      <c r="GWU115" s="0"/>
      <c r="GWV115" s="0"/>
      <c r="GWW115" s="0"/>
      <c r="GWX115" s="0"/>
      <c r="GWY115" s="0"/>
      <c r="GWZ115" s="0"/>
      <c r="GXA115" s="0"/>
      <c r="GXB115" s="0"/>
      <c r="GXC115" s="0"/>
      <c r="GXD115" s="0"/>
      <c r="GXE115" s="0"/>
      <c r="GXF115" s="0"/>
      <c r="GXG115" s="0"/>
      <c r="GXH115" s="0"/>
      <c r="GXI115" s="0"/>
      <c r="GXJ115" s="0"/>
      <c r="GXK115" s="0"/>
      <c r="GXL115" s="0"/>
      <c r="GXM115" s="0"/>
      <c r="GXN115" s="0"/>
      <c r="GXO115" s="0"/>
      <c r="GXP115" s="0"/>
      <c r="GXQ115" s="0"/>
      <c r="GXR115" s="0"/>
      <c r="GXS115" s="0"/>
      <c r="GXT115" s="0"/>
      <c r="GXU115" s="0"/>
      <c r="GXV115" s="0"/>
      <c r="GXW115" s="0"/>
      <c r="GXX115" s="0"/>
      <c r="GXY115" s="0"/>
      <c r="GXZ115" s="0"/>
      <c r="GYA115" s="0"/>
      <c r="GYB115" s="0"/>
      <c r="GYC115" s="0"/>
      <c r="GYD115" s="0"/>
      <c r="GYE115" s="0"/>
      <c r="GYF115" s="0"/>
      <c r="GYG115" s="0"/>
      <c r="GYH115" s="0"/>
      <c r="GYI115" s="0"/>
      <c r="GYJ115" s="0"/>
      <c r="GYK115" s="0"/>
      <c r="GYL115" s="0"/>
      <c r="GYM115" s="0"/>
      <c r="GYN115" s="0"/>
      <c r="GYO115" s="0"/>
      <c r="GYP115" s="0"/>
      <c r="GYQ115" s="0"/>
      <c r="GYR115" s="0"/>
      <c r="GYS115" s="0"/>
      <c r="GYT115" s="0"/>
      <c r="GYU115" s="0"/>
      <c r="GYV115" s="0"/>
      <c r="GYW115" s="0"/>
      <c r="GYX115" s="0"/>
      <c r="GYY115" s="0"/>
      <c r="GYZ115" s="0"/>
      <c r="GZA115" s="0"/>
      <c r="GZB115" s="0"/>
      <c r="GZC115" s="0"/>
      <c r="GZD115" s="0"/>
      <c r="GZE115" s="0"/>
      <c r="GZF115" s="0"/>
      <c r="GZG115" s="0"/>
      <c r="GZH115" s="0"/>
      <c r="GZI115" s="0"/>
      <c r="GZJ115" s="0"/>
      <c r="GZK115" s="0"/>
      <c r="GZL115" s="0"/>
      <c r="GZM115" s="0"/>
      <c r="GZN115" s="0"/>
      <c r="GZO115" s="0"/>
      <c r="GZP115" s="0"/>
      <c r="GZQ115" s="0"/>
      <c r="GZR115" s="0"/>
      <c r="GZS115" s="0"/>
      <c r="GZT115" s="0"/>
      <c r="GZU115" s="0"/>
      <c r="GZV115" s="0"/>
      <c r="GZW115" s="0"/>
      <c r="GZX115" s="0"/>
      <c r="GZY115" s="0"/>
      <c r="GZZ115" s="0"/>
      <c r="HAA115" s="0"/>
      <c r="HAB115" s="0"/>
      <c r="HAC115" s="0"/>
      <c r="HAD115" s="0"/>
      <c r="HAE115" s="0"/>
      <c r="HAF115" s="0"/>
      <c r="HAG115" s="0"/>
      <c r="HAH115" s="0"/>
      <c r="HAI115" s="0"/>
      <c r="HAJ115" s="0"/>
      <c r="HAK115" s="0"/>
      <c r="HAL115" s="0"/>
      <c r="HAM115" s="0"/>
      <c r="HAN115" s="0"/>
      <c r="HAO115" s="0"/>
      <c r="HAP115" s="0"/>
      <c r="HAQ115" s="0"/>
      <c r="HAR115" s="0"/>
      <c r="HAS115" s="0"/>
      <c r="HAT115" s="0"/>
      <c r="HAU115" s="0"/>
      <c r="HAV115" s="0"/>
      <c r="HAW115" s="0"/>
      <c r="HAX115" s="0"/>
      <c r="HAY115" s="0"/>
      <c r="HAZ115" s="0"/>
      <c r="HBA115" s="0"/>
      <c r="HBB115" s="0"/>
      <c r="HBC115" s="0"/>
      <c r="HBD115" s="0"/>
      <c r="HBE115" s="0"/>
      <c r="HBF115" s="0"/>
      <c r="HBG115" s="0"/>
      <c r="HBH115" s="0"/>
      <c r="HBI115" s="0"/>
      <c r="HBJ115" s="0"/>
      <c r="HBK115" s="0"/>
      <c r="HBL115" s="0"/>
      <c r="HBM115" s="0"/>
      <c r="HBN115" s="0"/>
      <c r="HBO115" s="0"/>
      <c r="HBP115" s="0"/>
      <c r="HBQ115" s="0"/>
      <c r="HBR115" s="0"/>
      <c r="HBS115" s="0"/>
      <c r="HBT115" s="0"/>
      <c r="HBU115" s="0"/>
      <c r="HBV115" s="0"/>
      <c r="HBW115" s="0"/>
      <c r="HBX115" s="0"/>
      <c r="HBY115" s="0"/>
      <c r="HBZ115" s="0"/>
      <c r="HCA115" s="0"/>
      <c r="HCB115" s="0"/>
      <c r="HCC115" s="0"/>
      <c r="HCD115" s="0"/>
      <c r="HCE115" s="0"/>
      <c r="HCF115" s="0"/>
      <c r="HCG115" s="0"/>
      <c r="HCH115" s="0"/>
      <c r="HCI115" s="0"/>
      <c r="HCJ115" s="0"/>
      <c r="HCK115" s="0"/>
      <c r="HCL115" s="0"/>
      <c r="HCM115" s="0"/>
      <c r="HCN115" s="0"/>
      <c r="HCO115" s="0"/>
      <c r="HCP115" s="0"/>
      <c r="HCQ115" s="0"/>
      <c r="HCR115" s="0"/>
      <c r="HCS115" s="0"/>
      <c r="HCT115" s="0"/>
      <c r="HCU115" s="0"/>
      <c r="HCV115" s="0"/>
      <c r="HCW115" s="0"/>
      <c r="HCX115" s="0"/>
      <c r="HCY115" s="0"/>
      <c r="HCZ115" s="0"/>
      <c r="HDA115" s="0"/>
      <c r="HDB115" s="0"/>
      <c r="HDC115" s="0"/>
      <c r="HDD115" s="0"/>
      <c r="HDE115" s="0"/>
      <c r="HDF115" s="0"/>
      <c r="HDG115" s="0"/>
      <c r="HDH115" s="0"/>
      <c r="HDI115" s="0"/>
      <c r="HDJ115" s="0"/>
      <c r="HDK115" s="0"/>
      <c r="HDL115" s="0"/>
      <c r="HDM115" s="0"/>
      <c r="HDN115" s="0"/>
      <c r="HDO115" s="0"/>
      <c r="HDP115" s="0"/>
      <c r="HDQ115" s="0"/>
      <c r="HDR115" s="0"/>
      <c r="HDS115" s="0"/>
      <c r="HDT115" s="0"/>
      <c r="HDU115" s="0"/>
      <c r="HDV115" s="0"/>
      <c r="HDW115" s="0"/>
      <c r="HDX115" s="0"/>
      <c r="HDY115" s="0"/>
      <c r="HDZ115" s="0"/>
      <c r="HEA115" s="0"/>
      <c r="HEB115" s="0"/>
      <c r="HEC115" s="0"/>
      <c r="HED115" s="0"/>
      <c r="HEE115" s="0"/>
      <c r="HEF115" s="0"/>
      <c r="HEG115" s="0"/>
      <c r="HEH115" s="0"/>
      <c r="HEI115" s="0"/>
      <c r="HEJ115" s="0"/>
      <c r="HEK115" s="0"/>
      <c r="HEL115" s="0"/>
      <c r="HEM115" s="0"/>
      <c r="HEN115" s="0"/>
      <c r="HEO115" s="0"/>
      <c r="HEP115" s="0"/>
      <c r="HEQ115" s="0"/>
      <c r="HER115" s="0"/>
      <c r="HES115" s="0"/>
      <c r="HET115" s="0"/>
      <c r="HEU115" s="0"/>
      <c r="HEV115" s="0"/>
      <c r="HEW115" s="0"/>
      <c r="HEX115" s="0"/>
      <c r="HEY115" s="0"/>
      <c r="HEZ115" s="0"/>
      <c r="HFA115" s="0"/>
      <c r="HFB115" s="0"/>
      <c r="HFC115" s="0"/>
      <c r="HFD115" s="0"/>
      <c r="HFE115" s="0"/>
      <c r="HFF115" s="0"/>
      <c r="HFG115" s="0"/>
      <c r="HFH115" s="0"/>
      <c r="HFI115" s="0"/>
      <c r="HFJ115" s="0"/>
      <c r="HFK115" s="0"/>
      <c r="HFL115" s="0"/>
      <c r="HFM115" s="0"/>
      <c r="HFN115" s="0"/>
      <c r="HFO115" s="0"/>
      <c r="HFP115" s="0"/>
      <c r="HFQ115" s="0"/>
      <c r="HFR115" s="0"/>
      <c r="HFS115" s="0"/>
      <c r="HFT115" s="0"/>
      <c r="HFU115" s="0"/>
      <c r="HFV115" s="0"/>
      <c r="HFW115" s="0"/>
      <c r="HFX115" s="0"/>
      <c r="HFY115" s="0"/>
      <c r="HFZ115" s="0"/>
      <c r="HGA115" s="0"/>
      <c r="HGB115" s="0"/>
      <c r="HGC115" s="0"/>
      <c r="HGD115" s="0"/>
      <c r="HGE115" s="0"/>
      <c r="HGF115" s="0"/>
      <c r="HGG115" s="0"/>
      <c r="HGH115" s="0"/>
      <c r="HGI115" s="0"/>
      <c r="HGJ115" s="0"/>
      <c r="HGK115" s="0"/>
      <c r="HGL115" s="0"/>
      <c r="HGM115" s="0"/>
      <c r="HGN115" s="0"/>
      <c r="HGO115" s="0"/>
      <c r="HGP115" s="0"/>
      <c r="HGQ115" s="0"/>
      <c r="HGR115" s="0"/>
      <c r="HGS115" s="0"/>
      <c r="HGT115" s="0"/>
      <c r="HGU115" s="0"/>
      <c r="HGV115" s="0"/>
      <c r="HGW115" s="0"/>
      <c r="HGX115" s="0"/>
      <c r="HGY115" s="0"/>
      <c r="HGZ115" s="0"/>
      <c r="HHA115" s="0"/>
      <c r="HHB115" s="0"/>
      <c r="HHC115" s="0"/>
      <c r="HHD115" s="0"/>
      <c r="HHE115" s="0"/>
      <c r="HHF115" s="0"/>
      <c r="HHG115" s="0"/>
      <c r="HHH115" s="0"/>
      <c r="HHI115" s="0"/>
      <c r="HHJ115" s="0"/>
      <c r="HHK115" s="0"/>
      <c r="HHL115" s="0"/>
      <c r="HHM115" s="0"/>
      <c r="HHN115" s="0"/>
      <c r="HHO115" s="0"/>
      <c r="HHP115" s="0"/>
      <c r="HHQ115" s="0"/>
      <c r="HHR115" s="0"/>
      <c r="HHS115" s="0"/>
      <c r="HHT115" s="0"/>
      <c r="HHU115" s="0"/>
      <c r="HHV115" s="0"/>
      <c r="HHW115" s="0"/>
      <c r="HHX115" s="0"/>
      <c r="HHY115" s="0"/>
      <c r="HHZ115" s="0"/>
      <c r="HIA115" s="0"/>
      <c r="HIB115" s="0"/>
      <c r="HIC115" s="0"/>
      <c r="HID115" s="0"/>
      <c r="HIE115" s="0"/>
      <c r="HIF115" s="0"/>
      <c r="HIG115" s="0"/>
      <c r="HIH115" s="0"/>
      <c r="HII115" s="0"/>
      <c r="HIJ115" s="0"/>
      <c r="HIK115" s="0"/>
      <c r="HIL115" s="0"/>
      <c r="HIM115" s="0"/>
      <c r="HIN115" s="0"/>
      <c r="HIO115" s="0"/>
      <c r="HIP115" s="0"/>
      <c r="HIQ115" s="0"/>
      <c r="HIR115" s="0"/>
      <c r="HIS115" s="0"/>
      <c r="HIT115" s="0"/>
      <c r="HIU115" s="0"/>
      <c r="HIV115" s="0"/>
      <c r="HIW115" s="0"/>
      <c r="HIX115" s="0"/>
      <c r="HIY115" s="0"/>
      <c r="HIZ115" s="0"/>
      <c r="HJA115" s="0"/>
      <c r="HJB115" s="0"/>
      <c r="HJC115" s="0"/>
      <c r="HJD115" s="0"/>
      <c r="HJE115" s="0"/>
      <c r="HJF115" s="0"/>
      <c r="HJG115" s="0"/>
      <c r="HJH115" s="0"/>
      <c r="HJI115" s="0"/>
      <c r="HJJ115" s="0"/>
      <c r="HJK115" s="0"/>
      <c r="HJL115" s="0"/>
      <c r="HJM115" s="0"/>
      <c r="HJN115" s="0"/>
      <c r="HJO115" s="0"/>
      <c r="HJP115" s="0"/>
      <c r="HJQ115" s="0"/>
      <c r="HJR115" s="0"/>
      <c r="HJS115" s="0"/>
      <c r="HJT115" s="0"/>
      <c r="HJU115" s="0"/>
      <c r="HJV115" s="0"/>
      <c r="HJW115" s="0"/>
      <c r="HJX115" s="0"/>
      <c r="HJY115" s="0"/>
      <c r="HJZ115" s="0"/>
      <c r="HKA115" s="0"/>
      <c r="HKB115" s="0"/>
      <c r="HKC115" s="0"/>
      <c r="HKD115" s="0"/>
      <c r="HKE115" s="0"/>
      <c r="HKF115" s="0"/>
      <c r="HKG115" s="0"/>
      <c r="HKH115" s="0"/>
      <c r="HKI115" s="0"/>
      <c r="HKJ115" s="0"/>
      <c r="HKK115" s="0"/>
      <c r="HKL115" s="0"/>
      <c r="HKM115" s="0"/>
      <c r="HKN115" s="0"/>
      <c r="HKO115" s="0"/>
      <c r="HKP115" s="0"/>
      <c r="HKQ115" s="0"/>
      <c r="HKR115" s="0"/>
      <c r="HKS115" s="0"/>
      <c r="HKT115" s="0"/>
      <c r="HKU115" s="0"/>
      <c r="HKV115" s="0"/>
      <c r="HKW115" s="0"/>
      <c r="HKX115" s="0"/>
      <c r="HKY115" s="0"/>
      <c r="HKZ115" s="0"/>
      <c r="HLA115" s="0"/>
      <c r="HLB115" s="0"/>
      <c r="HLC115" s="0"/>
      <c r="HLD115" s="0"/>
      <c r="HLE115" s="0"/>
      <c r="HLF115" s="0"/>
      <c r="HLG115" s="0"/>
      <c r="HLH115" s="0"/>
      <c r="HLI115" s="0"/>
      <c r="HLJ115" s="0"/>
      <c r="HLK115" s="0"/>
      <c r="HLL115" s="0"/>
      <c r="HLM115" s="0"/>
      <c r="HLN115" s="0"/>
      <c r="HLO115" s="0"/>
      <c r="HLP115" s="0"/>
      <c r="HLQ115" s="0"/>
      <c r="HLR115" s="0"/>
      <c r="HLS115" s="0"/>
      <c r="HLT115" s="0"/>
      <c r="HLU115" s="0"/>
      <c r="HLV115" s="0"/>
      <c r="HLW115" s="0"/>
      <c r="HLX115" s="0"/>
      <c r="HLY115" s="0"/>
      <c r="HLZ115" s="0"/>
      <c r="HMA115" s="0"/>
      <c r="HMB115" s="0"/>
      <c r="HMC115" s="0"/>
      <c r="HMD115" s="0"/>
      <c r="HME115" s="0"/>
      <c r="HMF115" s="0"/>
      <c r="HMG115" s="0"/>
      <c r="HMH115" s="0"/>
      <c r="HMI115" s="0"/>
      <c r="HMJ115" s="0"/>
      <c r="HMK115" s="0"/>
      <c r="HML115" s="0"/>
      <c r="HMM115" s="0"/>
      <c r="HMN115" s="0"/>
      <c r="HMO115" s="0"/>
      <c r="HMP115" s="0"/>
      <c r="HMQ115" s="0"/>
      <c r="HMR115" s="0"/>
      <c r="HMS115" s="0"/>
      <c r="HMT115" s="0"/>
      <c r="HMU115" s="0"/>
      <c r="HMV115" s="0"/>
      <c r="HMW115" s="0"/>
      <c r="HMX115" s="0"/>
      <c r="HMY115" s="0"/>
      <c r="HMZ115" s="0"/>
      <c r="HNA115" s="0"/>
      <c r="HNB115" s="0"/>
      <c r="HNC115" s="0"/>
      <c r="HND115" s="0"/>
      <c r="HNE115" s="0"/>
      <c r="HNF115" s="0"/>
      <c r="HNG115" s="0"/>
      <c r="HNH115" s="0"/>
      <c r="HNI115" s="0"/>
      <c r="HNJ115" s="0"/>
      <c r="HNK115" s="0"/>
      <c r="HNL115" s="0"/>
      <c r="HNM115" s="0"/>
      <c r="HNN115" s="0"/>
      <c r="HNO115" s="0"/>
      <c r="HNP115" s="0"/>
      <c r="HNQ115" s="0"/>
      <c r="HNR115" s="0"/>
      <c r="HNS115" s="0"/>
      <c r="HNT115" s="0"/>
      <c r="HNU115" s="0"/>
      <c r="HNV115" s="0"/>
      <c r="HNW115" s="0"/>
      <c r="HNX115" s="0"/>
      <c r="HNY115" s="0"/>
      <c r="HNZ115" s="0"/>
      <c r="HOA115" s="0"/>
      <c r="HOB115" s="0"/>
      <c r="HOC115" s="0"/>
      <c r="HOD115" s="0"/>
      <c r="HOE115" s="0"/>
      <c r="HOF115" s="0"/>
      <c r="HOG115" s="0"/>
      <c r="HOH115" s="0"/>
      <c r="HOI115" s="0"/>
      <c r="HOJ115" s="0"/>
      <c r="HOK115" s="0"/>
      <c r="HOL115" s="0"/>
      <c r="HOM115" s="0"/>
      <c r="HON115" s="0"/>
      <c r="HOO115" s="0"/>
      <c r="HOP115" s="0"/>
      <c r="HOQ115" s="0"/>
      <c r="HOR115" s="0"/>
      <c r="HOS115" s="0"/>
      <c r="HOT115" s="0"/>
      <c r="HOU115" s="0"/>
      <c r="HOV115" s="0"/>
      <c r="HOW115" s="0"/>
      <c r="HOX115" s="0"/>
      <c r="HOY115" s="0"/>
      <c r="HOZ115" s="0"/>
      <c r="HPA115" s="0"/>
      <c r="HPB115" s="0"/>
      <c r="HPC115" s="0"/>
      <c r="HPD115" s="0"/>
      <c r="HPE115" s="0"/>
      <c r="HPF115" s="0"/>
      <c r="HPG115" s="0"/>
      <c r="HPH115" s="0"/>
      <c r="HPI115" s="0"/>
      <c r="HPJ115" s="0"/>
      <c r="HPK115" s="0"/>
      <c r="HPL115" s="0"/>
      <c r="HPM115" s="0"/>
      <c r="HPN115" s="0"/>
      <c r="HPO115" s="0"/>
      <c r="HPP115" s="0"/>
      <c r="HPQ115" s="0"/>
      <c r="HPR115" s="0"/>
      <c r="HPS115" s="0"/>
      <c r="HPT115" s="0"/>
      <c r="HPU115" s="0"/>
      <c r="HPV115" s="0"/>
      <c r="HPW115" s="0"/>
      <c r="HPX115" s="0"/>
      <c r="HPY115" s="0"/>
      <c r="HPZ115" s="0"/>
      <c r="HQA115" s="0"/>
      <c r="HQB115" s="0"/>
      <c r="HQC115" s="0"/>
      <c r="HQD115" s="0"/>
      <c r="HQE115" s="0"/>
      <c r="HQF115" s="0"/>
      <c r="HQG115" s="0"/>
      <c r="HQH115" s="0"/>
      <c r="HQI115" s="0"/>
      <c r="HQJ115" s="0"/>
      <c r="HQK115" s="0"/>
      <c r="HQL115" s="0"/>
      <c r="HQM115" s="0"/>
      <c r="HQN115" s="0"/>
      <c r="HQO115" s="0"/>
      <c r="HQP115" s="0"/>
      <c r="HQQ115" s="0"/>
      <c r="HQR115" s="0"/>
      <c r="HQS115" s="0"/>
      <c r="HQT115" s="0"/>
      <c r="HQU115" s="0"/>
      <c r="HQV115" s="0"/>
      <c r="HQW115" s="0"/>
      <c r="HQX115" s="0"/>
      <c r="HQY115" s="0"/>
      <c r="HQZ115" s="0"/>
      <c r="HRA115" s="0"/>
      <c r="HRB115" s="0"/>
      <c r="HRC115" s="0"/>
      <c r="HRD115" s="0"/>
      <c r="HRE115" s="0"/>
      <c r="HRF115" s="0"/>
      <c r="HRG115" s="0"/>
      <c r="HRH115" s="0"/>
      <c r="HRI115" s="0"/>
      <c r="HRJ115" s="0"/>
      <c r="HRK115" s="0"/>
      <c r="HRL115" s="0"/>
      <c r="HRM115" s="0"/>
      <c r="HRN115" s="0"/>
      <c r="HRO115" s="0"/>
      <c r="HRP115" s="0"/>
      <c r="HRQ115" s="0"/>
      <c r="HRR115" s="0"/>
      <c r="HRS115" s="0"/>
      <c r="HRT115" s="0"/>
      <c r="HRU115" s="0"/>
      <c r="HRV115" s="0"/>
      <c r="HRW115" s="0"/>
      <c r="HRX115" s="0"/>
      <c r="HRY115" s="0"/>
      <c r="HRZ115" s="0"/>
      <c r="HSA115" s="0"/>
      <c r="HSB115" s="0"/>
      <c r="HSC115" s="0"/>
      <c r="HSD115" s="0"/>
      <c r="HSE115" s="0"/>
      <c r="HSF115" s="0"/>
      <c r="HSG115" s="0"/>
      <c r="HSH115" s="0"/>
      <c r="HSI115" s="0"/>
      <c r="HSJ115" s="0"/>
      <c r="HSK115" s="0"/>
      <c r="HSL115" s="0"/>
      <c r="HSM115" s="0"/>
      <c r="HSN115" s="0"/>
      <c r="HSO115" s="0"/>
      <c r="HSP115" s="0"/>
      <c r="HSQ115" s="0"/>
      <c r="HSR115" s="0"/>
      <c r="HSS115" s="0"/>
      <c r="HST115" s="0"/>
      <c r="HSU115" s="0"/>
      <c r="HSV115" s="0"/>
      <c r="HSW115" s="0"/>
      <c r="HSX115" s="0"/>
      <c r="HSY115" s="0"/>
      <c r="HSZ115" s="0"/>
      <c r="HTA115" s="0"/>
      <c r="HTB115" s="0"/>
      <c r="HTC115" s="0"/>
      <c r="HTD115" s="0"/>
      <c r="HTE115" s="0"/>
      <c r="HTF115" s="0"/>
      <c r="HTG115" s="0"/>
      <c r="HTH115" s="0"/>
      <c r="HTI115" s="0"/>
      <c r="HTJ115" s="0"/>
      <c r="HTK115" s="0"/>
      <c r="HTL115" s="0"/>
      <c r="HTM115" s="0"/>
      <c r="HTN115" s="0"/>
      <c r="HTO115" s="0"/>
      <c r="HTP115" s="0"/>
      <c r="HTQ115" s="0"/>
      <c r="HTR115" s="0"/>
      <c r="HTS115" s="0"/>
      <c r="HTT115" s="0"/>
      <c r="HTU115" s="0"/>
      <c r="HTV115" s="0"/>
      <c r="HTW115" s="0"/>
      <c r="HTX115" s="0"/>
      <c r="HTY115" s="0"/>
      <c r="HTZ115" s="0"/>
      <c r="HUA115" s="0"/>
      <c r="HUB115" s="0"/>
      <c r="HUC115" s="0"/>
      <c r="HUD115" s="0"/>
      <c r="HUE115" s="0"/>
      <c r="HUF115" s="0"/>
      <c r="HUG115" s="0"/>
      <c r="HUH115" s="0"/>
      <c r="HUI115" s="0"/>
      <c r="HUJ115" s="0"/>
      <c r="HUK115" s="0"/>
      <c r="HUL115" s="0"/>
      <c r="HUM115" s="0"/>
      <c r="HUN115" s="0"/>
      <c r="HUO115" s="0"/>
      <c r="HUP115" s="0"/>
      <c r="HUQ115" s="0"/>
      <c r="HUR115" s="0"/>
      <c r="HUS115" s="0"/>
      <c r="HUT115" s="0"/>
      <c r="HUU115" s="0"/>
      <c r="HUV115" s="0"/>
      <c r="HUW115" s="0"/>
      <c r="HUX115" s="0"/>
      <c r="HUY115" s="0"/>
      <c r="HUZ115" s="0"/>
      <c r="HVA115" s="0"/>
      <c r="HVB115" s="0"/>
      <c r="HVC115" s="0"/>
      <c r="HVD115" s="0"/>
      <c r="HVE115" s="0"/>
      <c r="HVF115" s="0"/>
      <c r="HVG115" s="0"/>
      <c r="HVH115" s="0"/>
      <c r="HVI115" s="0"/>
      <c r="HVJ115" s="0"/>
      <c r="HVK115" s="0"/>
      <c r="HVL115" s="0"/>
      <c r="HVM115" s="0"/>
      <c r="HVN115" s="0"/>
      <c r="HVO115" s="0"/>
      <c r="HVP115" s="0"/>
      <c r="HVQ115" s="0"/>
      <c r="HVR115" s="0"/>
      <c r="HVS115" s="0"/>
      <c r="HVT115" s="0"/>
      <c r="HVU115" s="0"/>
      <c r="HVV115" s="0"/>
      <c r="HVW115" s="0"/>
      <c r="HVX115" s="0"/>
      <c r="HVY115" s="0"/>
      <c r="HVZ115" s="0"/>
      <c r="HWA115" s="0"/>
      <c r="HWB115" s="0"/>
      <c r="HWC115" s="0"/>
      <c r="HWD115" s="0"/>
      <c r="HWE115" s="0"/>
      <c r="HWF115" s="0"/>
      <c r="HWG115" s="0"/>
      <c r="HWH115" s="0"/>
      <c r="HWI115" s="0"/>
      <c r="HWJ115" s="0"/>
      <c r="HWK115" s="0"/>
      <c r="HWL115" s="0"/>
      <c r="HWM115" s="0"/>
      <c r="HWN115" s="0"/>
      <c r="HWO115" s="0"/>
      <c r="HWP115" s="0"/>
      <c r="HWQ115" s="0"/>
      <c r="HWR115" s="0"/>
      <c r="HWS115" s="0"/>
      <c r="HWT115" s="0"/>
      <c r="HWU115" s="0"/>
      <c r="HWV115" s="0"/>
      <c r="HWW115" s="0"/>
      <c r="HWX115" s="0"/>
      <c r="HWY115" s="0"/>
      <c r="HWZ115" s="0"/>
      <c r="HXA115" s="0"/>
      <c r="HXB115" s="0"/>
      <c r="HXC115" s="0"/>
      <c r="HXD115" s="0"/>
      <c r="HXE115" s="0"/>
      <c r="HXF115" s="0"/>
      <c r="HXG115" s="0"/>
      <c r="HXH115" s="0"/>
      <c r="HXI115" s="0"/>
      <c r="HXJ115" s="0"/>
      <c r="HXK115" s="0"/>
      <c r="HXL115" s="0"/>
      <c r="HXM115" s="0"/>
      <c r="HXN115" s="0"/>
      <c r="HXO115" s="0"/>
      <c r="HXP115" s="0"/>
      <c r="HXQ115" s="0"/>
      <c r="HXR115" s="0"/>
      <c r="HXS115" s="0"/>
      <c r="HXT115" s="0"/>
      <c r="HXU115" s="0"/>
      <c r="HXV115" s="0"/>
      <c r="HXW115" s="0"/>
      <c r="HXX115" s="0"/>
      <c r="HXY115" s="0"/>
      <c r="HXZ115" s="0"/>
      <c r="HYA115" s="0"/>
      <c r="HYB115" s="0"/>
      <c r="HYC115" s="0"/>
      <c r="HYD115" s="0"/>
      <c r="HYE115" s="0"/>
      <c r="HYF115" s="0"/>
      <c r="HYG115" s="0"/>
      <c r="HYH115" s="0"/>
      <c r="HYI115" s="0"/>
      <c r="HYJ115" s="0"/>
      <c r="HYK115" s="0"/>
      <c r="HYL115" s="0"/>
      <c r="HYM115" s="0"/>
      <c r="HYN115" s="0"/>
      <c r="HYO115" s="0"/>
      <c r="HYP115" s="0"/>
      <c r="HYQ115" s="0"/>
      <c r="HYR115" s="0"/>
      <c r="HYS115" s="0"/>
      <c r="HYT115" s="0"/>
      <c r="HYU115" s="0"/>
      <c r="HYV115" s="0"/>
      <c r="HYW115" s="0"/>
      <c r="HYX115" s="0"/>
      <c r="HYY115" s="0"/>
      <c r="HYZ115" s="0"/>
      <c r="HZA115" s="0"/>
      <c r="HZB115" s="0"/>
      <c r="HZC115" s="0"/>
      <c r="HZD115" s="0"/>
      <c r="HZE115" s="0"/>
      <c r="HZF115" s="0"/>
      <c r="HZG115" s="0"/>
      <c r="HZH115" s="0"/>
      <c r="HZI115" s="0"/>
      <c r="HZJ115" s="0"/>
      <c r="HZK115" s="0"/>
      <c r="HZL115" s="0"/>
      <c r="HZM115" s="0"/>
      <c r="HZN115" s="0"/>
      <c r="HZO115" s="0"/>
      <c r="HZP115" s="0"/>
      <c r="HZQ115" s="0"/>
      <c r="HZR115" s="0"/>
      <c r="HZS115" s="0"/>
      <c r="HZT115" s="0"/>
      <c r="HZU115" s="0"/>
      <c r="HZV115" s="0"/>
      <c r="HZW115" s="0"/>
      <c r="HZX115" s="0"/>
      <c r="HZY115" s="0"/>
      <c r="HZZ115" s="0"/>
      <c r="IAA115" s="0"/>
      <c r="IAB115" s="0"/>
      <c r="IAC115" s="0"/>
      <c r="IAD115" s="0"/>
      <c r="IAE115" s="0"/>
      <c r="IAF115" s="0"/>
      <c r="IAG115" s="0"/>
      <c r="IAH115" s="0"/>
      <c r="IAI115" s="0"/>
      <c r="IAJ115" s="0"/>
      <c r="IAK115" s="0"/>
      <c r="IAL115" s="0"/>
      <c r="IAM115" s="0"/>
      <c r="IAN115" s="0"/>
      <c r="IAO115" s="0"/>
      <c r="IAP115" s="0"/>
      <c r="IAQ115" s="0"/>
      <c r="IAR115" s="0"/>
      <c r="IAS115" s="0"/>
      <c r="IAT115" s="0"/>
      <c r="IAU115" s="0"/>
      <c r="IAV115" s="0"/>
      <c r="IAW115" s="0"/>
      <c r="IAX115" s="0"/>
      <c r="IAY115" s="0"/>
      <c r="IAZ115" s="0"/>
      <c r="IBA115" s="0"/>
      <c r="IBB115" s="0"/>
      <c r="IBC115" s="0"/>
      <c r="IBD115" s="0"/>
      <c r="IBE115" s="0"/>
      <c r="IBF115" s="0"/>
      <c r="IBG115" s="0"/>
      <c r="IBH115" s="0"/>
      <c r="IBI115" s="0"/>
      <c r="IBJ115" s="0"/>
      <c r="IBK115" s="0"/>
      <c r="IBL115" s="0"/>
      <c r="IBM115" s="0"/>
      <c r="IBN115" s="0"/>
      <c r="IBO115" s="0"/>
      <c r="IBP115" s="0"/>
      <c r="IBQ115" s="0"/>
      <c r="IBR115" s="0"/>
      <c r="IBS115" s="0"/>
      <c r="IBT115" s="0"/>
      <c r="IBU115" s="0"/>
      <c r="IBV115" s="0"/>
      <c r="IBW115" s="0"/>
      <c r="IBX115" s="0"/>
      <c r="IBY115" s="0"/>
      <c r="IBZ115" s="0"/>
      <c r="ICA115" s="0"/>
      <c r="ICB115" s="0"/>
      <c r="ICC115" s="0"/>
      <c r="ICD115" s="0"/>
      <c r="ICE115" s="0"/>
      <c r="ICF115" s="0"/>
      <c r="ICG115" s="0"/>
      <c r="ICH115" s="0"/>
      <c r="ICI115" s="0"/>
      <c r="ICJ115" s="0"/>
      <c r="ICK115" s="0"/>
      <c r="ICL115" s="0"/>
      <c r="ICM115" s="0"/>
      <c r="ICN115" s="0"/>
      <c r="ICO115" s="0"/>
      <c r="ICP115" s="0"/>
      <c r="ICQ115" s="0"/>
      <c r="ICR115" s="0"/>
      <c r="ICS115" s="0"/>
      <c r="ICT115" s="0"/>
      <c r="ICU115" s="0"/>
      <c r="ICV115" s="0"/>
      <c r="ICW115" s="0"/>
      <c r="ICX115" s="0"/>
      <c r="ICY115" s="0"/>
      <c r="ICZ115" s="0"/>
      <c r="IDA115" s="0"/>
      <c r="IDB115" s="0"/>
      <c r="IDC115" s="0"/>
      <c r="IDD115" s="0"/>
      <c r="IDE115" s="0"/>
      <c r="IDF115" s="0"/>
      <c r="IDG115" s="0"/>
      <c r="IDH115" s="0"/>
      <c r="IDI115" s="0"/>
      <c r="IDJ115" s="0"/>
      <c r="IDK115" s="0"/>
      <c r="IDL115" s="0"/>
      <c r="IDM115" s="0"/>
      <c r="IDN115" s="0"/>
      <c r="IDO115" s="0"/>
      <c r="IDP115" s="0"/>
      <c r="IDQ115" s="0"/>
      <c r="IDR115" s="0"/>
      <c r="IDS115" s="0"/>
      <c r="IDT115" s="0"/>
      <c r="IDU115" s="0"/>
      <c r="IDV115" s="0"/>
      <c r="IDW115" s="0"/>
      <c r="IDX115" s="0"/>
      <c r="IDY115" s="0"/>
      <c r="IDZ115" s="0"/>
      <c r="IEA115" s="0"/>
      <c r="IEB115" s="0"/>
      <c r="IEC115" s="0"/>
      <c r="IED115" s="0"/>
      <c r="IEE115" s="0"/>
      <c r="IEF115" s="0"/>
      <c r="IEG115" s="0"/>
      <c r="IEH115" s="0"/>
      <c r="IEI115" s="0"/>
      <c r="IEJ115" s="0"/>
      <c r="IEK115" s="0"/>
      <c r="IEL115" s="0"/>
      <c r="IEM115" s="0"/>
      <c r="IEN115" s="0"/>
      <c r="IEO115" s="0"/>
      <c r="IEP115" s="0"/>
      <c r="IEQ115" s="0"/>
      <c r="IER115" s="0"/>
      <c r="IES115" s="0"/>
      <c r="IET115" s="0"/>
      <c r="IEU115" s="0"/>
      <c r="IEV115" s="0"/>
      <c r="IEW115" s="0"/>
      <c r="IEX115" s="0"/>
      <c r="IEY115" s="0"/>
      <c r="IEZ115" s="0"/>
      <c r="IFA115" s="0"/>
      <c r="IFB115" s="0"/>
      <c r="IFC115" s="0"/>
      <c r="IFD115" s="0"/>
      <c r="IFE115" s="0"/>
      <c r="IFF115" s="0"/>
      <c r="IFG115" s="0"/>
      <c r="IFH115" s="0"/>
      <c r="IFI115" s="0"/>
      <c r="IFJ115" s="0"/>
      <c r="IFK115" s="0"/>
      <c r="IFL115" s="0"/>
      <c r="IFM115" s="0"/>
      <c r="IFN115" s="0"/>
      <c r="IFO115" s="0"/>
      <c r="IFP115" s="0"/>
      <c r="IFQ115" s="0"/>
      <c r="IFR115" s="0"/>
      <c r="IFS115" s="0"/>
      <c r="IFT115" s="0"/>
      <c r="IFU115" s="0"/>
      <c r="IFV115" s="0"/>
      <c r="IFW115" s="0"/>
      <c r="IFX115" s="0"/>
      <c r="IFY115" s="0"/>
      <c r="IFZ115" s="0"/>
      <c r="IGA115" s="0"/>
      <c r="IGB115" s="0"/>
      <c r="IGC115" s="0"/>
      <c r="IGD115" s="0"/>
      <c r="IGE115" s="0"/>
      <c r="IGF115" s="0"/>
      <c r="IGG115" s="0"/>
      <c r="IGH115" s="0"/>
      <c r="IGI115" s="0"/>
      <c r="IGJ115" s="0"/>
      <c r="IGK115" s="0"/>
      <c r="IGL115" s="0"/>
      <c r="IGM115" s="0"/>
      <c r="IGN115" s="0"/>
      <c r="IGO115" s="0"/>
      <c r="IGP115" s="0"/>
      <c r="IGQ115" s="0"/>
      <c r="IGR115" s="0"/>
      <c r="IGS115" s="0"/>
      <c r="IGT115" s="0"/>
      <c r="IGU115" s="0"/>
      <c r="IGV115" s="0"/>
      <c r="IGW115" s="0"/>
      <c r="IGX115" s="0"/>
      <c r="IGY115" s="0"/>
      <c r="IGZ115" s="0"/>
      <c r="IHA115" s="0"/>
      <c r="IHB115" s="0"/>
      <c r="IHC115" s="0"/>
      <c r="IHD115" s="0"/>
      <c r="IHE115" s="0"/>
      <c r="IHF115" s="0"/>
      <c r="IHG115" s="0"/>
      <c r="IHH115" s="0"/>
      <c r="IHI115" s="0"/>
      <c r="IHJ115" s="0"/>
      <c r="IHK115" s="0"/>
      <c r="IHL115" s="0"/>
      <c r="IHM115" s="0"/>
      <c r="IHN115" s="0"/>
      <c r="IHO115" s="0"/>
      <c r="IHP115" s="0"/>
      <c r="IHQ115" s="0"/>
      <c r="IHR115" s="0"/>
      <c r="IHS115" s="0"/>
      <c r="IHT115" s="0"/>
      <c r="IHU115" s="0"/>
      <c r="IHV115" s="0"/>
      <c r="IHW115" s="0"/>
      <c r="IHX115" s="0"/>
      <c r="IHY115" s="0"/>
      <c r="IHZ115" s="0"/>
      <c r="IIA115" s="0"/>
      <c r="IIB115" s="0"/>
      <c r="IIC115" s="0"/>
      <c r="IID115" s="0"/>
      <c r="IIE115" s="0"/>
      <c r="IIF115" s="0"/>
      <c r="IIG115" s="0"/>
      <c r="IIH115" s="0"/>
      <c r="III115" s="0"/>
      <c r="IIJ115" s="0"/>
      <c r="IIK115" s="0"/>
      <c r="IIL115" s="0"/>
      <c r="IIM115" s="0"/>
      <c r="IIN115" s="0"/>
      <c r="IIO115" s="0"/>
      <c r="IIP115" s="0"/>
      <c r="IIQ115" s="0"/>
      <c r="IIR115" s="0"/>
      <c r="IIS115" s="0"/>
      <c r="IIT115" s="0"/>
      <c r="IIU115" s="0"/>
      <c r="IIV115" s="0"/>
      <c r="IIW115" s="0"/>
      <c r="IIX115" s="0"/>
      <c r="IIY115" s="0"/>
      <c r="IIZ115" s="0"/>
      <c r="IJA115" s="0"/>
      <c r="IJB115" s="0"/>
      <c r="IJC115" s="0"/>
      <c r="IJD115" s="0"/>
      <c r="IJE115" s="0"/>
      <c r="IJF115" s="0"/>
      <c r="IJG115" s="0"/>
      <c r="IJH115" s="0"/>
      <c r="IJI115" s="0"/>
      <c r="IJJ115" s="0"/>
      <c r="IJK115" s="0"/>
      <c r="IJL115" s="0"/>
      <c r="IJM115" s="0"/>
      <c r="IJN115" s="0"/>
      <c r="IJO115" s="0"/>
      <c r="IJP115" s="0"/>
      <c r="IJQ115" s="0"/>
      <c r="IJR115" s="0"/>
      <c r="IJS115" s="0"/>
      <c r="IJT115" s="0"/>
      <c r="IJU115" s="0"/>
      <c r="IJV115" s="0"/>
      <c r="IJW115" s="0"/>
      <c r="IJX115" s="0"/>
      <c r="IJY115" s="0"/>
      <c r="IJZ115" s="0"/>
      <c r="IKA115" s="0"/>
      <c r="IKB115" s="0"/>
      <c r="IKC115" s="0"/>
      <c r="IKD115" s="0"/>
      <c r="IKE115" s="0"/>
      <c r="IKF115" s="0"/>
      <c r="IKG115" s="0"/>
      <c r="IKH115" s="0"/>
      <c r="IKI115" s="0"/>
      <c r="IKJ115" s="0"/>
      <c r="IKK115" s="0"/>
      <c r="IKL115" s="0"/>
      <c r="IKM115" s="0"/>
      <c r="IKN115" s="0"/>
      <c r="IKO115" s="0"/>
      <c r="IKP115" s="0"/>
      <c r="IKQ115" s="0"/>
      <c r="IKR115" s="0"/>
      <c r="IKS115" s="0"/>
      <c r="IKT115" s="0"/>
      <c r="IKU115" s="0"/>
      <c r="IKV115" s="0"/>
      <c r="IKW115" s="0"/>
      <c r="IKX115" s="0"/>
      <c r="IKY115" s="0"/>
      <c r="IKZ115" s="0"/>
      <c r="ILA115" s="0"/>
      <c r="ILB115" s="0"/>
      <c r="ILC115" s="0"/>
      <c r="ILD115" s="0"/>
      <c r="ILE115" s="0"/>
      <c r="ILF115" s="0"/>
      <c r="ILG115" s="0"/>
      <c r="ILH115" s="0"/>
      <c r="ILI115" s="0"/>
      <c r="ILJ115" s="0"/>
      <c r="ILK115" s="0"/>
      <c r="ILL115" s="0"/>
      <c r="ILM115" s="0"/>
      <c r="ILN115" s="0"/>
      <c r="ILO115" s="0"/>
      <c r="ILP115" s="0"/>
      <c r="ILQ115" s="0"/>
      <c r="ILR115" s="0"/>
      <c r="ILS115" s="0"/>
      <c r="ILT115" s="0"/>
      <c r="ILU115" s="0"/>
      <c r="ILV115" s="0"/>
      <c r="ILW115" s="0"/>
      <c r="ILX115" s="0"/>
      <c r="ILY115" s="0"/>
      <c r="ILZ115" s="0"/>
      <c r="IMA115" s="0"/>
      <c r="IMB115" s="0"/>
      <c r="IMC115" s="0"/>
      <c r="IMD115" s="0"/>
      <c r="IME115" s="0"/>
      <c r="IMF115" s="0"/>
      <c r="IMG115" s="0"/>
      <c r="IMH115" s="0"/>
      <c r="IMI115" s="0"/>
      <c r="IMJ115" s="0"/>
      <c r="IMK115" s="0"/>
      <c r="IML115" s="0"/>
      <c r="IMM115" s="0"/>
      <c r="IMN115" s="0"/>
      <c r="IMO115" s="0"/>
      <c r="IMP115" s="0"/>
      <c r="IMQ115" s="0"/>
      <c r="IMR115" s="0"/>
      <c r="IMS115" s="0"/>
      <c r="IMT115" s="0"/>
      <c r="IMU115" s="0"/>
      <c r="IMV115" s="0"/>
      <c r="IMW115" s="0"/>
      <c r="IMX115" s="0"/>
      <c r="IMY115" s="0"/>
      <c r="IMZ115" s="0"/>
      <c r="INA115" s="0"/>
      <c r="INB115" s="0"/>
      <c r="INC115" s="0"/>
      <c r="IND115" s="0"/>
      <c r="INE115" s="0"/>
      <c r="INF115" s="0"/>
      <c r="ING115" s="0"/>
      <c r="INH115" s="0"/>
      <c r="INI115" s="0"/>
      <c r="INJ115" s="0"/>
      <c r="INK115" s="0"/>
      <c r="INL115" s="0"/>
      <c r="INM115" s="0"/>
      <c r="INN115" s="0"/>
      <c r="INO115" s="0"/>
      <c r="INP115" s="0"/>
      <c r="INQ115" s="0"/>
      <c r="INR115" s="0"/>
      <c r="INS115" s="0"/>
      <c r="INT115" s="0"/>
      <c r="INU115" s="0"/>
      <c r="INV115" s="0"/>
      <c r="INW115" s="0"/>
      <c r="INX115" s="0"/>
      <c r="INY115" s="0"/>
      <c r="INZ115" s="0"/>
      <c r="IOA115" s="0"/>
      <c r="IOB115" s="0"/>
      <c r="IOC115" s="0"/>
      <c r="IOD115" s="0"/>
      <c r="IOE115" s="0"/>
      <c r="IOF115" s="0"/>
      <c r="IOG115" s="0"/>
      <c r="IOH115" s="0"/>
      <c r="IOI115" s="0"/>
      <c r="IOJ115" s="0"/>
      <c r="IOK115" s="0"/>
      <c r="IOL115" s="0"/>
      <c r="IOM115" s="0"/>
      <c r="ION115" s="0"/>
      <c r="IOO115" s="0"/>
      <c r="IOP115" s="0"/>
      <c r="IOQ115" s="0"/>
      <c r="IOR115" s="0"/>
      <c r="IOS115" s="0"/>
      <c r="IOT115" s="0"/>
      <c r="IOU115" s="0"/>
      <c r="IOV115" s="0"/>
      <c r="IOW115" s="0"/>
      <c r="IOX115" s="0"/>
      <c r="IOY115" s="0"/>
      <c r="IOZ115" s="0"/>
      <c r="IPA115" s="0"/>
      <c r="IPB115" s="0"/>
      <c r="IPC115" s="0"/>
      <c r="IPD115" s="0"/>
      <c r="IPE115" s="0"/>
      <c r="IPF115" s="0"/>
      <c r="IPG115" s="0"/>
      <c r="IPH115" s="0"/>
      <c r="IPI115" s="0"/>
      <c r="IPJ115" s="0"/>
      <c r="IPK115" s="0"/>
      <c r="IPL115" s="0"/>
      <c r="IPM115" s="0"/>
      <c r="IPN115" s="0"/>
      <c r="IPO115" s="0"/>
      <c r="IPP115" s="0"/>
      <c r="IPQ115" s="0"/>
      <c r="IPR115" s="0"/>
      <c r="IPS115" s="0"/>
      <c r="IPT115" s="0"/>
      <c r="IPU115" s="0"/>
      <c r="IPV115" s="0"/>
      <c r="IPW115" s="0"/>
      <c r="IPX115" s="0"/>
      <c r="IPY115" s="0"/>
      <c r="IPZ115" s="0"/>
      <c r="IQA115" s="0"/>
      <c r="IQB115" s="0"/>
      <c r="IQC115" s="0"/>
      <c r="IQD115" s="0"/>
      <c r="IQE115" s="0"/>
      <c r="IQF115" s="0"/>
      <c r="IQG115" s="0"/>
      <c r="IQH115" s="0"/>
      <c r="IQI115" s="0"/>
      <c r="IQJ115" s="0"/>
      <c r="IQK115" s="0"/>
      <c r="IQL115" s="0"/>
      <c r="IQM115" s="0"/>
      <c r="IQN115" s="0"/>
      <c r="IQO115" s="0"/>
      <c r="IQP115" s="0"/>
      <c r="IQQ115" s="0"/>
      <c r="IQR115" s="0"/>
      <c r="IQS115" s="0"/>
      <c r="IQT115" s="0"/>
      <c r="IQU115" s="0"/>
      <c r="IQV115" s="0"/>
      <c r="IQW115" s="0"/>
      <c r="IQX115" s="0"/>
      <c r="IQY115" s="0"/>
      <c r="IQZ115" s="0"/>
      <c r="IRA115" s="0"/>
      <c r="IRB115" s="0"/>
      <c r="IRC115" s="0"/>
      <c r="IRD115" s="0"/>
      <c r="IRE115" s="0"/>
      <c r="IRF115" s="0"/>
      <c r="IRG115" s="0"/>
      <c r="IRH115" s="0"/>
      <c r="IRI115" s="0"/>
      <c r="IRJ115" s="0"/>
      <c r="IRK115" s="0"/>
      <c r="IRL115" s="0"/>
      <c r="IRM115" s="0"/>
      <c r="IRN115" s="0"/>
      <c r="IRO115" s="0"/>
      <c r="IRP115" s="0"/>
      <c r="IRQ115" s="0"/>
      <c r="IRR115" s="0"/>
      <c r="IRS115" s="0"/>
      <c r="IRT115" s="0"/>
      <c r="IRU115" s="0"/>
      <c r="IRV115" s="0"/>
      <c r="IRW115" s="0"/>
      <c r="IRX115" s="0"/>
      <c r="IRY115" s="0"/>
      <c r="IRZ115" s="0"/>
      <c r="ISA115" s="0"/>
      <c r="ISB115" s="0"/>
      <c r="ISC115" s="0"/>
      <c r="ISD115" s="0"/>
      <c r="ISE115" s="0"/>
      <c r="ISF115" s="0"/>
      <c r="ISG115" s="0"/>
      <c r="ISH115" s="0"/>
      <c r="ISI115" s="0"/>
      <c r="ISJ115" s="0"/>
      <c r="ISK115" s="0"/>
      <c r="ISL115" s="0"/>
      <c r="ISM115" s="0"/>
      <c r="ISN115" s="0"/>
      <c r="ISO115" s="0"/>
      <c r="ISP115" s="0"/>
      <c r="ISQ115" s="0"/>
      <c r="ISR115" s="0"/>
      <c r="ISS115" s="0"/>
      <c r="IST115" s="0"/>
      <c r="ISU115" s="0"/>
      <c r="ISV115" s="0"/>
      <c r="ISW115" s="0"/>
      <c r="ISX115" s="0"/>
      <c r="ISY115" s="0"/>
      <c r="ISZ115" s="0"/>
      <c r="ITA115" s="0"/>
      <c r="ITB115" s="0"/>
      <c r="ITC115" s="0"/>
      <c r="ITD115" s="0"/>
      <c r="ITE115" s="0"/>
      <c r="ITF115" s="0"/>
      <c r="ITG115" s="0"/>
      <c r="ITH115" s="0"/>
      <c r="ITI115" s="0"/>
      <c r="ITJ115" s="0"/>
      <c r="ITK115" s="0"/>
      <c r="ITL115" s="0"/>
      <c r="ITM115" s="0"/>
      <c r="ITN115" s="0"/>
      <c r="ITO115" s="0"/>
      <c r="ITP115" s="0"/>
      <c r="ITQ115" s="0"/>
      <c r="ITR115" s="0"/>
      <c r="ITS115" s="0"/>
      <c r="ITT115" s="0"/>
      <c r="ITU115" s="0"/>
      <c r="ITV115" s="0"/>
      <c r="ITW115" s="0"/>
      <c r="ITX115" s="0"/>
      <c r="ITY115" s="0"/>
      <c r="ITZ115" s="0"/>
      <c r="IUA115" s="0"/>
      <c r="IUB115" s="0"/>
      <c r="IUC115" s="0"/>
      <c r="IUD115" s="0"/>
      <c r="IUE115" s="0"/>
      <c r="IUF115" s="0"/>
      <c r="IUG115" s="0"/>
      <c r="IUH115" s="0"/>
      <c r="IUI115" s="0"/>
      <c r="IUJ115" s="0"/>
      <c r="IUK115" s="0"/>
      <c r="IUL115" s="0"/>
      <c r="IUM115" s="0"/>
      <c r="IUN115" s="0"/>
      <c r="IUO115" s="0"/>
      <c r="IUP115" s="0"/>
      <c r="IUQ115" s="0"/>
      <c r="IUR115" s="0"/>
      <c r="IUS115" s="0"/>
      <c r="IUT115" s="0"/>
      <c r="IUU115" s="0"/>
      <c r="IUV115" s="0"/>
      <c r="IUW115" s="0"/>
      <c r="IUX115" s="0"/>
      <c r="IUY115" s="0"/>
      <c r="IUZ115" s="0"/>
      <c r="IVA115" s="0"/>
      <c r="IVB115" s="0"/>
      <c r="IVC115" s="0"/>
      <c r="IVD115" s="0"/>
      <c r="IVE115" s="0"/>
      <c r="IVF115" s="0"/>
      <c r="IVG115" s="0"/>
      <c r="IVH115" s="0"/>
      <c r="IVI115" s="0"/>
      <c r="IVJ115" s="0"/>
      <c r="IVK115" s="0"/>
      <c r="IVL115" s="0"/>
      <c r="IVM115" s="0"/>
      <c r="IVN115" s="0"/>
      <c r="IVO115" s="0"/>
      <c r="IVP115" s="0"/>
      <c r="IVQ115" s="0"/>
      <c r="IVR115" s="0"/>
      <c r="IVS115" s="0"/>
      <c r="IVT115" s="0"/>
      <c r="IVU115" s="0"/>
      <c r="IVV115" s="0"/>
      <c r="IVW115" s="0"/>
      <c r="IVX115" s="0"/>
      <c r="IVY115" s="0"/>
      <c r="IVZ115" s="0"/>
      <c r="IWA115" s="0"/>
      <c r="IWB115" s="0"/>
      <c r="IWC115" s="0"/>
      <c r="IWD115" s="0"/>
      <c r="IWE115" s="0"/>
      <c r="IWF115" s="0"/>
      <c r="IWG115" s="0"/>
      <c r="IWH115" s="0"/>
      <c r="IWI115" s="0"/>
      <c r="IWJ115" s="0"/>
      <c r="IWK115" s="0"/>
      <c r="IWL115" s="0"/>
      <c r="IWM115" s="0"/>
      <c r="IWN115" s="0"/>
      <c r="IWO115" s="0"/>
      <c r="IWP115" s="0"/>
      <c r="IWQ115" s="0"/>
      <c r="IWR115" s="0"/>
      <c r="IWS115" s="0"/>
      <c r="IWT115" s="0"/>
      <c r="IWU115" s="0"/>
      <c r="IWV115" s="0"/>
      <c r="IWW115" s="0"/>
      <c r="IWX115" s="0"/>
      <c r="IWY115" s="0"/>
      <c r="IWZ115" s="0"/>
      <c r="IXA115" s="0"/>
      <c r="IXB115" s="0"/>
      <c r="IXC115" s="0"/>
      <c r="IXD115" s="0"/>
      <c r="IXE115" s="0"/>
      <c r="IXF115" s="0"/>
      <c r="IXG115" s="0"/>
      <c r="IXH115" s="0"/>
      <c r="IXI115" s="0"/>
      <c r="IXJ115" s="0"/>
      <c r="IXK115" s="0"/>
      <c r="IXL115" s="0"/>
      <c r="IXM115" s="0"/>
      <c r="IXN115" s="0"/>
      <c r="IXO115" s="0"/>
      <c r="IXP115" s="0"/>
      <c r="IXQ115" s="0"/>
      <c r="IXR115" s="0"/>
      <c r="IXS115" s="0"/>
      <c r="IXT115" s="0"/>
      <c r="IXU115" s="0"/>
      <c r="IXV115" s="0"/>
      <c r="IXW115" s="0"/>
      <c r="IXX115" s="0"/>
      <c r="IXY115" s="0"/>
      <c r="IXZ115" s="0"/>
      <c r="IYA115" s="0"/>
      <c r="IYB115" s="0"/>
      <c r="IYC115" s="0"/>
      <c r="IYD115" s="0"/>
      <c r="IYE115" s="0"/>
      <c r="IYF115" s="0"/>
      <c r="IYG115" s="0"/>
      <c r="IYH115" s="0"/>
      <c r="IYI115" s="0"/>
      <c r="IYJ115" s="0"/>
      <c r="IYK115" s="0"/>
      <c r="IYL115" s="0"/>
      <c r="IYM115" s="0"/>
      <c r="IYN115" s="0"/>
      <c r="IYO115" s="0"/>
      <c r="IYP115" s="0"/>
      <c r="IYQ115" s="0"/>
      <c r="IYR115" s="0"/>
      <c r="IYS115" s="0"/>
      <c r="IYT115" s="0"/>
      <c r="IYU115" s="0"/>
      <c r="IYV115" s="0"/>
      <c r="IYW115" s="0"/>
      <c r="IYX115" s="0"/>
      <c r="IYY115" s="0"/>
      <c r="IYZ115" s="0"/>
      <c r="IZA115" s="0"/>
      <c r="IZB115" s="0"/>
      <c r="IZC115" s="0"/>
      <c r="IZD115" s="0"/>
      <c r="IZE115" s="0"/>
      <c r="IZF115" s="0"/>
      <c r="IZG115" s="0"/>
      <c r="IZH115" s="0"/>
      <c r="IZI115" s="0"/>
      <c r="IZJ115" s="0"/>
      <c r="IZK115" s="0"/>
      <c r="IZL115" s="0"/>
      <c r="IZM115" s="0"/>
      <c r="IZN115" s="0"/>
      <c r="IZO115" s="0"/>
      <c r="IZP115" s="0"/>
      <c r="IZQ115" s="0"/>
      <c r="IZR115" s="0"/>
      <c r="IZS115" s="0"/>
      <c r="IZT115" s="0"/>
      <c r="IZU115" s="0"/>
      <c r="IZV115" s="0"/>
      <c r="IZW115" s="0"/>
      <c r="IZX115" s="0"/>
      <c r="IZY115" s="0"/>
      <c r="IZZ115" s="0"/>
      <c r="JAA115" s="0"/>
      <c r="JAB115" s="0"/>
      <c r="JAC115" s="0"/>
      <c r="JAD115" s="0"/>
      <c r="JAE115" s="0"/>
      <c r="JAF115" s="0"/>
      <c r="JAG115" s="0"/>
      <c r="JAH115" s="0"/>
      <c r="JAI115" s="0"/>
      <c r="JAJ115" s="0"/>
      <c r="JAK115" s="0"/>
      <c r="JAL115" s="0"/>
      <c r="JAM115" s="0"/>
      <c r="JAN115" s="0"/>
      <c r="JAO115" s="0"/>
      <c r="JAP115" s="0"/>
      <c r="JAQ115" s="0"/>
      <c r="JAR115" s="0"/>
      <c r="JAS115" s="0"/>
      <c r="JAT115" s="0"/>
      <c r="JAU115" s="0"/>
      <c r="JAV115" s="0"/>
      <c r="JAW115" s="0"/>
      <c r="JAX115" s="0"/>
      <c r="JAY115" s="0"/>
      <c r="JAZ115" s="0"/>
      <c r="JBA115" s="0"/>
      <c r="JBB115" s="0"/>
      <c r="JBC115" s="0"/>
      <c r="JBD115" s="0"/>
      <c r="JBE115" s="0"/>
      <c r="JBF115" s="0"/>
      <c r="JBG115" s="0"/>
      <c r="JBH115" s="0"/>
      <c r="JBI115" s="0"/>
      <c r="JBJ115" s="0"/>
      <c r="JBK115" s="0"/>
      <c r="JBL115" s="0"/>
      <c r="JBM115" s="0"/>
      <c r="JBN115" s="0"/>
      <c r="JBO115" s="0"/>
      <c r="JBP115" s="0"/>
      <c r="JBQ115" s="0"/>
      <c r="JBR115" s="0"/>
      <c r="JBS115" s="0"/>
      <c r="JBT115" s="0"/>
      <c r="JBU115" s="0"/>
      <c r="JBV115" s="0"/>
      <c r="JBW115" s="0"/>
      <c r="JBX115" s="0"/>
      <c r="JBY115" s="0"/>
      <c r="JBZ115" s="0"/>
      <c r="JCA115" s="0"/>
      <c r="JCB115" s="0"/>
      <c r="JCC115" s="0"/>
      <c r="JCD115" s="0"/>
      <c r="JCE115" s="0"/>
      <c r="JCF115" s="0"/>
      <c r="JCG115" s="0"/>
      <c r="JCH115" s="0"/>
      <c r="JCI115" s="0"/>
      <c r="JCJ115" s="0"/>
      <c r="JCK115" s="0"/>
      <c r="JCL115" s="0"/>
      <c r="JCM115" s="0"/>
      <c r="JCN115" s="0"/>
      <c r="JCO115" s="0"/>
      <c r="JCP115" s="0"/>
      <c r="JCQ115" s="0"/>
      <c r="JCR115" s="0"/>
      <c r="JCS115" s="0"/>
      <c r="JCT115" s="0"/>
      <c r="JCU115" s="0"/>
      <c r="JCV115" s="0"/>
      <c r="JCW115" s="0"/>
      <c r="JCX115" s="0"/>
      <c r="JCY115" s="0"/>
      <c r="JCZ115" s="0"/>
      <c r="JDA115" s="0"/>
      <c r="JDB115" s="0"/>
      <c r="JDC115" s="0"/>
      <c r="JDD115" s="0"/>
      <c r="JDE115" s="0"/>
      <c r="JDF115" s="0"/>
      <c r="JDG115" s="0"/>
      <c r="JDH115" s="0"/>
      <c r="JDI115" s="0"/>
      <c r="JDJ115" s="0"/>
      <c r="JDK115" s="0"/>
      <c r="JDL115" s="0"/>
      <c r="JDM115" s="0"/>
      <c r="JDN115" s="0"/>
      <c r="JDO115" s="0"/>
      <c r="JDP115" s="0"/>
      <c r="JDQ115" s="0"/>
      <c r="JDR115" s="0"/>
      <c r="JDS115" s="0"/>
      <c r="JDT115" s="0"/>
      <c r="JDU115" s="0"/>
      <c r="JDV115" s="0"/>
      <c r="JDW115" s="0"/>
      <c r="JDX115" s="0"/>
      <c r="JDY115" s="0"/>
      <c r="JDZ115" s="0"/>
      <c r="JEA115" s="0"/>
      <c r="JEB115" s="0"/>
      <c r="JEC115" s="0"/>
      <c r="JED115" s="0"/>
      <c r="JEE115" s="0"/>
      <c r="JEF115" s="0"/>
      <c r="JEG115" s="0"/>
      <c r="JEH115" s="0"/>
      <c r="JEI115" s="0"/>
      <c r="JEJ115" s="0"/>
      <c r="JEK115" s="0"/>
      <c r="JEL115" s="0"/>
      <c r="JEM115" s="0"/>
      <c r="JEN115" s="0"/>
      <c r="JEO115" s="0"/>
      <c r="JEP115" s="0"/>
      <c r="JEQ115" s="0"/>
      <c r="JER115" s="0"/>
      <c r="JES115" s="0"/>
      <c r="JET115" s="0"/>
      <c r="JEU115" s="0"/>
      <c r="JEV115" s="0"/>
      <c r="JEW115" s="0"/>
      <c r="JEX115" s="0"/>
      <c r="JEY115" s="0"/>
      <c r="JEZ115" s="0"/>
      <c r="JFA115" s="0"/>
      <c r="JFB115" s="0"/>
      <c r="JFC115" s="0"/>
      <c r="JFD115" s="0"/>
      <c r="JFE115" s="0"/>
      <c r="JFF115" s="0"/>
      <c r="JFG115" s="0"/>
      <c r="JFH115" s="0"/>
      <c r="JFI115" s="0"/>
      <c r="JFJ115" s="0"/>
      <c r="JFK115" s="0"/>
      <c r="JFL115" s="0"/>
      <c r="JFM115" s="0"/>
      <c r="JFN115" s="0"/>
      <c r="JFO115" s="0"/>
      <c r="JFP115" s="0"/>
      <c r="JFQ115" s="0"/>
      <c r="JFR115" s="0"/>
      <c r="JFS115" s="0"/>
      <c r="JFT115" s="0"/>
      <c r="JFU115" s="0"/>
      <c r="JFV115" s="0"/>
      <c r="JFW115" s="0"/>
      <c r="JFX115" s="0"/>
      <c r="JFY115" s="0"/>
      <c r="JFZ115" s="0"/>
      <c r="JGA115" s="0"/>
      <c r="JGB115" s="0"/>
      <c r="JGC115" s="0"/>
      <c r="JGD115" s="0"/>
      <c r="JGE115" s="0"/>
      <c r="JGF115" s="0"/>
      <c r="JGG115" s="0"/>
      <c r="JGH115" s="0"/>
      <c r="JGI115" s="0"/>
      <c r="JGJ115" s="0"/>
      <c r="JGK115" s="0"/>
      <c r="JGL115" s="0"/>
      <c r="JGM115" s="0"/>
      <c r="JGN115" s="0"/>
      <c r="JGO115" s="0"/>
      <c r="JGP115" s="0"/>
      <c r="JGQ115" s="0"/>
      <c r="JGR115" s="0"/>
      <c r="JGS115" s="0"/>
      <c r="JGT115" s="0"/>
      <c r="JGU115" s="0"/>
      <c r="JGV115" s="0"/>
      <c r="JGW115" s="0"/>
      <c r="JGX115" s="0"/>
      <c r="JGY115" s="0"/>
      <c r="JGZ115" s="0"/>
      <c r="JHA115" s="0"/>
      <c r="JHB115" s="0"/>
      <c r="JHC115" s="0"/>
      <c r="JHD115" s="0"/>
      <c r="JHE115" s="0"/>
      <c r="JHF115" s="0"/>
      <c r="JHG115" s="0"/>
      <c r="JHH115" s="0"/>
      <c r="JHI115" s="0"/>
      <c r="JHJ115" s="0"/>
      <c r="JHK115" s="0"/>
      <c r="JHL115" s="0"/>
      <c r="JHM115" s="0"/>
      <c r="JHN115" s="0"/>
      <c r="JHO115" s="0"/>
      <c r="JHP115" s="0"/>
      <c r="JHQ115" s="0"/>
      <c r="JHR115" s="0"/>
      <c r="JHS115" s="0"/>
      <c r="JHT115" s="0"/>
      <c r="JHU115" s="0"/>
      <c r="JHV115" s="0"/>
      <c r="JHW115" s="0"/>
      <c r="JHX115" s="0"/>
      <c r="JHY115" s="0"/>
      <c r="JHZ115" s="0"/>
      <c r="JIA115" s="0"/>
      <c r="JIB115" s="0"/>
      <c r="JIC115" s="0"/>
      <c r="JID115" s="0"/>
      <c r="JIE115" s="0"/>
      <c r="JIF115" s="0"/>
      <c r="JIG115" s="0"/>
      <c r="JIH115" s="0"/>
      <c r="JII115" s="0"/>
      <c r="JIJ115" s="0"/>
      <c r="JIK115" s="0"/>
      <c r="JIL115" s="0"/>
      <c r="JIM115" s="0"/>
      <c r="JIN115" s="0"/>
      <c r="JIO115" s="0"/>
      <c r="JIP115" s="0"/>
      <c r="JIQ115" s="0"/>
      <c r="JIR115" s="0"/>
      <c r="JIS115" s="0"/>
      <c r="JIT115" s="0"/>
      <c r="JIU115" s="0"/>
      <c r="JIV115" s="0"/>
      <c r="JIW115" s="0"/>
      <c r="JIX115" s="0"/>
      <c r="JIY115" s="0"/>
      <c r="JIZ115" s="0"/>
      <c r="JJA115" s="0"/>
      <c r="JJB115" s="0"/>
      <c r="JJC115" s="0"/>
      <c r="JJD115" s="0"/>
      <c r="JJE115" s="0"/>
      <c r="JJF115" s="0"/>
      <c r="JJG115" s="0"/>
      <c r="JJH115" s="0"/>
      <c r="JJI115" s="0"/>
      <c r="JJJ115" s="0"/>
      <c r="JJK115" s="0"/>
      <c r="JJL115" s="0"/>
      <c r="JJM115" s="0"/>
      <c r="JJN115" s="0"/>
      <c r="JJO115" s="0"/>
      <c r="JJP115" s="0"/>
      <c r="JJQ115" s="0"/>
      <c r="JJR115" s="0"/>
      <c r="JJS115" s="0"/>
      <c r="JJT115" s="0"/>
      <c r="JJU115" s="0"/>
      <c r="JJV115" s="0"/>
      <c r="JJW115" s="0"/>
      <c r="JJX115" s="0"/>
      <c r="JJY115" s="0"/>
      <c r="JJZ115" s="0"/>
      <c r="JKA115" s="0"/>
      <c r="JKB115" s="0"/>
      <c r="JKC115" s="0"/>
      <c r="JKD115" s="0"/>
      <c r="JKE115" s="0"/>
      <c r="JKF115" s="0"/>
      <c r="JKG115" s="0"/>
      <c r="JKH115" s="0"/>
      <c r="JKI115" s="0"/>
      <c r="JKJ115" s="0"/>
      <c r="JKK115" s="0"/>
      <c r="JKL115" s="0"/>
      <c r="JKM115" s="0"/>
      <c r="JKN115" s="0"/>
      <c r="JKO115" s="0"/>
      <c r="JKP115" s="0"/>
      <c r="JKQ115" s="0"/>
      <c r="JKR115" s="0"/>
      <c r="JKS115" s="0"/>
      <c r="JKT115" s="0"/>
      <c r="JKU115" s="0"/>
      <c r="JKV115" s="0"/>
      <c r="JKW115" s="0"/>
      <c r="JKX115" s="0"/>
      <c r="JKY115" s="0"/>
      <c r="JKZ115" s="0"/>
      <c r="JLA115" s="0"/>
      <c r="JLB115" s="0"/>
      <c r="JLC115" s="0"/>
      <c r="JLD115" s="0"/>
      <c r="JLE115" s="0"/>
      <c r="JLF115" s="0"/>
      <c r="JLG115" s="0"/>
      <c r="JLH115" s="0"/>
      <c r="JLI115" s="0"/>
      <c r="JLJ115" s="0"/>
      <c r="JLK115" s="0"/>
      <c r="JLL115" s="0"/>
      <c r="JLM115" s="0"/>
      <c r="JLN115" s="0"/>
      <c r="JLO115" s="0"/>
      <c r="JLP115" s="0"/>
      <c r="JLQ115" s="0"/>
      <c r="JLR115" s="0"/>
      <c r="JLS115" s="0"/>
      <c r="JLT115" s="0"/>
      <c r="JLU115" s="0"/>
      <c r="JLV115" s="0"/>
      <c r="JLW115" s="0"/>
      <c r="JLX115" s="0"/>
      <c r="JLY115" s="0"/>
      <c r="JLZ115" s="0"/>
      <c r="JMA115" s="0"/>
      <c r="JMB115" s="0"/>
      <c r="JMC115" s="0"/>
      <c r="JMD115" s="0"/>
      <c r="JME115" s="0"/>
      <c r="JMF115" s="0"/>
      <c r="JMG115" s="0"/>
      <c r="JMH115" s="0"/>
      <c r="JMI115" s="0"/>
      <c r="JMJ115" s="0"/>
      <c r="JMK115" s="0"/>
      <c r="JML115" s="0"/>
      <c r="JMM115" s="0"/>
      <c r="JMN115" s="0"/>
      <c r="JMO115" s="0"/>
      <c r="JMP115" s="0"/>
      <c r="JMQ115" s="0"/>
      <c r="JMR115" s="0"/>
      <c r="JMS115" s="0"/>
      <c r="JMT115" s="0"/>
      <c r="JMU115" s="0"/>
      <c r="JMV115" s="0"/>
      <c r="JMW115" s="0"/>
      <c r="JMX115" s="0"/>
      <c r="JMY115" s="0"/>
      <c r="JMZ115" s="0"/>
      <c r="JNA115" s="0"/>
      <c r="JNB115" s="0"/>
      <c r="JNC115" s="0"/>
      <c r="JND115" s="0"/>
      <c r="JNE115" s="0"/>
      <c r="JNF115" s="0"/>
      <c r="JNG115" s="0"/>
      <c r="JNH115" s="0"/>
      <c r="JNI115" s="0"/>
      <c r="JNJ115" s="0"/>
      <c r="JNK115" s="0"/>
      <c r="JNL115" s="0"/>
      <c r="JNM115" s="0"/>
      <c r="JNN115" s="0"/>
      <c r="JNO115" s="0"/>
      <c r="JNP115" s="0"/>
      <c r="JNQ115" s="0"/>
      <c r="JNR115" s="0"/>
      <c r="JNS115" s="0"/>
      <c r="JNT115" s="0"/>
      <c r="JNU115" s="0"/>
      <c r="JNV115" s="0"/>
      <c r="JNW115" s="0"/>
      <c r="JNX115" s="0"/>
      <c r="JNY115" s="0"/>
      <c r="JNZ115" s="0"/>
      <c r="JOA115" s="0"/>
      <c r="JOB115" s="0"/>
      <c r="JOC115" s="0"/>
      <c r="JOD115" s="0"/>
      <c r="JOE115" s="0"/>
      <c r="JOF115" s="0"/>
      <c r="JOG115" s="0"/>
      <c r="JOH115" s="0"/>
      <c r="JOI115" s="0"/>
      <c r="JOJ115" s="0"/>
      <c r="JOK115" s="0"/>
      <c r="JOL115" s="0"/>
      <c r="JOM115" s="0"/>
      <c r="JON115" s="0"/>
      <c r="JOO115" s="0"/>
      <c r="JOP115" s="0"/>
      <c r="JOQ115" s="0"/>
      <c r="JOR115" s="0"/>
      <c r="JOS115" s="0"/>
      <c r="JOT115" s="0"/>
      <c r="JOU115" s="0"/>
      <c r="JOV115" s="0"/>
      <c r="JOW115" s="0"/>
      <c r="JOX115" s="0"/>
      <c r="JOY115" s="0"/>
      <c r="JOZ115" s="0"/>
      <c r="JPA115" s="0"/>
      <c r="JPB115" s="0"/>
      <c r="JPC115" s="0"/>
      <c r="JPD115" s="0"/>
      <c r="JPE115" s="0"/>
      <c r="JPF115" s="0"/>
      <c r="JPG115" s="0"/>
      <c r="JPH115" s="0"/>
      <c r="JPI115" s="0"/>
      <c r="JPJ115" s="0"/>
      <c r="JPK115" s="0"/>
      <c r="JPL115" s="0"/>
      <c r="JPM115" s="0"/>
      <c r="JPN115" s="0"/>
      <c r="JPO115" s="0"/>
      <c r="JPP115" s="0"/>
      <c r="JPQ115" s="0"/>
      <c r="JPR115" s="0"/>
      <c r="JPS115" s="0"/>
      <c r="JPT115" s="0"/>
      <c r="JPU115" s="0"/>
      <c r="JPV115" s="0"/>
      <c r="JPW115" s="0"/>
      <c r="JPX115" s="0"/>
      <c r="JPY115" s="0"/>
      <c r="JPZ115" s="0"/>
      <c r="JQA115" s="0"/>
      <c r="JQB115" s="0"/>
      <c r="JQC115" s="0"/>
      <c r="JQD115" s="0"/>
      <c r="JQE115" s="0"/>
      <c r="JQF115" s="0"/>
      <c r="JQG115" s="0"/>
      <c r="JQH115" s="0"/>
      <c r="JQI115" s="0"/>
      <c r="JQJ115" s="0"/>
      <c r="JQK115" s="0"/>
      <c r="JQL115" s="0"/>
      <c r="JQM115" s="0"/>
      <c r="JQN115" s="0"/>
      <c r="JQO115" s="0"/>
      <c r="JQP115" s="0"/>
      <c r="JQQ115" s="0"/>
      <c r="JQR115" s="0"/>
      <c r="JQS115" s="0"/>
      <c r="JQT115" s="0"/>
      <c r="JQU115" s="0"/>
      <c r="JQV115" s="0"/>
      <c r="JQW115" s="0"/>
      <c r="JQX115" s="0"/>
      <c r="JQY115" s="0"/>
      <c r="JQZ115" s="0"/>
      <c r="JRA115" s="0"/>
      <c r="JRB115" s="0"/>
      <c r="JRC115" s="0"/>
      <c r="JRD115" s="0"/>
      <c r="JRE115" s="0"/>
      <c r="JRF115" s="0"/>
      <c r="JRG115" s="0"/>
      <c r="JRH115" s="0"/>
      <c r="JRI115" s="0"/>
      <c r="JRJ115" s="0"/>
      <c r="JRK115" s="0"/>
      <c r="JRL115" s="0"/>
      <c r="JRM115" s="0"/>
      <c r="JRN115" s="0"/>
      <c r="JRO115" s="0"/>
      <c r="JRP115" s="0"/>
      <c r="JRQ115" s="0"/>
      <c r="JRR115" s="0"/>
      <c r="JRS115" s="0"/>
      <c r="JRT115" s="0"/>
      <c r="JRU115" s="0"/>
      <c r="JRV115" s="0"/>
      <c r="JRW115" s="0"/>
      <c r="JRX115" s="0"/>
      <c r="JRY115" s="0"/>
      <c r="JRZ115" s="0"/>
      <c r="JSA115" s="0"/>
      <c r="JSB115" s="0"/>
      <c r="JSC115" s="0"/>
      <c r="JSD115" s="0"/>
      <c r="JSE115" s="0"/>
      <c r="JSF115" s="0"/>
      <c r="JSG115" s="0"/>
      <c r="JSH115" s="0"/>
      <c r="JSI115" s="0"/>
      <c r="JSJ115" s="0"/>
      <c r="JSK115" s="0"/>
      <c r="JSL115" s="0"/>
      <c r="JSM115" s="0"/>
      <c r="JSN115" s="0"/>
      <c r="JSO115" s="0"/>
      <c r="JSP115" s="0"/>
      <c r="JSQ115" s="0"/>
      <c r="JSR115" s="0"/>
      <c r="JSS115" s="0"/>
      <c r="JST115" s="0"/>
      <c r="JSU115" s="0"/>
      <c r="JSV115" s="0"/>
      <c r="JSW115" s="0"/>
      <c r="JSX115" s="0"/>
      <c r="JSY115" s="0"/>
      <c r="JSZ115" s="0"/>
      <c r="JTA115" s="0"/>
      <c r="JTB115" s="0"/>
      <c r="JTC115" s="0"/>
      <c r="JTD115" s="0"/>
      <c r="JTE115" s="0"/>
      <c r="JTF115" s="0"/>
      <c r="JTG115" s="0"/>
      <c r="JTH115" s="0"/>
      <c r="JTI115" s="0"/>
      <c r="JTJ115" s="0"/>
      <c r="JTK115" s="0"/>
      <c r="JTL115" s="0"/>
      <c r="JTM115" s="0"/>
      <c r="JTN115" s="0"/>
      <c r="JTO115" s="0"/>
      <c r="JTP115" s="0"/>
      <c r="JTQ115" s="0"/>
      <c r="JTR115" s="0"/>
      <c r="JTS115" s="0"/>
      <c r="JTT115" s="0"/>
      <c r="JTU115" s="0"/>
      <c r="JTV115" s="0"/>
      <c r="JTW115" s="0"/>
      <c r="JTX115" s="0"/>
      <c r="JTY115" s="0"/>
      <c r="JTZ115" s="0"/>
      <c r="JUA115" s="0"/>
      <c r="JUB115" s="0"/>
      <c r="JUC115" s="0"/>
      <c r="JUD115" s="0"/>
      <c r="JUE115" s="0"/>
      <c r="JUF115" s="0"/>
      <c r="JUG115" s="0"/>
      <c r="JUH115" s="0"/>
      <c r="JUI115" s="0"/>
      <c r="JUJ115" s="0"/>
      <c r="JUK115" s="0"/>
      <c r="JUL115" s="0"/>
      <c r="JUM115" s="0"/>
      <c r="JUN115" s="0"/>
      <c r="JUO115" s="0"/>
      <c r="JUP115" s="0"/>
      <c r="JUQ115" s="0"/>
      <c r="JUR115" s="0"/>
      <c r="JUS115" s="0"/>
      <c r="JUT115" s="0"/>
      <c r="JUU115" s="0"/>
      <c r="JUV115" s="0"/>
      <c r="JUW115" s="0"/>
      <c r="JUX115" s="0"/>
      <c r="JUY115" s="0"/>
      <c r="JUZ115" s="0"/>
      <c r="JVA115" s="0"/>
      <c r="JVB115" s="0"/>
      <c r="JVC115" s="0"/>
      <c r="JVD115" s="0"/>
      <c r="JVE115" s="0"/>
      <c r="JVF115" s="0"/>
      <c r="JVG115" s="0"/>
      <c r="JVH115" s="0"/>
      <c r="JVI115" s="0"/>
      <c r="JVJ115" s="0"/>
      <c r="JVK115" s="0"/>
      <c r="JVL115" s="0"/>
      <c r="JVM115" s="0"/>
      <c r="JVN115" s="0"/>
      <c r="JVO115" s="0"/>
      <c r="JVP115" s="0"/>
      <c r="JVQ115" s="0"/>
      <c r="JVR115" s="0"/>
      <c r="JVS115" s="0"/>
      <c r="JVT115" s="0"/>
      <c r="JVU115" s="0"/>
      <c r="JVV115" s="0"/>
      <c r="JVW115" s="0"/>
      <c r="JVX115" s="0"/>
      <c r="JVY115" s="0"/>
      <c r="JVZ115" s="0"/>
      <c r="JWA115" s="0"/>
      <c r="JWB115" s="0"/>
      <c r="JWC115" s="0"/>
      <c r="JWD115" s="0"/>
      <c r="JWE115" s="0"/>
      <c r="JWF115" s="0"/>
      <c r="JWG115" s="0"/>
      <c r="JWH115" s="0"/>
      <c r="JWI115" s="0"/>
      <c r="JWJ115" s="0"/>
      <c r="JWK115" s="0"/>
      <c r="JWL115" s="0"/>
      <c r="JWM115" s="0"/>
      <c r="JWN115" s="0"/>
      <c r="JWO115" s="0"/>
      <c r="JWP115" s="0"/>
      <c r="JWQ115" s="0"/>
      <c r="JWR115" s="0"/>
      <c r="JWS115" s="0"/>
      <c r="JWT115" s="0"/>
      <c r="JWU115" s="0"/>
      <c r="JWV115" s="0"/>
      <c r="JWW115" s="0"/>
      <c r="JWX115" s="0"/>
      <c r="JWY115" s="0"/>
      <c r="JWZ115" s="0"/>
      <c r="JXA115" s="0"/>
      <c r="JXB115" s="0"/>
      <c r="JXC115" s="0"/>
      <c r="JXD115" s="0"/>
      <c r="JXE115" s="0"/>
      <c r="JXF115" s="0"/>
      <c r="JXG115" s="0"/>
      <c r="JXH115" s="0"/>
      <c r="JXI115" s="0"/>
      <c r="JXJ115" s="0"/>
      <c r="JXK115" s="0"/>
      <c r="JXL115" s="0"/>
      <c r="JXM115" s="0"/>
      <c r="JXN115" s="0"/>
      <c r="JXO115" s="0"/>
      <c r="JXP115" s="0"/>
      <c r="JXQ115" s="0"/>
      <c r="JXR115" s="0"/>
      <c r="JXS115" s="0"/>
      <c r="JXT115" s="0"/>
      <c r="JXU115" s="0"/>
      <c r="JXV115" s="0"/>
      <c r="JXW115" s="0"/>
      <c r="JXX115" s="0"/>
      <c r="JXY115" s="0"/>
      <c r="JXZ115" s="0"/>
      <c r="JYA115" s="0"/>
      <c r="JYB115" s="0"/>
      <c r="JYC115" s="0"/>
      <c r="JYD115" s="0"/>
      <c r="JYE115" s="0"/>
      <c r="JYF115" s="0"/>
      <c r="JYG115" s="0"/>
      <c r="JYH115" s="0"/>
      <c r="JYI115" s="0"/>
      <c r="JYJ115" s="0"/>
      <c r="JYK115" s="0"/>
      <c r="JYL115" s="0"/>
      <c r="JYM115" s="0"/>
      <c r="JYN115" s="0"/>
      <c r="JYO115" s="0"/>
      <c r="JYP115" s="0"/>
      <c r="JYQ115" s="0"/>
      <c r="JYR115" s="0"/>
      <c r="JYS115" s="0"/>
      <c r="JYT115" s="0"/>
      <c r="JYU115" s="0"/>
      <c r="JYV115" s="0"/>
      <c r="JYW115" s="0"/>
      <c r="JYX115" s="0"/>
      <c r="JYY115" s="0"/>
      <c r="JYZ115" s="0"/>
      <c r="JZA115" s="0"/>
      <c r="JZB115" s="0"/>
      <c r="JZC115" s="0"/>
      <c r="JZD115" s="0"/>
      <c r="JZE115" s="0"/>
      <c r="JZF115" s="0"/>
      <c r="JZG115" s="0"/>
      <c r="JZH115" s="0"/>
      <c r="JZI115" s="0"/>
      <c r="JZJ115" s="0"/>
      <c r="JZK115" s="0"/>
      <c r="JZL115" s="0"/>
      <c r="JZM115" s="0"/>
      <c r="JZN115" s="0"/>
      <c r="JZO115" s="0"/>
      <c r="JZP115" s="0"/>
      <c r="JZQ115" s="0"/>
      <c r="JZR115" s="0"/>
      <c r="JZS115" s="0"/>
      <c r="JZT115" s="0"/>
      <c r="JZU115" s="0"/>
      <c r="JZV115" s="0"/>
      <c r="JZW115" s="0"/>
      <c r="JZX115" s="0"/>
      <c r="JZY115" s="0"/>
      <c r="JZZ115" s="0"/>
      <c r="KAA115" s="0"/>
      <c r="KAB115" s="0"/>
      <c r="KAC115" s="0"/>
      <c r="KAD115" s="0"/>
      <c r="KAE115" s="0"/>
      <c r="KAF115" s="0"/>
      <c r="KAG115" s="0"/>
      <c r="KAH115" s="0"/>
      <c r="KAI115" s="0"/>
      <c r="KAJ115" s="0"/>
      <c r="KAK115" s="0"/>
      <c r="KAL115" s="0"/>
      <c r="KAM115" s="0"/>
      <c r="KAN115" s="0"/>
      <c r="KAO115" s="0"/>
      <c r="KAP115" s="0"/>
      <c r="KAQ115" s="0"/>
      <c r="KAR115" s="0"/>
      <c r="KAS115" s="0"/>
      <c r="KAT115" s="0"/>
      <c r="KAU115" s="0"/>
      <c r="KAV115" s="0"/>
      <c r="KAW115" s="0"/>
      <c r="KAX115" s="0"/>
      <c r="KAY115" s="0"/>
      <c r="KAZ115" s="0"/>
      <c r="KBA115" s="0"/>
      <c r="KBB115" s="0"/>
      <c r="KBC115" s="0"/>
      <c r="KBD115" s="0"/>
      <c r="KBE115" s="0"/>
      <c r="KBF115" s="0"/>
      <c r="KBG115" s="0"/>
      <c r="KBH115" s="0"/>
      <c r="KBI115" s="0"/>
      <c r="KBJ115" s="0"/>
      <c r="KBK115" s="0"/>
      <c r="KBL115" s="0"/>
      <c r="KBM115" s="0"/>
      <c r="KBN115" s="0"/>
      <c r="KBO115" s="0"/>
      <c r="KBP115" s="0"/>
      <c r="KBQ115" s="0"/>
      <c r="KBR115" s="0"/>
      <c r="KBS115" s="0"/>
      <c r="KBT115" s="0"/>
      <c r="KBU115" s="0"/>
      <c r="KBV115" s="0"/>
      <c r="KBW115" s="0"/>
      <c r="KBX115" s="0"/>
      <c r="KBY115" s="0"/>
      <c r="KBZ115" s="0"/>
      <c r="KCA115" s="0"/>
      <c r="KCB115" s="0"/>
      <c r="KCC115" s="0"/>
      <c r="KCD115" s="0"/>
      <c r="KCE115" s="0"/>
      <c r="KCF115" s="0"/>
      <c r="KCG115" s="0"/>
      <c r="KCH115" s="0"/>
      <c r="KCI115" s="0"/>
      <c r="KCJ115" s="0"/>
      <c r="KCK115" s="0"/>
      <c r="KCL115" s="0"/>
      <c r="KCM115" s="0"/>
      <c r="KCN115" s="0"/>
      <c r="KCO115" s="0"/>
      <c r="KCP115" s="0"/>
      <c r="KCQ115" s="0"/>
      <c r="KCR115" s="0"/>
      <c r="KCS115" s="0"/>
      <c r="KCT115" s="0"/>
      <c r="KCU115" s="0"/>
      <c r="KCV115" s="0"/>
      <c r="KCW115" s="0"/>
      <c r="KCX115" s="0"/>
      <c r="KCY115" s="0"/>
      <c r="KCZ115" s="0"/>
      <c r="KDA115" s="0"/>
      <c r="KDB115" s="0"/>
      <c r="KDC115" s="0"/>
      <c r="KDD115" s="0"/>
      <c r="KDE115" s="0"/>
      <c r="KDF115" s="0"/>
      <c r="KDG115" s="0"/>
      <c r="KDH115" s="0"/>
      <c r="KDI115" s="0"/>
      <c r="KDJ115" s="0"/>
      <c r="KDK115" s="0"/>
      <c r="KDL115" s="0"/>
      <c r="KDM115" s="0"/>
      <c r="KDN115" s="0"/>
      <c r="KDO115" s="0"/>
      <c r="KDP115" s="0"/>
      <c r="KDQ115" s="0"/>
      <c r="KDR115" s="0"/>
      <c r="KDS115" s="0"/>
      <c r="KDT115" s="0"/>
      <c r="KDU115" s="0"/>
      <c r="KDV115" s="0"/>
      <c r="KDW115" s="0"/>
      <c r="KDX115" s="0"/>
      <c r="KDY115" s="0"/>
      <c r="KDZ115" s="0"/>
      <c r="KEA115" s="0"/>
      <c r="KEB115" s="0"/>
      <c r="KEC115" s="0"/>
      <c r="KED115" s="0"/>
      <c r="KEE115" s="0"/>
      <c r="KEF115" s="0"/>
      <c r="KEG115" s="0"/>
      <c r="KEH115" s="0"/>
      <c r="KEI115" s="0"/>
      <c r="KEJ115" s="0"/>
      <c r="KEK115" s="0"/>
      <c r="KEL115" s="0"/>
      <c r="KEM115" s="0"/>
      <c r="KEN115" s="0"/>
      <c r="KEO115" s="0"/>
      <c r="KEP115" s="0"/>
      <c r="KEQ115" s="0"/>
      <c r="KER115" s="0"/>
      <c r="KES115" s="0"/>
      <c r="KET115" s="0"/>
      <c r="KEU115" s="0"/>
      <c r="KEV115" s="0"/>
      <c r="KEW115" s="0"/>
      <c r="KEX115" s="0"/>
      <c r="KEY115" s="0"/>
      <c r="KEZ115" s="0"/>
      <c r="KFA115" s="0"/>
      <c r="KFB115" s="0"/>
      <c r="KFC115" s="0"/>
      <c r="KFD115" s="0"/>
      <c r="KFE115" s="0"/>
      <c r="KFF115" s="0"/>
      <c r="KFG115" s="0"/>
      <c r="KFH115" s="0"/>
      <c r="KFI115" s="0"/>
      <c r="KFJ115" s="0"/>
      <c r="KFK115" s="0"/>
      <c r="KFL115" s="0"/>
      <c r="KFM115" s="0"/>
      <c r="KFN115" s="0"/>
      <c r="KFO115" s="0"/>
      <c r="KFP115" s="0"/>
      <c r="KFQ115" s="0"/>
      <c r="KFR115" s="0"/>
      <c r="KFS115" s="0"/>
      <c r="KFT115" s="0"/>
      <c r="KFU115" s="0"/>
      <c r="KFV115" s="0"/>
      <c r="KFW115" s="0"/>
      <c r="KFX115" s="0"/>
      <c r="KFY115" s="0"/>
      <c r="KFZ115" s="0"/>
      <c r="KGA115" s="0"/>
      <c r="KGB115" s="0"/>
      <c r="KGC115" s="0"/>
      <c r="KGD115" s="0"/>
      <c r="KGE115" s="0"/>
      <c r="KGF115" s="0"/>
      <c r="KGG115" s="0"/>
      <c r="KGH115" s="0"/>
      <c r="KGI115" s="0"/>
      <c r="KGJ115" s="0"/>
      <c r="KGK115" s="0"/>
      <c r="KGL115" s="0"/>
      <c r="KGM115" s="0"/>
      <c r="KGN115" s="0"/>
      <c r="KGO115" s="0"/>
      <c r="KGP115" s="0"/>
      <c r="KGQ115" s="0"/>
      <c r="KGR115" s="0"/>
      <c r="KGS115" s="0"/>
      <c r="KGT115" s="0"/>
      <c r="KGU115" s="0"/>
      <c r="KGV115" s="0"/>
      <c r="KGW115" s="0"/>
      <c r="KGX115" s="0"/>
      <c r="KGY115" s="0"/>
      <c r="KGZ115" s="0"/>
      <c r="KHA115" s="0"/>
      <c r="KHB115" s="0"/>
      <c r="KHC115" s="0"/>
      <c r="KHD115" s="0"/>
      <c r="KHE115" s="0"/>
      <c r="KHF115" s="0"/>
      <c r="KHG115" s="0"/>
      <c r="KHH115" s="0"/>
      <c r="KHI115" s="0"/>
      <c r="KHJ115" s="0"/>
      <c r="KHK115" s="0"/>
      <c r="KHL115" s="0"/>
      <c r="KHM115" s="0"/>
      <c r="KHN115" s="0"/>
      <c r="KHO115" s="0"/>
      <c r="KHP115" s="0"/>
      <c r="KHQ115" s="0"/>
      <c r="KHR115" s="0"/>
      <c r="KHS115" s="0"/>
      <c r="KHT115" s="0"/>
      <c r="KHU115" s="0"/>
      <c r="KHV115" s="0"/>
      <c r="KHW115" s="0"/>
      <c r="KHX115" s="0"/>
      <c r="KHY115" s="0"/>
      <c r="KHZ115" s="0"/>
      <c r="KIA115" s="0"/>
      <c r="KIB115" s="0"/>
      <c r="KIC115" s="0"/>
      <c r="KID115" s="0"/>
      <c r="KIE115" s="0"/>
      <c r="KIF115" s="0"/>
      <c r="KIG115" s="0"/>
      <c r="KIH115" s="0"/>
      <c r="KII115" s="0"/>
      <c r="KIJ115" s="0"/>
      <c r="KIK115" s="0"/>
      <c r="KIL115" s="0"/>
      <c r="KIM115" s="0"/>
      <c r="KIN115" s="0"/>
      <c r="KIO115" s="0"/>
      <c r="KIP115" s="0"/>
      <c r="KIQ115" s="0"/>
      <c r="KIR115" s="0"/>
      <c r="KIS115" s="0"/>
      <c r="KIT115" s="0"/>
      <c r="KIU115" s="0"/>
      <c r="KIV115" s="0"/>
      <c r="KIW115" s="0"/>
      <c r="KIX115" s="0"/>
      <c r="KIY115" s="0"/>
      <c r="KIZ115" s="0"/>
      <c r="KJA115" s="0"/>
      <c r="KJB115" s="0"/>
      <c r="KJC115" s="0"/>
      <c r="KJD115" s="0"/>
      <c r="KJE115" s="0"/>
      <c r="KJF115" s="0"/>
      <c r="KJG115" s="0"/>
      <c r="KJH115" s="0"/>
      <c r="KJI115" s="0"/>
      <c r="KJJ115" s="0"/>
      <c r="KJK115" s="0"/>
      <c r="KJL115" s="0"/>
      <c r="KJM115" s="0"/>
      <c r="KJN115" s="0"/>
      <c r="KJO115" s="0"/>
      <c r="KJP115" s="0"/>
      <c r="KJQ115" s="0"/>
      <c r="KJR115" s="0"/>
      <c r="KJS115" s="0"/>
      <c r="KJT115" s="0"/>
      <c r="KJU115" s="0"/>
      <c r="KJV115" s="0"/>
      <c r="KJW115" s="0"/>
      <c r="KJX115" s="0"/>
      <c r="KJY115" s="0"/>
      <c r="KJZ115" s="0"/>
      <c r="KKA115" s="0"/>
      <c r="KKB115" s="0"/>
      <c r="KKC115" s="0"/>
      <c r="KKD115" s="0"/>
      <c r="KKE115" s="0"/>
      <c r="KKF115" s="0"/>
      <c r="KKG115" s="0"/>
      <c r="KKH115" s="0"/>
      <c r="KKI115" s="0"/>
      <c r="KKJ115" s="0"/>
      <c r="KKK115" s="0"/>
      <c r="KKL115" s="0"/>
      <c r="KKM115" s="0"/>
      <c r="KKN115" s="0"/>
      <c r="KKO115" s="0"/>
      <c r="KKP115" s="0"/>
      <c r="KKQ115" s="0"/>
      <c r="KKR115" s="0"/>
      <c r="KKS115" s="0"/>
      <c r="KKT115" s="0"/>
      <c r="KKU115" s="0"/>
      <c r="KKV115" s="0"/>
      <c r="KKW115" s="0"/>
      <c r="KKX115" s="0"/>
      <c r="KKY115" s="0"/>
      <c r="KKZ115" s="0"/>
      <c r="KLA115" s="0"/>
      <c r="KLB115" s="0"/>
      <c r="KLC115" s="0"/>
      <c r="KLD115" s="0"/>
      <c r="KLE115" s="0"/>
      <c r="KLF115" s="0"/>
      <c r="KLG115" s="0"/>
      <c r="KLH115" s="0"/>
      <c r="KLI115" s="0"/>
      <c r="KLJ115" s="0"/>
      <c r="KLK115" s="0"/>
      <c r="KLL115" s="0"/>
      <c r="KLM115" s="0"/>
      <c r="KLN115" s="0"/>
      <c r="KLO115" s="0"/>
      <c r="KLP115" s="0"/>
      <c r="KLQ115" s="0"/>
      <c r="KLR115" s="0"/>
      <c r="KLS115" s="0"/>
      <c r="KLT115" s="0"/>
      <c r="KLU115" s="0"/>
      <c r="KLV115" s="0"/>
      <c r="KLW115" s="0"/>
      <c r="KLX115" s="0"/>
      <c r="KLY115" s="0"/>
      <c r="KLZ115" s="0"/>
      <c r="KMA115" s="0"/>
      <c r="KMB115" s="0"/>
      <c r="KMC115" s="0"/>
      <c r="KMD115" s="0"/>
      <c r="KME115" s="0"/>
      <c r="KMF115" s="0"/>
      <c r="KMG115" s="0"/>
      <c r="KMH115" s="0"/>
      <c r="KMI115" s="0"/>
      <c r="KMJ115" s="0"/>
      <c r="KMK115" s="0"/>
      <c r="KML115" s="0"/>
      <c r="KMM115" s="0"/>
      <c r="KMN115" s="0"/>
      <c r="KMO115" s="0"/>
      <c r="KMP115" s="0"/>
      <c r="KMQ115" s="0"/>
      <c r="KMR115" s="0"/>
      <c r="KMS115" s="0"/>
      <c r="KMT115" s="0"/>
      <c r="KMU115" s="0"/>
      <c r="KMV115" s="0"/>
      <c r="KMW115" s="0"/>
      <c r="KMX115" s="0"/>
      <c r="KMY115" s="0"/>
      <c r="KMZ115" s="0"/>
      <c r="KNA115" s="0"/>
      <c r="KNB115" s="0"/>
      <c r="KNC115" s="0"/>
      <c r="KND115" s="0"/>
      <c r="KNE115" s="0"/>
      <c r="KNF115" s="0"/>
      <c r="KNG115" s="0"/>
      <c r="KNH115" s="0"/>
      <c r="KNI115" s="0"/>
      <c r="KNJ115" s="0"/>
      <c r="KNK115" s="0"/>
      <c r="KNL115" s="0"/>
      <c r="KNM115" s="0"/>
      <c r="KNN115" s="0"/>
      <c r="KNO115" s="0"/>
      <c r="KNP115" s="0"/>
      <c r="KNQ115" s="0"/>
      <c r="KNR115" s="0"/>
      <c r="KNS115" s="0"/>
      <c r="KNT115" s="0"/>
      <c r="KNU115" s="0"/>
      <c r="KNV115" s="0"/>
      <c r="KNW115" s="0"/>
      <c r="KNX115" s="0"/>
      <c r="KNY115" s="0"/>
      <c r="KNZ115" s="0"/>
      <c r="KOA115" s="0"/>
      <c r="KOB115" s="0"/>
      <c r="KOC115" s="0"/>
      <c r="KOD115" s="0"/>
      <c r="KOE115" s="0"/>
      <c r="KOF115" s="0"/>
      <c r="KOG115" s="0"/>
      <c r="KOH115" s="0"/>
      <c r="KOI115" s="0"/>
      <c r="KOJ115" s="0"/>
      <c r="KOK115" s="0"/>
      <c r="KOL115" s="0"/>
      <c r="KOM115" s="0"/>
      <c r="KON115" s="0"/>
      <c r="KOO115" s="0"/>
      <c r="KOP115" s="0"/>
      <c r="KOQ115" s="0"/>
      <c r="KOR115" s="0"/>
      <c r="KOS115" s="0"/>
      <c r="KOT115" s="0"/>
      <c r="KOU115" s="0"/>
      <c r="KOV115" s="0"/>
      <c r="KOW115" s="0"/>
      <c r="KOX115" s="0"/>
      <c r="KOY115" s="0"/>
      <c r="KOZ115" s="0"/>
      <c r="KPA115" s="0"/>
      <c r="KPB115" s="0"/>
      <c r="KPC115" s="0"/>
      <c r="KPD115" s="0"/>
      <c r="KPE115" s="0"/>
      <c r="KPF115" s="0"/>
      <c r="KPG115" s="0"/>
      <c r="KPH115" s="0"/>
      <c r="KPI115" s="0"/>
      <c r="KPJ115" s="0"/>
      <c r="KPK115" s="0"/>
      <c r="KPL115" s="0"/>
      <c r="KPM115" s="0"/>
      <c r="KPN115" s="0"/>
      <c r="KPO115" s="0"/>
      <c r="KPP115" s="0"/>
      <c r="KPQ115" s="0"/>
      <c r="KPR115" s="0"/>
      <c r="KPS115" s="0"/>
      <c r="KPT115" s="0"/>
      <c r="KPU115" s="0"/>
      <c r="KPV115" s="0"/>
      <c r="KPW115" s="0"/>
      <c r="KPX115" s="0"/>
      <c r="KPY115" s="0"/>
      <c r="KPZ115" s="0"/>
      <c r="KQA115" s="0"/>
      <c r="KQB115" s="0"/>
      <c r="KQC115" s="0"/>
      <c r="KQD115" s="0"/>
      <c r="KQE115" s="0"/>
      <c r="KQF115" s="0"/>
      <c r="KQG115" s="0"/>
      <c r="KQH115" s="0"/>
      <c r="KQI115" s="0"/>
      <c r="KQJ115" s="0"/>
      <c r="KQK115" s="0"/>
      <c r="KQL115" s="0"/>
      <c r="KQM115" s="0"/>
      <c r="KQN115" s="0"/>
      <c r="KQO115" s="0"/>
      <c r="KQP115" s="0"/>
      <c r="KQQ115" s="0"/>
      <c r="KQR115" s="0"/>
      <c r="KQS115" s="0"/>
      <c r="KQT115" s="0"/>
      <c r="KQU115" s="0"/>
      <c r="KQV115" s="0"/>
      <c r="KQW115" s="0"/>
      <c r="KQX115" s="0"/>
      <c r="KQY115" s="0"/>
      <c r="KQZ115" s="0"/>
      <c r="KRA115" s="0"/>
      <c r="KRB115" s="0"/>
      <c r="KRC115" s="0"/>
      <c r="KRD115" s="0"/>
      <c r="KRE115" s="0"/>
      <c r="KRF115" s="0"/>
      <c r="KRG115" s="0"/>
      <c r="KRH115" s="0"/>
      <c r="KRI115" s="0"/>
      <c r="KRJ115" s="0"/>
      <c r="KRK115" s="0"/>
      <c r="KRL115" s="0"/>
      <c r="KRM115" s="0"/>
      <c r="KRN115" s="0"/>
      <c r="KRO115" s="0"/>
      <c r="KRP115" s="0"/>
      <c r="KRQ115" s="0"/>
      <c r="KRR115" s="0"/>
      <c r="KRS115" s="0"/>
      <c r="KRT115" s="0"/>
      <c r="KRU115" s="0"/>
      <c r="KRV115" s="0"/>
      <c r="KRW115" s="0"/>
      <c r="KRX115" s="0"/>
      <c r="KRY115" s="0"/>
      <c r="KRZ115" s="0"/>
      <c r="KSA115" s="0"/>
      <c r="KSB115" s="0"/>
      <c r="KSC115" s="0"/>
      <c r="KSD115" s="0"/>
      <c r="KSE115" s="0"/>
      <c r="KSF115" s="0"/>
      <c r="KSG115" s="0"/>
      <c r="KSH115" s="0"/>
      <c r="KSI115" s="0"/>
      <c r="KSJ115" s="0"/>
      <c r="KSK115" s="0"/>
      <c r="KSL115" s="0"/>
      <c r="KSM115" s="0"/>
      <c r="KSN115" s="0"/>
      <c r="KSO115" s="0"/>
      <c r="KSP115" s="0"/>
      <c r="KSQ115" s="0"/>
      <c r="KSR115" s="0"/>
      <c r="KSS115" s="0"/>
      <c r="KST115" s="0"/>
      <c r="KSU115" s="0"/>
      <c r="KSV115" s="0"/>
      <c r="KSW115" s="0"/>
      <c r="KSX115" s="0"/>
      <c r="KSY115" s="0"/>
      <c r="KSZ115" s="0"/>
      <c r="KTA115" s="0"/>
      <c r="KTB115" s="0"/>
      <c r="KTC115" s="0"/>
      <c r="KTD115" s="0"/>
      <c r="KTE115" s="0"/>
      <c r="KTF115" s="0"/>
      <c r="KTG115" s="0"/>
      <c r="KTH115" s="0"/>
      <c r="KTI115" s="0"/>
      <c r="KTJ115" s="0"/>
      <c r="KTK115" s="0"/>
      <c r="KTL115" s="0"/>
      <c r="KTM115" s="0"/>
      <c r="KTN115" s="0"/>
      <c r="KTO115" s="0"/>
      <c r="KTP115" s="0"/>
      <c r="KTQ115" s="0"/>
      <c r="KTR115" s="0"/>
      <c r="KTS115" s="0"/>
      <c r="KTT115" s="0"/>
      <c r="KTU115" s="0"/>
      <c r="KTV115" s="0"/>
      <c r="KTW115" s="0"/>
      <c r="KTX115" s="0"/>
      <c r="KTY115" s="0"/>
      <c r="KTZ115" s="0"/>
      <c r="KUA115" s="0"/>
      <c r="KUB115" s="0"/>
      <c r="KUC115" s="0"/>
      <c r="KUD115" s="0"/>
      <c r="KUE115" s="0"/>
      <c r="KUF115" s="0"/>
      <c r="KUG115" s="0"/>
      <c r="KUH115" s="0"/>
      <c r="KUI115" s="0"/>
      <c r="KUJ115" s="0"/>
      <c r="KUK115" s="0"/>
      <c r="KUL115" s="0"/>
      <c r="KUM115" s="0"/>
      <c r="KUN115" s="0"/>
      <c r="KUO115" s="0"/>
      <c r="KUP115" s="0"/>
      <c r="KUQ115" s="0"/>
      <c r="KUR115" s="0"/>
      <c r="KUS115" s="0"/>
      <c r="KUT115" s="0"/>
      <c r="KUU115" s="0"/>
      <c r="KUV115" s="0"/>
      <c r="KUW115" s="0"/>
      <c r="KUX115" s="0"/>
      <c r="KUY115" s="0"/>
      <c r="KUZ115" s="0"/>
      <c r="KVA115" s="0"/>
      <c r="KVB115" s="0"/>
      <c r="KVC115" s="0"/>
      <c r="KVD115" s="0"/>
      <c r="KVE115" s="0"/>
      <c r="KVF115" s="0"/>
      <c r="KVG115" s="0"/>
      <c r="KVH115" s="0"/>
      <c r="KVI115" s="0"/>
      <c r="KVJ115" s="0"/>
      <c r="KVK115" s="0"/>
      <c r="KVL115" s="0"/>
      <c r="KVM115" s="0"/>
      <c r="KVN115" s="0"/>
      <c r="KVO115" s="0"/>
      <c r="KVP115" s="0"/>
      <c r="KVQ115" s="0"/>
      <c r="KVR115" s="0"/>
      <c r="KVS115" s="0"/>
      <c r="KVT115" s="0"/>
      <c r="KVU115" s="0"/>
      <c r="KVV115" s="0"/>
      <c r="KVW115" s="0"/>
      <c r="KVX115" s="0"/>
      <c r="KVY115" s="0"/>
      <c r="KVZ115" s="0"/>
      <c r="KWA115" s="0"/>
      <c r="KWB115" s="0"/>
      <c r="KWC115" s="0"/>
      <c r="KWD115" s="0"/>
      <c r="KWE115" s="0"/>
      <c r="KWF115" s="0"/>
      <c r="KWG115" s="0"/>
      <c r="KWH115" s="0"/>
      <c r="KWI115" s="0"/>
      <c r="KWJ115" s="0"/>
      <c r="KWK115" s="0"/>
      <c r="KWL115" s="0"/>
      <c r="KWM115" s="0"/>
      <c r="KWN115" s="0"/>
      <c r="KWO115" s="0"/>
      <c r="KWP115" s="0"/>
      <c r="KWQ115" s="0"/>
      <c r="KWR115" s="0"/>
      <c r="KWS115" s="0"/>
      <c r="KWT115" s="0"/>
      <c r="KWU115" s="0"/>
      <c r="KWV115" s="0"/>
      <c r="KWW115" s="0"/>
      <c r="KWX115" s="0"/>
      <c r="KWY115" s="0"/>
      <c r="KWZ115" s="0"/>
      <c r="KXA115" s="0"/>
      <c r="KXB115" s="0"/>
      <c r="KXC115" s="0"/>
      <c r="KXD115" s="0"/>
      <c r="KXE115" s="0"/>
      <c r="KXF115" s="0"/>
      <c r="KXG115" s="0"/>
      <c r="KXH115" s="0"/>
      <c r="KXI115" s="0"/>
      <c r="KXJ115" s="0"/>
      <c r="KXK115" s="0"/>
      <c r="KXL115" s="0"/>
      <c r="KXM115" s="0"/>
      <c r="KXN115" s="0"/>
      <c r="KXO115" s="0"/>
      <c r="KXP115" s="0"/>
      <c r="KXQ115" s="0"/>
      <c r="KXR115" s="0"/>
      <c r="KXS115" s="0"/>
      <c r="KXT115" s="0"/>
      <c r="KXU115" s="0"/>
      <c r="KXV115" s="0"/>
      <c r="KXW115" s="0"/>
      <c r="KXX115" s="0"/>
      <c r="KXY115" s="0"/>
      <c r="KXZ115" s="0"/>
      <c r="KYA115" s="0"/>
      <c r="KYB115" s="0"/>
      <c r="KYC115" s="0"/>
      <c r="KYD115" s="0"/>
      <c r="KYE115" s="0"/>
      <c r="KYF115" s="0"/>
      <c r="KYG115" s="0"/>
      <c r="KYH115" s="0"/>
      <c r="KYI115" s="0"/>
      <c r="KYJ115" s="0"/>
      <c r="KYK115" s="0"/>
      <c r="KYL115" s="0"/>
      <c r="KYM115" s="0"/>
      <c r="KYN115" s="0"/>
      <c r="KYO115" s="0"/>
      <c r="KYP115" s="0"/>
      <c r="KYQ115" s="0"/>
      <c r="KYR115" s="0"/>
      <c r="KYS115" s="0"/>
      <c r="KYT115" s="0"/>
      <c r="KYU115" s="0"/>
      <c r="KYV115" s="0"/>
      <c r="KYW115" s="0"/>
      <c r="KYX115" s="0"/>
      <c r="KYY115" s="0"/>
      <c r="KYZ115" s="0"/>
      <c r="KZA115" s="0"/>
      <c r="KZB115" s="0"/>
      <c r="KZC115" s="0"/>
      <c r="KZD115" s="0"/>
      <c r="KZE115" s="0"/>
      <c r="KZF115" s="0"/>
      <c r="KZG115" s="0"/>
      <c r="KZH115" s="0"/>
      <c r="KZI115" s="0"/>
      <c r="KZJ115" s="0"/>
      <c r="KZK115" s="0"/>
      <c r="KZL115" s="0"/>
      <c r="KZM115" s="0"/>
      <c r="KZN115" s="0"/>
      <c r="KZO115" s="0"/>
      <c r="KZP115" s="0"/>
      <c r="KZQ115" s="0"/>
      <c r="KZR115" s="0"/>
      <c r="KZS115" s="0"/>
      <c r="KZT115" s="0"/>
      <c r="KZU115" s="0"/>
      <c r="KZV115" s="0"/>
      <c r="KZW115" s="0"/>
      <c r="KZX115" s="0"/>
      <c r="KZY115" s="0"/>
      <c r="KZZ115" s="0"/>
      <c r="LAA115" s="0"/>
      <c r="LAB115" s="0"/>
      <c r="LAC115" s="0"/>
      <c r="LAD115" s="0"/>
      <c r="LAE115" s="0"/>
      <c r="LAF115" s="0"/>
      <c r="LAG115" s="0"/>
      <c r="LAH115" s="0"/>
      <c r="LAI115" s="0"/>
      <c r="LAJ115" s="0"/>
      <c r="LAK115" s="0"/>
      <c r="LAL115" s="0"/>
      <c r="LAM115" s="0"/>
      <c r="LAN115" s="0"/>
      <c r="LAO115" s="0"/>
      <c r="LAP115" s="0"/>
      <c r="LAQ115" s="0"/>
      <c r="LAR115" s="0"/>
      <c r="LAS115" s="0"/>
      <c r="LAT115" s="0"/>
      <c r="LAU115" s="0"/>
      <c r="LAV115" s="0"/>
      <c r="LAW115" s="0"/>
      <c r="LAX115" s="0"/>
      <c r="LAY115" s="0"/>
      <c r="LAZ115" s="0"/>
      <c r="LBA115" s="0"/>
      <c r="LBB115" s="0"/>
      <c r="LBC115" s="0"/>
      <c r="LBD115" s="0"/>
      <c r="LBE115" s="0"/>
      <c r="LBF115" s="0"/>
      <c r="LBG115" s="0"/>
      <c r="LBH115" s="0"/>
      <c r="LBI115" s="0"/>
      <c r="LBJ115" s="0"/>
      <c r="LBK115" s="0"/>
      <c r="LBL115" s="0"/>
      <c r="LBM115" s="0"/>
      <c r="LBN115" s="0"/>
      <c r="LBO115" s="0"/>
      <c r="LBP115" s="0"/>
      <c r="LBQ115" s="0"/>
      <c r="LBR115" s="0"/>
      <c r="LBS115" s="0"/>
      <c r="LBT115" s="0"/>
      <c r="LBU115" s="0"/>
      <c r="LBV115" s="0"/>
      <c r="LBW115" s="0"/>
      <c r="LBX115" s="0"/>
      <c r="LBY115" s="0"/>
      <c r="LBZ115" s="0"/>
      <c r="LCA115" s="0"/>
      <c r="LCB115" s="0"/>
      <c r="LCC115" s="0"/>
      <c r="LCD115" s="0"/>
      <c r="LCE115" s="0"/>
      <c r="LCF115" s="0"/>
      <c r="LCG115" s="0"/>
      <c r="LCH115" s="0"/>
      <c r="LCI115" s="0"/>
      <c r="LCJ115" s="0"/>
      <c r="LCK115" s="0"/>
      <c r="LCL115" s="0"/>
      <c r="LCM115" s="0"/>
      <c r="LCN115" s="0"/>
      <c r="LCO115" s="0"/>
      <c r="LCP115" s="0"/>
      <c r="LCQ115" s="0"/>
      <c r="LCR115" s="0"/>
      <c r="LCS115" s="0"/>
      <c r="LCT115" s="0"/>
      <c r="LCU115" s="0"/>
      <c r="LCV115" s="0"/>
      <c r="LCW115" s="0"/>
      <c r="LCX115" s="0"/>
      <c r="LCY115" s="0"/>
      <c r="LCZ115" s="0"/>
      <c r="LDA115" s="0"/>
      <c r="LDB115" s="0"/>
      <c r="LDC115" s="0"/>
      <c r="LDD115" s="0"/>
      <c r="LDE115" s="0"/>
      <c r="LDF115" s="0"/>
      <c r="LDG115" s="0"/>
      <c r="LDH115" s="0"/>
      <c r="LDI115" s="0"/>
      <c r="LDJ115" s="0"/>
      <c r="LDK115" s="0"/>
      <c r="LDL115" s="0"/>
      <c r="LDM115" s="0"/>
      <c r="LDN115" s="0"/>
      <c r="LDO115" s="0"/>
      <c r="LDP115" s="0"/>
      <c r="LDQ115" s="0"/>
      <c r="LDR115" s="0"/>
      <c r="LDS115" s="0"/>
      <c r="LDT115" s="0"/>
      <c r="LDU115" s="0"/>
      <c r="LDV115" s="0"/>
      <c r="LDW115" s="0"/>
      <c r="LDX115" s="0"/>
      <c r="LDY115" s="0"/>
      <c r="LDZ115" s="0"/>
      <c r="LEA115" s="0"/>
      <c r="LEB115" s="0"/>
      <c r="LEC115" s="0"/>
      <c r="LED115" s="0"/>
      <c r="LEE115" s="0"/>
      <c r="LEF115" s="0"/>
      <c r="LEG115" s="0"/>
      <c r="LEH115" s="0"/>
      <c r="LEI115" s="0"/>
      <c r="LEJ115" s="0"/>
      <c r="LEK115" s="0"/>
      <c r="LEL115" s="0"/>
      <c r="LEM115" s="0"/>
      <c r="LEN115" s="0"/>
      <c r="LEO115" s="0"/>
      <c r="LEP115" s="0"/>
      <c r="LEQ115" s="0"/>
      <c r="LER115" s="0"/>
      <c r="LES115" s="0"/>
      <c r="LET115" s="0"/>
      <c r="LEU115" s="0"/>
      <c r="LEV115" s="0"/>
      <c r="LEW115" s="0"/>
      <c r="LEX115" s="0"/>
      <c r="LEY115" s="0"/>
      <c r="LEZ115" s="0"/>
      <c r="LFA115" s="0"/>
      <c r="LFB115" s="0"/>
      <c r="LFC115" s="0"/>
      <c r="LFD115" s="0"/>
      <c r="LFE115" s="0"/>
      <c r="LFF115" s="0"/>
      <c r="LFG115" s="0"/>
      <c r="LFH115" s="0"/>
      <c r="LFI115" s="0"/>
      <c r="LFJ115" s="0"/>
      <c r="LFK115" s="0"/>
      <c r="LFL115" s="0"/>
      <c r="LFM115" s="0"/>
      <c r="LFN115" s="0"/>
      <c r="LFO115" s="0"/>
      <c r="LFP115" s="0"/>
      <c r="LFQ115" s="0"/>
      <c r="LFR115" s="0"/>
      <c r="LFS115" s="0"/>
      <c r="LFT115" s="0"/>
      <c r="LFU115" s="0"/>
      <c r="LFV115" s="0"/>
      <c r="LFW115" s="0"/>
      <c r="LFX115" s="0"/>
      <c r="LFY115" s="0"/>
      <c r="LFZ115" s="0"/>
      <c r="LGA115" s="0"/>
      <c r="LGB115" s="0"/>
      <c r="LGC115" s="0"/>
      <c r="LGD115" s="0"/>
      <c r="LGE115" s="0"/>
      <c r="LGF115" s="0"/>
      <c r="LGG115" s="0"/>
      <c r="LGH115" s="0"/>
      <c r="LGI115" s="0"/>
      <c r="LGJ115" s="0"/>
      <c r="LGK115" s="0"/>
      <c r="LGL115" s="0"/>
      <c r="LGM115" s="0"/>
      <c r="LGN115" s="0"/>
      <c r="LGO115" s="0"/>
      <c r="LGP115" s="0"/>
      <c r="LGQ115" s="0"/>
      <c r="LGR115" s="0"/>
      <c r="LGS115" s="0"/>
      <c r="LGT115" s="0"/>
      <c r="LGU115" s="0"/>
      <c r="LGV115" s="0"/>
      <c r="LGW115" s="0"/>
      <c r="LGX115" s="0"/>
      <c r="LGY115" s="0"/>
      <c r="LGZ115" s="0"/>
      <c r="LHA115" s="0"/>
      <c r="LHB115" s="0"/>
      <c r="LHC115" s="0"/>
      <c r="LHD115" s="0"/>
      <c r="LHE115" s="0"/>
      <c r="LHF115" s="0"/>
      <c r="LHG115" s="0"/>
      <c r="LHH115" s="0"/>
      <c r="LHI115" s="0"/>
      <c r="LHJ115" s="0"/>
      <c r="LHK115" s="0"/>
      <c r="LHL115" s="0"/>
      <c r="LHM115" s="0"/>
      <c r="LHN115" s="0"/>
      <c r="LHO115" s="0"/>
      <c r="LHP115" s="0"/>
      <c r="LHQ115" s="0"/>
      <c r="LHR115" s="0"/>
      <c r="LHS115" s="0"/>
      <c r="LHT115" s="0"/>
      <c r="LHU115" s="0"/>
      <c r="LHV115" s="0"/>
      <c r="LHW115" s="0"/>
      <c r="LHX115" s="0"/>
      <c r="LHY115" s="0"/>
      <c r="LHZ115" s="0"/>
      <c r="LIA115" s="0"/>
      <c r="LIB115" s="0"/>
      <c r="LIC115" s="0"/>
      <c r="LID115" s="0"/>
      <c r="LIE115" s="0"/>
      <c r="LIF115" s="0"/>
      <c r="LIG115" s="0"/>
      <c r="LIH115" s="0"/>
      <c r="LII115" s="0"/>
      <c r="LIJ115" s="0"/>
      <c r="LIK115" s="0"/>
      <c r="LIL115" s="0"/>
      <c r="LIM115" s="0"/>
      <c r="LIN115" s="0"/>
      <c r="LIO115" s="0"/>
      <c r="LIP115" s="0"/>
      <c r="LIQ115" s="0"/>
      <c r="LIR115" s="0"/>
      <c r="LIS115" s="0"/>
      <c r="LIT115" s="0"/>
      <c r="LIU115" s="0"/>
      <c r="LIV115" s="0"/>
      <c r="LIW115" s="0"/>
      <c r="LIX115" s="0"/>
      <c r="LIY115" s="0"/>
      <c r="LIZ115" s="0"/>
      <c r="LJA115" s="0"/>
      <c r="LJB115" s="0"/>
      <c r="LJC115" s="0"/>
      <c r="LJD115" s="0"/>
      <c r="LJE115" s="0"/>
      <c r="LJF115" s="0"/>
      <c r="LJG115" s="0"/>
      <c r="LJH115" s="0"/>
      <c r="LJI115" s="0"/>
      <c r="LJJ115" s="0"/>
      <c r="LJK115" s="0"/>
      <c r="LJL115" s="0"/>
      <c r="LJM115" s="0"/>
      <c r="LJN115" s="0"/>
      <c r="LJO115" s="0"/>
      <c r="LJP115" s="0"/>
      <c r="LJQ115" s="0"/>
      <c r="LJR115" s="0"/>
      <c r="LJS115" s="0"/>
      <c r="LJT115" s="0"/>
      <c r="LJU115" s="0"/>
      <c r="LJV115" s="0"/>
      <c r="LJW115" s="0"/>
      <c r="LJX115" s="0"/>
      <c r="LJY115" s="0"/>
      <c r="LJZ115" s="0"/>
      <c r="LKA115" s="0"/>
      <c r="LKB115" s="0"/>
      <c r="LKC115" s="0"/>
      <c r="LKD115" s="0"/>
      <c r="LKE115" s="0"/>
      <c r="LKF115" s="0"/>
      <c r="LKG115" s="0"/>
      <c r="LKH115" s="0"/>
      <c r="LKI115" s="0"/>
      <c r="LKJ115" s="0"/>
      <c r="LKK115" s="0"/>
      <c r="LKL115" s="0"/>
      <c r="LKM115" s="0"/>
      <c r="LKN115" s="0"/>
      <c r="LKO115" s="0"/>
      <c r="LKP115" s="0"/>
      <c r="LKQ115" s="0"/>
      <c r="LKR115" s="0"/>
      <c r="LKS115" s="0"/>
      <c r="LKT115" s="0"/>
      <c r="LKU115" s="0"/>
      <c r="LKV115" s="0"/>
      <c r="LKW115" s="0"/>
      <c r="LKX115" s="0"/>
      <c r="LKY115" s="0"/>
      <c r="LKZ115" s="0"/>
      <c r="LLA115" s="0"/>
      <c r="LLB115" s="0"/>
      <c r="LLC115" s="0"/>
      <c r="LLD115" s="0"/>
      <c r="LLE115" s="0"/>
      <c r="LLF115" s="0"/>
      <c r="LLG115" s="0"/>
      <c r="LLH115" s="0"/>
      <c r="LLI115" s="0"/>
      <c r="LLJ115" s="0"/>
      <c r="LLK115" s="0"/>
      <c r="LLL115" s="0"/>
      <c r="LLM115" s="0"/>
      <c r="LLN115" s="0"/>
      <c r="LLO115" s="0"/>
      <c r="LLP115" s="0"/>
      <c r="LLQ115" s="0"/>
      <c r="LLR115" s="0"/>
      <c r="LLS115" s="0"/>
      <c r="LLT115" s="0"/>
      <c r="LLU115" s="0"/>
      <c r="LLV115" s="0"/>
      <c r="LLW115" s="0"/>
      <c r="LLX115" s="0"/>
      <c r="LLY115" s="0"/>
      <c r="LLZ115" s="0"/>
      <c r="LMA115" s="0"/>
      <c r="LMB115" s="0"/>
      <c r="LMC115" s="0"/>
      <c r="LMD115" s="0"/>
      <c r="LME115" s="0"/>
      <c r="LMF115" s="0"/>
      <c r="LMG115" s="0"/>
      <c r="LMH115" s="0"/>
      <c r="LMI115" s="0"/>
      <c r="LMJ115" s="0"/>
      <c r="LMK115" s="0"/>
      <c r="LML115" s="0"/>
      <c r="LMM115" s="0"/>
      <c r="LMN115" s="0"/>
      <c r="LMO115" s="0"/>
      <c r="LMP115" s="0"/>
      <c r="LMQ115" s="0"/>
      <c r="LMR115" s="0"/>
      <c r="LMS115" s="0"/>
      <c r="LMT115" s="0"/>
      <c r="LMU115" s="0"/>
      <c r="LMV115" s="0"/>
      <c r="LMW115" s="0"/>
      <c r="LMX115" s="0"/>
      <c r="LMY115" s="0"/>
      <c r="LMZ115" s="0"/>
      <c r="LNA115" s="0"/>
      <c r="LNB115" s="0"/>
      <c r="LNC115" s="0"/>
      <c r="LND115" s="0"/>
      <c r="LNE115" s="0"/>
      <c r="LNF115" s="0"/>
      <c r="LNG115" s="0"/>
      <c r="LNH115" s="0"/>
      <c r="LNI115" s="0"/>
      <c r="LNJ115" s="0"/>
      <c r="LNK115" s="0"/>
      <c r="LNL115" s="0"/>
      <c r="LNM115" s="0"/>
      <c r="LNN115" s="0"/>
      <c r="LNO115" s="0"/>
      <c r="LNP115" s="0"/>
      <c r="LNQ115" s="0"/>
      <c r="LNR115" s="0"/>
      <c r="LNS115" s="0"/>
      <c r="LNT115" s="0"/>
      <c r="LNU115" s="0"/>
      <c r="LNV115" s="0"/>
      <c r="LNW115" s="0"/>
      <c r="LNX115" s="0"/>
      <c r="LNY115" s="0"/>
      <c r="LNZ115" s="0"/>
      <c r="LOA115" s="0"/>
      <c r="LOB115" s="0"/>
      <c r="LOC115" s="0"/>
      <c r="LOD115" s="0"/>
      <c r="LOE115" s="0"/>
      <c r="LOF115" s="0"/>
      <c r="LOG115" s="0"/>
      <c r="LOH115" s="0"/>
      <c r="LOI115" s="0"/>
      <c r="LOJ115" s="0"/>
      <c r="LOK115" s="0"/>
      <c r="LOL115" s="0"/>
      <c r="LOM115" s="0"/>
      <c r="LON115" s="0"/>
      <c r="LOO115" s="0"/>
      <c r="LOP115" s="0"/>
      <c r="LOQ115" s="0"/>
      <c r="LOR115" s="0"/>
      <c r="LOS115" s="0"/>
      <c r="LOT115" s="0"/>
      <c r="LOU115" s="0"/>
      <c r="LOV115" s="0"/>
      <c r="LOW115" s="0"/>
      <c r="LOX115" s="0"/>
      <c r="LOY115" s="0"/>
      <c r="LOZ115" s="0"/>
      <c r="LPA115" s="0"/>
      <c r="LPB115" s="0"/>
      <c r="LPC115" s="0"/>
      <c r="LPD115" s="0"/>
      <c r="LPE115" s="0"/>
      <c r="LPF115" s="0"/>
      <c r="LPG115" s="0"/>
      <c r="LPH115" s="0"/>
      <c r="LPI115" s="0"/>
      <c r="LPJ115" s="0"/>
      <c r="LPK115" s="0"/>
      <c r="LPL115" s="0"/>
      <c r="LPM115" s="0"/>
      <c r="LPN115" s="0"/>
      <c r="LPO115" s="0"/>
      <c r="LPP115" s="0"/>
      <c r="LPQ115" s="0"/>
      <c r="LPR115" s="0"/>
      <c r="LPS115" s="0"/>
      <c r="LPT115" s="0"/>
      <c r="LPU115" s="0"/>
      <c r="LPV115" s="0"/>
      <c r="LPW115" s="0"/>
      <c r="LPX115" s="0"/>
      <c r="LPY115" s="0"/>
      <c r="LPZ115" s="0"/>
      <c r="LQA115" s="0"/>
      <c r="LQB115" s="0"/>
      <c r="LQC115" s="0"/>
      <c r="LQD115" s="0"/>
      <c r="LQE115" s="0"/>
      <c r="LQF115" s="0"/>
      <c r="LQG115" s="0"/>
      <c r="LQH115" s="0"/>
      <c r="LQI115" s="0"/>
      <c r="LQJ115" s="0"/>
      <c r="LQK115" s="0"/>
      <c r="LQL115" s="0"/>
      <c r="LQM115" s="0"/>
      <c r="LQN115" s="0"/>
      <c r="LQO115" s="0"/>
      <c r="LQP115" s="0"/>
      <c r="LQQ115" s="0"/>
      <c r="LQR115" s="0"/>
      <c r="LQS115" s="0"/>
      <c r="LQT115" s="0"/>
      <c r="LQU115" s="0"/>
      <c r="LQV115" s="0"/>
      <c r="LQW115" s="0"/>
      <c r="LQX115" s="0"/>
      <c r="LQY115" s="0"/>
      <c r="LQZ115" s="0"/>
      <c r="LRA115" s="0"/>
      <c r="LRB115" s="0"/>
      <c r="LRC115" s="0"/>
      <c r="LRD115" s="0"/>
      <c r="LRE115" s="0"/>
      <c r="LRF115" s="0"/>
      <c r="LRG115" s="0"/>
      <c r="LRH115" s="0"/>
      <c r="LRI115" s="0"/>
      <c r="LRJ115" s="0"/>
      <c r="LRK115" s="0"/>
      <c r="LRL115" s="0"/>
      <c r="LRM115" s="0"/>
      <c r="LRN115" s="0"/>
      <c r="LRO115" s="0"/>
      <c r="LRP115" s="0"/>
      <c r="LRQ115" s="0"/>
      <c r="LRR115" s="0"/>
      <c r="LRS115" s="0"/>
      <c r="LRT115" s="0"/>
      <c r="LRU115" s="0"/>
      <c r="LRV115" s="0"/>
      <c r="LRW115" s="0"/>
      <c r="LRX115" s="0"/>
      <c r="LRY115" s="0"/>
      <c r="LRZ115" s="0"/>
      <c r="LSA115" s="0"/>
      <c r="LSB115" s="0"/>
      <c r="LSC115" s="0"/>
      <c r="LSD115" s="0"/>
      <c r="LSE115" s="0"/>
      <c r="LSF115" s="0"/>
      <c r="LSG115" s="0"/>
      <c r="LSH115" s="0"/>
      <c r="LSI115" s="0"/>
      <c r="LSJ115" s="0"/>
      <c r="LSK115" s="0"/>
      <c r="LSL115" s="0"/>
      <c r="LSM115" s="0"/>
      <c r="LSN115" s="0"/>
      <c r="LSO115" s="0"/>
      <c r="LSP115" s="0"/>
      <c r="LSQ115" s="0"/>
      <c r="LSR115" s="0"/>
      <c r="LSS115" s="0"/>
      <c r="LST115" s="0"/>
      <c r="LSU115" s="0"/>
      <c r="LSV115" s="0"/>
      <c r="LSW115" s="0"/>
      <c r="LSX115" s="0"/>
      <c r="LSY115" s="0"/>
      <c r="LSZ115" s="0"/>
      <c r="LTA115" s="0"/>
      <c r="LTB115" s="0"/>
      <c r="LTC115" s="0"/>
      <c r="LTD115" s="0"/>
      <c r="LTE115" s="0"/>
      <c r="LTF115" s="0"/>
      <c r="LTG115" s="0"/>
      <c r="LTH115" s="0"/>
      <c r="LTI115" s="0"/>
      <c r="LTJ115" s="0"/>
      <c r="LTK115" s="0"/>
      <c r="LTL115" s="0"/>
      <c r="LTM115" s="0"/>
      <c r="LTN115" s="0"/>
      <c r="LTO115" s="0"/>
      <c r="LTP115" s="0"/>
      <c r="LTQ115" s="0"/>
      <c r="LTR115" s="0"/>
      <c r="LTS115" s="0"/>
      <c r="LTT115" s="0"/>
      <c r="LTU115" s="0"/>
      <c r="LTV115" s="0"/>
      <c r="LTW115" s="0"/>
      <c r="LTX115" s="0"/>
      <c r="LTY115" s="0"/>
      <c r="LTZ115" s="0"/>
      <c r="LUA115" s="0"/>
      <c r="LUB115" s="0"/>
      <c r="LUC115" s="0"/>
      <c r="LUD115" s="0"/>
      <c r="LUE115" s="0"/>
      <c r="LUF115" s="0"/>
      <c r="LUG115" s="0"/>
      <c r="LUH115" s="0"/>
      <c r="LUI115" s="0"/>
      <c r="LUJ115" s="0"/>
      <c r="LUK115" s="0"/>
      <c r="LUL115" s="0"/>
      <c r="LUM115" s="0"/>
      <c r="LUN115" s="0"/>
      <c r="LUO115" s="0"/>
      <c r="LUP115" s="0"/>
      <c r="LUQ115" s="0"/>
      <c r="LUR115" s="0"/>
      <c r="LUS115" s="0"/>
      <c r="LUT115" s="0"/>
      <c r="LUU115" s="0"/>
      <c r="LUV115" s="0"/>
      <c r="LUW115" s="0"/>
      <c r="LUX115" s="0"/>
      <c r="LUY115" s="0"/>
      <c r="LUZ115" s="0"/>
      <c r="LVA115" s="0"/>
      <c r="LVB115" s="0"/>
      <c r="LVC115" s="0"/>
      <c r="LVD115" s="0"/>
      <c r="LVE115" s="0"/>
      <c r="LVF115" s="0"/>
      <c r="LVG115" s="0"/>
      <c r="LVH115" s="0"/>
      <c r="LVI115" s="0"/>
      <c r="LVJ115" s="0"/>
      <c r="LVK115" s="0"/>
      <c r="LVL115" s="0"/>
      <c r="LVM115" s="0"/>
      <c r="LVN115" s="0"/>
      <c r="LVO115" s="0"/>
      <c r="LVP115" s="0"/>
      <c r="LVQ115" s="0"/>
      <c r="LVR115" s="0"/>
      <c r="LVS115" s="0"/>
      <c r="LVT115" s="0"/>
      <c r="LVU115" s="0"/>
      <c r="LVV115" s="0"/>
      <c r="LVW115" s="0"/>
      <c r="LVX115" s="0"/>
      <c r="LVY115" s="0"/>
      <c r="LVZ115" s="0"/>
      <c r="LWA115" s="0"/>
      <c r="LWB115" s="0"/>
      <c r="LWC115" s="0"/>
      <c r="LWD115" s="0"/>
      <c r="LWE115" s="0"/>
      <c r="LWF115" s="0"/>
      <c r="LWG115" s="0"/>
      <c r="LWH115" s="0"/>
      <c r="LWI115" s="0"/>
      <c r="LWJ115" s="0"/>
      <c r="LWK115" s="0"/>
      <c r="LWL115" s="0"/>
      <c r="LWM115" s="0"/>
      <c r="LWN115" s="0"/>
      <c r="LWO115" s="0"/>
      <c r="LWP115" s="0"/>
      <c r="LWQ115" s="0"/>
      <c r="LWR115" s="0"/>
      <c r="LWS115" s="0"/>
      <c r="LWT115" s="0"/>
      <c r="LWU115" s="0"/>
      <c r="LWV115" s="0"/>
      <c r="LWW115" s="0"/>
      <c r="LWX115" s="0"/>
      <c r="LWY115" s="0"/>
      <c r="LWZ115" s="0"/>
      <c r="LXA115" s="0"/>
      <c r="LXB115" s="0"/>
      <c r="LXC115" s="0"/>
      <c r="LXD115" s="0"/>
      <c r="LXE115" s="0"/>
      <c r="LXF115" s="0"/>
      <c r="LXG115" s="0"/>
      <c r="LXH115" s="0"/>
      <c r="LXI115" s="0"/>
      <c r="LXJ115" s="0"/>
      <c r="LXK115" s="0"/>
      <c r="LXL115" s="0"/>
      <c r="LXM115" s="0"/>
      <c r="LXN115" s="0"/>
      <c r="LXO115" s="0"/>
      <c r="LXP115" s="0"/>
      <c r="LXQ115" s="0"/>
      <c r="LXR115" s="0"/>
      <c r="LXS115" s="0"/>
      <c r="LXT115" s="0"/>
      <c r="LXU115" s="0"/>
      <c r="LXV115" s="0"/>
      <c r="LXW115" s="0"/>
      <c r="LXX115" s="0"/>
      <c r="LXY115" s="0"/>
      <c r="LXZ115" s="0"/>
      <c r="LYA115" s="0"/>
      <c r="LYB115" s="0"/>
      <c r="LYC115" s="0"/>
      <c r="LYD115" s="0"/>
      <c r="LYE115" s="0"/>
      <c r="LYF115" s="0"/>
      <c r="LYG115" s="0"/>
      <c r="LYH115" s="0"/>
      <c r="LYI115" s="0"/>
      <c r="LYJ115" s="0"/>
      <c r="LYK115" s="0"/>
      <c r="LYL115" s="0"/>
      <c r="LYM115" s="0"/>
      <c r="LYN115" s="0"/>
      <c r="LYO115" s="0"/>
      <c r="LYP115" s="0"/>
      <c r="LYQ115" s="0"/>
      <c r="LYR115" s="0"/>
      <c r="LYS115" s="0"/>
      <c r="LYT115" s="0"/>
      <c r="LYU115" s="0"/>
      <c r="LYV115" s="0"/>
      <c r="LYW115" s="0"/>
      <c r="LYX115" s="0"/>
      <c r="LYY115" s="0"/>
      <c r="LYZ115" s="0"/>
      <c r="LZA115" s="0"/>
      <c r="LZB115" s="0"/>
      <c r="LZC115" s="0"/>
      <c r="LZD115" s="0"/>
      <c r="LZE115" s="0"/>
      <c r="LZF115" s="0"/>
      <c r="LZG115" s="0"/>
      <c r="LZH115" s="0"/>
      <c r="LZI115" s="0"/>
      <c r="LZJ115" s="0"/>
      <c r="LZK115" s="0"/>
      <c r="LZL115" s="0"/>
      <c r="LZM115" s="0"/>
      <c r="LZN115" s="0"/>
      <c r="LZO115" s="0"/>
      <c r="LZP115" s="0"/>
      <c r="LZQ115" s="0"/>
      <c r="LZR115" s="0"/>
      <c r="LZS115" s="0"/>
      <c r="LZT115" s="0"/>
      <c r="LZU115" s="0"/>
      <c r="LZV115" s="0"/>
      <c r="LZW115" s="0"/>
      <c r="LZX115" s="0"/>
      <c r="LZY115" s="0"/>
      <c r="LZZ115" s="0"/>
      <c r="MAA115" s="0"/>
      <c r="MAB115" s="0"/>
      <c r="MAC115" s="0"/>
      <c r="MAD115" s="0"/>
      <c r="MAE115" s="0"/>
      <c r="MAF115" s="0"/>
      <c r="MAG115" s="0"/>
      <c r="MAH115" s="0"/>
      <c r="MAI115" s="0"/>
      <c r="MAJ115" s="0"/>
      <c r="MAK115" s="0"/>
      <c r="MAL115" s="0"/>
      <c r="MAM115" s="0"/>
      <c r="MAN115" s="0"/>
      <c r="MAO115" s="0"/>
      <c r="MAP115" s="0"/>
      <c r="MAQ115" s="0"/>
      <c r="MAR115" s="0"/>
      <c r="MAS115" s="0"/>
      <c r="MAT115" s="0"/>
      <c r="MAU115" s="0"/>
      <c r="MAV115" s="0"/>
      <c r="MAW115" s="0"/>
      <c r="MAX115" s="0"/>
      <c r="MAY115" s="0"/>
      <c r="MAZ115" s="0"/>
      <c r="MBA115" s="0"/>
      <c r="MBB115" s="0"/>
      <c r="MBC115" s="0"/>
      <c r="MBD115" s="0"/>
      <c r="MBE115" s="0"/>
      <c r="MBF115" s="0"/>
      <c r="MBG115" s="0"/>
      <c r="MBH115" s="0"/>
      <c r="MBI115" s="0"/>
      <c r="MBJ115" s="0"/>
      <c r="MBK115" s="0"/>
      <c r="MBL115" s="0"/>
      <c r="MBM115" s="0"/>
      <c r="MBN115" s="0"/>
      <c r="MBO115" s="0"/>
      <c r="MBP115" s="0"/>
      <c r="MBQ115" s="0"/>
      <c r="MBR115" s="0"/>
      <c r="MBS115" s="0"/>
      <c r="MBT115" s="0"/>
      <c r="MBU115" s="0"/>
      <c r="MBV115" s="0"/>
      <c r="MBW115" s="0"/>
      <c r="MBX115" s="0"/>
      <c r="MBY115" s="0"/>
      <c r="MBZ115" s="0"/>
      <c r="MCA115" s="0"/>
      <c r="MCB115" s="0"/>
      <c r="MCC115" s="0"/>
      <c r="MCD115" s="0"/>
      <c r="MCE115" s="0"/>
      <c r="MCF115" s="0"/>
      <c r="MCG115" s="0"/>
      <c r="MCH115" s="0"/>
      <c r="MCI115" s="0"/>
      <c r="MCJ115" s="0"/>
      <c r="MCK115" s="0"/>
      <c r="MCL115" s="0"/>
      <c r="MCM115" s="0"/>
      <c r="MCN115" s="0"/>
      <c r="MCO115" s="0"/>
      <c r="MCP115" s="0"/>
      <c r="MCQ115" s="0"/>
      <c r="MCR115" s="0"/>
      <c r="MCS115" s="0"/>
      <c r="MCT115" s="0"/>
      <c r="MCU115" s="0"/>
      <c r="MCV115" s="0"/>
      <c r="MCW115" s="0"/>
      <c r="MCX115" s="0"/>
      <c r="MCY115" s="0"/>
      <c r="MCZ115" s="0"/>
      <c r="MDA115" s="0"/>
      <c r="MDB115" s="0"/>
      <c r="MDC115" s="0"/>
      <c r="MDD115" s="0"/>
      <c r="MDE115" s="0"/>
      <c r="MDF115" s="0"/>
      <c r="MDG115" s="0"/>
      <c r="MDH115" s="0"/>
      <c r="MDI115" s="0"/>
      <c r="MDJ115" s="0"/>
      <c r="MDK115" s="0"/>
      <c r="MDL115" s="0"/>
      <c r="MDM115" s="0"/>
      <c r="MDN115" s="0"/>
      <c r="MDO115" s="0"/>
      <c r="MDP115" s="0"/>
      <c r="MDQ115" s="0"/>
      <c r="MDR115" s="0"/>
      <c r="MDS115" s="0"/>
      <c r="MDT115" s="0"/>
      <c r="MDU115" s="0"/>
      <c r="MDV115" s="0"/>
      <c r="MDW115" s="0"/>
      <c r="MDX115" s="0"/>
      <c r="MDY115" s="0"/>
      <c r="MDZ115" s="0"/>
      <c r="MEA115" s="0"/>
      <c r="MEB115" s="0"/>
      <c r="MEC115" s="0"/>
      <c r="MED115" s="0"/>
      <c r="MEE115" s="0"/>
      <c r="MEF115" s="0"/>
      <c r="MEG115" s="0"/>
      <c r="MEH115" s="0"/>
      <c r="MEI115" s="0"/>
      <c r="MEJ115" s="0"/>
      <c r="MEK115" s="0"/>
      <c r="MEL115" s="0"/>
      <c r="MEM115" s="0"/>
      <c r="MEN115" s="0"/>
      <c r="MEO115" s="0"/>
      <c r="MEP115" s="0"/>
      <c r="MEQ115" s="0"/>
      <c r="MER115" s="0"/>
      <c r="MES115" s="0"/>
      <c r="MET115" s="0"/>
      <c r="MEU115" s="0"/>
      <c r="MEV115" s="0"/>
      <c r="MEW115" s="0"/>
      <c r="MEX115" s="0"/>
      <c r="MEY115" s="0"/>
      <c r="MEZ115" s="0"/>
      <c r="MFA115" s="0"/>
      <c r="MFB115" s="0"/>
      <c r="MFC115" s="0"/>
      <c r="MFD115" s="0"/>
      <c r="MFE115" s="0"/>
      <c r="MFF115" s="0"/>
      <c r="MFG115" s="0"/>
      <c r="MFH115" s="0"/>
      <c r="MFI115" s="0"/>
      <c r="MFJ115" s="0"/>
      <c r="MFK115" s="0"/>
      <c r="MFL115" s="0"/>
      <c r="MFM115" s="0"/>
      <c r="MFN115" s="0"/>
      <c r="MFO115" s="0"/>
      <c r="MFP115" s="0"/>
      <c r="MFQ115" s="0"/>
      <c r="MFR115" s="0"/>
      <c r="MFS115" s="0"/>
      <c r="MFT115" s="0"/>
      <c r="MFU115" s="0"/>
      <c r="MFV115" s="0"/>
      <c r="MFW115" s="0"/>
      <c r="MFX115" s="0"/>
      <c r="MFY115" s="0"/>
      <c r="MFZ115" s="0"/>
      <c r="MGA115" s="0"/>
      <c r="MGB115" s="0"/>
      <c r="MGC115" s="0"/>
      <c r="MGD115" s="0"/>
      <c r="MGE115" s="0"/>
      <c r="MGF115" s="0"/>
      <c r="MGG115" s="0"/>
      <c r="MGH115" s="0"/>
      <c r="MGI115" s="0"/>
      <c r="MGJ115" s="0"/>
      <c r="MGK115" s="0"/>
      <c r="MGL115" s="0"/>
      <c r="MGM115" s="0"/>
      <c r="MGN115" s="0"/>
      <c r="MGO115" s="0"/>
      <c r="MGP115" s="0"/>
      <c r="MGQ115" s="0"/>
      <c r="MGR115" s="0"/>
      <c r="MGS115" s="0"/>
      <c r="MGT115" s="0"/>
      <c r="MGU115" s="0"/>
      <c r="MGV115" s="0"/>
      <c r="MGW115" s="0"/>
      <c r="MGX115" s="0"/>
      <c r="MGY115" s="0"/>
      <c r="MGZ115" s="0"/>
      <c r="MHA115" s="0"/>
      <c r="MHB115" s="0"/>
      <c r="MHC115" s="0"/>
      <c r="MHD115" s="0"/>
      <c r="MHE115" s="0"/>
      <c r="MHF115" s="0"/>
      <c r="MHG115" s="0"/>
      <c r="MHH115" s="0"/>
      <c r="MHI115" s="0"/>
      <c r="MHJ115" s="0"/>
      <c r="MHK115" s="0"/>
      <c r="MHL115" s="0"/>
      <c r="MHM115" s="0"/>
      <c r="MHN115" s="0"/>
      <c r="MHO115" s="0"/>
      <c r="MHP115" s="0"/>
      <c r="MHQ115" s="0"/>
      <c r="MHR115" s="0"/>
      <c r="MHS115" s="0"/>
      <c r="MHT115" s="0"/>
      <c r="MHU115" s="0"/>
      <c r="MHV115" s="0"/>
      <c r="MHW115" s="0"/>
      <c r="MHX115" s="0"/>
      <c r="MHY115" s="0"/>
      <c r="MHZ115" s="0"/>
      <c r="MIA115" s="0"/>
      <c r="MIB115" s="0"/>
      <c r="MIC115" s="0"/>
      <c r="MID115" s="0"/>
      <c r="MIE115" s="0"/>
      <c r="MIF115" s="0"/>
      <c r="MIG115" s="0"/>
      <c r="MIH115" s="0"/>
      <c r="MII115" s="0"/>
      <c r="MIJ115" s="0"/>
      <c r="MIK115" s="0"/>
      <c r="MIL115" s="0"/>
      <c r="MIM115" s="0"/>
      <c r="MIN115" s="0"/>
      <c r="MIO115" s="0"/>
      <c r="MIP115" s="0"/>
      <c r="MIQ115" s="0"/>
      <c r="MIR115" s="0"/>
      <c r="MIS115" s="0"/>
      <c r="MIT115" s="0"/>
      <c r="MIU115" s="0"/>
      <c r="MIV115" s="0"/>
      <c r="MIW115" s="0"/>
      <c r="MIX115" s="0"/>
      <c r="MIY115" s="0"/>
      <c r="MIZ115" s="0"/>
      <c r="MJA115" s="0"/>
      <c r="MJB115" s="0"/>
      <c r="MJC115" s="0"/>
      <c r="MJD115" s="0"/>
      <c r="MJE115" s="0"/>
      <c r="MJF115" s="0"/>
      <c r="MJG115" s="0"/>
      <c r="MJH115" s="0"/>
      <c r="MJI115" s="0"/>
      <c r="MJJ115" s="0"/>
      <c r="MJK115" s="0"/>
      <c r="MJL115" s="0"/>
      <c r="MJM115" s="0"/>
      <c r="MJN115" s="0"/>
      <c r="MJO115" s="0"/>
      <c r="MJP115" s="0"/>
      <c r="MJQ115" s="0"/>
      <c r="MJR115" s="0"/>
      <c r="MJS115" s="0"/>
      <c r="MJT115" s="0"/>
      <c r="MJU115" s="0"/>
      <c r="MJV115" s="0"/>
      <c r="MJW115" s="0"/>
      <c r="MJX115" s="0"/>
      <c r="MJY115" s="0"/>
      <c r="MJZ115" s="0"/>
      <c r="MKA115" s="0"/>
      <c r="MKB115" s="0"/>
      <c r="MKC115" s="0"/>
      <c r="MKD115" s="0"/>
      <c r="MKE115" s="0"/>
      <c r="MKF115" s="0"/>
      <c r="MKG115" s="0"/>
      <c r="MKH115" s="0"/>
      <c r="MKI115" s="0"/>
      <c r="MKJ115" s="0"/>
      <c r="MKK115" s="0"/>
      <c r="MKL115" s="0"/>
      <c r="MKM115" s="0"/>
      <c r="MKN115" s="0"/>
      <c r="MKO115" s="0"/>
      <c r="MKP115" s="0"/>
      <c r="MKQ115" s="0"/>
      <c r="MKR115" s="0"/>
      <c r="MKS115" s="0"/>
      <c r="MKT115" s="0"/>
      <c r="MKU115" s="0"/>
      <c r="MKV115" s="0"/>
      <c r="MKW115" s="0"/>
      <c r="MKX115" s="0"/>
      <c r="MKY115" s="0"/>
      <c r="MKZ115" s="0"/>
      <c r="MLA115" s="0"/>
      <c r="MLB115" s="0"/>
      <c r="MLC115" s="0"/>
      <c r="MLD115" s="0"/>
      <c r="MLE115" s="0"/>
      <c r="MLF115" s="0"/>
      <c r="MLG115" s="0"/>
      <c r="MLH115" s="0"/>
      <c r="MLI115" s="0"/>
      <c r="MLJ115" s="0"/>
      <c r="MLK115" s="0"/>
      <c r="MLL115" s="0"/>
      <c r="MLM115" s="0"/>
      <c r="MLN115" s="0"/>
      <c r="MLO115" s="0"/>
      <c r="MLP115" s="0"/>
      <c r="MLQ115" s="0"/>
      <c r="MLR115" s="0"/>
      <c r="MLS115" s="0"/>
      <c r="MLT115" s="0"/>
      <c r="MLU115" s="0"/>
      <c r="MLV115" s="0"/>
      <c r="MLW115" s="0"/>
      <c r="MLX115" s="0"/>
      <c r="MLY115" s="0"/>
      <c r="MLZ115" s="0"/>
      <c r="MMA115" s="0"/>
      <c r="MMB115" s="0"/>
      <c r="MMC115" s="0"/>
      <c r="MMD115" s="0"/>
      <c r="MME115" s="0"/>
      <c r="MMF115" s="0"/>
      <c r="MMG115" s="0"/>
      <c r="MMH115" s="0"/>
      <c r="MMI115" s="0"/>
      <c r="MMJ115" s="0"/>
      <c r="MMK115" s="0"/>
      <c r="MML115" s="0"/>
      <c r="MMM115" s="0"/>
      <c r="MMN115" s="0"/>
      <c r="MMO115" s="0"/>
      <c r="MMP115" s="0"/>
      <c r="MMQ115" s="0"/>
      <c r="MMR115" s="0"/>
      <c r="MMS115" s="0"/>
      <c r="MMT115" s="0"/>
      <c r="MMU115" s="0"/>
      <c r="MMV115" s="0"/>
      <c r="MMW115" s="0"/>
      <c r="MMX115" s="0"/>
      <c r="MMY115" s="0"/>
      <c r="MMZ115" s="0"/>
      <c r="MNA115" s="0"/>
      <c r="MNB115" s="0"/>
      <c r="MNC115" s="0"/>
      <c r="MND115" s="0"/>
      <c r="MNE115" s="0"/>
      <c r="MNF115" s="0"/>
      <c r="MNG115" s="0"/>
      <c r="MNH115" s="0"/>
      <c r="MNI115" s="0"/>
      <c r="MNJ115" s="0"/>
      <c r="MNK115" s="0"/>
      <c r="MNL115" s="0"/>
      <c r="MNM115" s="0"/>
      <c r="MNN115" s="0"/>
      <c r="MNO115" s="0"/>
      <c r="MNP115" s="0"/>
      <c r="MNQ115" s="0"/>
      <c r="MNR115" s="0"/>
      <c r="MNS115" s="0"/>
      <c r="MNT115" s="0"/>
      <c r="MNU115" s="0"/>
      <c r="MNV115" s="0"/>
      <c r="MNW115" s="0"/>
      <c r="MNX115" s="0"/>
      <c r="MNY115" s="0"/>
      <c r="MNZ115" s="0"/>
      <c r="MOA115" s="0"/>
      <c r="MOB115" s="0"/>
      <c r="MOC115" s="0"/>
      <c r="MOD115" s="0"/>
      <c r="MOE115" s="0"/>
      <c r="MOF115" s="0"/>
      <c r="MOG115" s="0"/>
      <c r="MOH115" s="0"/>
      <c r="MOI115" s="0"/>
      <c r="MOJ115" s="0"/>
      <c r="MOK115" s="0"/>
      <c r="MOL115" s="0"/>
      <c r="MOM115" s="0"/>
      <c r="MON115" s="0"/>
      <c r="MOO115" s="0"/>
      <c r="MOP115" s="0"/>
      <c r="MOQ115" s="0"/>
      <c r="MOR115" s="0"/>
      <c r="MOS115" s="0"/>
      <c r="MOT115" s="0"/>
      <c r="MOU115" s="0"/>
      <c r="MOV115" s="0"/>
      <c r="MOW115" s="0"/>
      <c r="MOX115" s="0"/>
      <c r="MOY115" s="0"/>
      <c r="MOZ115" s="0"/>
      <c r="MPA115" s="0"/>
      <c r="MPB115" s="0"/>
      <c r="MPC115" s="0"/>
      <c r="MPD115" s="0"/>
      <c r="MPE115" s="0"/>
      <c r="MPF115" s="0"/>
      <c r="MPG115" s="0"/>
      <c r="MPH115" s="0"/>
      <c r="MPI115" s="0"/>
      <c r="MPJ115" s="0"/>
      <c r="MPK115" s="0"/>
      <c r="MPL115" s="0"/>
      <c r="MPM115" s="0"/>
      <c r="MPN115" s="0"/>
      <c r="MPO115" s="0"/>
      <c r="MPP115" s="0"/>
      <c r="MPQ115" s="0"/>
      <c r="MPR115" s="0"/>
      <c r="MPS115" s="0"/>
      <c r="MPT115" s="0"/>
      <c r="MPU115" s="0"/>
      <c r="MPV115" s="0"/>
      <c r="MPW115" s="0"/>
      <c r="MPX115" s="0"/>
      <c r="MPY115" s="0"/>
      <c r="MPZ115" s="0"/>
      <c r="MQA115" s="0"/>
      <c r="MQB115" s="0"/>
      <c r="MQC115" s="0"/>
      <c r="MQD115" s="0"/>
      <c r="MQE115" s="0"/>
      <c r="MQF115" s="0"/>
      <c r="MQG115" s="0"/>
      <c r="MQH115" s="0"/>
      <c r="MQI115" s="0"/>
      <c r="MQJ115" s="0"/>
      <c r="MQK115" s="0"/>
      <c r="MQL115" s="0"/>
      <c r="MQM115" s="0"/>
      <c r="MQN115" s="0"/>
      <c r="MQO115" s="0"/>
      <c r="MQP115" s="0"/>
      <c r="MQQ115" s="0"/>
      <c r="MQR115" s="0"/>
      <c r="MQS115" s="0"/>
      <c r="MQT115" s="0"/>
      <c r="MQU115" s="0"/>
      <c r="MQV115" s="0"/>
      <c r="MQW115" s="0"/>
      <c r="MQX115" s="0"/>
      <c r="MQY115" s="0"/>
      <c r="MQZ115" s="0"/>
      <c r="MRA115" s="0"/>
      <c r="MRB115" s="0"/>
      <c r="MRC115" s="0"/>
      <c r="MRD115" s="0"/>
      <c r="MRE115" s="0"/>
      <c r="MRF115" s="0"/>
      <c r="MRG115" s="0"/>
      <c r="MRH115" s="0"/>
      <c r="MRI115" s="0"/>
      <c r="MRJ115" s="0"/>
      <c r="MRK115" s="0"/>
      <c r="MRL115" s="0"/>
      <c r="MRM115" s="0"/>
      <c r="MRN115" s="0"/>
      <c r="MRO115" s="0"/>
      <c r="MRP115" s="0"/>
      <c r="MRQ115" s="0"/>
      <c r="MRR115" s="0"/>
      <c r="MRS115" s="0"/>
      <c r="MRT115" s="0"/>
      <c r="MRU115" s="0"/>
      <c r="MRV115" s="0"/>
      <c r="MRW115" s="0"/>
      <c r="MRX115" s="0"/>
      <c r="MRY115" s="0"/>
      <c r="MRZ115" s="0"/>
      <c r="MSA115" s="0"/>
      <c r="MSB115" s="0"/>
      <c r="MSC115" s="0"/>
      <c r="MSD115" s="0"/>
      <c r="MSE115" s="0"/>
      <c r="MSF115" s="0"/>
      <c r="MSG115" s="0"/>
      <c r="MSH115" s="0"/>
      <c r="MSI115" s="0"/>
      <c r="MSJ115" s="0"/>
      <c r="MSK115" s="0"/>
      <c r="MSL115" s="0"/>
      <c r="MSM115" s="0"/>
      <c r="MSN115" s="0"/>
      <c r="MSO115" s="0"/>
      <c r="MSP115" s="0"/>
      <c r="MSQ115" s="0"/>
      <c r="MSR115" s="0"/>
      <c r="MSS115" s="0"/>
      <c r="MST115" s="0"/>
      <c r="MSU115" s="0"/>
      <c r="MSV115" s="0"/>
      <c r="MSW115" s="0"/>
      <c r="MSX115" s="0"/>
      <c r="MSY115" s="0"/>
      <c r="MSZ115" s="0"/>
      <c r="MTA115" s="0"/>
      <c r="MTB115" s="0"/>
      <c r="MTC115" s="0"/>
      <c r="MTD115" s="0"/>
      <c r="MTE115" s="0"/>
      <c r="MTF115" s="0"/>
      <c r="MTG115" s="0"/>
      <c r="MTH115" s="0"/>
      <c r="MTI115" s="0"/>
      <c r="MTJ115" s="0"/>
      <c r="MTK115" s="0"/>
      <c r="MTL115" s="0"/>
      <c r="MTM115" s="0"/>
      <c r="MTN115" s="0"/>
      <c r="MTO115" s="0"/>
      <c r="MTP115" s="0"/>
      <c r="MTQ115" s="0"/>
      <c r="MTR115" s="0"/>
      <c r="MTS115" s="0"/>
      <c r="MTT115" s="0"/>
      <c r="MTU115" s="0"/>
      <c r="MTV115" s="0"/>
      <c r="MTW115" s="0"/>
      <c r="MTX115" s="0"/>
      <c r="MTY115" s="0"/>
      <c r="MTZ115" s="0"/>
      <c r="MUA115" s="0"/>
      <c r="MUB115" s="0"/>
      <c r="MUC115" s="0"/>
      <c r="MUD115" s="0"/>
      <c r="MUE115" s="0"/>
      <c r="MUF115" s="0"/>
      <c r="MUG115" s="0"/>
      <c r="MUH115" s="0"/>
      <c r="MUI115" s="0"/>
      <c r="MUJ115" s="0"/>
      <c r="MUK115" s="0"/>
      <c r="MUL115" s="0"/>
      <c r="MUM115" s="0"/>
      <c r="MUN115" s="0"/>
      <c r="MUO115" s="0"/>
      <c r="MUP115" s="0"/>
      <c r="MUQ115" s="0"/>
      <c r="MUR115" s="0"/>
      <c r="MUS115" s="0"/>
      <c r="MUT115" s="0"/>
      <c r="MUU115" s="0"/>
      <c r="MUV115" s="0"/>
      <c r="MUW115" s="0"/>
      <c r="MUX115" s="0"/>
      <c r="MUY115" s="0"/>
      <c r="MUZ115" s="0"/>
      <c r="MVA115" s="0"/>
      <c r="MVB115" s="0"/>
      <c r="MVC115" s="0"/>
      <c r="MVD115" s="0"/>
      <c r="MVE115" s="0"/>
      <c r="MVF115" s="0"/>
      <c r="MVG115" s="0"/>
      <c r="MVH115" s="0"/>
      <c r="MVI115" s="0"/>
      <c r="MVJ115" s="0"/>
      <c r="MVK115" s="0"/>
      <c r="MVL115" s="0"/>
      <c r="MVM115" s="0"/>
      <c r="MVN115" s="0"/>
      <c r="MVO115" s="0"/>
      <c r="MVP115" s="0"/>
      <c r="MVQ115" s="0"/>
      <c r="MVR115" s="0"/>
      <c r="MVS115" s="0"/>
      <c r="MVT115" s="0"/>
      <c r="MVU115" s="0"/>
      <c r="MVV115" s="0"/>
      <c r="MVW115" s="0"/>
      <c r="MVX115" s="0"/>
      <c r="MVY115" s="0"/>
      <c r="MVZ115" s="0"/>
      <c r="MWA115" s="0"/>
      <c r="MWB115" s="0"/>
      <c r="MWC115" s="0"/>
      <c r="MWD115" s="0"/>
      <c r="MWE115" s="0"/>
      <c r="MWF115" s="0"/>
      <c r="MWG115" s="0"/>
      <c r="MWH115" s="0"/>
      <c r="MWI115" s="0"/>
      <c r="MWJ115" s="0"/>
      <c r="MWK115" s="0"/>
      <c r="MWL115" s="0"/>
      <c r="MWM115" s="0"/>
      <c r="MWN115" s="0"/>
      <c r="MWO115" s="0"/>
      <c r="MWP115" s="0"/>
      <c r="MWQ115" s="0"/>
      <c r="MWR115" s="0"/>
      <c r="MWS115" s="0"/>
      <c r="MWT115" s="0"/>
      <c r="MWU115" s="0"/>
      <c r="MWV115" s="0"/>
      <c r="MWW115" s="0"/>
      <c r="MWX115" s="0"/>
      <c r="MWY115" s="0"/>
      <c r="MWZ115" s="0"/>
      <c r="MXA115" s="0"/>
      <c r="MXB115" s="0"/>
      <c r="MXC115" s="0"/>
      <c r="MXD115" s="0"/>
      <c r="MXE115" s="0"/>
      <c r="MXF115" s="0"/>
      <c r="MXG115" s="0"/>
      <c r="MXH115" s="0"/>
      <c r="MXI115" s="0"/>
      <c r="MXJ115" s="0"/>
      <c r="MXK115" s="0"/>
      <c r="MXL115" s="0"/>
      <c r="MXM115" s="0"/>
      <c r="MXN115" s="0"/>
      <c r="MXO115" s="0"/>
      <c r="MXP115" s="0"/>
      <c r="MXQ115" s="0"/>
      <c r="MXR115" s="0"/>
      <c r="MXS115" s="0"/>
      <c r="MXT115" s="0"/>
      <c r="MXU115" s="0"/>
      <c r="MXV115" s="0"/>
      <c r="MXW115" s="0"/>
      <c r="MXX115" s="0"/>
      <c r="MXY115" s="0"/>
      <c r="MXZ115" s="0"/>
      <c r="MYA115" s="0"/>
      <c r="MYB115" s="0"/>
      <c r="MYC115" s="0"/>
      <c r="MYD115" s="0"/>
      <c r="MYE115" s="0"/>
      <c r="MYF115" s="0"/>
      <c r="MYG115" s="0"/>
      <c r="MYH115" s="0"/>
      <c r="MYI115" s="0"/>
      <c r="MYJ115" s="0"/>
      <c r="MYK115" s="0"/>
      <c r="MYL115" s="0"/>
      <c r="MYM115" s="0"/>
      <c r="MYN115" s="0"/>
      <c r="MYO115" s="0"/>
      <c r="MYP115" s="0"/>
      <c r="MYQ115" s="0"/>
      <c r="MYR115" s="0"/>
      <c r="MYS115" s="0"/>
      <c r="MYT115" s="0"/>
      <c r="MYU115" s="0"/>
      <c r="MYV115" s="0"/>
      <c r="MYW115" s="0"/>
      <c r="MYX115" s="0"/>
      <c r="MYY115" s="0"/>
      <c r="MYZ115" s="0"/>
      <c r="MZA115" s="0"/>
      <c r="MZB115" s="0"/>
      <c r="MZC115" s="0"/>
      <c r="MZD115" s="0"/>
      <c r="MZE115" s="0"/>
      <c r="MZF115" s="0"/>
      <c r="MZG115" s="0"/>
      <c r="MZH115" s="0"/>
      <c r="MZI115" s="0"/>
      <c r="MZJ115" s="0"/>
      <c r="MZK115" s="0"/>
      <c r="MZL115" s="0"/>
      <c r="MZM115" s="0"/>
      <c r="MZN115" s="0"/>
      <c r="MZO115" s="0"/>
      <c r="MZP115" s="0"/>
      <c r="MZQ115" s="0"/>
      <c r="MZR115" s="0"/>
      <c r="MZS115" s="0"/>
      <c r="MZT115" s="0"/>
      <c r="MZU115" s="0"/>
      <c r="MZV115" s="0"/>
      <c r="MZW115" s="0"/>
      <c r="MZX115" s="0"/>
      <c r="MZY115" s="0"/>
      <c r="MZZ115" s="0"/>
      <c r="NAA115" s="0"/>
      <c r="NAB115" s="0"/>
      <c r="NAC115" s="0"/>
      <c r="NAD115" s="0"/>
      <c r="NAE115" s="0"/>
      <c r="NAF115" s="0"/>
      <c r="NAG115" s="0"/>
      <c r="NAH115" s="0"/>
      <c r="NAI115" s="0"/>
      <c r="NAJ115" s="0"/>
      <c r="NAK115" s="0"/>
      <c r="NAL115" s="0"/>
      <c r="NAM115" s="0"/>
      <c r="NAN115" s="0"/>
      <c r="NAO115" s="0"/>
      <c r="NAP115" s="0"/>
      <c r="NAQ115" s="0"/>
      <c r="NAR115" s="0"/>
      <c r="NAS115" s="0"/>
      <c r="NAT115" s="0"/>
      <c r="NAU115" s="0"/>
      <c r="NAV115" s="0"/>
      <c r="NAW115" s="0"/>
      <c r="NAX115" s="0"/>
      <c r="NAY115" s="0"/>
      <c r="NAZ115" s="0"/>
      <c r="NBA115" s="0"/>
      <c r="NBB115" s="0"/>
      <c r="NBC115" s="0"/>
      <c r="NBD115" s="0"/>
      <c r="NBE115" s="0"/>
      <c r="NBF115" s="0"/>
      <c r="NBG115" s="0"/>
      <c r="NBH115" s="0"/>
      <c r="NBI115" s="0"/>
      <c r="NBJ115" s="0"/>
      <c r="NBK115" s="0"/>
      <c r="NBL115" s="0"/>
      <c r="NBM115" s="0"/>
      <c r="NBN115" s="0"/>
      <c r="NBO115" s="0"/>
      <c r="NBP115" s="0"/>
      <c r="NBQ115" s="0"/>
      <c r="NBR115" s="0"/>
      <c r="NBS115" s="0"/>
      <c r="NBT115" s="0"/>
      <c r="NBU115" s="0"/>
      <c r="NBV115" s="0"/>
      <c r="NBW115" s="0"/>
      <c r="NBX115" s="0"/>
      <c r="NBY115" s="0"/>
      <c r="NBZ115" s="0"/>
      <c r="NCA115" s="0"/>
      <c r="NCB115" s="0"/>
      <c r="NCC115" s="0"/>
      <c r="NCD115" s="0"/>
      <c r="NCE115" s="0"/>
      <c r="NCF115" s="0"/>
      <c r="NCG115" s="0"/>
      <c r="NCH115" s="0"/>
      <c r="NCI115" s="0"/>
      <c r="NCJ115" s="0"/>
      <c r="NCK115" s="0"/>
      <c r="NCL115" s="0"/>
      <c r="NCM115" s="0"/>
      <c r="NCN115" s="0"/>
      <c r="NCO115" s="0"/>
      <c r="NCP115" s="0"/>
      <c r="NCQ115" s="0"/>
      <c r="NCR115" s="0"/>
      <c r="NCS115" s="0"/>
      <c r="NCT115" s="0"/>
      <c r="NCU115" s="0"/>
      <c r="NCV115" s="0"/>
      <c r="NCW115" s="0"/>
      <c r="NCX115" s="0"/>
      <c r="NCY115" s="0"/>
      <c r="NCZ115" s="0"/>
      <c r="NDA115" s="0"/>
      <c r="NDB115" s="0"/>
      <c r="NDC115" s="0"/>
      <c r="NDD115" s="0"/>
      <c r="NDE115" s="0"/>
      <c r="NDF115" s="0"/>
      <c r="NDG115" s="0"/>
      <c r="NDH115" s="0"/>
      <c r="NDI115" s="0"/>
      <c r="NDJ115" s="0"/>
      <c r="NDK115" s="0"/>
      <c r="NDL115" s="0"/>
      <c r="NDM115" s="0"/>
      <c r="NDN115" s="0"/>
      <c r="NDO115" s="0"/>
      <c r="NDP115" s="0"/>
      <c r="NDQ115" s="0"/>
      <c r="NDR115" s="0"/>
      <c r="NDS115" s="0"/>
      <c r="NDT115" s="0"/>
      <c r="NDU115" s="0"/>
      <c r="NDV115" s="0"/>
      <c r="NDW115" s="0"/>
      <c r="NDX115" s="0"/>
      <c r="NDY115" s="0"/>
      <c r="NDZ115" s="0"/>
      <c r="NEA115" s="0"/>
      <c r="NEB115" s="0"/>
      <c r="NEC115" s="0"/>
      <c r="NED115" s="0"/>
      <c r="NEE115" s="0"/>
      <c r="NEF115" s="0"/>
      <c r="NEG115" s="0"/>
      <c r="NEH115" s="0"/>
      <c r="NEI115" s="0"/>
      <c r="NEJ115" s="0"/>
      <c r="NEK115" s="0"/>
      <c r="NEL115" s="0"/>
      <c r="NEM115" s="0"/>
      <c r="NEN115" s="0"/>
      <c r="NEO115" s="0"/>
      <c r="NEP115" s="0"/>
      <c r="NEQ115" s="0"/>
      <c r="NER115" s="0"/>
      <c r="NES115" s="0"/>
      <c r="NET115" s="0"/>
      <c r="NEU115" s="0"/>
      <c r="NEV115" s="0"/>
      <c r="NEW115" s="0"/>
      <c r="NEX115" s="0"/>
      <c r="NEY115" s="0"/>
      <c r="NEZ115" s="0"/>
      <c r="NFA115" s="0"/>
      <c r="NFB115" s="0"/>
      <c r="NFC115" s="0"/>
      <c r="NFD115" s="0"/>
      <c r="NFE115" s="0"/>
      <c r="NFF115" s="0"/>
      <c r="NFG115" s="0"/>
      <c r="NFH115" s="0"/>
      <c r="NFI115" s="0"/>
      <c r="NFJ115" s="0"/>
      <c r="NFK115" s="0"/>
      <c r="NFL115" s="0"/>
      <c r="NFM115" s="0"/>
      <c r="NFN115" s="0"/>
      <c r="NFO115" s="0"/>
      <c r="NFP115" s="0"/>
      <c r="NFQ115" s="0"/>
      <c r="NFR115" s="0"/>
      <c r="NFS115" s="0"/>
      <c r="NFT115" s="0"/>
      <c r="NFU115" s="0"/>
      <c r="NFV115" s="0"/>
      <c r="NFW115" s="0"/>
      <c r="NFX115" s="0"/>
      <c r="NFY115" s="0"/>
      <c r="NFZ115" s="0"/>
      <c r="NGA115" s="0"/>
      <c r="NGB115" s="0"/>
      <c r="NGC115" s="0"/>
      <c r="NGD115" s="0"/>
      <c r="NGE115" s="0"/>
      <c r="NGF115" s="0"/>
      <c r="NGG115" s="0"/>
      <c r="NGH115" s="0"/>
      <c r="NGI115" s="0"/>
      <c r="NGJ115" s="0"/>
      <c r="NGK115" s="0"/>
      <c r="NGL115" s="0"/>
      <c r="NGM115" s="0"/>
      <c r="NGN115" s="0"/>
      <c r="NGO115" s="0"/>
      <c r="NGP115" s="0"/>
      <c r="NGQ115" s="0"/>
      <c r="NGR115" s="0"/>
      <c r="NGS115" s="0"/>
      <c r="NGT115" s="0"/>
      <c r="NGU115" s="0"/>
      <c r="NGV115" s="0"/>
      <c r="NGW115" s="0"/>
      <c r="NGX115" s="0"/>
      <c r="NGY115" s="0"/>
      <c r="NGZ115" s="0"/>
      <c r="NHA115" s="0"/>
      <c r="NHB115" s="0"/>
      <c r="NHC115" s="0"/>
      <c r="NHD115" s="0"/>
      <c r="NHE115" s="0"/>
      <c r="NHF115" s="0"/>
      <c r="NHG115" s="0"/>
      <c r="NHH115" s="0"/>
      <c r="NHI115" s="0"/>
      <c r="NHJ115" s="0"/>
      <c r="NHK115" s="0"/>
      <c r="NHL115" s="0"/>
      <c r="NHM115" s="0"/>
      <c r="NHN115" s="0"/>
      <c r="NHO115" s="0"/>
      <c r="NHP115" s="0"/>
      <c r="NHQ115" s="0"/>
      <c r="NHR115" s="0"/>
      <c r="NHS115" s="0"/>
      <c r="NHT115" s="0"/>
      <c r="NHU115" s="0"/>
      <c r="NHV115" s="0"/>
      <c r="NHW115" s="0"/>
      <c r="NHX115" s="0"/>
      <c r="NHY115" s="0"/>
      <c r="NHZ115" s="0"/>
      <c r="NIA115" s="0"/>
      <c r="NIB115" s="0"/>
      <c r="NIC115" s="0"/>
      <c r="NID115" s="0"/>
      <c r="NIE115" s="0"/>
      <c r="NIF115" s="0"/>
      <c r="NIG115" s="0"/>
      <c r="NIH115" s="0"/>
      <c r="NII115" s="0"/>
      <c r="NIJ115" s="0"/>
      <c r="NIK115" s="0"/>
      <c r="NIL115" s="0"/>
      <c r="NIM115" s="0"/>
      <c r="NIN115" s="0"/>
      <c r="NIO115" s="0"/>
      <c r="NIP115" s="0"/>
      <c r="NIQ115" s="0"/>
      <c r="NIR115" s="0"/>
      <c r="NIS115" s="0"/>
      <c r="NIT115" s="0"/>
      <c r="NIU115" s="0"/>
      <c r="NIV115" s="0"/>
      <c r="NIW115" s="0"/>
      <c r="NIX115" s="0"/>
      <c r="NIY115" s="0"/>
      <c r="NIZ115" s="0"/>
      <c r="NJA115" s="0"/>
      <c r="NJB115" s="0"/>
      <c r="NJC115" s="0"/>
      <c r="NJD115" s="0"/>
      <c r="NJE115" s="0"/>
      <c r="NJF115" s="0"/>
      <c r="NJG115" s="0"/>
      <c r="NJH115" s="0"/>
      <c r="NJI115" s="0"/>
      <c r="NJJ115" s="0"/>
      <c r="NJK115" s="0"/>
      <c r="NJL115" s="0"/>
      <c r="NJM115" s="0"/>
      <c r="NJN115" s="0"/>
      <c r="NJO115" s="0"/>
      <c r="NJP115" s="0"/>
      <c r="NJQ115" s="0"/>
      <c r="NJR115" s="0"/>
      <c r="NJS115" s="0"/>
      <c r="NJT115" s="0"/>
      <c r="NJU115" s="0"/>
      <c r="NJV115" s="0"/>
      <c r="NJW115" s="0"/>
      <c r="NJX115" s="0"/>
      <c r="NJY115" s="0"/>
      <c r="NJZ115" s="0"/>
      <c r="NKA115" s="0"/>
      <c r="NKB115" s="0"/>
      <c r="NKC115" s="0"/>
      <c r="NKD115" s="0"/>
      <c r="NKE115" s="0"/>
      <c r="NKF115" s="0"/>
      <c r="NKG115" s="0"/>
      <c r="NKH115" s="0"/>
      <c r="NKI115" s="0"/>
      <c r="NKJ115" s="0"/>
      <c r="NKK115" s="0"/>
      <c r="NKL115" s="0"/>
      <c r="NKM115" s="0"/>
      <c r="NKN115" s="0"/>
      <c r="NKO115" s="0"/>
      <c r="NKP115" s="0"/>
      <c r="NKQ115" s="0"/>
      <c r="NKR115" s="0"/>
      <c r="NKS115" s="0"/>
      <c r="NKT115" s="0"/>
      <c r="NKU115" s="0"/>
      <c r="NKV115" s="0"/>
      <c r="NKW115" s="0"/>
      <c r="NKX115" s="0"/>
      <c r="NKY115" s="0"/>
      <c r="NKZ115" s="0"/>
      <c r="NLA115" s="0"/>
      <c r="NLB115" s="0"/>
      <c r="NLC115" s="0"/>
      <c r="NLD115" s="0"/>
      <c r="NLE115" s="0"/>
      <c r="NLF115" s="0"/>
      <c r="NLG115" s="0"/>
      <c r="NLH115" s="0"/>
      <c r="NLI115" s="0"/>
      <c r="NLJ115" s="0"/>
      <c r="NLK115" s="0"/>
      <c r="NLL115" s="0"/>
      <c r="NLM115" s="0"/>
      <c r="NLN115" s="0"/>
      <c r="NLO115" s="0"/>
      <c r="NLP115" s="0"/>
      <c r="NLQ115" s="0"/>
      <c r="NLR115" s="0"/>
      <c r="NLS115" s="0"/>
      <c r="NLT115" s="0"/>
      <c r="NLU115" s="0"/>
      <c r="NLV115" s="0"/>
      <c r="NLW115" s="0"/>
      <c r="NLX115" s="0"/>
      <c r="NLY115" s="0"/>
      <c r="NLZ115" s="0"/>
      <c r="NMA115" s="0"/>
      <c r="NMB115" s="0"/>
      <c r="NMC115" s="0"/>
      <c r="NMD115" s="0"/>
      <c r="NME115" s="0"/>
      <c r="NMF115" s="0"/>
      <c r="NMG115" s="0"/>
      <c r="NMH115" s="0"/>
      <c r="NMI115" s="0"/>
      <c r="NMJ115" s="0"/>
      <c r="NMK115" s="0"/>
      <c r="NML115" s="0"/>
      <c r="NMM115" s="0"/>
      <c r="NMN115" s="0"/>
      <c r="NMO115" s="0"/>
      <c r="NMP115" s="0"/>
      <c r="NMQ115" s="0"/>
      <c r="NMR115" s="0"/>
      <c r="NMS115" s="0"/>
      <c r="NMT115" s="0"/>
      <c r="NMU115" s="0"/>
      <c r="NMV115" s="0"/>
      <c r="NMW115" s="0"/>
      <c r="NMX115" s="0"/>
      <c r="NMY115" s="0"/>
      <c r="NMZ115" s="0"/>
      <c r="NNA115" s="0"/>
      <c r="NNB115" s="0"/>
      <c r="NNC115" s="0"/>
      <c r="NND115" s="0"/>
      <c r="NNE115" s="0"/>
      <c r="NNF115" s="0"/>
      <c r="NNG115" s="0"/>
      <c r="NNH115" s="0"/>
      <c r="NNI115" s="0"/>
      <c r="NNJ115" s="0"/>
      <c r="NNK115" s="0"/>
      <c r="NNL115" s="0"/>
      <c r="NNM115" s="0"/>
      <c r="NNN115" s="0"/>
      <c r="NNO115" s="0"/>
      <c r="NNP115" s="0"/>
      <c r="NNQ115" s="0"/>
      <c r="NNR115" s="0"/>
      <c r="NNS115" s="0"/>
      <c r="NNT115" s="0"/>
      <c r="NNU115" s="0"/>
      <c r="NNV115" s="0"/>
      <c r="NNW115" s="0"/>
      <c r="NNX115" s="0"/>
      <c r="NNY115" s="0"/>
      <c r="NNZ115" s="0"/>
      <c r="NOA115" s="0"/>
      <c r="NOB115" s="0"/>
      <c r="NOC115" s="0"/>
      <c r="NOD115" s="0"/>
      <c r="NOE115" s="0"/>
      <c r="NOF115" s="0"/>
      <c r="NOG115" s="0"/>
      <c r="NOH115" s="0"/>
      <c r="NOI115" s="0"/>
      <c r="NOJ115" s="0"/>
      <c r="NOK115" s="0"/>
      <c r="NOL115" s="0"/>
      <c r="NOM115" s="0"/>
      <c r="NON115" s="0"/>
      <c r="NOO115" s="0"/>
      <c r="NOP115" s="0"/>
      <c r="NOQ115" s="0"/>
      <c r="NOR115" s="0"/>
      <c r="NOS115" s="0"/>
      <c r="NOT115" s="0"/>
      <c r="NOU115" s="0"/>
      <c r="NOV115" s="0"/>
      <c r="NOW115" s="0"/>
      <c r="NOX115" s="0"/>
      <c r="NOY115" s="0"/>
      <c r="NOZ115" s="0"/>
      <c r="NPA115" s="0"/>
      <c r="NPB115" s="0"/>
      <c r="NPC115" s="0"/>
      <c r="NPD115" s="0"/>
      <c r="NPE115" s="0"/>
      <c r="NPF115" s="0"/>
      <c r="NPG115" s="0"/>
      <c r="NPH115" s="0"/>
      <c r="NPI115" s="0"/>
      <c r="NPJ115" s="0"/>
      <c r="NPK115" s="0"/>
      <c r="NPL115" s="0"/>
      <c r="NPM115" s="0"/>
      <c r="NPN115" s="0"/>
      <c r="NPO115" s="0"/>
      <c r="NPP115" s="0"/>
      <c r="NPQ115" s="0"/>
      <c r="NPR115" s="0"/>
      <c r="NPS115" s="0"/>
      <c r="NPT115" s="0"/>
      <c r="NPU115" s="0"/>
      <c r="NPV115" s="0"/>
      <c r="NPW115" s="0"/>
      <c r="NPX115" s="0"/>
      <c r="NPY115" s="0"/>
      <c r="NPZ115" s="0"/>
      <c r="NQA115" s="0"/>
      <c r="NQB115" s="0"/>
      <c r="NQC115" s="0"/>
      <c r="NQD115" s="0"/>
      <c r="NQE115" s="0"/>
      <c r="NQF115" s="0"/>
      <c r="NQG115" s="0"/>
      <c r="NQH115" s="0"/>
      <c r="NQI115" s="0"/>
      <c r="NQJ115" s="0"/>
      <c r="NQK115" s="0"/>
      <c r="NQL115" s="0"/>
      <c r="NQM115" s="0"/>
      <c r="NQN115" s="0"/>
      <c r="NQO115" s="0"/>
      <c r="NQP115" s="0"/>
      <c r="NQQ115" s="0"/>
      <c r="NQR115" s="0"/>
      <c r="NQS115" s="0"/>
      <c r="NQT115" s="0"/>
      <c r="NQU115" s="0"/>
      <c r="NQV115" s="0"/>
      <c r="NQW115" s="0"/>
      <c r="NQX115" s="0"/>
      <c r="NQY115" s="0"/>
      <c r="NQZ115" s="0"/>
      <c r="NRA115" s="0"/>
      <c r="NRB115" s="0"/>
      <c r="NRC115" s="0"/>
      <c r="NRD115" s="0"/>
      <c r="NRE115" s="0"/>
      <c r="NRF115" s="0"/>
      <c r="NRG115" s="0"/>
      <c r="NRH115" s="0"/>
      <c r="NRI115" s="0"/>
      <c r="NRJ115" s="0"/>
      <c r="NRK115" s="0"/>
      <c r="NRL115" s="0"/>
      <c r="NRM115" s="0"/>
      <c r="NRN115" s="0"/>
      <c r="NRO115" s="0"/>
      <c r="NRP115" s="0"/>
      <c r="NRQ115" s="0"/>
      <c r="NRR115" s="0"/>
      <c r="NRS115" s="0"/>
      <c r="NRT115" s="0"/>
      <c r="NRU115" s="0"/>
      <c r="NRV115" s="0"/>
      <c r="NRW115" s="0"/>
      <c r="NRX115" s="0"/>
      <c r="NRY115" s="0"/>
      <c r="NRZ115" s="0"/>
      <c r="NSA115" s="0"/>
      <c r="NSB115" s="0"/>
      <c r="NSC115" s="0"/>
      <c r="NSD115" s="0"/>
      <c r="NSE115" s="0"/>
      <c r="NSF115" s="0"/>
      <c r="NSG115" s="0"/>
      <c r="NSH115" s="0"/>
      <c r="NSI115" s="0"/>
      <c r="NSJ115" s="0"/>
      <c r="NSK115" s="0"/>
      <c r="NSL115" s="0"/>
      <c r="NSM115" s="0"/>
      <c r="NSN115" s="0"/>
      <c r="NSO115" s="0"/>
      <c r="NSP115" s="0"/>
      <c r="NSQ115" s="0"/>
      <c r="NSR115" s="0"/>
      <c r="NSS115" s="0"/>
      <c r="NST115" s="0"/>
      <c r="NSU115" s="0"/>
      <c r="NSV115" s="0"/>
      <c r="NSW115" s="0"/>
      <c r="NSX115" s="0"/>
      <c r="NSY115" s="0"/>
      <c r="NSZ115" s="0"/>
      <c r="NTA115" s="0"/>
      <c r="NTB115" s="0"/>
      <c r="NTC115" s="0"/>
      <c r="NTD115" s="0"/>
      <c r="NTE115" s="0"/>
      <c r="NTF115" s="0"/>
      <c r="NTG115" s="0"/>
      <c r="NTH115" s="0"/>
      <c r="NTI115" s="0"/>
      <c r="NTJ115" s="0"/>
      <c r="NTK115" s="0"/>
      <c r="NTL115" s="0"/>
      <c r="NTM115" s="0"/>
      <c r="NTN115" s="0"/>
      <c r="NTO115" s="0"/>
      <c r="NTP115" s="0"/>
      <c r="NTQ115" s="0"/>
      <c r="NTR115" s="0"/>
      <c r="NTS115" s="0"/>
      <c r="NTT115" s="0"/>
      <c r="NTU115" s="0"/>
      <c r="NTV115" s="0"/>
      <c r="NTW115" s="0"/>
      <c r="NTX115" s="0"/>
      <c r="NTY115" s="0"/>
      <c r="NTZ115" s="0"/>
      <c r="NUA115" s="0"/>
      <c r="NUB115" s="0"/>
      <c r="NUC115" s="0"/>
      <c r="NUD115" s="0"/>
      <c r="NUE115" s="0"/>
      <c r="NUF115" s="0"/>
      <c r="NUG115" s="0"/>
      <c r="NUH115" s="0"/>
      <c r="NUI115" s="0"/>
      <c r="NUJ115" s="0"/>
      <c r="NUK115" s="0"/>
      <c r="NUL115" s="0"/>
      <c r="NUM115" s="0"/>
      <c r="NUN115" s="0"/>
      <c r="NUO115" s="0"/>
      <c r="NUP115" s="0"/>
      <c r="NUQ115" s="0"/>
      <c r="NUR115" s="0"/>
      <c r="NUS115" s="0"/>
      <c r="NUT115" s="0"/>
      <c r="NUU115" s="0"/>
      <c r="NUV115" s="0"/>
      <c r="NUW115" s="0"/>
      <c r="NUX115" s="0"/>
      <c r="NUY115" s="0"/>
      <c r="NUZ115" s="0"/>
      <c r="NVA115" s="0"/>
      <c r="NVB115" s="0"/>
      <c r="NVC115" s="0"/>
      <c r="NVD115" s="0"/>
      <c r="NVE115" s="0"/>
      <c r="NVF115" s="0"/>
      <c r="NVG115" s="0"/>
      <c r="NVH115" s="0"/>
      <c r="NVI115" s="0"/>
      <c r="NVJ115" s="0"/>
      <c r="NVK115" s="0"/>
      <c r="NVL115" s="0"/>
      <c r="NVM115" s="0"/>
      <c r="NVN115" s="0"/>
      <c r="NVO115" s="0"/>
      <c r="NVP115" s="0"/>
      <c r="NVQ115" s="0"/>
      <c r="NVR115" s="0"/>
      <c r="NVS115" s="0"/>
      <c r="NVT115" s="0"/>
      <c r="NVU115" s="0"/>
      <c r="NVV115" s="0"/>
      <c r="NVW115" s="0"/>
      <c r="NVX115" s="0"/>
      <c r="NVY115" s="0"/>
      <c r="NVZ115" s="0"/>
      <c r="NWA115" s="0"/>
      <c r="NWB115" s="0"/>
      <c r="NWC115" s="0"/>
      <c r="NWD115" s="0"/>
      <c r="NWE115" s="0"/>
      <c r="NWF115" s="0"/>
      <c r="NWG115" s="0"/>
      <c r="NWH115" s="0"/>
      <c r="NWI115" s="0"/>
      <c r="NWJ115" s="0"/>
      <c r="NWK115" s="0"/>
      <c r="NWL115" s="0"/>
      <c r="NWM115" s="0"/>
      <c r="NWN115" s="0"/>
      <c r="NWO115" s="0"/>
      <c r="NWP115" s="0"/>
      <c r="NWQ115" s="0"/>
      <c r="NWR115" s="0"/>
      <c r="NWS115" s="0"/>
      <c r="NWT115" s="0"/>
      <c r="NWU115" s="0"/>
      <c r="NWV115" s="0"/>
      <c r="NWW115" s="0"/>
      <c r="NWX115" s="0"/>
      <c r="NWY115" s="0"/>
      <c r="NWZ115" s="0"/>
      <c r="NXA115" s="0"/>
      <c r="NXB115" s="0"/>
      <c r="NXC115" s="0"/>
      <c r="NXD115" s="0"/>
      <c r="NXE115" s="0"/>
      <c r="NXF115" s="0"/>
      <c r="NXG115" s="0"/>
      <c r="NXH115" s="0"/>
      <c r="NXI115" s="0"/>
      <c r="NXJ115" s="0"/>
      <c r="NXK115" s="0"/>
      <c r="NXL115" s="0"/>
      <c r="NXM115" s="0"/>
      <c r="NXN115" s="0"/>
      <c r="NXO115" s="0"/>
      <c r="NXP115" s="0"/>
      <c r="NXQ115" s="0"/>
      <c r="NXR115" s="0"/>
      <c r="NXS115" s="0"/>
      <c r="NXT115" s="0"/>
      <c r="NXU115" s="0"/>
      <c r="NXV115" s="0"/>
      <c r="NXW115" s="0"/>
      <c r="NXX115" s="0"/>
      <c r="NXY115" s="0"/>
      <c r="NXZ115" s="0"/>
      <c r="NYA115" s="0"/>
      <c r="NYB115" s="0"/>
      <c r="NYC115" s="0"/>
      <c r="NYD115" s="0"/>
      <c r="NYE115" s="0"/>
      <c r="NYF115" s="0"/>
      <c r="NYG115" s="0"/>
      <c r="NYH115" s="0"/>
      <c r="NYI115" s="0"/>
      <c r="NYJ115" s="0"/>
      <c r="NYK115" s="0"/>
      <c r="NYL115" s="0"/>
      <c r="NYM115" s="0"/>
      <c r="NYN115" s="0"/>
      <c r="NYO115" s="0"/>
      <c r="NYP115" s="0"/>
      <c r="NYQ115" s="0"/>
      <c r="NYR115" s="0"/>
      <c r="NYS115" s="0"/>
      <c r="NYT115" s="0"/>
      <c r="NYU115" s="0"/>
      <c r="NYV115" s="0"/>
      <c r="NYW115" s="0"/>
      <c r="NYX115" s="0"/>
      <c r="NYY115" s="0"/>
      <c r="NYZ115" s="0"/>
      <c r="NZA115" s="0"/>
      <c r="NZB115" s="0"/>
      <c r="NZC115" s="0"/>
      <c r="NZD115" s="0"/>
      <c r="NZE115" s="0"/>
      <c r="NZF115" s="0"/>
      <c r="NZG115" s="0"/>
      <c r="NZH115" s="0"/>
      <c r="NZI115" s="0"/>
      <c r="NZJ115" s="0"/>
      <c r="NZK115" s="0"/>
      <c r="NZL115" s="0"/>
      <c r="NZM115" s="0"/>
      <c r="NZN115" s="0"/>
      <c r="NZO115" s="0"/>
      <c r="NZP115" s="0"/>
      <c r="NZQ115" s="0"/>
      <c r="NZR115" s="0"/>
      <c r="NZS115" s="0"/>
      <c r="NZT115" s="0"/>
      <c r="NZU115" s="0"/>
      <c r="NZV115" s="0"/>
      <c r="NZW115" s="0"/>
      <c r="NZX115" s="0"/>
      <c r="NZY115" s="0"/>
      <c r="NZZ115" s="0"/>
      <c r="OAA115" s="0"/>
      <c r="OAB115" s="0"/>
      <c r="OAC115" s="0"/>
      <c r="OAD115" s="0"/>
      <c r="OAE115" s="0"/>
      <c r="OAF115" s="0"/>
      <c r="OAG115" s="0"/>
      <c r="OAH115" s="0"/>
      <c r="OAI115" s="0"/>
      <c r="OAJ115" s="0"/>
      <c r="OAK115" s="0"/>
      <c r="OAL115" s="0"/>
      <c r="OAM115" s="0"/>
      <c r="OAN115" s="0"/>
      <c r="OAO115" s="0"/>
      <c r="OAP115" s="0"/>
      <c r="OAQ115" s="0"/>
      <c r="OAR115" s="0"/>
      <c r="OAS115" s="0"/>
      <c r="OAT115" s="0"/>
      <c r="OAU115" s="0"/>
      <c r="OAV115" s="0"/>
      <c r="OAW115" s="0"/>
      <c r="OAX115" s="0"/>
      <c r="OAY115" s="0"/>
      <c r="OAZ115" s="0"/>
      <c r="OBA115" s="0"/>
      <c r="OBB115" s="0"/>
      <c r="OBC115" s="0"/>
      <c r="OBD115" s="0"/>
      <c r="OBE115" s="0"/>
      <c r="OBF115" s="0"/>
      <c r="OBG115" s="0"/>
      <c r="OBH115" s="0"/>
      <c r="OBI115" s="0"/>
      <c r="OBJ115" s="0"/>
      <c r="OBK115" s="0"/>
      <c r="OBL115" s="0"/>
      <c r="OBM115" s="0"/>
      <c r="OBN115" s="0"/>
      <c r="OBO115" s="0"/>
      <c r="OBP115" s="0"/>
      <c r="OBQ115" s="0"/>
      <c r="OBR115" s="0"/>
      <c r="OBS115" s="0"/>
      <c r="OBT115" s="0"/>
      <c r="OBU115" s="0"/>
      <c r="OBV115" s="0"/>
      <c r="OBW115" s="0"/>
      <c r="OBX115" s="0"/>
      <c r="OBY115" s="0"/>
      <c r="OBZ115" s="0"/>
      <c r="OCA115" s="0"/>
      <c r="OCB115" s="0"/>
      <c r="OCC115" s="0"/>
      <c r="OCD115" s="0"/>
      <c r="OCE115" s="0"/>
      <c r="OCF115" s="0"/>
      <c r="OCG115" s="0"/>
      <c r="OCH115" s="0"/>
      <c r="OCI115" s="0"/>
      <c r="OCJ115" s="0"/>
      <c r="OCK115" s="0"/>
      <c r="OCL115" s="0"/>
      <c r="OCM115" s="0"/>
      <c r="OCN115" s="0"/>
      <c r="OCO115" s="0"/>
      <c r="OCP115" s="0"/>
      <c r="OCQ115" s="0"/>
      <c r="OCR115" s="0"/>
      <c r="OCS115" s="0"/>
      <c r="OCT115" s="0"/>
      <c r="OCU115" s="0"/>
      <c r="OCV115" s="0"/>
      <c r="OCW115" s="0"/>
      <c r="OCX115" s="0"/>
      <c r="OCY115" s="0"/>
      <c r="OCZ115" s="0"/>
      <c r="ODA115" s="0"/>
      <c r="ODB115" s="0"/>
      <c r="ODC115" s="0"/>
      <c r="ODD115" s="0"/>
      <c r="ODE115" s="0"/>
      <c r="ODF115" s="0"/>
      <c r="ODG115" s="0"/>
      <c r="ODH115" s="0"/>
      <c r="ODI115" s="0"/>
      <c r="ODJ115" s="0"/>
      <c r="ODK115" s="0"/>
      <c r="ODL115" s="0"/>
      <c r="ODM115" s="0"/>
      <c r="ODN115" s="0"/>
      <c r="ODO115" s="0"/>
      <c r="ODP115" s="0"/>
      <c r="ODQ115" s="0"/>
      <c r="ODR115" s="0"/>
      <c r="ODS115" s="0"/>
      <c r="ODT115" s="0"/>
      <c r="ODU115" s="0"/>
      <c r="ODV115" s="0"/>
      <c r="ODW115" s="0"/>
      <c r="ODX115" s="0"/>
      <c r="ODY115" s="0"/>
      <c r="ODZ115" s="0"/>
      <c r="OEA115" s="0"/>
      <c r="OEB115" s="0"/>
      <c r="OEC115" s="0"/>
      <c r="OED115" s="0"/>
      <c r="OEE115" s="0"/>
      <c r="OEF115" s="0"/>
      <c r="OEG115" s="0"/>
      <c r="OEH115" s="0"/>
      <c r="OEI115" s="0"/>
      <c r="OEJ115" s="0"/>
      <c r="OEK115" s="0"/>
      <c r="OEL115" s="0"/>
      <c r="OEM115" s="0"/>
      <c r="OEN115" s="0"/>
      <c r="OEO115" s="0"/>
      <c r="OEP115" s="0"/>
      <c r="OEQ115" s="0"/>
      <c r="OER115" s="0"/>
      <c r="OES115" s="0"/>
      <c r="OET115" s="0"/>
      <c r="OEU115" s="0"/>
      <c r="OEV115" s="0"/>
      <c r="OEW115" s="0"/>
      <c r="OEX115" s="0"/>
      <c r="OEY115" s="0"/>
      <c r="OEZ115" s="0"/>
      <c r="OFA115" s="0"/>
      <c r="OFB115" s="0"/>
      <c r="OFC115" s="0"/>
      <c r="OFD115" s="0"/>
      <c r="OFE115" s="0"/>
      <c r="OFF115" s="0"/>
      <c r="OFG115" s="0"/>
      <c r="OFH115" s="0"/>
      <c r="OFI115" s="0"/>
      <c r="OFJ115" s="0"/>
      <c r="OFK115" s="0"/>
      <c r="OFL115" s="0"/>
      <c r="OFM115" s="0"/>
      <c r="OFN115" s="0"/>
      <c r="OFO115" s="0"/>
      <c r="OFP115" s="0"/>
      <c r="OFQ115" s="0"/>
      <c r="OFR115" s="0"/>
      <c r="OFS115" s="0"/>
      <c r="OFT115" s="0"/>
      <c r="OFU115" s="0"/>
      <c r="OFV115" s="0"/>
      <c r="OFW115" s="0"/>
      <c r="OFX115" s="0"/>
      <c r="OFY115" s="0"/>
      <c r="OFZ115" s="0"/>
      <c r="OGA115" s="0"/>
      <c r="OGB115" s="0"/>
      <c r="OGC115" s="0"/>
      <c r="OGD115" s="0"/>
      <c r="OGE115" s="0"/>
      <c r="OGF115" s="0"/>
      <c r="OGG115" s="0"/>
      <c r="OGH115" s="0"/>
      <c r="OGI115" s="0"/>
      <c r="OGJ115" s="0"/>
      <c r="OGK115" s="0"/>
      <c r="OGL115" s="0"/>
      <c r="OGM115" s="0"/>
      <c r="OGN115" s="0"/>
      <c r="OGO115" s="0"/>
      <c r="OGP115" s="0"/>
      <c r="OGQ115" s="0"/>
      <c r="OGR115" s="0"/>
      <c r="OGS115" s="0"/>
      <c r="OGT115" s="0"/>
      <c r="OGU115" s="0"/>
      <c r="OGV115" s="0"/>
      <c r="OGW115" s="0"/>
      <c r="OGX115" s="0"/>
      <c r="OGY115" s="0"/>
      <c r="OGZ115" s="0"/>
      <c r="OHA115" s="0"/>
      <c r="OHB115" s="0"/>
      <c r="OHC115" s="0"/>
      <c r="OHD115" s="0"/>
      <c r="OHE115" s="0"/>
      <c r="OHF115" s="0"/>
      <c r="OHG115" s="0"/>
      <c r="OHH115" s="0"/>
      <c r="OHI115" s="0"/>
      <c r="OHJ115" s="0"/>
      <c r="OHK115" s="0"/>
      <c r="OHL115" s="0"/>
      <c r="OHM115" s="0"/>
      <c r="OHN115" s="0"/>
      <c r="OHO115" s="0"/>
      <c r="OHP115" s="0"/>
      <c r="OHQ115" s="0"/>
      <c r="OHR115" s="0"/>
      <c r="OHS115" s="0"/>
      <c r="OHT115" s="0"/>
      <c r="OHU115" s="0"/>
      <c r="OHV115" s="0"/>
      <c r="OHW115" s="0"/>
      <c r="OHX115" s="0"/>
      <c r="OHY115" s="0"/>
      <c r="OHZ115" s="0"/>
      <c r="OIA115" s="0"/>
      <c r="OIB115" s="0"/>
      <c r="OIC115" s="0"/>
      <c r="OID115" s="0"/>
      <c r="OIE115" s="0"/>
      <c r="OIF115" s="0"/>
      <c r="OIG115" s="0"/>
      <c r="OIH115" s="0"/>
      <c r="OII115" s="0"/>
      <c r="OIJ115" s="0"/>
      <c r="OIK115" s="0"/>
      <c r="OIL115" s="0"/>
      <c r="OIM115" s="0"/>
      <c r="OIN115" s="0"/>
      <c r="OIO115" s="0"/>
      <c r="OIP115" s="0"/>
      <c r="OIQ115" s="0"/>
      <c r="OIR115" s="0"/>
      <c r="OIS115" s="0"/>
      <c r="OIT115" s="0"/>
      <c r="OIU115" s="0"/>
      <c r="OIV115" s="0"/>
      <c r="OIW115" s="0"/>
      <c r="OIX115" s="0"/>
      <c r="OIY115" s="0"/>
      <c r="OIZ115" s="0"/>
      <c r="OJA115" s="0"/>
      <c r="OJB115" s="0"/>
      <c r="OJC115" s="0"/>
      <c r="OJD115" s="0"/>
      <c r="OJE115" s="0"/>
      <c r="OJF115" s="0"/>
      <c r="OJG115" s="0"/>
      <c r="OJH115" s="0"/>
      <c r="OJI115" s="0"/>
      <c r="OJJ115" s="0"/>
      <c r="OJK115" s="0"/>
      <c r="OJL115" s="0"/>
      <c r="OJM115" s="0"/>
      <c r="OJN115" s="0"/>
      <c r="OJO115" s="0"/>
      <c r="OJP115" s="0"/>
      <c r="OJQ115" s="0"/>
      <c r="OJR115" s="0"/>
      <c r="OJS115" s="0"/>
      <c r="OJT115" s="0"/>
      <c r="OJU115" s="0"/>
      <c r="OJV115" s="0"/>
      <c r="OJW115" s="0"/>
      <c r="OJX115" s="0"/>
      <c r="OJY115" s="0"/>
      <c r="OJZ115" s="0"/>
      <c r="OKA115" s="0"/>
      <c r="OKB115" s="0"/>
      <c r="OKC115" s="0"/>
      <c r="OKD115" s="0"/>
      <c r="OKE115" s="0"/>
      <c r="OKF115" s="0"/>
      <c r="OKG115" s="0"/>
      <c r="OKH115" s="0"/>
      <c r="OKI115" s="0"/>
      <c r="OKJ115" s="0"/>
      <c r="OKK115" s="0"/>
      <c r="OKL115" s="0"/>
      <c r="OKM115" s="0"/>
      <c r="OKN115" s="0"/>
      <c r="OKO115" s="0"/>
      <c r="OKP115" s="0"/>
      <c r="OKQ115" s="0"/>
      <c r="OKR115" s="0"/>
      <c r="OKS115" s="0"/>
      <c r="OKT115" s="0"/>
      <c r="OKU115" s="0"/>
      <c r="OKV115" s="0"/>
      <c r="OKW115" s="0"/>
      <c r="OKX115" s="0"/>
      <c r="OKY115" s="0"/>
      <c r="OKZ115" s="0"/>
      <c r="OLA115" s="0"/>
      <c r="OLB115" s="0"/>
      <c r="OLC115" s="0"/>
      <c r="OLD115" s="0"/>
      <c r="OLE115" s="0"/>
      <c r="OLF115" s="0"/>
      <c r="OLG115" s="0"/>
      <c r="OLH115" s="0"/>
      <c r="OLI115" s="0"/>
      <c r="OLJ115" s="0"/>
      <c r="OLK115" s="0"/>
      <c r="OLL115" s="0"/>
      <c r="OLM115" s="0"/>
      <c r="OLN115" s="0"/>
      <c r="OLO115" s="0"/>
      <c r="OLP115" s="0"/>
      <c r="OLQ115" s="0"/>
      <c r="OLR115" s="0"/>
      <c r="OLS115" s="0"/>
      <c r="OLT115" s="0"/>
      <c r="OLU115" s="0"/>
      <c r="OLV115" s="0"/>
      <c r="OLW115" s="0"/>
      <c r="OLX115" s="0"/>
      <c r="OLY115" s="0"/>
      <c r="OLZ115" s="0"/>
      <c r="OMA115" s="0"/>
      <c r="OMB115" s="0"/>
      <c r="OMC115" s="0"/>
      <c r="OMD115" s="0"/>
      <c r="OME115" s="0"/>
      <c r="OMF115" s="0"/>
      <c r="OMG115" s="0"/>
      <c r="OMH115" s="0"/>
      <c r="OMI115" s="0"/>
      <c r="OMJ115" s="0"/>
      <c r="OMK115" s="0"/>
      <c r="OML115" s="0"/>
      <c r="OMM115" s="0"/>
      <c r="OMN115" s="0"/>
      <c r="OMO115" s="0"/>
      <c r="OMP115" s="0"/>
      <c r="OMQ115" s="0"/>
      <c r="OMR115" s="0"/>
      <c r="OMS115" s="0"/>
      <c r="OMT115" s="0"/>
      <c r="OMU115" s="0"/>
      <c r="OMV115" s="0"/>
      <c r="OMW115" s="0"/>
      <c r="OMX115" s="0"/>
      <c r="OMY115" s="0"/>
      <c r="OMZ115" s="0"/>
      <c r="ONA115" s="0"/>
      <c r="ONB115" s="0"/>
      <c r="ONC115" s="0"/>
      <c r="OND115" s="0"/>
      <c r="ONE115" s="0"/>
      <c r="ONF115" s="0"/>
      <c r="ONG115" s="0"/>
      <c r="ONH115" s="0"/>
      <c r="ONI115" s="0"/>
      <c r="ONJ115" s="0"/>
      <c r="ONK115" s="0"/>
      <c r="ONL115" s="0"/>
      <c r="ONM115" s="0"/>
      <c r="ONN115" s="0"/>
      <c r="ONO115" s="0"/>
      <c r="ONP115" s="0"/>
      <c r="ONQ115" s="0"/>
      <c r="ONR115" s="0"/>
      <c r="ONS115" s="0"/>
      <c r="ONT115" s="0"/>
      <c r="ONU115" s="0"/>
      <c r="ONV115" s="0"/>
      <c r="ONW115" s="0"/>
      <c r="ONX115" s="0"/>
      <c r="ONY115" s="0"/>
      <c r="ONZ115" s="0"/>
      <c r="OOA115" s="0"/>
      <c r="OOB115" s="0"/>
      <c r="OOC115" s="0"/>
      <c r="OOD115" s="0"/>
      <c r="OOE115" s="0"/>
      <c r="OOF115" s="0"/>
      <c r="OOG115" s="0"/>
      <c r="OOH115" s="0"/>
      <c r="OOI115" s="0"/>
      <c r="OOJ115" s="0"/>
      <c r="OOK115" s="0"/>
      <c r="OOL115" s="0"/>
      <c r="OOM115" s="0"/>
      <c r="OON115" s="0"/>
      <c r="OOO115" s="0"/>
      <c r="OOP115" s="0"/>
      <c r="OOQ115" s="0"/>
      <c r="OOR115" s="0"/>
      <c r="OOS115" s="0"/>
      <c r="OOT115" s="0"/>
      <c r="OOU115" s="0"/>
      <c r="OOV115" s="0"/>
      <c r="OOW115" s="0"/>
      <c r="OOX115" s="0"/>
      <c r="OOY115" s="0"/>
      <c r="OOZ115" s="0"/>
      <c r="OPA115" s="0"/>
      <c r="OPB115" s="0"/>
      <c r="OPC115" s="0"/>
      <c r="OPD115" s="0"/>
      <c r="OPE115" s="0"/>
      <c r="OPF115" s="0"/>
      <c r="OPG115" s="0"/>
      <c r="OPH115" s="0"/>
      <c r="OPI115" s="0"/>
      <c r="OPJ115" s="0"/>
      <c r="OPK115" s="0"/>
      <c r="OPL115" s="0"/>
      <c r="OPM115" s="0"/>
      <c r="OPN115" s="0"/>
      <c r="OPO115" s="0"/>
      <c r="OPP115" s="0"/>
      <c r="OPQ115" s="0"/>
      <c r="OPR115" s="0"/>
      <c r="OPS115" s="0"/>
      <c r="OPT115" s="0"/>
      <c r="OPU115" s="0"/>
      <c r="OPV115" s="0"/>
      <c r="OPW115" s="0"/>
      <c r="OPX115" s="0"/>
      <c r="OPY115" s="0"/>
      <c r="OPZ115" s="0"/>
      <c r="OQA115" s="0"/>
      <c r="OQB115" s="0"/>
      <c r="OQC115" s="0"/>
      <c r="OQD115" s="0"/>
      <c r="OQE115" s="0"/>
      <c r="OQF115" s="0"/>
      <c r="OQG115" s="0"/>
      <c r="OQH115" s="0"/>
      <c r="OQI115" s="0"/>
      <c r="OQJ115" s="0"/>
      <c r="OQK115" s="0"/>
      <c r="OQL115" s="0"/>
      <c r="OQM115" s="0"/>
      <c r="OQN115" s="0"/>
      <c r="OQO115" s="0"/>
      <c r="OQP115" s="0"/>
      <c r="OQQ115" s="0"/>
      <c r="OQR115" s="0"/>
      <c r="OQS115" s="0"/>
      <c r="OQT115" s="0"/>
      <c r="OQU115" s="0"/>
      <c r="OQV115" s="0"/>
      <c r="OQW115" s="0"/>
      <c r="OQX115" s="0"/>
      <c r="OQY115" s="0"/>
      <c r="OQZ115" s="0"/>
      <c r="ORA115" s="0"/>
      <c r="ORB115" s="0"/>
      <c r="ORC115" s="0"/>
      <c r="ORD115" s="0"/>
      <c r="ORE115" s="0"/>
      <c r="ORF115" s="0"/>
      <c r="ORG115" s="0"/>
      <c r="ORH115" s="0"/>
      <c r="ORI115" s="0"/>
      <c r="ORJ115" s="0"/>
      <c r="ORK115" s="0"/>
      <c r="ORL115" s="0"/>
      <c r="ORM115" s="0"/>
      <c r="ORN115" s="0"/>
      <c r="ORO115" s="0"/>
      <c r="ORP115" s="0"/>
      <c r="ORQ115" s="0"/>
      <c r="ORR115" s="0"/>
      <c r="ORS115" s="0"/>
      <c r="ORT115" s="0"/>
      <c r="ORU115" s="0"/>
      <c r="ORV115" s="0"/>
      <c r="ORW115" s="0"/>
      <c r="ORX115" s="0"/>
      <c r="ORY115" s="0"/>
      <c r="ORZ115" s="0"/>
      <c r="OSA115" s="0"/>
      <c r="OSB115" s="0"/>
      <c r="OSC115" s="0"/>
      <c r="OSD115" s="0"/>
      <c r="OSE115" s="0"/>
      <c r="OSF115" s="0"/>
      <c r="OSG115" s="0"/>
      <c r="OSH115" s="0"/>
      <c r="OSI115" s="0"/>
      <c r="OSJ115" s="0"/>
      <c r="OSK115" s="0"/>
      <c r="OSL115" s="0"/>
      <c r="OSM115" s="0"/>
      <c r="OSN115" s="0"/>
      <c r="OSO115" s="0"/>
      <c r="OSP115" s="0"/>
      <c r="OSQ115" s="0"/>
      <c r="OSR115" s="0"/>
      <c r="OSS115" s="0"/>
      <c r="OST115" s="0"/>
      <c r="OSU115" s="0"/>
      <c r="OSV115" s="0"/>
      <c r="OSW115" s="0"/>
      <c r="OSX115" s="0"/>
      <c r="OSY115" s="0"/>
      <c r="OSZ115" s="0"/>
      <c r="OTA115" s="0"/>
      <c r="OTB115" s="0"/>
      <c r="OTC115" s="0"/>
      <c r="OTD115" s="0"/>
      <c r="OTE115" s="0"/>
      <c r="OTF115" s="0"/>
      <c r="OTG115" s="0"/>
      <c r="OTH115" s="0"/>
      <c r="OTI115" s="0"/>
      <c r="OTJ115" s="0"/>
      <c r="OTK115" s="0"/>
      <c r="OTL115" s="0"/>
      <c r="OTM115" s="0"/>
      <c r="OTN115" s="0"/>
      <c r="OTO115" s="0"/>
      <c r="OTP115" s="0"/>
      <c r="OTQ115" s="0"/>
      <c r="OTR115" s="0"/>
      <c r="OTS115" s="0"/>
      <c r="OTT115" s="0"/>
      <c r="OTU115" s="0"/>
      <c r="OTV115" s="0"/>
      <c r="OTW115" s="0"/>
      <c r="OTX115" s="0"/>
      <c r="OTY115" s="0"/>
      <c r="OTZ115" s="0"/>
      <c r="OUA115" s="0"/>
      <c r="OUB115" s="0"/>
      <c r="OUC115" s="0"/>
      <c r="OUD115" s="0"/>
      <c r="OUE115" s="0"/>
      <c r="OUF115" s="0"/>
      <c r="OUG115" s="0"/>
      <c r="OUH115" s="0"/>
      <c r="OUI115" s="0"/>
      <c r="OUJ115" s="0"/>
      <c r="OUK115" s="0"/>
      <c r="OUL115" s="0"/>
      <c r="OUM115" s="0"/>
      <c r="OUN115" s="0"/>
      <c r="OUO115" s="0"/>
      <c r="OUP115" s="0"/>
      <c r="OUQ115" s="0"/>
      <c r="OUR115" s="0"/>
      <c r="OUS115" s="0"/>
      <c r="OUT115" s="0"/>
      <c r="OUU115" s="0"/>
      <c r="OUV115" s="0"/>
      <c r="OUW115" s="0"/>
      <c r="OUX115" s="0"/>
      <c r="OUY115" s="0"/>
      <c r="OUZ115" s="0"/>
      <c r="OVA115" s="0"/>
      <c r="OVB115" s="0"/>
      <c r="OVC115" s="0"/>
      <c r="OVD115" s="0"/>
      <c r="OVE115" s="0"/>
      <c r="OVF115" s="0"/>
      <c r="OVG115" s="0"/>
      <c r="OVH115" s="0"/>
      <c r="OVI115" s="0"/>
      <c r="OVJ115" s="0"/>
      <c r="OVK115" s="0"/>
      <c r="OVL115" s="0"/>
      <c r="OVM115" s="0"/>
      <c r="OVN115" s="0"/>
      <c r="OVO115" s="0"/>
      <c r="OVP115" s="0"/>
      <c r="OVQ115" s="0"/>
      <c r="OVR115" s="0"/>
      <c r="OVS115" s="0"/>
      <c r="OVT115" s="0"/>
      <c r="OVU115" s="0"/>
      <c r="OVV115" s="0"/>
      <c r="OVW115" s="0"/>
      <c r="OVX115" s="0"/>
      <c r="OVY115" s="0"/>
      <c r="OVZ115" s="0"/>
      <c r="OWA115" s="0"/>
      <c r="OWB115" s="0"/>
      <c r="OWC115" s="0"/>
      <c r="OWD115" s="0"/>
      <c r="OWE115" s="0"/>
      <c r="OWF115" s="0"/>
      <c r="OWG115" s="0"/>
      <c r="OWH115" s="0"/>
      <c r="OWI115" s="0"/>
      <c r="OWJ115" s="0"/>
      <c r="OWK115" s="0"/>
      <c r="OWL115" s="0"/>
      <c r="OWM115" s="0"/>
      <c r="OWN115" s="0"/>
      <c r="OWO115" s="0"/>
      <c r="OWP115" s="0"/>
      <c r="OWQ115" s="0"/>
      <c r="OWR115" s="0"/>
      <c r="OWS115" s="0"/>
      <c r="OWT115" s="0"/>
      <c r="OWU115" s="0"/>
      <c r="OWV115" s="0"/>
      <c r="OWW115" s="0"/>
      <c r="OWX115" s="0"/>
      <c r="OWY115" s="0"/>
      <c r="OWZ115" s="0"/>
      <c r="OXA115" s="0"/>
      <c r="OXB115" s="0"/>
      <c r="OXC115" s="0"/>
      <c r="OXD115" s="0"/>
      <c r="OXE115" s="0"/>
      <c r="OXF115" s="0"/>
      <c r="OXG115" s="0"/>
      <c r="OXH115" s="0"/>
      <c r="OXI115" s="0"/>
      <c r="OXJ115" s="0"/>
      <c r="OXK115" s="0"/>
      <c r="OXL115" s="0"/>
      <c r="OXM115" s="0"/>
      <c r="OXN115" s="0"/>
      <c r="OXO115" s="0"/>
      <c r="OXP115" s="0"/>
      <c r="OXQ115" s="0"/>
      <c r="OXR115" s="0"/>
      <c r="OXS115" s="0"/>
      <c r="OXT115" s="0"/>
      <c r="OXU115" s="0"/>
      <c r="OXV115" s="0"/>
      <c r="OXW115" s="0"/>
      <c r="OXX115" s="0"/>
      <c r="OXY115" s="0"/>
      <c r="OXZ115" s="0"/>
      <c r="OYA115" s="0"/>
      <c r="OYB115" s="0"/>
      <c r="OYC115" s="0"/>
      <c r="OYD115" s="0"/>
      <c r="OYE115" s="0"/>
      <c r="OYF115" s="0"/>
      <c r="OYG115" s="0"/>
      <c r="OYH115" s="0"/>
      <c r="OYI115" s="0"/>
      <c r="OYJ115" s="0"/>
      <c r="OYK115" s="0"/>
      <c r="OYL115" s="0"/>
      <c r="OYM115" s="0"/>
      <c r="OYN115" s="0"/>
      <c r="OYO115" s="0"/>
      <c r="OYP115" s="0"/>
      <c r="OYQ115" s="0"/>
      <c r="OYR115" s="0"/>
      <c r="OYS115" s="0"/>
      <c r="OYT115" s="0"/>
      <c r="OYU115" s="0"/>
      <c r="OYV115" s="0"/>
      <c r="OYW115" s="0"/>
      <c r="OYX115" s="0"/>
      <c r="OYY115" s="0"/>
      <c r="OYZ115" s="0"/>
      <c r="OZA115" s="0"/>
      <c r="OZB115" s="0"/>
      <c r="OZC115" s="0"/>
      <c r="OZD115" s="0"/>
      <c r="OZE115" s="0"/>
      <c r="OZF115" s="0"/>
      <c r="OZG115" s="0"/>
      <c r="OZH115" s="0"/>
      <c r="OZI115" s="0"/>
      <c r="OZJ115" s="0"/>
      <c r="OZK115" s="0"/>
      <c r="OZL115" s="0"/>
      <c r="OZM115" s="0"/>
      <c r="OZN115" s="0"/>
      <c r="OZO115" s="0"/>
      <c r="OZP115" s="0"/>
      <c r="OZQ115" s="0"/>
      <c r="OZR115" s="0"/>
      <c r="OZS115" s="0"/>
      <c r="OZT115" s="0"/>
      <c r="OZU115" s="0"/>
      <c r="OZV115" s="0"/>
      <c r="OZW115" s="0"/>
      <c r="OZX115" s="0"/>
      <c r="OZY115" s="0"/>
      <c r="OZZ115" s="0"/>
      <c r="PAA115" s="0"/>
      <c r="PAB115" s="0"/>
      <c r="PAC115" s="0"/>
      <c r="PAD115" s="0"/>
      <c r="PAE115" s="0"/>
      <c r="PAF115" s="0"/>
      <c r="PAG115" s="0"/>
      <c r="PAH115" s="0"/>
      <c r="PAI115" s="0"/>
      <c r="PAJ115" s="0"/>
      <c r="PAK115" s="0"/>
      <c r="PAL115" s="0"/>
      <c r="PAM115" s="0"/>
      <c r="PAN115" s="0"/>
      <c r="PAO115" s="0"/>
      <c r="PAP115" s="0"/>
      <c r="PAQ115" s="0"/>
      <c r="PAR115" s="0"/>
      <c r="PAS115" s="0"/>
      <c r="PAT115" s="0"/>
      <c r="PAU115" s="0"/>
      <c r="PAV115" s="0"/>
      <c r="PAW115" s="0"/>
      <c r="PAX115" s="0"/>
      <c r="PAY115" s="0"/>
      <c r="PAZ115" s="0"/>
      <c r="PBA115" s="0"/>
      <c r="PBB115" s="0"/>
      <c r="PBC115" s="0"/>
      <c r="PBD115" s="0"/>
      <c r="PBE115" s="0"/>
      <c r="PBF115" s="0"/>
      <c r="PBG115" s="0"/>
      <c r="PBH115" s="0"/>
      <c r="PBI115" s="0"/>
      <c r="PBJ115" s="0"/>
      <c r="PBK115" s="0"/>
      <c r="PBL115" s="0"/>
      <c r="PBM115" s="0"/>
      <c r="PBN115" s="0"/>
      <c r="PBO115" s="0"/>
      <c r="PBP115" s="0"/>
      <c r="PBQ115" s="0"/>
      <c r="PBR115" s="0"/>
      <c r="PBS115" s="0"/>
      <c r="PBT115" s="0"/>
      <c r="PBU115" s="0"/>
      <c r="PBV115" s="0"/>
      <c r="PBW115" s="0"/>
      <c r="PBX115" s="0"/>
      <c r="PBY115" s="0"/>
      <c r="PBZ115" s="0"/>
      <c r="PCA115" s="0"/>
      <c r="PCB115" s="0"/>
      <c r="PCC115" s="0"/>
      <c r="PCD115" s="0"/>
      <c r="PCE115" s="0"/>
      <c r="PCF115" s="0"/>
      <c r="PCG115" s="0"/>
      <c r="PCH115" s="0"/>
      <c r="PCI115" s="0"/>
      <c r="PCJ115" s="0"/>
      <c r="PCK115" s="0"/>
      <c r="PCL115" s="0"/>
      <c r="PCM115" s="0"/>
      <c r="PCN115" s="0"/>
      <c r="PCO115" s="0"/>
      <c r="PCP115" s="0"/>
      <c r="PCQ115" s="0"/>
      <c r="PCR115" s="0"/>
      <c r="PCS115" s="0"/>
      <c r="PCT115" s="0"/>
      <c r="PCU115" s="0"/>
      <c r="PCV115" s="0"/>
      <c r="PCW115" s="0"/>
      <c r="PCX115" s="0"/>
      <c r="PCY115" s="0"/>
      <c r="PCZ115" s="0"/>
      <c r="PDA115" s="0"/>
      <c r="PDB115" s="0"/>
      <c r="PDC115" s="0"/>
      <c r="PDD115" s="0"/>
      <c r="PDE115" s="0"/>
      <c r="PDF115" s="0"/>
      <c r="PDG115" s="0"/>
      <c r="PDH115" s="0"/>
      <c r="PDI115" s="0"/>
      <c r="PDJ115" s="0"/>
      <c r="PDK115" s="0"/>
      <c r="PDL115" s="0"/>
      <c r="PDM115" s="0"/>
      <c r="PDN115" s="0"/>
      <c r="PDO115" s="0"/>
      <c r="PDP115" s="0"/>
      <c r="PDQ115" s="0"/>
      <c r="PDR115" s="0"/>
      <c r="PDS115" s="0"/>
      <c r="PDT115" s="0"/>
      <c r="PDU115" s="0"/>
      <c r="PDV115" s="0"/>
      <c r="PDW115" s="0"/>
      <c r="PDX115" s="0"/>
      <c r="PDY115" s="0"/>
      <c r="PDZ115" s="0"/>
      <c r="PEA115" s="0"/>
      <c r="PEB115" s="0"/>
      <c r="PEC115" s="0"/>
      <c r="PED115" s="0"/>
      <c r="PEE115" s="0"/>
      <c r="PEF115" s="0"/>
      <c r="PEG115" s="0"/>
      <c r="PEH115" s="0"/>
      <c r="PEI115" s="0"/>
      <c r="PEJ115" s="0"/>
      <c r="PEK115" s="0"/>
      <c r="PEL115" s="0"/>
      <c r="PEM115" s="0"/>
      <c r="PEN115" s="0"/>
      <c r="PEO115" s="0"/>
      <c r="PEP115" s="0"/>
      <c r="PEQ115" s="0"/>
      <c r="PER115" s="0"/>
      <c r="PES115" s="0"/>
      <c r="PET115" s="0"/>
      <c r="PEU115" s="0"/>
      <c r="PEV115" s="0"/>
      <c r="PEW115" s="0"/>
      <c r="PEX115" s="0"/>
      <c r="PEY115" s="0"/>
      <c r="PEZ115" s="0"/>
      <c r="PFA115" s="0"/>
      <c r="PFB115" s="0"/>
      <c r="PFC115" s="0"/>
      <c r="PFD115" s="0"/>
      <c r="PFE115" s="0"/>
      <c r="PFF115" s="0"/>
      <c r="PFG115" s="0"/>
      <c r="PFH115" s="0"/>
      <c r="PFI115" s="0"/>
      <c r="PFJ115" s="0"/>
      <c r="PFK115" s="0"/>
      <c r="PFL115" s="0"/>
      <c r="PFM115" s="0"/>
      <c r="PFN115" s="0"/>
      <c r="PFO115" s="0"/>
      <c r="PFP115" s="0"/>
      <c r="PFQ115" s="0"/>
      <c r="PFR115" s="0"/>
      <c r="PFS115" s="0"/>
      <c r="PFT115" s="0"/>
      <c r="PFU115" s="0"/>
      <c r="PFV115" s="0"/>
      <c r="PFW115" s="0"/>
      <c r="PFX115" s="0"/>
      <c r="PFY115" s="0"/>
      <c r="PFZ115" s="0"/>
      <c r="PGA115" s="0"/>
      <c r="PGB115" s="0"/>
      <c r="PGC115" s="0"/>
      <c r="PGD115" s="0"/>
      <c r="PGE115" s="0"/>
      <c r="PGF115" s="0"/>
      <c r="PGG115" s="0"/>
      <c r="PGH115" s="0"/>
      <c r="PGI115" s="0"/>
      <c r="PGJ115" s="0"/>
      <c r="PGK115" s="0"/>
      <c r="PGL115" s="0"/>
      <c r="PGM115" s="0"/>
      <c r="PGN115" s="0"/>
      <c r="PGO115" s="0"/>
      <c r="PGP115" s="0"/>
      <c r="PGQ115" s="0"/>
      <c r="PGR115" s="0"/>
      <c r="PGS115" s="0"/>
      <c r="PGT115" s="0"/>
      <c r="PGU115" s="0"/>
      <c r="PGV115" s="0"/>
      <c r="PGW115" s="0"/>
      <c r="PGX115" s="0"/>
      <c r="PGY115" s="0"/>
      <c r="PGZ115" s="0"/>
      <c r="PHA115" s="0"/>
      <c r="PHB115" s="0"/>
      <c r="PHC115" s="0"/>
      <c r="PHD115" s="0"/>
      <c r="PHE115" s="0"/>
      <c r="PHF115" s="0"/>
      <c r="PHG115" s="0"/>
      <c r="PHH115" s="0"/>
      <c r="PHI115" s="0"/>
      <c r="PHJ115" s="0"/>
      <c r="PHK115" s="0"/>
      <c r="PHL115" s="0"/>
      <c r="PHM115" s="0"/>
      <c r="PHN115" s="0"/>
      <c r="PHO115" s="0"/>
      <c r="PHP115" s="0"/>
      <c r="PHQ115" s="0"/>
      <c r="PHR115" s="0"/>
      <c r="PHS115" s="0"/>
      <c r="PHT115" s="0"/>
      <c r="PHU115" s="0"/>
      <c r="PHV115" s="0"/>
      <c r="PHW115" s="0"/>
      <c r="PHX115" s="0"/>
      <c r="PHY115" s="0"/>
      <c r="PHZ115" s="0"/>
      <c r="PIA115" s="0"/>
      <c r="PIB115" s="0"/>
      <c r="PIC115" s="0"/>
      <c r="PID115" s="0"/>
      <c r="PIE115" s="0"/>
      <c r="PIF115" s="0"/>
      <c r="PIG115" s="0"/>
      <c r="PIH115" s="0"/>
      <c r="PII115" s="0"/>
      <c r="PIJ115" s="0"/>
      <c r="PIK115" s="0"/>
      <c r="PIL115" s="0"/>
      <c r="PIM115" s="0"/>
      <c r="PIN115" s="0"/>
      <c r="PIO115" s="0"/>
      <c r="PIP115" s="0"/>
      <c r="PIQ115" s="0"/>
      <c r="PIR115" s="0"/>
      <c r="PIS115" s="0"/>
      <c r="PIT115" s="0"/>
      <c r="PIU115" s="0"/>
      <c r="PIV115" s="0"/>
      <c r="PIW115" s="0"/>
      <c r="PIX115" s="0"/>
      <c r="PIY115" s="0"/>
      <c r="PIZ115" s="0"/>
      <c r="PJA115" s="0"/>
      <c r="PJB115" s="0"/>
      <c r="PJC115" s="0"/>
      <c r="PJD115" s="0"/>
      <c r="PJE115" s="0"/>
      <c r="PJF115" s="0"/>
      <c r="PJG115" s="0"/>
      <c r="PJH115" s="0"/>
      <c r="PJI115" s="0"/>
      <c r="PJJ115" s="0"/>
      <c r="PJK115" s="0"/>
      <c r="PJL115" s="0"/>
      <c r="PJM115" s="0"/>
      <c r="PJN115" s="0"/>
      <c r="PJO115" s="0"/>
      <c r="PJP115" s="0"/>
      <c r="PJQ115" s="0"/>
      <c r="PJR115" s="0"/>
      <c r="PJS115" s="0"/>
      <c r="PJT115" s="0"/>
      <c r="PJU115" s="0"/>
      <c r="PJV115" s="0"/>
      <c r="PJW115" s="0"/>
      <c r="PJX115" s="0"/>
      <c r="PJY115" s="0"/>
      <c r="PJZ115" s="0"/>
      <c r="PKA115" s="0"/>
      <c r="PKB115" s="0"/>
      <c r="PKC115" s="0"/>
      <c r="PKD115" s="0"/>
      <c r="PKE115" s="0"/>
      <c r="PKF115" s="0"/>
      <c r="PKG115" s="0"/>
      <c r="PKH115" s="0"/>
      <c r="PKI115" s="0"/>
      <c r="PKJ115" s="0"/>
      <c r="PKK115" s="0"/>
      <c r="PKL115" s="0"/>
      <c r="PKM115" s="0"/>
      <c r="PKN115" s="0"/>
      <c r="PKO115" s="0"/>
      <c r="PKP115" s="0"/>
      <c r="PKQ115" s="0"/>
      <c r="PKR115" s="0"/>
      <c r="PKS115" s="0"/>
      <c r="PKT115" s="0"/>
      <c r="PKU115" s="0"/>
      <c r="PKV115" s="0"/>
      <c r="PKW115" s="0"/>
      <c r="PKX115" s="0"/>
      <c r="PKY115" s="0"/>
      <c r="PKZ115" s="0"/>
      <c r="PLA115" s="0"/>
      <c r="PLB115" s="0"/>
      <c r="PLC115" s="0"/>
      <c r="PLD115" s="0"/>
      <c r="PLE115" s="0"/>
      <c r="PLF115" s="0"/>
      <c r="PLG115" s="0"/>
      <c r="PLH115" s="0"/>
      <c r="PLI115" s="0"/>
      <c r="PLJ115" s="0"/>
      <c r="PLK115" s="0"/>
      <c r="PLL115" s="0"/>
      <c r="PLM115" s="0"/>
      <c r="PLN115" s="0"/>
      <c r="PLO115" s="0"/>
      <c r="PLP115" s="0"/>
      <c r="PLQ115" s="0"/>
      <c r="PLR115" s="0"/>
      <c r="PLS115" s="0"/>
      <c r="PLT115" s="0"/>
      <c r="PLU115" s="0"/>
      <c r="PLV115" s="0"/>
      <c r="PLW115" s="0"/>
      <c r="PLX115" s="0"/>
      <c r="PLY115" s="0"/>
      <c r="PLZ115" s="0"/>
      <c r="PMA115" s="0"/>
      <c r="PMB115" s="0"/>
      <c r="PMC115" s="0"/>
      <c r="PMD115" s="0"/>
      <c r="PME115" s="0"/>
      <c r="PMF115" s="0"/>
      <c r="PMG115" s="0"/>
      <c r="PMH115" s="0"/>
      <c r="PMI115" s="0"/>
      <c r="PMJ115" s="0"/>
      <c r="PMK115" s="0"/>
      <c r="PML115" s="0"/>
      <c r="PMM115" s="0"/>
      <c r="PMN115" s="0"/>
      <c r="PMO115" s="0"/>
      <c r="PMP115" s="0"/>
      <c r="PMQ115" s="0"/>
      <c r="PMR115" s="0"/>
      <c r="PMS115" s="0"/>
      <c r="PMT115" s="0"/>
      <c r="PMU115" s="0"/>
      <c r="PMV115" s="0"/>
      <c r="PMW115" s="0"/>
      <c r="PMX115" s="0"/>
      <c r="PMY115" s="0"/>
      <c r="PMZ115" s="0"/>
      <c r="PNA115" s="0"/>
      <c r="PNB115" s="0"/>
      <c r="PNC115" s="0"/>
      <c r="PND115" s="0"/>
      <c r="PNE115" s="0"/>
      <c r="PNF115" s="0"/>
      <c r="PNG115" s="0"/>
      <c r="PNH115" s="0"/>
      <c r="PNI115" s="0"/>
      <c r="PNJ115" s="0"/>
      <c r="PNK115" s="0"/>
      <c r="PNL115" s="0"/>
      <c r="PNM115" s="0"/>
      <c r="PNN115" s="0"/>
      <c r="PNO115" s="0"/>
      <c r="PNP115" s="0"/>
      <c r="PNQ115" s="0"/>
      <c r="PNR115" s="0"/>
      <c r="PNS115" s="0"/>
      <c r="PNT115" s="0"/>
      <c r="PNU115" s="0"/>
      <c r="PNV115" s="0"/>
      <c r="PNW115" s="0"/>
      <c r="PNX115" s="0"/>
      <c r="PNY115" s="0"/>
      <c r="PNZ115" s="0"/>
      <c r="POA115" s="0"/>
      <c r="POB115" s="0"/>
      <c r="POC115" s="0"/>
      <c r="POD115" s="0"/>
      <c r="POE115" s="0"/>
      <c r="POF115" s="0"/>
      <c r="POG115" s="0"/>
      <c r="POH115" s="0"/>
      <c r="POI115" s="0"/>
      <c r="POJ115" s="0"/>
      <c r="POK115" s="0"/>
      <c r="POL115" s="0"/>
      <c r="POM115" s="0"/>
      <c r="PON115" s="0"/>
      <c r="POO115" s="0"/>
      <c r="POP115" s="0"/>
      <c r="POQ115" s="0"/>
      <c r="POR115" s="0"/>
      <c r="POS115" s="0"/>
      <c r="POT115" s="0"/>
      <c r="POU115" s="0"/>
      <c r="POV115" s="0"/>
      <c r="POW115" s="0"/>
      <c r="POX115" s="0"/>
      <c r="POY115" s="0"/>
      <c r="POZ115" s="0"/>
      <c r="PPA115" s="0"/>
      <c r="PPB115" s="0"/>
      <c r="PPC115" s="0"/>
      <c r="PPD115" s="0"/>
      <c r="PPE115" s="0"/>
      <c r="PPF115" s="0"/>
      <c r="PPG115" s="0"/>
      <c r="PPH115" s="0"/>
      <c r="PPI115" s="0"/>
      <c r="PPJ115" s="0"/>
      <c r="PPK115" s="0"/>
      <c r="PPL115" s="0"/>
      <c r="PPM115" s="0"/>
      <c r="PPN115" s="0"/>
      <c r="PPO115" s="0"/>
      <c r="PPP115" s="0"/>
      <c r="PPQ115" s="0"/>
      <c r="PPR115" s="0"/>
      <c r="PPS115" s="0"/>
      <c r="PPT115" s="0"/>
      <c r="PPU115" s="0"/>
      <c r="PPV115" s="0"/>
      <c r="PPW115" s="0"/>
      <c r="PPX115" s="0"/>
      <c r="PPY115" s="0"/>
      <c r="PPZ115" s="0"/>
      <c r="PQA115" s="0"/>
      <c r="PQB115" s="0"/>
      <c r="PQC115" s="0"/>
      <c r="PQD115" s="0"/>
      <c r="PQE115" s="0"/>
      <c r="PQF115" s="0"/>
      <c r="PQG115" s="0"/>
      <c r="PQH115" s="0"/>
      <c r="PQI115" s="0"/>
      <c r="PQJ115" s="0"/>
      <c r="PQK115" s="0"/>
      <c r="PQL115" s="0"/>
      <c r="PQM115" s="0"/>
      <c r="PQN115" s="0"/>
      <c r="PQO115" s="0"/>
      <c r="PQP115" s="0"/>
      <c r="PQQ115" s="0"/>
      <c r="PQR115" s="0"/>
      <c r="PQS115" s="0"/>
      <c r="PQT115" s="0"/>
      <c r="PQU115" s="0"/>
      <c r="PQV115" s="0"/>
      <c r="PQW115" s="0"/>
      <c r="PQX115" s="0"/>
      <c r="PQY115" s="0"/>
      <c r="PQZ115" s="0"/>
      <c r="PRA115" s="0"/>
      <c r="PRB115" s="0"/>
      <c r="PRC115" s="0"/>
      <c r="PRD115" s="0"/>
      <c r="PRE115" s="0"/>
      <c r="PRF115" s="0"/>
      <c r="PRG115" s="0"/>
      <c r="PRH115" s="0"/>
      <c r="PRI115" s="0"/>
      <c r="PRJ115" s="0"/>
      <c r="PRK115" s="0"/>
      <c r="PRL115" s="0"/>
      <c r="PRM115" s="0"/>
      <c r="PRN115" s="0"/>
      <c r="PRO115" s="0"/>
      <c r="PRP115" s="0"/>
      <c r="PRQ115" s="0"/>
      <c r="PRR115" s="0"/>
      <c r="PRS115" s="0"/>
      <c r="PRT115" s="0"/>
      <c r="PRU115" s="0"/>
      <c r="PRV115" s="0"/>
      <c r="PRW115" s="0"/>
      <c r="PRX115" s="0"/>
      <c r="PRY115" s="0"/>
      <c r="PRZ115" s="0"/>
      <c r="PSA115" s="0"/>
      <c r="PSB115" s="0"/>
      <c r="PSC115" s="0"/>
      <c r="PSD115" s="0"/>
      <c r="PSE115" s="0"/>
      <c r="PSF115" s="0"/>
      <c r="PSG115" s="0"/>
      <c r="PSH115" s="0"/>
      <c r="PSI115" s="0"/>
      <c r="PSJ115" s="0"/>
      <c r="PSK115" s="0"/>
      <c r="PSL115" s="0"/>
      <c r="PSM115" s="0"/>
      <c r="PSN115" s="0"/>
      <c r="PSO115" s="0"/>
      <c r="PSP115" s="0"/>
      <c r="PSQ115" s="0"/>
      <c r="PSR115" s="0"/>
      <c r="PSS115" s="0"/>
      <c r="PST115" s="0"/>
      <c r="PSU115" s="0"/>
      <c r="PSV115" s="0"/>
      <c r="PSW115" s="0"/>
      <c r="PSX115" s="0"/>
      <c r="PSY115" s="0"/>
      <c r="PSZ115" s="0"/>
      <c r="PTA115" s="0"/>
      <c r="PTB115" s="0"/>
      <c r="PTC115" s="0"/>
      <c r="PTD115" s="0"/>
      <c r="PTE115" s="0"/>
      <c r="PTF115" s="0"/>
      <c r="PTG115" s="0"/>
      <c r="PTH115" s="0"/>
      <c r="PTI115" s="0"/>
      <c r="PTJ115" s="0"/>
      <c r="PTK115" s="0"/>
      <c r="PTL115" s="0"/>
      <c r="PTM115" s="0"/>
      <c r="PTN115" s="0"/>
      <c r="PTO115" s="0"/>
      <c r="PTP115" s="0"/>
      <c r="PTQ115" s="0"/>
      <c r="PTR115" s="0"/>
      <c r="PTS115" s="0"/>
      <c r="PTT115" s="0"/>
      <c r="PTU115" s="0"/>
      <c r="PTV115" s="0"/>
      <c r="PTW115" s="0"/>
      <c r="PTX115" s="0"/>
      <c r="PTY115" s="0"/>
      <c r="PTZ115" s="0"/>
      <c r="PUA115" s="0"/>
      <c r="PUB115" s="0"/>
      <c r="PUC115" s="0"/>
      <c r="PUD115" s="0"/>
      <c r="PUE115" s="0"/>
      <c r="PUF115" s="0"/>
      <c r="PUG115" s="0"/>
      <c r="PUH115" s="0"/>
      <c r="PUI115" s="0"/>
      <c r="PUJ115" s="0"/>
      <c r="PUK115" s="0"/>
      <c r="PUL115" s="0"/>
      <c r="PUM115" s="0"/>
      <c r="PUN115" s="0"/>
      <c r="PUO115" s="0"/>
      <c r="PUP115" s="0"/>
      <c r="PUQ115" s="0"/>
      <c r="PUR115" s="0"/>
      <c r="PUS115" s="0"/>
      <c r="PUT115" s="0"/>
      <c r="PUU115" s="0"/>
      <c r="PUV115" s="0"/>
      <c r="PUW115" s="0"/>
      <c r="PUX115" s="0"/>
      <c r="PUY115" s="0"/>
      <c r="PUZ115" s="0"/>
      <c r="PVA115" s="0"/>
      <c r="PVB115" s="0"/>
      <c r="PVC115" s="0"/>
      <c r="PVD115" s="0"/>
      <c r="PVE115" s="0"/>
      <c r="PVF115" s="0"/>
      <c r="PVG115" s="0"/>
      <c r="PVH115" s="0"/>
      <c r="PVI115" s="0"/>
      <c r="PVJ115" s="0"/>
      <c r="PVK115" s="0"/>
      <c r="PVL115" s="0"/>
      <c r="PVM115" s="0"/>
      <c r="PVN115" s="0"/>
      <c r="PVO115" s="0"/>
      <c r="PVP115" s="0"/>
      <c r="PVQ115" s="0"/>
      <c r="PVR115" s="0"/>
      <c r="PVS115" s="0"/>
      <c r="PVT115" s="0"/>
      <c r="PVU115" s="0"/>
      <c r="PVV115" s="0"/>
      <c r="PVW115" s="0"/>
      <c r="PVX115" s="0"/>
      <c r="PVY115" s="0"/>
      <c r="PVZ115" s="0"/>
      <c r="PWA115" s="0"/>
      <c r="PWB115" s="0"/>
      <c r="PWC115" s="0"/>
      <c r="PWD115" s="0"/>
      <c r="PWE115" s="0"/>
      <c r="PWF115" s="0"/>
      <c r="PWG115" s="0"/>
      <c r="PWH115" s="0"/>
      <c r="PWI115" s="0"/>
      <c r="PWJ115" s="0"/>
      <c r="PWK115" s="0"/>
      <c r="PWL115" s="0"/>
      <c r="PWM115" s="0"/>
      <c r="PWN115" s="0"/>
      <c r="PWO115" s="0"/>
      <c r="PWP115" s="0"/>
      <c r="PWQ115" s="0"/>
      <c r="PWR115" s="0"/>
      <c r="PWS115" s="0"/>
      <c r="PWT115" s="0"/>
      <c r="PWU115" s="0"/>
      <c r="PWV115" s="0"/>
      <c r="PWW115" s="0"/>
      <c r="PWX115" s="0"/>
      <c r="PWY115" s="0"/>
      <c r="PWZ115" s="0"/>
      <c r="PXA115" s="0"/>
      <c r="PXB115" s="0"/>
      <c r="PXC115" s="0"/>
      <c r="PXD115" s="0"/>
      <c r="PXE115" s="0"/>
      <c r="PXF115" s="0"/>
      <c r="PXG115" s="0"/>
      <c r="PXH115" s="0"/>
      <c r="PXI115" s="0"/>
      <c r="PXJ115" s="0"/>
      <c r="PXK115" s="0"/>
      <c r="PXL115" s="0"/>
      <c r="PXM115" s="0"/>
      <c r="PXN115" s="0"/>
      <c r="PXO115" s="0"/>
      <c r="PXP115" s="0"/>
      <c r="PXQ115" s="0"/>
      <c r="PXR115" s="0"/>
      <c r="PXS115" s="0"/>
      <c r="PXT115" s="0"/>
      <c r="PXU115" s="0"/>
      <c r="PXV115" s="0"/>
      <c r="PXW115" s="0"/>
      <c r="PXX115" s="0"/>
      <c r="PXY115" s="0"/>
      <c r="PXZ115" s="0"/>
      <c r="PYA115" s="0"/>
      <c r="PYB115" s="0"/>
      <c r="PYC115" s="0"/>
      <c r="PYD115" s="0"/>
      <c r="PYE115" s="0"/>
      <c r="PYF115" s="0"/>
      <c r="PYG115" s="0"/>
      <c r="PYH115" s="0"/>
      <c r="PYI115" s="0"/>
      <c r="PYJ115" s="0"/>
      <c r="PYK115" s="0"/>
      <c r="PYL115" s="0"/>
      <c r="PYM115" s="0"/>
      <c r="PYN115" s="0"/>
      <c r="PYO115" s="0"/>
      <c r="PYP115" s="0"/>
      <c r="PYQ115" s="0"/>
      <c r="PYR115" s="0"/>
      <c r="PYS115" s="0"/>
      <c r="PYT115" s="0"/>
      <c r="PYU115" s="0"/>
      <c r="PYV115" s="0"/>
      <c r="PYW115" s="0"/>
      <c r="PYX115" s="0"/>
      <c r="PYY115" s="0"/>
      <c r="PYZ115" s="0"/>
      <c r="PZA115" s="0"/>
      <c r="PZB115" s="0"/>
      <c r="PZC115" s="0"/>
      <c r="PZD115" s="0"/>
      <c r="PZE115" s="0"/>
      <c r="PZF115" s="0"/>
      <c r="PZG115" s="0"/>
      <c r="PZH115" s="0"/>
      <c r="PZI115" s="0"/>
      <c r="PZJ115" s="0"/>
      <c r="PZK115" s="0"/>
      <c r="PZL115" s="0"/>
      <c r="PZM115" s="0"/>
      <c r="PZN115" s="0"/>
      <c r="PZO115" s="0"/>
      <c r="PZP115" s="0"/>
      <c r="PZQ115" s="0"/>
      <c r="PZR115" s="0"/>
      <c r="PZS115" s="0"/>
      <c r="PZT115" s="0"/>
      <c r="PZU115" s="0"/>
      <c r="PZV115" s="0"/>
      <c r="PZW115" s="0"/>
      <c r="PZX115" s="0"/>
      <c r="PZY115" s="0"/>
      <c r="PZZ115" s="0"/>
      <c r="QAA115" s="0"/>
      <c r="QAB115" s="0"/>
      <c r="QAC115" s="0"/>
      <c r="QAD115" s="0"/>
      <c r="QAE115" s="0"/>
      <c r="QAF115" s="0"/>
      <c r="QAG115" s="0"/>
      <c r="QAH115" s="0"/>
      <c r="QAI115" s="0"/>
      <c r="QAJ115" s="0"/>
      <c r="QAK115" s="0"/>
      <c r="QAL115" s="0"/>
      <c r="QAM115" s="0"/>
      <c r="QAN115" s="0"/>
      <c r="QAO115" s="0"/>
      <c r="QAP115" s="0"/>
      <c r="QAQ115" s="0"/>
      <c r="QAR115" s="0"/>
      <c r="QAS115" s="0"/>
      <c r="QAT115" s="0"/>
      <c r="QAU115" s="0"/>
      <c r="QAV115" s="0"/>
      <c r="QAW115" s="0"/>
      <c r="QAX115" s="0"/>
      <c r="QAY115" s="0"/>
      <c r="QAZ115" s="0"/>
      <c r="QBA115" s="0"/>
      <c r="QBB115" s="0"/>
      <c r="QBC115" s="0"/>
      <c r="QBD115" s="0"/>
      <c r="QBE115" s="0"/>
      <c r="QBF115" s="0"/>
      <c r="QBG115" s="0"/>
      <c r="QBH115" s="0"/>
      <c r="QBI115" s="0"/>
      <c r="QBJ115" s="0"/>
      <c r="QBK115" s="0"/>
      <c r="QBL115" s="0"/>
      <c r="QBM115" s="0"/>
      <c r="QBN115" s="0"/>
      <c r="QBO115" s="0"/>
      <c r="QBP115" s="0"/>
      <c r="QBQ115" s="0"/>
      <c r="QBR115" s="0"/>
      <c r="QBS115" s="0"/>
      <c r="QBT115" s="0"/>
      <c r="QBU115" s="0"/>
      <c r="QBV115" s="0"/>
      <c r="QBW115" s="0"/>
      <c r="QBX115" s="0"/>
      <c r="QBY115" s="0"/>
      <c r="QBZ115" s="0"/>
      <c r="QCA115" s="0"/>
      <c r="QCB115" s="0"/>
      <c r="QCC115" s="0"/>
      <c r="QCD115" s="0"/>
      <c r="QCE115" s="0"/>
      <c r="QCF115" s="0"/>
      <c r="QCG115" s="0"/>
      <c r="QCH115" s="0"/>
      <c r="QCI115" s="0"/>
      <c r="QCJ115" s="0"/>
      <c r="QCK115" s="0"/>
      <c r="QCL115" s="0"/>
      <c r="QCM115" s="0"/>
      <c r="QCN115" s="0"/>
      <c r="QCO115" s="0"/>
      <c r="QCP115" s="0"/>
      <c r="QCQ115" s="0"/>
      <c r="QCR115" s="0"/>
      <c r="QCS115" s="0"/>
      <c r="QCT115" s="0"/>
      <c r="QCU115" s="0"/>
      <c r="QCV115" s="0"/>
      <c r="QCW115" s="0"/>
      <c r="QCX115" s="0"/>
      <c r="QCY115" s="0"/>
      <c r="QCZ115" s="0"/>
      <c r="QDA115" s="0"/>
      <c r="QDB115" s="0"/>
      <c r="QDC115" s="0"/>
      <c r="QDD115" s="0"/>
      <c r="QDE115" s="0"/>
      <c r="QDF115" s="0"/>
      <c r="QDG115" s="0"/>
      <c r="QDH115" s="0"/>
      <c r="QDI115" s="0"/>
      <c r="QDJ115" s="0"/>
      <c r="QDK115" s="0"/>
      <c r="QDL115" s="0"/>
      <c r="QDM115" s="0"/>
      <c r="QDN115" s="0"/>
      <c r="QDO115" s="0"/>
      <c r="QDP115" s="0"/>
      <c r="QDQ115" s="0"/>
      <c r="QDR115" s="0"/>
      <c r="QDS115" s="0"/>
      <c r="QDT115" s="0"/>
      <c r="QDU115" s="0"/>
      <c r="QDV115" s="0"/>
      <c r="QDW115" s="0"/>
      <c r="QDX115" s="0"/>
      <c r="QDY115" s="0"/>
      <c r="QDZ115" s="0"/>
      <c r="QEA115" s="0"/>
      <c r="QEB115" s="0"/>
      <c r="QEC115" s="0"/>
      <c r="QED115" s="0"/>
      <c r="QEE115" s="0"/>
      <c r="QEF115" s="0"/>
      <c r="QEG115" s="0"/>
      <c r="QEH115" s="0"/>
      <c r="QEI115" s="0"/>
      <c r="QEJ115" s="0"/>
      <c r="QEK115" s="0"/>
      <c r="QEL115" s="0"/>
      <c r="QEM115" s="0"/>
      <c r="QEN115" s="0"/>
      <c r="QEO115" s="0"/>
      <c r="QEP115" s="0"/>
      <c r="QEQ115" s="0"/>
      <c r="QER115" s="0"/>
      <c r="QES115" s="0"/>
      <c r="QET115" s="0"/>
      <c r="QEU115" s="0"/>
      <c r="QEV115" s="0"/>
      <c r="QEW115" s="0"/>
      <c r="QEX115" s="0"/>
      <c r="QEY115" s="0"/>
      <c r="QEZ115" s="0"/>
      <c r="QFA115" s="0"/>
      <c r="QFB115" s="0"/>
      <c r="QFC115" s="0"/>
      <c r="QFD115" s="0"/>
      <c r="QFE115" s="0"/>
      <c r="QFF115" s="0"/>
      <c r="QFG115" s="0"/>
      <c r="QFH115" s="0"/>
      <c r="QFI115" s="0"/>
      <c r="QFJ115" s="0"/>
      <c r="QFK115" s="0"/>
      <c r="QFL115" s="0"/>
      <c r="QFM115" s="0"/>
      <c r="QFN115" s="0"/>
      <c r="QFO115" s="0"/>
      <c r="QFP115" s="0"/>
      <c r="QFQ115" s="0"/>
      <c r="QFR115" s="0"/>
      <c r="QFS115" s="0"/>
      <c r="QFT115" s="0"/>
      <c r="QFU115" s="0"/>
      <c r="QFV115" s="0"/>
      <c r="QFW115" s="0"/>
      <c r="QFX115" s="0"/>
      <c r="QFY115" s="0"/>
      <c r="QFZ115" s="0"/>
      <c r="QGA115" s="0"/>
      <c r="QGB115" s="0"/>
      <c r="QGC115" s="0"/>
      <c r="QGD115" s="0"/>
      <c r="QGE115" s="0"/>
      <c r="QGF115" s="0"/>
      <c r="QGG115" s="0"/>
      <c r="QGH115" s="0"/>
      <c r="QGI115" s="0"/>
      <c r="QGJ115" s="0"/>
      <c r="QGK115" s="0"/>
      <c r="QGL115" s="0"/>
      <c r="QGM115" s="0"/>
      <c r="QGN115" s="0"/>
      <c r="QGO115" s="0"/>
      <c r="QGP115" s="0"/>
      <c r="QGQ115" s="0"/>
      <c r="QGR115" s="0"/>
      <c r="QGS115" s="0"/>
      <c r="QGT115" s="0"/>
      <c r="QGU115" s="0"/>
      <c r="QGV115" s="0"/>
      <c r="QGW115" s="0"/>
      <c r="QGX115" s="0"/>
      <c r="QGY115" s="0"/>
      <c r="QGZ115" s="0"/>
      <c r="QHA115" s="0"/>
      <c r="QHB115" s="0"/>
      <c r="QHC115" s="0"/>
      <c r="QHD115" s="0"/>
      <c r="QHE115" s="0"/>
      <c r="QHF115" s="0"/>
      <c r="QHG115" s="0"/>
      <c r="QHH115" s="0"/>
      <c r="QHI115" s="0"/>
      <c r="QHJ115" s="0"/>
      <c r="QHK115" s="0"/>
      <c r="QHL115" s="0"/>
      <c r="QHM115" s="0"/>
      <c r="QHN115" s="0"/>
      <c r="QHO115" s="0"/>
      <c r="QHP115" s="0"/>
      <c r="QHQ115" s="0"/>
      <c r="QHR115" s="0"/>
      <c r="QHS115" s="0"/>
      <c r="QHT115" s="0"/>
      <c r="QHU115" s="0"/>
      <c r="QHV115" s="0"/>
      <c r="QHW115" s="0"/>
      <c r="QHX115" s="0"/>
      <c r="QHY115" s="0"/>
      <c r="QHZ115" s="0"/>
      <c r="QIA115" s="0"/>
      <c r="QIB115" s="0"/>
      <c r="QIC115" s="0"/>
      <c r="QID115" s="0"/>
      <c r="QIE115" s="0"/>
      <c r="QIF115" s="0"/>
      <c r="QIG115" s="0"/>
      <c r="QIH115" s="0"/>
      <c r="QII115" s="0"/>
      <c r="QIJ115" s="0"/>
      <c r="QIK115" s="0"/>
      <c r="QIL115" s="0"/>
      <c r="QIM115" s="0"/>
      <c r="QIN115" s="0"/>
      <c r="QIO115" s="0"/>
      <c r="QIP115" s="0"/>
      <c r="QIQ115" s="0"/>
      <c r="QIR115" s="0"/>
      <c r="QIS115" s="0"/>
      <c r="QIT115" s="0"/>
      <c r="QIU115" s="0"/>
      <c r="QIV115" s="0"/>
      <c r="QIW115" s="0"/>
      <c r="QIX115" s="0"/>
      <c r="QIY115" s="0"/>
      <c r="QIZ115" s="0"/>
      <c r="QJA115" s="0"/>
      <c r="QJB115" s="0"/>
      <c r="QJC115" s="0"/>
      <c r="QJD115" s="0"/>
      <c r="QJE115" s="0"/>
      <c r="QJF115" s="0"/>
      <c r="QJG115" s="0"/>
      <c r="QJH115" s="0"/>
      <c r="QJI115" s="0"/>
      <c r="QJJ115" s="0"/>
      <c r="QJK115" s="0"/>
      <c r="QJL115" s="0"/>
      <c r="QJM115" s="0"/>
      <c r="QJN115" s="0"/>
      <c r="QJO115" s="0"/>
      <c r="QJP115" s="0"/>
      <c r="QJQ115" s="0"/>
      <c r="QJR115" s="0"/>
      <c r="QJS115" s="0"/>
      <c r="QJT115" s="0"/>
      <c r="QJU115" s="0"/>
      <c r="QJV115" s="0"/>
      <c r="QJW115" s="0"/>
      <c r="QJX115" s="0"/>
      <c r="QJY115" s="0"/>
      <c r="QJZ115" s="0"/>
      <c r="QKA115" s="0"/>
      <c r="QKB115" s="0"/>
      <c r="QKC115" s="0"/>
      <c r="QKD115" s="0"/>
      <c r="QKE115" s="0"/>
      <c r="QKF115" s="0"/>
      <c r="QKG115" s="0"/>
      <c r="QKH115" s="0"/>
      <c r="QKI115" s="0"/>
      <c r="QKJ115" s="0"/>
      <c r="QKK115" s="0"/>
      <c r="QKL115" s="0"/>
      <c r="QKM115" s="0"/>
      <c r="QKN115" s="0"/>
      <c r="QKO115" s="0"/>
      <c r="QKP115" s="0"/>
      <c r="QKQ115" s="0"/>
      <c r="QKR115" s="0"/>
      <c r="QKS115" s="0"/>
      <c r="QKT115" s="0"/>
      <c r="QKU115" s="0"/>
      <c r="QKV115" s="0"/>
      <c r="QKW115" s="0"/>
      <c r="QKX115" s="0"/>
      <c r="QKY115" s="0"/>
      <c r="QKZ115" s="0"/>
      <c r="QLA115" s="0"/>
      <c r="QLB115" s="0"/>
      <c r="QLC115" s="0"/>
      <c r="QLD115" s="0"/>
      <c r="QLE115" s="0"/>
      <c r="QLF115" s="0"/>
      <c r="QLG115" s="0"/>
      <c r="QLH115" s="0"/>
      <c r="QLI115" s="0"/>
      <c r="QLJ115" s="0"/>
      <c r="QLK115" s="0"/>
      <c r="QLL115" s="0"/>
      <c r="QLM115" s="0"/>
      <c r="QLN115" s="0"/>
      <c r="QLO115" s="0"/>
      <c r="QLP115" s="0"/>
      <c r="QLQ115" s="0"/>
      <c r="QLR115" s="0"/>
      <c r="QLS115" s="0"/>
      <c r="QLT115" s="0"/>
      <c r="QLU115" s="0"/>
      <c r="QLV115" s="0"/>
      <c r="QLW115" s="0"/>
      <c r="QLX115" s="0"/>
      <c r="QLY115" s="0"/>
      <c r="QLZ115" s="0"/>
      <c r="QMA115" s="0"/>
      <c r="QMB115" s="0"/>
      <c r="QMC115" s="0"/>
      <c r="QMD115" s="0"/>
      <c r="QME115" s="0"/>
      <c r="QMF115" s="0"/>
      <c r="QMG115" s="0"/>
      <c r="QMH115" s="0"/>
      <c r="QMI115" s="0"/>
      <c r="QMJ115" s="0"/>
      <c r="QMK115" s="0"/>
      <c r="QML115" s="0"/>
      <c r="QMM115" s="0"/>
      <c r="QMN115" s="0"/>
      <c r="QMO115" s="0"/>
      <c r="QMP115" s="0"/>
      <c r="QMQ115" s="0"/>
      <c r="QMR115" s="0"/>
      <c r="QMS115" s="0"/>
      <c r="QMT115" s="0"/>
      <c r="QMU115" s="0"/>
      <c r="QMV115" s="0"/>
      <c r="QMW115" s="0"/>
      <c r="QMX115" s="0"/>
      <c r="QMY115" s="0"/>
      <c r="QMZ115" s="0"/>
      <c r="QNA115" s="0"/>
      <c r="QNB115" s="0"/>
      <c r="QNC115" s="0"/>
      <c r="QND115" s="0"/>
      <c r="QNE115" s="0"/>
      <c r="QNF115" s="0"/>
      <c r="QNG115" s="0"/>
      <c r="QNH115" s="0"/>
      <c r="QNI115" s="0"/>
      <c r="QNJ115" s="0"/>
      <c r="QNK115" s="0"/>
      <c r="QNL115" s="0"/>
      <c r="QNM115" s="0"/>
      <c r="QNN115" s="0"/>
      <c r="QNO115" s="0"/>
      <c r="QNP115" s="0"/>
      <c r="QNQ115" s="0"/>
      <c r="QNR115" s="0"/>
      <c r="QNS115" s="0"/>
      <c r="QNT115" s="0"/>
      <c r="QNU115" s="0"/>
      <c r="QNV115" s="0"/>
      <c r="QNW115" s="0"/>
      <c r="QNX115" s="0"/>
      <c r="QNY115" s="0"/>
      <c r="QNZ115" s="0"/>
      <c r="QOA115" s="0"/>
      <c r="QOB115" s="0"/>
      <c r="QOC115" s="0"/>
      <c r="QOD115" s="0"/>
      <c r="QOE115" s="0"/>
      <c r="QOF115" s="0"/>
      <c r="QOG115" s="0"/>
      <c r="QOH115" s="0"/>
      <c r="QOI115" s="0"/>
      <c r="QOJ115" s="0"/>
      <c r="QOK115" s="0"/>
      <c r="QOL115" s="0"/>
      <c r="QOM115" s="0"/>
      <c r="QON115" s="0"/>
      <c r="QOO115" s="0"/>
      <c r="QOP115" s="0"/>
      <c r="QOQ115" s="0"/>
      <c r="QOR115" s="0"/>
      <c r="QOS115" s="0"/>
      <c r="QOT115" s="0"/>
      <c r="QOU115" s="0"/>
      <c r="QOV115" s="0"/>
      <c r="QOW115" s="0"/>
      <c r="QOX115" s="0"/>
      <c r="QOY115" s="0"/>
      <c r="QOZ115" s="0"/>
      <c r="QPA115" s="0"/>
      <c r="QPB115" s="0"/>
      <c r="QPC115" s="0"/>
      <c r="QPD115" s="0"/>
      <c r="QPE115" s="0"/>
      <c r="QPF115" s="0"/>
      <c r="QPG115" s="0"/>
      <c r="QPH115" s="0"/>
      <c r="QPI115" s="0"/>
      <c r="QPJ115" s="0"/>
      <c r="QPK115" s="0"/>
      <c r="QPL115" s="0"/>
      <c r="QPM115" s="0"/>
      <c r="QPN115" s="0"/>
      <c r="QPO115" s="0"/>
      <c r="QPP115" s="0"/>
      <c r="QPQ115" s="0"/>
      <c r="QPR115" s="0"/>
      <c r="QPS115" s="0"/>
      <c r="QPT115" s="0"/>
      <c r="QPU115" s="0"/>
      <c r="QPV115" s="0"/>
      <c r="QPW115" s="0"/>
      <c r="QPX115" s="0"/>
      <c r="QPY115" s="0"/>
      <c r="QPZ115" s="0"/>
      <c r="QQA115" s="0"/>
      <c r="QQB115" s="0"/>
      <c r="QQC115" s="0"/>
      <c r="QQD115" s="0"/>
      <c r="QQE115" s="0"/>
      <c r="QQF115" s="0"/>
      <c r="QQG115" s="0"/>
      <c r="QQH115" s="0"/>
      <c r="QQI115" s="0"/>
      <c r="QQJ115" s="0"/>
      <c r="QQK115" s="0"/>
      <c r="QQL115" s="0"/>
      <c r="QQM115" s="0"/>
      <c r="QQN115" s="0"/>
      <c r="QQO115" s="0"/>
      <c r="QQP115" s="0"/>
      <c r="QQQ115" s="0"/>
      <c r="QQR115" s="0"/>
      <c r="QQS115" s="0"/>
      <c r="QQT115" s="0"/>
      <c r="QQU115" s="0"/>
      <c r="QQV115" s="0"/>
      <c r="QQW115" s="0"/>
      <c r="QQX115" s="0"/>
      <c r="QQY115" s="0"/>
      <c r="QQZ115" s="0"/>
      <c r="QRA115" s="0"/>
      <c r="QRB115" s="0"/>
      <c r="QRC115" s="0"/>
      <c r="QRD115" s="0"/>
      <c r="QRE115" s="0"/>
      <c r="QRF115" s="0"/>
      <c r="QRG115" s="0"/>
      <c r="QRH115" s="0"/>
      <c r="QRI115" s="0"/>
      <c r="QRJ115" s="0"/>
      <c r="QRK115" s="0"/>
      <c r="QRL115" s="0"/>
      <c r="QRM115" s="0"/>
      <c r="QRN115" s="0"/>
      <c r="QRO115" s="0"/>
      <c r="QRP115" s="0"/>
      <c r="QRQ115" s="0"/>
      <c r="QRR115" s="0"/>
      <c r="QRS115" s="0"/>
      <c r="QRT115" s="0"/>
      <c r="QRU115" s="0"/>
      <c r="QRV115" s="0"/>
      <c r="QRW115" s="0"/>
      <c r="QRX115" s="0"/>
      <c r="QRY115" s="0"/>
      <c r="QRZ115" s="0"/>
      <c r="QSA115" s="0"/>
      <c r="QSB115" s="0"/>
      <c r="QSC115" s="0"/>
      <c r="QSD115" s="0"/>
      <c r="QSE115" s="0"/>
      <c r="QSF115" s="0"/>
      <c r="QSG115" s="0"/>
      <c r="QSH115" s="0"/>
      <c r="QSI115" s="0"/>
      <c r="QSJ115" s="0"/>
      <c r="QSK115" s="0"/>
      <c r="QSL115" s="0"/>
      <c r="QSM115" s="0"/>
      <c r="QSN115" s="0"/>
      <c r="QSO115" s="0"/>
      <c r="QSP115" s="0"/>
      <c r="QSQ115" s="0"/>
      <c r="QSR115" s="0"/>
      <c r="QSS115" s="0"/>
      <c r="QST115" s="0"/>
      <c r="QSU115" s="0"/>
      <c r="QSV115" s="0"/>
      <c r="QSW115" s="0"/>
      <c r="QSX115" s="0"/>
      <c r="QSY115" s="0"/>
      <c r="QSZ115" s="0"/>
      <c r="QTA115" s="0"/>
      <c r="QTB115" s="0"/>
      <c r="QTC115" s="0"/>
      <c r="QTD115" s="0"/>
      <c r="QTE115" s="0"/>
      <c r="QTF115" s="0"/>
      <c r="QTG115" s="0"/>
      <c r="QTH115" s="0"/>
      <c r="QTI115" s="0"/>
      <c r="QTJ115" s="0"/>
      <c r="QTK115" s="0"/>
      <c r="QTL115" s="0"/>
      <c r="QTM115" s="0"/>
      <c r="QTN115" s="0"/>
      <c r="QTO115" s="0"/>
      <c r="QTP115" s="0"/>
      <c r="QTQ115" s="0"/>
      <c r="QTR115" s="0"/>
      <c r="QTS115" s="0"/>
      <c r="QTT115" s="0"/>
      <c r="QTU115" s="0"/>
      <c r="QTV115" s="0"/>
      <c r="QTW115" s="0"/>
      <c r="QTX115" s="0"/>
      <c r="QTY115" s="0"/>
      <c r="QTZ115" s="0"/>
      <c r="QUA115" s="0"/>
      <c r="QUB115" s="0"/>
      <c r="QUC115" s="0"/>
      <c r="QUD115" s="0"/>
      <c r="QUE115" s="0"/>
      <c r="QUF115" s="0"/>
      <c r="QUG115" s="0"/>
      <c r="QUH115" s="0"/>
      <c r="QUI115" s="0"/>
      <c r="QUJ115" s="0"/>
      <c r="QUK115" s="0"/>
      <c r="QUL115" s="0"/>
      <c r="QUM115" s="0"/>
      <c r="QUN115" s="0"/>
      <c r="QUO115" s="0"/>
      <c r="QUP115" s="0"/>
      <c r="QUQ115" s="0"/>
      <c r="QUR115" s="0"/>
      <c r="QUS115" s="0"/>
      <c r="QUT115" s="0"/>
      <c r="QUU115" s="0"/>
      <c r="QUV115" s="0"/>
      <c r="QUW115" s="0"/>
      <c r="QUX115" s="0"/>
      <c r="QUY115" s="0"/>
      <c r="QUZ115" s="0"/>
      <c r="QVA115" s="0"/>
      <c r="QVB115" s="0"/>
      <c r="QVC115" s="0"/>
      <c r="QVD115" s="0"/>
      <c r="QVE115" s="0"/>
      <c r="QVF115" s="0"/>
      <c r="QVG115" s="0"/>
      <c r="QVH115" s="0"/>
      <c r="QVI115" s="0"/>
      <c r="QVJ115" s="0"/>
      <c r="QVK115" s="0"/>
      <c r="QVL115" s="0"/>
      <c r="QVM115" s="0"/>
      <c r="QVN115" s="0"/>
      <c r="QVO115" s="0"/>
      <c r="QVP115" s="0"/>
      <c r="QVQ115" s="0"/>
      <c r="QVR115" s="0"/>
      <c r="QVS115" s="0"/>
      <c r="QVT115" s="0"/>
      <c r="QVU115" s="0"/>
      <c r="QVV115" s="0"/>
      <c r="QVW115" s="0"/>
      <c r="QVX115" s="0"/>
      <c r="QVY115" s="0"/>
      <c r="QVZ115" s="0"/>
      <c r="QWA115" s="0"/>
      <c r="QWB115" s="0"/>
      <c r="QWC115" s="0"/>
      <c r="QWD115" s="0"/>
      <c r="QWE115" s="0"/>
      <c r="QWF115" s="0"/>
      <c r="QWG115" s="0"/>
      <c r="QWH115" s="0"/>
      <c r="QWI115" s="0"/>
      <c r="QWJ115" s="0"/>
      <c r="QWK115" s="0"/>
      <c r="QWL115" s="0"/>
      <c r="QWM115" s="0"/>
      <c r="QWN115" s="0"/>
      <c r="QWO115" s="0"/>
      <c r="QWP115" s="0"/>
      <c r="QWQ115" s="0"/>
      <c r="QWR115" s="0"/>
      <c r="QWS115" s="0"/>
      <c r="QWT115" s="0"/>
      <c r="QWU115" s="0"/>
      <c r="QWV115" s="0"/>
      <c r="QWW115" s="0"/>
      <c r="QWX115" s="0"/>
      <c r="QWY115" s="0"/>
      <c r="QWZ115" s="0"/>
      <c r="QXA115" s="0"/>
      <c r="QXB115" s="0"/>
      <c r="QXC115" s="0"/>
      <c r="QXD115" s="0"/>
      <c r="QXE115" s="0"/>
      <c r="QXF115" s="0"/>
      <c r="QXG115" s="0"/>
      <c r="QXH115" s="0"/>
      <c r="QXI115" s="0"/>
      <c r="QXJ115" s="0"/>
      <c r="QXK115" s="0"/>
      <c r="QXL115" s="0"/>
      <c r="QXM115" s="0"/>
      <c r="QXN115" s="0"/>
      <c r="QXO115" s="0"/>
      <c r="QXP115" s="0"/>
      <c r="QXQ115" s="0"/>
      <c r="QXR115" s="0"/>
      <c r="QXS115" s="0"/>
      <c r="QXT115" s="0"/>
      <c r="QXU115" s="0"/>
      <c r="QXV115" s="0"/>
      <c r="QXW115" s="0"/>
      <c r="QXX115" s="0"/>
      <c r="QXY115" s="0"/>
      <c r="QXZ115" s="0"/>
      <c r="QYA115" s="0"/>
      <c r="QYB115" s="0"/>
      <c r="QYC115" s="0"/>
      <c r="QYD115" s="0"/>
      <c r="QYE115" s="0"/>
      <c r="QYF115" s="0"/>
      <c r="QYG115" s="0"/>
      <c r="QYH115" s="0"/>
      <c r="QYI115" s="0"/>
      <c r="QYJ115" s="0"/>
      <c r="QYK115" s="0"/>
      <c r="QYL115" s="0"/>
      <c r="QYM115" s="0"/>
      <c r="QYN115" s="0"/>
      <c r="QYO115" s="0"/>
      <c r="QYP115" s="0"/>
      <c r="QYQ115" s="0"/>
      <c r="QYR115" s="0"/>
      <c r="QYS115" s="0"/>
      <c r="QYT115" s="0"/>
      <c r="QYU115" s="0"/>
      <c r="QYV115" s="0"/>
      <c r="QYW115" s="0"/>
      <c r="QYX115" s="0"/>
      <c r="QYY115" s="0"/>
      <c r="QYZ115" s="0"/>
      <c r="QZA115" s="0"/>
      <c r="QZB115" s="0"/>
      <c r="QZC115" s="0"/>
      <c r="QZD115" s="0"/>
      <c r="QZE115" s="0"/>
      <c r="QZF115" s="0"/>
      <c r="QZG115" s="0"/>
      <c r="QZH115" s="0"/>
      <c r="QZI115" s="0"/>
      <c r="QZJ115" s="0"/>
      <c r="QZK115" s="0"/>
      <c r="QZL115" s="0"/>
      <c r="QZM115" s="0"/>
      <c r="QZN115" s="0"/>
      <c r="QZO115" s="0"/>
      <c r="QZP115" s="0"/>
      <c r="QZQ115" s="0"/>
      <c r="QZR115" s="0"/>
      <c r="QZS115" s="0"/>
      <c r="QZT115" s="0"/>
      <c r="QZU115" s="0"/>
      <c r="QZV115" s="0"/>
      <c r="QZW115" s="0"/>
      <c r="QZX115" s="0"/>
      <c r="QZY115" s="0"/>
      <c r="QZZ115" s="0"/>
      <c r="RAA115" s="0"/>
      <c r="RAB115" s="0"/>
      <c r="RAC115" s="0"/>
      <c r="RAD115" s="0"/>
      <c r="RAE115" s="0"/>
      <c r="RAF115" s="0"/>
      <c r="RAG115" s="0"/>
      <c r="RAH115" s="0"/>
      <c r="RAI115" s="0"/>
      <c r="RAJ115" s="0"/>
      <c r="RAK115" s="0"/>
      <c r="RAL115" s="0"/>
      <c r="RAM115" s="0"/>
      <c r="RAN115" s="0"/>
      <c r="RAO115" s="0"/>
      <c r="RAP115" s="0"/>
      <c r="RAQ115" s="0"/>
      <c r="RAR115" s="0"/>
      <c r="RAS115" s="0"/>
      <c r="RAT115" s="0"/>
      <c r="RAU115" s="0"/>
      <c r="RAV115" s="0"/>
      <c r="RAW115" s="0"/>
      <c r="RAX115" s="0"/>
      <c r="RAY115" s="0"/>
      <c r="RAZ115" s="0"/>
      <c r="RBA115" s="0"/>
      <c r="RBB115" s="0"/>
      <c r="RBC115" s="0"/>
      <c r="RBD115" s="0"/>
      <c r="RBE115" s="0"/>
      <c r="RBF115" s="0"/>
      <c r="RBG115" s="0"/>
      <c r="RBH115" s="0"/>
      <c r="RBI115" s="0"/>
      <c r="RBJ115" s="0"/>
      <c r="RBK115" s="0"/>
      <c r="RBL115" s="0"/>
      <c r="RBM115" s="0"/>
      <c r="RBN115" s="0"/>
      <c r="RBO115" s="0"/>
      <c r="RBP115" s="0"/>
      <c r="RBQ115" s="0"/>
      <c r="RBR115" s="0"/>
      <c r="RBS115" s="0"/>
      <c r="RBT115" s="0"/>
      <c r="RBU115" s="0"/>
      <c r="RBV115" s="0"/>
      <c r="RBW115" s="0"/>
      <c r="RBX115" s="0"/>
      <c r="RBY115" s="0"/>
      <c r="RBZ115" s="0"/>
      <c r="RCA115" s="0"/>
      <c r="RCB115" s="0"/>
      <c r="RCC115" s="0"/>
      <c r="RCD115" s="0"/>
      <c r="RCE115" s="0"/>
      <c r="RCF115" s="0"/>
      <c r="RCG115" s="0"/>
      <c r="RCH115" s="0"/>
      <c r="RCI115" s="0"/>
      <c r="RCJ115" s="0"/>
      <c r="RCK115" s="0"/>
      <c r="RCL115" s="0"/>
      <c r="RCM115" s="0"/>
      <c r="RCN115" s="0"/>
      <c r="RCO115" s="0"/>
      <c r="RCP115" s="0"/>
      <c r="RCQ115" s="0"/>
      <c r="RCR115" s="0"/>
      <c r="RCS115" s="0"/>
      <c r="RCT115" s="0"/>
      <c r="RCU115" s="0"/>
      <c r="RCV115" s="0"/>
      <c r="RCW115" s="0"/>
      <c r="RCX115" s="0"/>
      <c r="RCY115" s="0"/>
      <c r="RCZ115" s="0"/>
      <c r="RDA115" s="0"/>
      <c r="RDB115" s="0"/>
      <c r="RDC115" s="0"/>
      <c r="RDD115" s="0"/>
      <c r="RDE115" s="0"/>
      <c r="RDF115" s="0"/>
      <c r="RDG115" s="0"/>
      <c r="RDH115" s="0"/>
      <c r="RDI115" s="0"/>
      <c r="RDJ115" s="0"/>
      <c r="RDK115" s="0"/>
      <c r="RDL115" s="0"/>
      <c r="RDM115" s="0"/>
      <c r="RDN115" s="0"/>
      <c r="RDO115" s="0"/>
      <c r="RDP115" s="0"/>
      <c r="RDQ115" s="0"/>
      <c r="RDR115" s="0"/>
      <c r="RDS115" s="0"/>
      <c r="RDT115" s="0"/>
      <c r="RDU115" s="0"/>
      <c r="RDV115" s="0"/>
      <c r="RDW115" s="0"/>
      <c r="RDX115" s="0"/>
      <c r="RDY115" s="0"/>
      <c r="RDZ115" s="0"/>
      <c r="REA115" s="0"/>
      <c r="REB115" s="0"/>
      <c r="REC115" s="0"/>
      <c r="RED115" s="0"/>
      <c r="REE115" s="0"/>
      <c r="REF115" s="0"/>
      <c r="REG115" s="0"/>
      <c r="REH115" s="0"/>
      <c r="REI115" s="0"/>
      <c r="REJ115" s="0"/>
      <c r="REK115" s="0"/>
      <c r="REL115" s="0"/>
      <c r="REM115" s="0"/>
      <c r="REN115" s="0"/>
      <c r="REO115" s="0"/>
      <c r="REP115" s="0"/>
      <c r="REQ115" s="0"/>
      <c r="RER115" s="0"/>
      <c r="RES115" s="0"/>
      <c r="RET115" s="0"/>
      <c r="REU115" s="0"/>
      <c r="REV115" s="0"/>
      <c r="REW115" s="0"/>
      <c r="REX115" s="0"/>
      <c r="REY115" s="0"/>
      <c r="REZ115" s="0"/>
      <c r="RFA115" s="0"/>
      <c r="RFB115" s="0"/>
      <c r="RFC115" s="0"/>
      <c r="RFD115" s="0"/>
      <c r="RFE115" s="0"/>
      <c r="RFF115" s="0"/>
      <c r="RFG115" s="0"/>
      <c r="RFH115" s="0"/>
      <c r="RFI115" s="0"/>
      <c r="RFJ115" s="0"/>
      <c r="RFK115" s="0"/>
      <c r="RFL115" s="0"/>
      <c r="RFM115" s="0"/>
      <c r="RFN115" s="0"/>
      <c r="RFO115" s="0"/>
      <c r="RFP115" s="0"/>
      <c r="RFQ115" s="0"/>
      <c r="RFR115" s="0"/>
      <c r="RFS115" s="0"/>
      <c r="RFT115" s="0"/>
      <c r="RFU115" s="0"/>
      <c r="RFV115" s="0"/>
      <c r="RFW115" s="0"/>
      <c r="RFX115" s="0"/>
      <c r="RFY115" s="0"/>
      <c r="RFZ115" s="0"/>
      <c r="RGA115" s="0"/>
      <c r="RGB115" s="0"/>
      <c r="RGC115" s="0"/>
      <c r="RGD115" s="0"/>
      <c r="RGE115" s="0"/>
      <c r="RGF115" s="0"/>
      <c r="RGG115" s="0"/>
      <c r="RGH115" s="0"/>
      <c r="RGI115" s="0"/>
      <c r="RGJ115" s="0"/>
      <c r="RGK115" s="0"/>
      <c r="RGL115" s="0"/>
      <c r="RGM115" s="0"/>
      <c r="RGN115" s="0"/>
      <c r="RGO115" s="0"/>
      <c r="RGP115" s="0"/>
      <c r="RGQ115" s="0"/>
      <c r="RGR115" s="0"/>
      <c r="RGS115" s="0"/>
      <c r="RGT115" s="0"/>
      <c r="RGU115" s="0"/>
      <c r="RGV115" s="0"/>
      <c r="RGW115" s="0"/>
      <c r="RGX115" s="0"/>
      <c r="RGY115" s="0"/>
      <c r="RGZ115" s="0"/>
      <c r="RHA115" s="0"/>
      <c r="RHB115" s="0"/>
      <c r="RHC115" s="0"/>
      <c r="RHD115" s="0"/>
      <c r="RHE115" s="0"/>
      <c r="RHF115" s="0"/>
      <c r="RHG115" s="0"/>
      <c r="RHH115" s="0"/>
      <c r="RHI115" s="0"/>
      <c r="RHJ115" s="0"/>
      <c r="RHK115" s="0"/>
      <c r="RHL115" s="0"/>
      <c r="RHM115" s="0"/>
      <c r="RHN115" s="0"/>
      <c r="RHO115" s="0"/>
      <c r="RHP115" s="0"/>
      <c r="RHQ115" s="0"/>
      <c r="RHR115" s="0"/>
      <c r="RHS115" s="0"/>
      <c r="RHT115" s="0"/>
      <c r="RHU115" s="0"/>
      <c r="RHV115" s="0"/>
      <c r="RHW115" s="0"/>
      <c r="RHX115" s="0"/>
      <c r="RHY115" s="0"/>
      <c r="RHZ115" s="0"/>
      <c r="RIA115" s="0"/>
      <c r="RIB115" s="0"/>
      <c r="RIC115" s="0"/>
      <c r="RID115" s="0"/>
      <c r="RIE115" s="0"/>
      <c r="RIF115" s="0"/>
      <c r="RIG115" s="0"/>
      <c r="RIH115" s="0"/>
      <c r="RII115" s="0"/>
      <c r="RIJ115" s="0"/>
      <c r="RIK115" s="0"/>
      <c r="RIL115" s="0"/>
      <c r="RIM115" s="0"/>
      <c r="RIN115" s="0"/>
      <c r="RIO115" s="0"/>
      <c r="RIP115" s="0"/>
      <c r="RIQ115" s="0"/>
      <c r="RIR115" s="0"/>
      <c r="RIS115" s="0"/>
      <c r="RIT115" s="0"/>
      <c r="RIU115" s="0"/>
      <c r="RIV115" s="0"/>
      <c r="RIW115" s="0"/>
      <c r="RIX115" s="0"/>
      <c r="RIY115" s="0"/>
      <c r="RIZ115" s="0"/>
      <c r="RJA115" s="0"/>
      <c r="RJB115" s="0"/>
      <c r="RJC115" s="0"/>
      <c r="RJD115" s="0"/>
      <c r="RJE115" s="0"/>
      <c r="RJF115" s="0"/>
      <c r="RJG115" s="0"/>
      <c r="RJH115" s="0"/>
      <c r="RJI115" s="0"/>
      <c r="RJJ115" s="0"/>
      <c r="RJK115" s="0"/>
      <c r="RJL115" s="0"/>
      <c r="RJM115" s="0"/>
      <c r="RJN115" s="0"/>
      <c r="RJO115" s="0"/>
      <c r="RJP115" s="0"/>
      <c r="RJQ115" s="0"/>
      <c r="RJR115" s="0"/>
      <c r="RJS115" s="0"/>
      <c r="RJT115" s="0"/>
      <c r="RJU115" s="0"/>
      <c r="RJV115" s="0"/>
      <c r="RJW115" s="0"/>
      <c r="RJX115" s="0"/>
      <c r="RJY115" s="0"/>
      <c r="RJZ115" s="0"/>
      <c r="RKA115" s="0"/>
      <c r="RKB115" s="0"/>
      <c r="RKC115" s="0"/>
      <c r="RKD115" s="0"/>
      <c r="RKE115" s="0"/>
      <c r="RKF115" s="0"/>
      <c r="RKG115" s="0"/>
      <c r="RKH115" s="0"/>
      <c r="RKI115" s="0"/>
      <c r="RKJ115" s="0"/>
      <c r="RKK115" s="0"/>
      <c r="RKL115" s="0"/>
      <c r="RKM115" s="0"/>
      <c r="RKN115" s="0"/>
      <c r="RKO115" s="0"/>
      <c r="RKP115" s="0"/>
      <c r="RKQ115" s="0"/>
      <c r="RKR115" s="0"/>
      <c r="RKS115" s="0"/>
      <c r="RKT115" s="0"/>
      <c r="RKU115" s="0"/>
      <c r="RKV115" s="0"/>
      <c r="RKW115" s="0"/>
      <c r="RKX115" s="0"/>
      <c r="RKY115" s="0"/>
      <c r="RKZ115" s="0"/>
      <c r="RLA115" s="0"/>
      <c r="RLB115" s="0"/>
      <c r="RLC115" s="0"/>
      <c r="RLD115" s="0"/>
      <c r="RLE115" s="0"/>
      <c r="RLF115" s="0"/>
      <c r="RLG115" s="0"/>
      <c r="RLH115" s="0"/>
      <c r="RLI115" s="0"/>
      <c r="RLJ115" s="0"/>
      <c r="RLK115" s="0"/>
      <c r="RLL115" s="0"/>
      <c r="RLM115" s="0"/>
      <c r="RLN115" s="0"/>
      <c r="RLO115" s="0"/>
      <c r="RLP115" s="0"/>
      <c r="RLQ115" s="0"/>
      <c r="RLR115" s="0"/>
      <c r="RLS115" s="0"/>
      <c r="RLT115" s="0"/>
      <c r="RLU115" s="0"/>
      <c r="RLV115" s="0"/>
      <c r="RLW115" s="0"/>
      <c r="RLX115" s="0"/>
      <c r="RLY115" s="0"/>
      <c r="RLZ115" s="0"/>
      <c r="RMA115" s="0"/>
      <c r="RMB115" s="0"/>
      <c r="RMC115" s="0"/>
      <c r="RMD115" s="0"/>
      <c r="RME115" s="0"/>
      <c r="RMF115" s="0"/>
      <c r="RMG115" s="0"/>
      <c r="RMH115" s="0"/>
      <c r="RMI115" s="0"/>
      <c r="RMJ115" s="0"/>
      <c r="RMK115" s="0"/>
      <c r="RML115" s="0"/>
      <c r="RMM115" s="0"/>
      <c r="RMN115" s="0"/>
      <c r="RMO115" s="0"/>
      <c r="RMP115" s="0"/>
      <c r="RMQ115" s="0"/>
      <c r="RMR115" s="0"/>
      <c r="RMS115" s="0"/>
      <c r="RMT115" s="0"/>
      <c r="RMU115" s="0"/>
      <c r="RMV115" s="0"/>
      <c r="RMW115" s="0"/>
      <c r="RMX115" s="0"/>
      <c r="RMY115" s="0"/>
      <c r="RMZ115" s="0"/>
      <c r="RNA115" s="0"/>
      <c r="RNB115" s="0"/>
      <c r="RNC115" s="0"/>
      <c r="RND115" s="0"/>
      <c r="RNE115" s="0"/>
      <c r="RNF115" s="0"/>
      <c r="RNG115" s="0"/>
      <c r="RNH115" s="0"/>
      <c r="RNI115" s="0"/>
      <c r="RNJ115" s="0"/>
      <c r="RNK115" s="0"/>
      <c r="RNL115" s="0"/>
      <c r="RNM115" s="0"/>
      <c r="RNN115" s="0"/>
      <c r="RNO115" s="0"/>
      <c r="RNP115" s="0"/>
      <c r="RNQ115" s="0"/>
      <c r="RNR115" s="0"/>
      <c r="RNS115" s="0"/>
      <c r="RNT115" s="0"/>
      <c r="RNU115" s="0"/>
      <c r="RNV115" s="0"/>
      <c r="RNW115" s="0"/>
      <c r="RNX115" s="0"/>
      <c r="RNY115" s="0"/>
      <c r="RNZ115" s="0"/>
      <c r="ROA115" s="0"/>
      <c r="ROB115" s="0"/>
      <c r="ROC115" s="0"/>
      <c r="ROD115" s="0"/>
      <c r="ROE115" s="0"/>
      <c r="ROF115" s="0"/>
      <c r="ROG115" s="0"/>
      <c r="ROH115" s="0"/>
      <c r="ROI115" s="0"/>
      <c r="ROJ115" s="0"/>
      <c r="ROK115" s="0"/>
      <c r="ROL115" s="0"/>
      <c r="ROM115" s="0"/>
      <c r="RON115" s="0"/>
      <c r="ROO115" s="0"/>
      <c r="ROP115" s="0"/>
      <c r="ROQ115" s="0"/>
      <c r="ROR115" s="0"/>
      <c r="ROS115" s="0"/>
      <c r="ROT115" s="0"/>
      <c r="ROU115" s="0"/>
      <c r="ROV115" s="0"/>
      <c r="ROW115" s="0"/>
      <c r="ROX115" s="0"/>
      <c r="ROY115" s="0"/>
      <c r="ROZ115" s="0"/>
      <c r="RPA115" s="0"/>
      <c r="RPB115" s="0"/>
      <c r="RPC115" s="0"/>
      <c r="RPD115" s="0"/>
      <c r="RPE115" s="0"/>
      <c r="RPF115" s="0"/>
      <c r="RPG115" s="0"/>
      <c r="RPH115" s="0"/>
      <c r="RPI115" s="0"/>
      <c r="RPJ115" s="0"/>
      <c r="RPK115" s="0"/>
      <c r="RPL115" s="0"/>
      <c r="RPM115" s="0"/>
      <c r="RPN115" s="0"/>
      <c r="RPO115" s="0"/>
      <c r="RPP115" s="0"/>
      <c r="RPQ115" s="0"/>
      <c r="RPR115" s="0"/>
      <c r="RPS115" s="0"/>
      <c r="RPT115" s="0"/>
      <c r="RPU115" s="0"/>
      <c r="RPV115" s="0"/>
      <c r="RPW115" s="0"/>
      <c r="RPX115" s="0"/>
      <c r="RPY115" s="0"/>
      <c r="RPZ115" s="0"/>
      <c r="RQA115" s="0"/>
      <c r="RQB115" s="0"/>
      <c r="RQC115" s="0"/>
      <c r="RQD115" s="0"/>
      <c r="RQE115" s="0"/>
      <c r="RQF115" s="0"/>
      <c r="RQG115" s="0"/>
      <c r="RQH115" s="0"/>
      <c r="RQI115" s="0"/>
      <c r="RQJ115" s="0"/>
      <c r="RQK115" s="0"/>
      <c r="RQL115" s="0"/>
      <c r="RQM115" s="0"/>
      <c r="RQN115" s="0"/>
      <c r="RQO115" s="0"/>
      <c r="RQP115" s="0"/>
      <c r="RQQ115" s="0"/>
      <c r="RQR115" s="0"/>
      <c r="RQS115" s="0"/>
      <c r="RQT115" s="0"/>
      <c r="RQU115" s="0"/>
      <c r="RQV115" s="0"/>
      <c r="RQW115" s="0"/>
      <c r="RQX115" s="0"/>
      <c r="RQY115" s="0"/>
      <c r="RQZ115" s="0"/>
      <c r="RRA115" s="0"/>
      <c r="RRB115" s="0"/>
      <c r="RRC115" s="0"/>
      <c r="RRD115" s="0"/>
      <c r="RRE115" s="0"/>
      <c r="RRF115" s="0"/>
      <c r="RRG115" s="0"/>
      <c r="RRH115" s="0"/>
      <c r="RRI115" s="0"/>
      <c r="RRJ115" s="0"/>
      <c r="RRK115" s="0"/>
      <c r="RRL115" s="0"/>
      <c r="RRM115" s="0"/>
      <c r="RRN115" s="0"/>
      <c r="RRO115" s="0"/>
      <c r="RRP115" s="0"/>
      <c r="RRQ115" s="0"/>
      <c r="RRR115" s="0"/>
      <c r="RRS115" s="0"/>
      <c r="RRT115" s="0"/>
      <c r="RRU115" s="0"/>
      <c r="RRV115" s="0"/>
      <c r="RRW115" s="0"/>
      <c r="RRX115" s="0"/>
      <c r="RRY115" s="0"/>
      <c r="RRZ115" s="0"/>
      <c r="RSA115" s="0"/>
      <c r="RSB115" s="0"/>
      <c r="RSC115" s="0"/>
      <c r="RSD115" s="0"/>
      <c r="RSE115" s="0"/>
      <c r="RSF115" s="0"/>
      <c r="RSG115" s="0"/>
      <c r="RSH115" s="0"/>
      <c r="RSI115" s="0"/>
      <c r="RSJ115" s="0"/>
      <c r="RSK115" s="0"/>
      <c r="RSL115" s="0"/>
      <c r="RSM115" s="0"/>
      <c r="RSN115" s="0"/>
      <c r="RSO115" s="0"/>
      <c r="RSP115" s="0"/>
      <c r="RSQ115" s="0"/>
      <c r="RSR115" s="0"/>
      <c r="RSS115" s="0"/>
      <c r="RST115" s="0"/>
      <c r="RSU115" s="0"/>
      <c r="RSV115" s="0"/>
      <c r="RSW115" s="0"/>
      <c r="RSX115" s="0"/>
      <c r="RSY115" s="0"/>
      <c r="RSZ115" s="0"/>
      <c r="RTA115" s="0"/>
      <c r="RTB115" s="0"/>
      <c r="RTC115" s="0"/>
      <c r="RTD115" s="0"/>
      <c r="RTE115" s="0"/>
      <c r="RTF115" s="0"/>
      <c r="RTG115" s="0"/>
      <c r="RTH115" s="0"/>
      <c r="RTI115" s="0"/>
      <c r="RTJ115" s="0"/>
      <c r="RTK115" s="0"/>
      <c r="RTL115" s="0"/>
      <c r="RTM115" s="0"/>
      <c r="RTN115" s="0"/>
      <c r="RTO115" s="0"/>
      <c r="RTP115" s="0"/>
      <c r="RTQ115" s="0"/>
      <c r="RTR115" s="0"/>
      <c r="RTS115" s="0"/>
      <c r="RTT115" s="0"/>
      <c r="RTU115" s="0"/>
      <c r="RTV115" s="0"/>
      <c r="RTW115" s="0"/>
      <c r="RTX115" s="0"/>
      <c r="RTY115" s="0"/>
      <c r="RTZ115" s="0"/>
      <c r="RUA115" s="0"/>
      <c r="RUB115" s="0"/>
      <c r="RUC115" s="0"/>
      <c r="RUD115" s="0"/>
      <c r="RUE115" s="0"/>
      <c r="RUF115" s="0"/>
      <c r="RUG115" s="0"/>
      <c r="RUH115" s="0"/>
      <c r="RUI115" s="0"/>
      <c r="RUJ115" s="0"/>
      <c r="RUK115" s="0"/>
      <c r="RUL115" s="0"/>
      <c r="RUM115" s="0"/>
      <c r="RUN115" s="0"/>
      <c r="RUO115" s="0"/>
      <c r="RUP115" s="0"/>
      <c r="RUQ115" s="0"/>
      <c r="RUR115" s="0"/>
      <c r="RUS115" s="0"/>
      <c r="RUT115" s="0"/>
      <c r="RUU115" s="0"/>
      <c r="RUV115" s="0"/>
      <c r="RUW115" s="0"/>
      <c r="RUX115" s="0"/>
      <c r="RUY115" s="0"/>
      <c r="RUZ115" s="0"/>
      <c r="RVA115" s="0"/>
      <c r="RVB115" s="0"/>
      <c r="RVC115" s="0"/>
      <c r="RVD115" s="0"/>
      <c r="RVE115" s="0"/>
      <c r="RVF115" s="0"/>
      <c r="RVG115" s="0"/>
      <c r="RVH115" s="0"/>
      <c r="RVI115" s="0"/>
      <c r="RVJ115" s="0"/>
      <c r="RVK115" s="0"/>
      <c r="RVL115" s="0"/>
      <c r="RVM115" s="0"/>
      <c r="RVN115" s="0"/>
      <c r="RVO115" s="0"/>
      <c r="RVP115" s="0"/>
      <c r="RVQ115" s="0"/>
      <c r="RVR115" s="0"/>
      <c r="RVS115" s="0"/>
      <c r="RVT115" s="0"/>
      <c r="RVU115" s="0"/>
      <c r="RVV115" s="0"/>
      <c r="RVW115" s="0"/>
      <c r="RVX115" s="0"/>
      <c r="RVY115" s="0"/>
      <c r="RVZ115" s="0"/>
      <c r="RWA115" s="0"/>
      <c r="RWB115" s="0"/>
      <c r="RWC115" s="0"/>
      <c r="RWD115" s="0"/>
      <c r="RWE115" s="0"/>
      <c r="RWF115" s="0"/>
      <c r="RWG115" s="0"/>
      <c r="RWH115" s="0"/>
      <c r="RWI115" s="0"/>
      <c r="RWJ115" s="0"/>
      <c r="RWK115" s="0"/>
      <c r="RWL115" s="0"/>
      <c r="RWM115" s="0"/>
      <c r="RWN115" s="0"/>
      <c r="RWO115" s="0"/>
      <c r="RWP115" s="0"/>
      <c r="RWQ115" s="0"/>
      <c r="RWR115" s="0"/>
      <c r="RWS115" s="0"/>
      <c r="RWT115" s="0"/>
      <c r="RWU115" s="0"/>
      <c r="RWV115" s="0"/>
      <c r="RWW115" s="0"/>
      <c r="RWX115" s="0"/>
      <c r="RWY115" s="0"/>
      <c r="RWZ115" s="0"/>
      <c r="RXA115" s="0"/>
      <c r="RXB115" s="0"/>
      <c r="RXC115" s="0"/>
      <c r="RXD115" s="0"/>
      <c r="RXE115" s="0"/>
      <c r="RXF115" s="0"/>
      <c r="RXG115" s="0"/>
      <c r="RXH115" s="0"/>
      <c r="RXI115" s="0"/>
      <c r="RXJ115" s="0"/>
      <c r="RXK115" s="0"/>
      <c r="RXL115" s="0"/>
      <c r="RXM115" s="0"/>
      <c r="RXN115" s="0"/>
      <c r="RXO115" s="0"/>
      <c r="RXP115" s="0"/>
      <c r="RXQ115" s="0"/>
      <c r="RXR115" s="0"/>
      <c r="RXS115" s="0"/>
      <c r="RXT115" s="0"/>
      <c r="RXU115" s="0"/>
      <c r="RXV115" s="0"/>
      <c r="RXW115" s="0"/>
      <c r="RXX115" s="0"/>
      <c r="RXY115" s="0"/>
      <c r="RXZ115" s="0"/>
      <c r="RYA115" s="0"/>
      <c r="RYB115" s="0"/>
      <c r="RYC115" s="0"/>
      <c r="RYD115" s="0"/>
      <c r="RYE115" s="0"/>
      <c r="RYF115" s="0"/>
      <c r="RYG115" s="0"/>
      <c r="RYH115" s="0"/>
      <c r="RYI115" s="0"/>
      <c r="RYJ115" s="0"/>
      <c r="RYK115" s="0"/>
      <c r="RYL115" s="0"/>
      <c r="RYM115" s="0"/>
      <c r="RYN115" s="0"/>
      <c r="RYO115" s="0"/>
      <c r="RYP115" s="0"/>
      <c r="RYQ115" s="0"/>
      <c r="RYR115" s="0"/>
      <c r="RYS115" s="0"/>
      <c r="RYT115" s="0"/>
      <c r="RYU115" s="0"/>
      <c r="RYV115" s="0"/>
      <c r="RYW115" s="0"/>
      <c r="RYX115" s="0"/>
      <c r="RYY115" s="0"/>
      <c r="RYZ115" s="0"/>
      <c r="RZA115" s="0"/>
      <c r="RZB115" s="0"/>
      <c r="RZC115" s="0"/>
      <c r="RZD115" s="0"/>
      <c r="RZE115" s="0"/>
      <c r="RZF115" s="0"/>
      <c r="RZG115" s="0"/>
      <c r="RZH115" s="0"/>
      <c r="RZI115" s="0"/>
      <c r="RZJ115" s="0"/>
      <c r="RZK115" s="0"/>
      <c r="RZL115" s="0"/>
      <c r="RZM115" s="0"/>
      <c r="RZN115" s="0"/>
      <c r="RZO115" s="0"/>
      <c r="RZP115" s="0"/>
      <c r="RZQ115" s="0"/>
      <c r="RZR115" s="0"/>
      <c r="RZS115" s="0"/>
      <c r="RZT115" s="0"/>
      <c r="RZU115" s="0"/>
      <c r="RZV115" s="0"/>
      <c r="RZW115" s="0"/>
      <c r="RZX115" s="0"/>
      <c r="RZY115" s="0"/>
      <c r="RZZ115" s="0"/>
      <c r="SAA115" s="0"/>
      <c r="SAB115" s="0"/>
      <c r="SAC115" s="0"/>
      <c r="SAD115" s="0"/>
      <c r="SAE115" s="0"/>
      <c r="SAF115" s="0"/>
      <c r="SAG115" s="0"/>
      <c r="SAH115" s="0"/>
      <c r="SAI115" s="0"/>
      <c r="SAJ115" s="0"/>
      <c r="SAK115" s="0"/>
      <c r="SAL115" s="0"/>
      <c r="SAM115" s="0"/>
      <c r="SAN115" s="0"/>
      <c r="SAO115" s="0"/>
      <c r="SAP115" s="0"/>
      <c r="SAQ115" s="0"/>
      <c r="SAR115" s="0"/>
      <c r="SAS115" s="0"/>
      <c r="SAT115" s="0"/>
      <c r="SAU115" s="0"/>
      <c r="SAV115" s="0"/>
      <c r="SAW115" s="0"/>
      <c r="SAX115" s="0"/>
      <c r="SAY115" s="0"/>
      <c r="SAZ115" s="0"/>
      <c r="SBA115" s="0"/>
      <c r="SBB115" s="0"/>
      <c r="SBC115" s="0"/>
      <c r="SBD115" s="0"/>
      <c r="SBE115" s="0"/>
      <c r="SBF115" s="0"/>
      <c r="SBG115" s="0"/>
      <c r="SBH115" s="0"/>
      <c r="SBI115" s="0"/>
      <c r="SBJ115" s="0"/>
      <c r="SBK115" s="0"/>
      <c r="SBL115" s="0"/>
      <c r="SBM115" s="0"/>
      <c r="SBN115" s="0"/>
      <c r="SBO115" s="0"/>
      <c r="SBP115" s="0"/>
      <c r="SBQ115" s="0"/>
      <c r="SBR115" s="0"/>
      <c r="SBS115" s="0"/>
      <c r="SBT115" s="0"/>
      <c r="SBU115" s="0"/>
      <c r="SBV115" s="0"/>
      <c r="SBW115" s="0"/>
      <c r="SBX115" s="0"/>
      <c r="SBY115" s="0"/>
      <c r="SBZ115" s="0"/>
      <c r="SCA115" s="0"/>
      <c r="SCB115" s="0"/>
      <c r="SCC115" s="0"/>
      <c r="SCD115" s="0"/>
      <c r="SCE115" s="0"/>
      <c r="SCF115" s="0"/>
      <c r="SCG115" s="0"/>
      <c r="SCH115" s="0"/>
      <c r="SCI115" s="0"/>
      <c r="SCJ115" s="0"/>
      <c r="SCK115" s="0"/>
      <c r="SCL115" s="0"/>
      <c r="SCM115" s="0"/>
      <c r="SCN115" s="0"/>
      <c r="SCO115" s="0"/>
      <c r="SCP115" s="0"/>
      <c r="SCQ115" s="0"/>
      <c r="SCR115" s="0"/>
      <c r="SCS115" s="0"/>
      <c r="SCT115" s="0"/>
      <c r="SCU115" s="0"/>
      <c r="SCV115" s="0"/>
      <c r="SCW115" s="0"/>
      <c r="SCX115" s="0"/>
      <c r="SCY115" s="0"/>
      <c r="SCZ115" s="0"/>
      <c r="SDA115" s="0"/>
      <c r="SDB115" s="0"/>
      <c r="SDC115" s="0"/>
      <c r="SDD115" s="0"/>
      <c r="SDE115" s="0"/>
      <c r="SDF115" s="0"/>
      <c r="SDG115" s="0"/>
      <c r="SDH115" s="0"/>
      <c r="SDI115" s="0"/>
      <c r="SDJ115" s="0"/>
      <c r="SDK115" s="0"/>
      <c r="SDL115" s="0"/>
      <c r="SDM115" s="0"/>
      <c r="SDN115" s="0"/>
      <c r="SDO115" s="0"/>
      <c r="SDP115" s="0"/>
      <c r="SDQ115" s="0"/>
      <c r="SDR115" s="0"/>
      <c r="SDS115" s="0"/>
      <c r="SDT115" s="0"/>
      <c r="SDU115" s="0"/>
      <c r="SDV115" s="0"/>
      <c r="SDW115" s="0"/>
      <c r="SDX115" s="0"/>
      <c r="SDY115" s="0"/>
      <c r="SDZ115" s="0"/>
      <c r="SEA115" s="0"/>
      <c r="SEB115" s="0"/>
      <c r="SEC115" s="0"/>
      <c r="SED115" s="0"/>
      <c r="SEE115" s="0"/>
      <c r="SEF115" s="0"/>
      <c r="SEG115" s="0"/>
      <c r="SEH115" s="0"/>
      <c r="SEI115" s="0"/>
      <c r="SEJ115" s="0"/>
      <c r="SEK115" s="0"/>
      <c r="SEL115" s="0"/>
      <c r="SEM115" s="0"/>
      <c r="SEN115" s="0"/>
      <c r="SEO115" s="0"/>
      <c r="SEP115" s="0"/>
      <c r="SEQ115" s="0"/>
      <c r="SER115" s="0"/>
      <c r="SES115" s="0"/>
      <c r="SET115" s="0"/>
      <c r="SEU115" s="0"/>
      <c r="SEV115" s="0"/>
      <c r="SEW115" s="0"/>
      <c r="SEX115" s="0"/>
      <c r="SEY115" s="0"/>
      <c r="SEZ115" s="0"/>
      <c r="SFA115" s="0"/>
      <c r="SFB115" s="0"/>
      <c r="SFC115" s="0"/>
      <c r="SFD115" s="0"/>
      <c r="SFE115" s="0"/>
      <c r="SFF115" s="0"/>
      <c r="SFG115" s="0"/>
      <c r="SFH115" s="0"/>
      <c r="SFI115" s="0"/>
      <c r="SFJ115" s="0"/>
      <c r="SFK115" s="0"/>
      <c r="SFL115" s="0"/>
      <c r="SFM115" s="0"/>
      <c r="SFN115" s="0"/>
      <c r="SFO115" s="0"/>
      <c r="SFP115" s="0"/>
      <c r="SFQ115" s="0"/>
      <c r="SFR115" s="0"/>
      <c r="SFS115" s="0"/>
      <c r="SFT115" s="0"/>
      <c r="SFU115" s="0"/>
      <c r="SFV115" s="0"/>
      <c r="SFW115" s="0"/>
      <c r="SFX115" s="0"/>
      <c r="SFY115" s="0"/>
      <c r="SFZ115" s="0"/>
      <c r="SGA115" s="0"/>
      <c r="SGB115" s="0"/>
      <c r="SGC115" s="0"/>
      <c r="SGD115" s="0"/>
      <c r="SGE115" s="0"/>
      <c r="SGF115" s="0"/>
      <c r="SGG115" s="0"/>
      <c r="SGH115" s="0"/>
      <c r="SGI115" s="0"/>
      <c r="SGJ115" s="0"/>
      <c r="SGK115" s="0"/>
      <c r="SGL115" s="0"/>
      <c r="SGM115" s="0"/>
      <c r="SGN115" s="0"/>
      <c r="SGO115" s="0"/>
      <c r="SGP115" s="0"/>
      <c r="SGQ115" s="0"/>
      <c r="SGR115" s="0"/>
      <c r="SGS115" s="0"/>
      <c r="SGT115" s="0"/>
      <c r="SGU115" s="0"/>
      <c r="SGV115" s="0"/>
      <c r="SGW115" s="0"/>
      <c r="SGX115" s="0"/>
      <c r="SGY115" s="0"/>
      <c r="SGZ115" s="0"/>
      <c r="SHA115" s="0"/>
      <c r="SHB115" s="0"/>
      <c r="SHC115" s="0"/>
      <c r="SHD115" s="0"/>
      <c r="SHE115" s="0"/>
      <c r="SHF115" s="0"/>
      <c r="SHG115" s="0"/>
      <c r="SHH115" s="0"/>
      <c r="SHI115" s="0"/>
      <c r="SHJ115" s="0"/>
      <c r="SHK115" s="0"/>
      <c r="SHL115" s="0"/>
      <c r="SHM115" s="0"/>
      <c r="SHN115" s="0"/>
      <c r="SHO115" s="0"/>
      <c r="SHP115" s="0"/>
      <c r="SHQ115" s="0"/>
      <c r="SHR115" s="0"/>
      <c r="SHS115" s="0"/>
      <c r="SHT115" s="0"/>
      <c r="SHU115" s="0"/>
      <c r="SHV115" s="0"/>
      <c r="SHW115" s="0"/>
      <c r="SHX115" s="0"/>
      <c r="SHY115" s="0"/>
      <c r="SHZ115" s="0"/>
      <c r="SIA115" s="0"/>
      <c r="SIB115" s="0"/>
      <c r="SIC115" s="0"/>
      <c r="SID115" s="0"/>
      <c r="SIE115" s="0"/>
      <c r="SIF115" s="0"/>
      <c r="SIG115" s="0"/>
      <c r="SIH115" s="0"/>
      <c r="SII115" s="0"/>
      <c r="SIJ115" s="0"/>
      <c r="SIK115" s="0"/>
      <c r="SIL115" s="0"/>
      <c r="SIM115" s="0"/>
      <c r="SIN115" s="0"/>
      <c r="SIO115" s="0"/>
      <c r="SIP115" s="0"/>
      <c r="SIQ115" s="0"/>
      <c r="SIR115" s="0"/>
      <c r="SIS115" s="0"/>
      <c r="SIT115" s="0"/>
      <c r="SIU115" s="0"/>
      <c r="SIV115" s="0"/>
      <c r="SIW115" s="0"/>
      <c r="SIX115" s="0"/>
      <c r="SIY115" s="0"/>
      <c r="SIZ115" s="0"/>
      <c r="SJA115" s="0"/>
      <c r="SJB115" s="0"/>
      <c r="SJC115" s="0"/>
      <c r="SJD115" s="0"/>
      <c r="SJE115" s="0"/>
      <c r="SJF115" s="0"/>
      <c r="SJG115" s="0"/>
      <c r="SJH115" s="0"/>
      <c r="SJI115" s="0"/>
      <c r="SJJ115" s="0"/>
      <c r="SJK115" s="0"/>
      <c r="SJL115" s="0"/>
      <c r="SJM115" s="0"/>
      <c r="SJN115" s="0"/>
      <c r="SJO115" s="0"/>
      <c r="SJP115" s="0"/>
      <c r="SJQ115" s="0"/>
      <c r="SJR115" s="0"/>
      <c r="SJS115" s="0"/>
      <c r="SJT115" s="0"/>
      <c r="SJU115" s="0"/>
      <c r="SJV115" s="0"/>
      <c r="SJW115" s="0"/>
      <c r="SJX115" s="0"/>
      <c r="SJY115" s="0"/>
      <c r="SJZ115" s="0"/>
      <c r="SKA115" s="0"/>
      <c r="SKB115" s="0"/>
      <c r="SKC115" s="0"/>
      <c r="SKD115" s="0"/>
      <c r="SKE115" s="0"/>
      <c r="SKF115" s="0"/>
      <c r="SKG115" s="0"/>
      <c r="SKH115" s="0"/>
      <c r="SKI115" s="0"/>
      <c r="SKJ115" s="0"/>
      <c r="SKK115" s="0"/>
      <c r="SKL115" s="0"/>
      <c r="SKM115" s="0"/>
      <c r="SKN115" s="0"/>
      <c r="SKO115" s="0"/>
      <c r="SKP115" s="0"/>
      <c r="SKQ115" s="0"/>
      <c r="SKR115" s="0"/>
      <c r="SKS115" s="0"/>
      <c r="SKT115" s="0"/>
      <c r="SKU115" s="0"/>
      <c r="SKV115" s="0"/>
      <c r="SKW115" s="0"/>
      <c r="SKX115" s="0"/>
      <c r="SKY115" s="0"/>
      <c r="SKZ115" s="0"/>
      <c r="SLA115" s="0"/>
      <c r="SLB115" s="0"/>
      <c r="SLC115" s="0"/>
      <c r="SLD115" s="0"/>
      <c r="SLE115" s="0"/>
      <c r="SLF115" s="0"/>
      <c r="SLG115" s="0"/>
      <c r="SLH115" s="0"/>
      <c r="SLI115" s="0"/>
      <c r="SLJ115" s="0"/>
      <c r="SLK115" s="0"/>
      <c r="SLL115" s="0"/>
      <c r="SLM115" s="0"/>
      <c r="SLN115" s="0"/>
      <c r="SLO115" s="0"/>
      <c r="SLP115" s="0"/>
      <c r="SLQ115" s="0"/>
      <c r="SLR115" s="0"/>
      <c r="SLS115" s="0"/>
      <c r="SLT115" s="0"/>
      <c r="SLU115" s="0"/>
      <c r="SLV115" s="0"/>
      <c r="SLW115" s="0"/>
      <c r="SLX115" s="0"/>
      <c r="SLY115" s="0"/>
      <c r="SLZ115" s="0"/>
      <c r="SMA115" s="0"/>
      <c r="SMB115" s="0"/>
      <c r="SMC115" s="0"/>
      <c r="SMD115" s="0"/>
      <c r="SME115" s="0"/>
      <c r="SMF115" s="0"/>
      <c r="SMG115" s="0"/>
      <c r="SMH115" s="0"/>
      <c r="SMI115" s="0"/>
      <c r="SMJ115" s="0"/>
      <c r="SMK115" s="0"/>
      <c r="SML115" s="0"/>
      <c r="SMM115" s="0"/>
      <c r="SMN115" s="0"/>
      <c r="SMO115" s="0"/>
      <c r="SMP115" s="0"/>
      <c r="SMQ115" s="0"/>
      <c r="SMR115" s="0"/>
      <c r="SMS115" s="0"/>
      <c r="SMT115" s="0"/>
      <c r="SMU115" s="0"/>
      <c r="SMV115" s="0"/>
      <c r="SMW115" s="0"/>
      <c r="SMX115" s="0"/>
      <c r="SMY115" s="0"/>
      <c r="SMZ115" s="0"/>
      <c r="SNA115" s="0"/>
      <c r="SNB115" s="0"/>
      <c r="SNC115" s="0"/>
      <c r="SND115" s="0"/>
      <c r="SNE115" s="0"/>
      <c r="SNF115" s="0"/>
      <c r="SNG115" s="0"/>
      <c r="SNH115" s="0"/>
      <c r="SNI115" s="0"/>
      <c r="SNJ115" s="0"/>
      <c r="SNK115" s="0"/>
      <c r="SNL115" s="0"/>
      <c r="SNM115" s="0"/>
      <c r="SNN115" s="0"/>
      <c r="SNO115" s="0"/>
      <c r="SNP115" s="0"/>
      <c r="SNQ115" s="0"/>
      <c r="SNR115" s="0"/>
      <c r="SNS115" s="0"/>
      <c r="SNT115" s="0"/>
      <c r="SNU115" s="0"/>
      <c r="SNV115" s="0"/>
      <c r="SNW115" s="0"/>
      <c r="SNX115" s="0"/>
      <c r="SNY115" s="0"/>
      <c r="SNZ115" s="0"/>
      <c r="SOA115" s="0"/>
      <c r="SOB115" s="0"/>
      <c r="SOC115" s="0"/>
      <c r="SOD115" s="0"/>
      <c r="SOE115" s="0"/>
      <c r="SOF115" s="0"/>
      <c r="SOG115" s="0"/>
      <c r="SOH115" s="0"/>
      <c r="SOI115" s="0"/>
      <c r="SOJ115" s="0"/>
      <c r="SOK115" s="0"/>
      <c r="SOL115" s="0"/>
      <c r="SOM115" s="0"/>
      <c r="SON115" s="0"/>
      <c r="SOO115" s="0"/>
      <c r="SOP115" s="0"/>
      <c r="SOQ115" s="0"/>
      <c r="SOR115" s="0"/>
      <c r="SOS115" s="0"/>
      <c r="SOT115" s="0"/>
      <c r="SOU115" s="0"/>
      <c r="SOV115" s="0"/>
      <c r="SOW115" s="0"/>
      <c r="SOX115" s="0"/>
      <c r="SOY115" s="0"/>
      <c r="SOZ115" s="0"/>
      <c r="SPA115" s="0"/>
      <c r="SPB115" s="0"/>
      <c r="SPC115" s="0"/>
      <c r="SPD115" s="0"/>
      <c r="SPE115" s="0"/>
      <c r="SPF115" s="0"/>
      <c r="SPG115" s="0"/>
      <c r="SPH115" s="0"/>
      <c r="SPI115" s="0"/>
      <c r="SPJ115" s="0"/>
      <c r="SPK115" s="0"/>
      <c r="SPL115" s="0"/>
      <c r="SPM115" s="0"/>
      <c r="SPN115" s="0"/>
      <c r="SPO115" s="0"/>
      <c r="SPP115" s="0"/>
      <c r="SPQ115" s="0"/>
      <c r="SPR115" s="0"/>
      <c r="SPS115" s="0"/>
      <c r="SPT115" s="0"/>
      <c r="SPU115" s="0"/>
      <c r="SPV115" s="0"/>
      <c r="SPW115" s="0"/>
      <c r="SPX115" s="0"/>
      <c r="SPY115" s="0"/>
      <c r="SPZ115" s="0"/>
      <c r="SQA115" s="0"/>
      <c r="SQB115" s="0"/>
      <c r="SQC115" s="0"/>
      <c r="SQD115" s="0"/>
      <c r="SQE115" s="0"/>
      <c r="SQF115" s="0"/>
      <c r="SQG115" s="0"/>
      <c r="SQH115" s="0"/>
      <c r="SQI115" s="0"/>
      <c r="SQJ115" s="0"/>
      <c r="SQK115" s="0"/>
      <c r="SQL115" s="0"/>
      <c r="SQM115" s="0"/>
      <c r="SQN115" s="0"/>
      <c r="SQO115" s="0"/>
      <c r="SQP115" s="0"/>
      <c r="SQQ115" s="0"/>
      <c r="SQR115" s="0"/>
      <c r="SQS115" s="0"/>
      <c r="SQT115" s="0"/>
      <c r="SQU115" s="0"/>
      <c r="SQV115" s="0"/>
      <c r="SQW115" s="0"/>
      <c r="SQX115" s="0"/>
      <c r="SQY115" s="0"/>
      <c r="SQZ115" s="0"/>
      <c r="SRA115" s="0"/>
      <c r="SRB115" s="0"/>
      <c r="SRC115" s="0"/>
      <c r="SRD115" s="0"/>
      <c r="SRE115" s="0"/>
      <c r="SRF115" s="0"/>
      <c r="SRG115" s="0"/>
      <c r="SRH115" s="0"/>
      <c r="SRI115" s="0"/>
      <c r="SRJ115" s="0"/>
      <c r="SRK115" s="0"/>
      <c r="SRL115" s="0"/>
      <c r="SRM115" s="0"/>
      <c r="SRN115" s="0"/>
      <c r="SRO115" s="0"/>
      <c r="SRP115" s="0"/>
      <c r="SRQ115" s="0"/>
      <c r="SRR115" s="0"/>
      <c r="SRS115" s="0"/>
      <c r="SRT115" s="0"/>
      <c r="SRU115" s="0"/>
      <c r="SRV115" s="0"/>
      <c r="SRW115" s="0"/>
      <c r="SRX115" s="0"/>
      <c r="SRY115" s="0"/>
      <c r="SRZ115" s="0"/>
      <c r="SSA115" s="0"/>
      <c r="SSB115" s="0"/>
      <c r="SSC115" s="0"/>
      <c r="SSD115" s="0"/>
      <c r="SSE115" s="0"/>
      <c r="SSF115" s="0"/>
      <c r="SSG115" s="0"/>
      <c r="SSH115" s="0"/>
      <c r="SSI115" s="0"/>
      <c r="SSJ115" s="0"/>
      <c r="SSK115" s="0"/>
      <c r="SSL115" s="0"/>
      <c r="SSM115" s="0"/>
      <c r="SSN115" s="0"/>
      <c r="SSO115" s="0"/>
      <c r="SSP115" s="0"/>
      <c r="SSQ115" s="0"/>
      <c r="SSR115" s="0"/>
      <c r="SSS115" s="0"/>
      <c r="SST115" s="0"/>
      <c r="SSU115" s="0"/>
      <c r="SSV115" s="0"/>
      <c r="SSW115" s="0"/>
      <c r="SSX115" s="0"/>
      <c r="SSY115" s="0"/>
      <c r="SSZ115" s="0"/>
      <c r="STA115" s="0"/>
      <c r="STB115" s="0"/>
      <c r="STC115" s="0"/>
      <c r="STD115" s="0"/>
      <c r="STE115" s="0"/>
      <c r="STF115" s="0"/>
      <c r="STG115" s="0"/>
      <c r="STH115" s="0"/>
      <c r="STI115" s="0"/>
      <c r="STJ115" s="0"/>
      <c r="STK115" s="0"/>
      <c r="STL115" s="0"/>
      <c r="STM115" s="0"/>
      <c r="STN115" s="0"/>
      <c r="STO115" s="0"/>
      <c r="STP115" s="0"/>
      <c r="STQ115" s="0"/>
      <c r="STR115" s="0"/>
      <c r="STS115" s="0"/>
      <c r="STT115" s="0"/>
      <c r="STU115" s="0"/>
      <c r="STV115" s="0"/>
      <c r="STW115" s="0"/>
      <c r="STX115" s="0"/>
      <c r="STY115" s="0"/>
      <c r="STZ115" s="0"/>
      <c r="SUA115" s="0"/>
      <c r="SUB115" s="0"/>
      <c r="SUC115" s="0"/>
      <c r="SUD115" s="0"/>
      <c r="SUE115" s="0"/>
      <c r="SUF115" s="0"/>
      <c r="SUG115" s="0"/>
      <c r="SUH115" s="0"/>
      <c r="SUI115" s="0"/>
      <c r="SUJ115" s="0"/>
      <c r="SUK115" s="0"/>
      <c r="SUL115" s="0"/>
      <c r="SUM115" s="0"/>
      <c r="SUN115" s="0"/>
      <c r="SUO115" s="0"/>
      <c r="SUP115" s="0"/>
      <c r="SUQ115" s="0"/>
      <c r="SUR115" s="0"/>
      <c r="SUS115" s="0"/>
      <c r="SUT115" s="0"/>
      <c r="SUU115" s="0"/>
      <c r="SUV115" s="0"/>
      <c r="SUW115" s="0"/>
      <c r="SUX115" s="0"/>
      <c r="SUY115" s="0"/>
      <c r="SUZ115" s="0"/>
      <c r="SVA115" s="0"/>
      <c r="SVB115" s="0"/>
      <c r="SVC115" s="0"/>
      <c r="SVD115" s="0"/>
      <c r="SVE115" s="0"/>
      <c r="SVF115" s="0"/>
      <c r="SVG115" s="0"/>
      <c r="SVH115" s="0"/>
      <c r="SVI115" s="0"/>
      <c r="SVJ115" s="0"/>
      <c r="SVK115" s="0"/>
      <c r="SVL115" s="0"/>
      <c r="SVM115" s="0"/>
      <c r="SVN115" s="0"/>
      <c r="SVO115" s="0"/>
      <c r="SVP115" s="0"/>
      <c r="SVQ115" s="0"/>
      <c r="SVR115" s="0"/>
      <c r="SVS115" s="0"/>
      <c r="SVT115" s="0"/>
      <c r="SVU115" s="0"/>
      <c r="SVV115" s="0"/>
      <c r="SVW115" s="0"/>
      <c r="SVX115" s="0"/>
      <c r="SVY115" s="0"/>
      <c r="SVZ115" s="0"/>
      <c r="SWA115" s="0"/>
      <c r="SWB115" s="0"/>
      <c r="SWC115" s="0"/>
      <c r="SWD115" s="0"/>
      <c r="SWE115" s="0"/>
      <c r="SWF115" s="0"/>
      <c r="SWG115" s="0"/>
      <c r="SWH115" s="0"/>
      <c r="SWI115" s="0"/>
      <c r="SWJ115" s="0"/>
      <c r="SWK115" s="0"/>
      <c r="SWL115" s="0"/>
      <c r="SWM115" s="0"/>
      <c r="SWN115" s="0"/>
      <c r="SWO115" s="0"/>
      <c r="SWP115" s="0"/>
      <c r="SWQ115" s="0"/>
      <c r="SWR115" s="0"/>
      <c r="SWS115" s="0"/>
      <c r="SWT115" s="0"/>
      <c r="SWU115" s="0"/>
      <c r="SWV115" s="0"/>
      <c r="SWW115" s="0"/>
      <c r="SWX115" s="0"/>
      <c r="SWY115" s="0"/>
      <c r="SWZ115" s="0"/>
      <c r="SXA115" s="0"/>
      <c r="SXB115" s="0"/>
      <c r="SXC115" s="0"/>
      <c r="SXD115" s="0"/>
      <c r="SXE115" s="0"/>
      <c r="SXF115" s="0"/>
      <c r="SXG115" s="0"/>
      <c r="SXH115" s="0"/>
      <c r="SXI115" s="0"/>
      <c r="SXJ115" s="0"/>
      <c r="SXK115" s="0"/>
      <c r="SXL115" s="0"/>
      <c r="SXM115" s="0"/>
      <c r="SXN115" s="0"/>
      <c r="SXO115" s="0"/>
      <c r="SXP115" s="0"/>
      <c r="SXQ115" s="0"/>
      <c r="SXR115" s="0"/>
      <c r="SXS115" s="0"/>
      <c r="SXT115" s="0"/>
      <c r="SXU115" s="0"/>
      <c r="SXV115" s="0"/>
      <c r="SXW115" s="0"/>
      <c r="SXX115" s="0"/>
      <c r="SXY115" s="0"/>
      <c r="SXZ115" s="0"/>
      <c r="SYA115" s="0"/>
      <c r="SYB115" s="0"/>
      <c r="SYC115" s="0"/>
      <c r="SYD115" s="0"/>
      <c r="SYE115" s="0"/>
      <c r="SYF115" s="0"/>
      <c r="SYG115" s="0"/>
      <c r="SYH115" s="0"/>
      <c r="SYI115" s="0"/>
      <c r="SYJ115" s="0"/>
      <c r="SYK115" s="0"/>
      <c r="SYL115" s="0"/>
      <c r="SYM115" s="0"/>
      <c r="SYN115" s="0"/>
      <c r="SYO115" s="0"/>
      <c r="SYP115" s="0"/>
      <c r="SYQ115" s="0"/>
      <c r="SYR115" s="0"/>
      <c r="SYS115" s="0"/>
      <c r="SYT115" s="0"/>
      <c r="SYU115" s="0"/>
      <c r="SYV115" s="0"/>
      <c r="SYW115" s="0"/>
      <c r="SYX115" s="0"/>
      <c r="SYY115" s="0"/>
      <c r="SYZ115" s="0"/>
      <c r="SZA115" s="0"/>
      <c r="SZB115" s="0"/>
      <c r="SZC115" s="0"/>
      <c r="SZD115" s="0"/>
      <c r="SZE115" s="0"/>
      <c r="SZF115" s="0"/>
      <c r="SZG115" s="0"/>
      <c r="SZH115" s="0"/>
      <c r="SZI115" s="0"/>
      <c r="SZJ115" s="0"/>
      <c r="SZK115" s="0"/>
      <c r="SZL115" s="0"/>
      <c r="SZM115" s="0"/>
      <c r="SZN115" s="0"/>
      <c r="SZO115" s="0"/>
      <c r="SZP115" s="0"/>
      <c r="SZQ115" s="0"/>
      <c r="SZR115" s="0"/>
      <c r="SZS115" s="0"/>
      <c r="SZT115" s="0"/>
      <c r="SZU115" s="0"/>
      <c r="SZV115" s="0"/>
      <c r="SZW115" s="0"/>
      <c r="SZX115" s="0"/>
      <c r="SZY115" s="0"/>
      <c r="SZZ115" s="0"/>
      <c r="TAA115" s="0"/>
      <c r="TAB115" s="0"/>
      <c r="TAC115" s="0"/>
      <c r="TAD115" s="0"/>
      <c r="TAE115" s="0"/>
      <c r="TAF115" s="0"/>
      <c r="TAG115" s="0"/>
      <c r="TAH115" s="0"/>
      <c r="TAI115" s="0"/>
      <c r="TAJ115" s="0"/>
      <c r="TAK115" s="0"/>
      <c r="TAL115" s="0"/>
      <c r="TAM115" s="0"/>
      <c r="TAN115" s="0"/>
      <c r="TAO115" s="0"/>
      <c r="TAP115" s="0"/>
      <c r="TAQ115" s="0"/>
      <c r="TAR115" s="0"/>
      <c r="TAS115" s="0"/>
      <c r="TAT115" s="0"/>
      <c r="TAU115" s="0"/>
      <c r="TAV115" s="0"/>
      <c r="TAW115" s="0"/>
      <c r="TAX115" s="0"/>
      <c r="TAY115" s="0"/>
      <c r="TAZ115" s="0"/>
      <c r="TBA115" s="0"/>
      <c r="TBB115" s="0"/>
      <c r="TBC115" s="0"/>
      <c r="TBD115" s="0"/>
      <c r="TBE115" s="0"/>
      <c r="TBF115" s="0"/>
      <c r="TBG115" s="0"/>
      <c r="TBH115" s="0"/>
      <c r="TBI115" s="0"/>
      <c r="TBJ115" s="0"/>
      <c r="TBK115" s="0"/>
      <c r="TBL115" s="0"/>
      <c r="TBM115" s="0"/>
      <c r="TBN115" s="0"/>
      <c r="TBO115" s="0"/>
      <c r="TBP115" s="0"/>
      <c r="TBQ115" s="0"/>
      <c r="TBR115" s="0"/>
      <c r="TBS115" s="0"/>
      <c r="TBT115" s="0"/>
      <c r="TBU115" s="0"/>
      <c r="TBV115" s="0"/>
      <c r="TBW115" s="0"/>
      <c r="TBX115" s="0"/>
      <c r="TBY115" s="0"/>
      <c r="TBZ115" s="0"/>
      <c r="TCA115" s="0"/>
      <c r="TCB115" s="0"/>
      <c r="TCC115" s="0"/>
      <c r="TCD115" s="0"/>
      <c r="TCE115" s="0"/>
      <c r="TCF115" s="0"/>
      <c r="TCG115" s="0"/>
      <c r="TCH115" s="0"/>
      <c r="TCI115" s="0"/>
      <c r="TCJ115" s="0"/>
      <c r="TCK115" s="0"/>
      <c r="TCL115" s="0"/>
      <c r="TCM115" s="0"/>
      <c r="TCN115" s="0"/>
      <c r="TCO115" s="0"/>
      <c r="TCP115" s="0"/>
      <c r="TCQ115" s="0"/>
      <c r="TCR115" s="0"/>
      <c r="TCS115" s="0"/>
      <c r="TCT115" s="0"/>
      <c r="TCU115" s="0"/>
      <c r="TCV115" s="0"/>
      <c r="TCW115" s="0"/>
      <c r="TCX115" s="0"/>
      <c r="TCY115" s="0"/>
      <c r="TCZ115" s="0"/>
      <c r="TDA115" s="0"/>
      <c r="TDB115" s="0"/>
      <c r="TDC115" s="0"/>
      <c r="TDD115" s="0"/>
      <c r="TDE115" s="0"/>
      <c r="TDF115" s="0"/>
      <c r="TDG115" s="0"/>
      <c r="TDH115" s="0"/>
      <c r="TDI115" s="0"/>
      <c r="TDJ115" s="0"/>
      <c r="TDK115" s="0"/>
      <c r="TDL115" s="0"/>
      <c r="TDM115" s="0"/>
      <c r="TDN115" s="0"/>
      <c r="TDO115" s="0"/>
      <c r="TDP115" s="0"/>
      <c r="TDQ115" s="0"/>
      <c r="TDR115" s="0"/>
      <c r="TDS115" s="0"/>
      <c r="TDT115" s="0"/>
      <c r="TDU115" s="0"/>
      <c r="TDV115" s="0"/>
      <c r="TDW115" s="0"/>
      <c r="TDX115" s="0"/>
      <c r="TDY115" s="0"/>
      <c r="TDZ115" s="0"/>
      <c r="TEA115" s="0"/>
      <c r="TEB115" s="0"/>
      <c r="TEC115" s="0"/>
      <c r="TED115" s="0"/>
      <c r="TEE115" s="0"/>
      <c r="TEF115" s="0"/>
      <c r="TEG115" s="0"/>
      <c r="TEH115" s="0"/>
      <c r="TEI115" s="0"/>
      <c r="TEJ115" s="0"/>
      <c r="TEK115" s="0"/>
      <c r="TEL115" s="0"/>
      <c r="TEM115" s="0"/>
      <c r="TEN115" s="0"/>
      <c r="TEO115" s="0"/>
      <c r="TEP115" s="0"/>
      <c r="TEQ115" s="0"/>
      <c r="TER115" s="0"/>
      <c r="TES115" s="0"/>
      <c r="TET115" s="0"/>
      <c r="TEU115" s="0"/>
      <c r="TEV115" s="0"/>
      <c r="TEW115" s="0"/>
      <c r="TEX115" s="0"/>
      <c r="TEY115" s="0"/>
      <c r="TEZ115" s="0"/>
      <c r="TFA115" s="0"/>
      <c r="TFB115" s="0"/>
      <c r="TFC115" s="0"/>
      <c r="TFD115" s="0"/>
      <c r="TFE115" s="0"/>
      <c r="TFF115" s="0"/>
      <c r="TFG115" s="0"/>
      <c r="TFH115" s="0"/>
      <c r="TFI115" s="0"/>
      <c r="TFJ115" s="0"/>
      <c r="TFK115" s="0"/>
      <c r="TFL115" s="0"/>
      <c r="TFM115" s="0"/>
      <c r="TFN115" s="0"/>
      <c r="TFO115" s="0"/>
      <c r="TFP115" s="0"/>
      <c r="TFQ115" s="0"/>
      <c r="TFR115" s="0"/>
      <c r="TFS115" s="0"/>
      <c r="TFT115" s="0"/>
      <c r="TFU115" s="0"/>
      <c r="TFV115" s="0"/>
      <c r="TFW115" s="0"/>
      <c r="TFX115" s="0"/>
      <c r="TFY115" s="0"/>
      <c r="TFZ115" s="0"/>
      <c r="TGA115" s="0"/>
      <c r="TGB115" s="0"/>
      <c r="TGC115" s="0"/>
      <c r="TGD115" s="0"/>
      <c r="TGE115" s="0"/>
      <c r="TGF115" s="0"/>
      <c r="TGG115" s="0"/>
      <c r="TGH115" s="0"/>
      <c r="TGI115" s="0"/>
      <c r="TGJ115" s="0"/>
      <c r="TGK115" s="0"/>
      <c r="TGL115" s="0"/>
      <c r="TGM115" s="0"/>
      <c r="TGN115" s="0"/>
      <c r="TGO115" s="0"/>
      <c r="TGP115" s="0"/>
      <c r="TGQ115" s="0"/>
      <c r="TGR115" s="0"/>
      <c r="TGS115" s="0"/>
      <c r="TGT115" s="0"/>
      <c r="TGU115" s="0"/>
      <c r="TGV115" s="0"/>
      <c r="TGW115" s="0"/>
      <c r="TGX115" s="0"/>
      <c r="TGY115" s="0"/>
      <c r="TGZ115" s="0"/>
      <c r="THA115" s="0"/>
      <c r="THB115" s="0"/>
      <c r="THC115" s="0"/>
      <c r="THD115" s="0"/>
      <c r="THE115" s="0"/>
      <c r="THF115" s="0"/>
      <c r="THG115" s="0"/>
      <c r="THH115" s="0"/>
      <c r="THI115" s="0"/>
      <c r="THJ115" s="0"/>
      <c r="THK115" s="0"/>
      <c r="THL115" s="0"/>
      <c r="THM115" s="0"/>
      <c r="THN115" s="0"/>
      <c r="THO115" s="0"/>
      <c r="THP115" s="0"/>
      <c r="THQ115" s="0"/>
      <c r="THR115" s="0"/>
      <c r="THS115" s="0"/>
      <c r="THT115" s="0"/>
      <c r="THU115" s="0"/>
      <c r="THV115" s="0"/>
      <c r="THW115" s="0"/>
      <c r="THX115" s="0"/>
      <c r="THY115" s="0"/>
      <c r="THZ115" s="0"/>
      <c r="TIA115" s="0"/>
      <c r="TIB115" s="0"/>
      <c r="TIC115" s="0"/>
      <c r="TID115" s="0"/>
      <c r="TIE115" s="0"/>
      <c r="TIF115" s="0"/>
      <c r="TIG115" s="0"/>
      <c r="TIH115" s="0"/>
      <c r="TII115" s="0"/>
      <c r="TIJ115" s="0"/>
      <c r="TIK115" s="0"/>
      <c r="TIL115" s="0"/>
      <c r="TIM115" s="0"/>
      <c r="TIN115" s="0"/>
      <c r="TIO115" s="0"/>
      <c r="TIP115" s="0"/>
      <c r="TIQ115" s="0"/>
      <c r="TIR115" s="0"/>
      <c r="TIS115" s="0"/>
      <c r="TIT115" s="0"/>
      <c r="TIU115" s="0"/>
      <c r="TIV115" s="0"/>
      <c r="TIW115" s="0"/>
      <c r="TIX115" s="0"/>
      <c r="TIY115" s="0"/>
      <c r="TIZ115" s="0"/>
      <c r="TJA115" s="0"/>
      <c r="TJB115" s="0"/>
      <c r="TJC115" s="0"/>
      <c r="TJD115" s="0"/>
      <c r="TJE115" s="0"/>
      <c r="TJF115" s="0"/>
      <c r="TJG115" s="0"/>
      <c r="TJH115" s="0"/>
      <c r="TJI115" s="0"/>
      <c r="TJJ115" s="0"/>
      <c r="TJK115" s="0"/>
      <c r="TJL115" s="0"/>
      <c r="TJM115" s="0"/>
      <c r="TJN115" s="0"/>
      <c r="TJO115" s="0"/>
      <c r="TJP115" s="0"/>
      <c r="TJQ115" s="0"/>
      <c r="TJR115" s="0"/>
      <c r="TJS115" s="0"/>
      <c r="TJT115" s="0"/>
      <c r="TJU115" s="0"/>
      <c r="TJV115" s="0"/>
      <c r="TJW115" s="0"/>
      <c r="TJX115" s="0"/>
      <c r="TJY115" s="0"/>
      <c r="TJZ115" s="0"/>
      <c r="TKA115" s="0"/>
      <c r="TKB115" s="0"/>
      <c r="TKC115" s="0"/>
      <c r="TKD115" s="0"/>
      <c r="TKE115" s="0"/>
      <c r="TKF115" s="0"/>
      <c r="TKG115" s="0"/>
      <c r="TKH115" s="0"/>
      <c r="TKI115" s="0"/>
      <c r="TKJ115" s="0"/>
      <c r="TKK115" s="0"/>
      <c r="TKL115" s="0"/>
      <c r="TKM115" s="0"/>
      <c r="TKN115" s="0"/>
      <c r="TKO115" s="0"/>
      <c r="TKP115" s="0"/>
      <c r="TKQ115" s="0"/>
      <c r="TKR115" s="0"/>
      <c r="TKS115" s="0"/>
      <c r="TKT115" s="0"/>
      <c r="TKU115" s="0"/>
      <c r="TKV115" s="0"/>
      <c r="TKW115" s="0"/>
      <c r="TKX115" s="0"/>
      <c r="TKY115" s="0"/>
      <c r="TKZ115" s="0"/>
      <c r="TLA115" s="0"/>
      <c r="TLB115" s="0"/>
      <c r="TLC115" s="0"/>
      <c r="TLD115" s="0"/>
      <c r="TLE115" s="0"/>
      <c r="TLF115" s="0"/>
      <c r="TLG115" s="0"/>
      <c r="TLH115" s="0"/>
      <c r="TLI115" s="0"/>
      <c r="TLJ115" s="0"/>
      <c r="TLK115" s="0"/>
      <c r="TLL115" s="0"/>
      <c r="TLM115" s="0"/>
      <c r="TLN115" s="0"/>
      <c r="TLO115" s="0"/>
      <c r="TLP115" s="0"/>
      <c r="TLQ115" s="0"/>
      <c r="TLR115" s="0"/>
      <c r="TLS115" s="0"/>
      <c r="TLT115" s="0"/>
      <c r="TLU115" s="0"/>
      <c r="TLV115" s="0"/>
      <c r="TLW115" s="0"/>
      <c r="TLX115" s="0"/>
      <c r="TLY115" s="0"/>
      <c r="TLZ115" s="0"/>
      <c r="TMA115" s="0"/>
      <c r="TMB115" s="0"/>
      <c r="TMC115" s="0"/>
      <c r="TMD115" s="0"/>
      <c r="TME115" s="0"/>
      <c r="TMF115" s="0"/>
      <c r="TMG115" s="0"/>
      <c r="TMH115" s="0"/>
      <c r="TMI115" s="0"/>
      <c r="TMJ115" s="0"/>
      <c r="TMK115" s="0"/>
      <c r="TML115" s="0"/>
      <c r="TMM115" s="0"/>
      <c r="TMN115" s="0"/>
      <c r="TMO115" s="0"/>
      <c r="TMP115" s="0"/>
      <c r="TMQ115" s="0"/>
      <c r="TMR115" s="0"/>
      <c r="TMS115" s="0"/>
      <c r="TMT115" s="0"/>
      <c r="TMU115" s="0"/>
      <c r="TMV115" s="0"/>
      <c r="TMW115" s="0"/>
      <c r="TMX115" s="0"/>
      <c r="TMY115" s="0"/>
      <c r="TMZ115" s="0"/>
      <c r="TNA115" s="0"/>
      <c r="TNB115" s="0"/>
      <c r="TNC115" s="0"/>
      <c r="TND115" s="0"/>
      <c r="TNE115" s="0"/>
      <c r="TNF115" s="0"/>
      <c r="TNG115" s="0"/>
      <c r="TNH115" s="0"/>
      <c r="TNI115" s="0"/>
      <c r="TNJ115" s="0"/>
      <c r="TNK115" s="0"/>
      <c r="TNL115" s="0"/>
      <c r="TNM115" s="0"/>
      <c r="TNN115" s="0"/>
      <c r="TNO115" s="0"/>
      <c r="TNP115" s="0"/>
      <c r="TNQ115" s="0"/>
      <c r="TNR115" s="0"/>
      <c r="TNS115" s="0"/>
      <c r="TNT115" s="0"/>
      <c r="TNU115" s="0"/>
      <c r="TNV115" s="0"/>
      <c r="TNW115" s="0"/>
      <c r="TNX115" s="0"/>
      <c r="TNY115" s="0"/>
      <c r="TNZ115" s="0"/>
      <c r="TOA115" s="0"/>
      <c r="TOB115" s="0"/>
      <c r="TOC115" s="0"/>
      <c r="TOD115" s="0"/>
      <c r="TOE115" s="0"/>
      <c r="TOF115" s="0"/>
      <c r="TOG115" s="0"/>
      <c r="TOH115" s="0"/>
      <c r="TOI115" s="0"/>
      <c r="TOJ115" s="0"/>
      <c r="TOK115" s="0"/>
      <c r="TOL115" s="0"/>
      <c r="TOM115" s="0"/>
      <c r="TON115" s="0"/>
      <c r="TOO115" s="0"/>
      <c r="TOP115" s="0"/>
      <c r="TOQ115" s="0"/>
      <c r="TOR115" s="0"/>
      <c r="TOS115" s="0"/>
      <c r="TOT115" s="0"/>
      <c r="TOU115" s="0"/>
      <c r="TOV115" s="0"/>
      <c r="TOW115" s="0"/>
      <c r="TOX115" s="0"/>
      <c r="TOY115" s="0"/>
      <c r="TOZ115" s="0"/>
      <c r="TPA115" s="0"/>
      <c r="TPB115" s="0"/>
      <c r="TPC115" s="0"/>
      <c r="TPD115" s="0"/>
      <c r="TPE115" s="0"/>
      <c r="TPF115" s="0"/>
      <c r="TPG115" s="0"/>
      <c r="TPH115" s="0"/>
      <c r="TPI115" s="0"/>
      <c r="TPJ115" s="0"/>
      <c r="TPK115" s="0"/>
      <c r="TPL115" s="0"/>
      <c r="TPM115" s="0"/>
      <c r="TPN115" s="0"/>
      <c r="TPO115" s="0"/>
      <c r="TPP115" s="0"/>
      <c r="TPQ115" s="0"/>
      <c r="TPR115" s="0"/>
      <c r="TPS115" s="0"/>
      <c r="TPT115" s="0"/>
      <c r="TPU115" s="0"/>
      <c r="TPV115" s="0"/>
      <c r="TPW115" s="0"/>
      <c r="TPX115" s="0"/>
      <c r="TPY115" s="0"/>
      <c r="TPZ115" s="0"/>
      <c r="TQA115" s="0"/>
      <c r="TQB115" s="0"/>
      <c r="TQC115" s="0"/>
      <c r="TQD115" s="0"/>
      <c r="TQE115" s="0"/>
      <c r="TQF115" s="0"/>
      <c r="TQG115" s="0"/>
      <c r="TQH115" s="0"/>
      <c r="TQI115" s="0"/>
      <c r="TQJ115" s="0"/>
      <c r="TQK115" s="0"/>
      <c r="TQL115" s="0"/>
      <c r="TQM115" s="0"/>
      <c r="TQN115" s="0"/>
      <c r="TQO115" s="0"/>
      <c r="TQP115" s="0"/>
      <c r="TQQ115" s="0"/>
      <c r="TQR115" s="0"/>
      <c r="TQS115" s="0"/>
      <c r="TQT115" s="0"/>
      <c r="TQU115" s="0"/>
      <c r="TQV115" s="0"/>
      <c r="TQW115" s="0"/>
      <c r="TQX115" s="0"/>
      <c r="TQY115" s="0"/>
      <c r="TQZ115" s="0"/>
      <c r="TRA115" s="0"/>
      <c r="TRB115" s="0"/>
      <c r="TRC115" s="0"/>
      <c r="TRD115" s="0"/>
      <c r="TRE115" s="0"/>
      <c r="TRF115" s="0"/>
      <c r="TRG115" s="0"/>
      <c r="TRH115" s="0"/>
      <c r="TRI115" s="0"/>
      <c r="TRJ115" s="0"/>
      <c r="TRK115" s="0"/>
      <c r="TRL115" s="0"/>
      <c r="TRM115" s="0"/>
      <c r="TRN115" s="0"/>
      <c r="TRO115" s="0"/>
      <c r="TRP115" s="0"/>
      <c r="TRQ115" s="0"/>
      <c r="TRR115" s="0"/>
      <c r="TRS115" s="0"/>
      <c r="TRT115" s="0"/>
      <c r="TRU115" s="0"/>
      <c r="TRV115" s="0"/>
      <c r="TRW115" s="0"/>
      <c r="TRX115" s="0"/>
      <c r="TRY115" s="0"/>
      <c r="TRZ115" s="0"/>
      <c r="TSA115" s="0"/>
      <c r="TSB115" s="0"/>
      <c r="TSC115" s="0"/>
      <c r="TSD115" s="0"/>
      <c r="TSE115" s="0"/>
      <c r="TSF115" s="0"/>
      <c r="TSG115" s="0"/>
      <c r="TSH115" s="0"/>
      <c r="TSI115" s="0"/>
      <c r="TSJ115" s="0"/>
      <c r="TSK115" s="0"/>
      <c r="TSL115" s="0"/>
      <c r="TSM115" s="0"/>
      <c r="TSN115" s="0"/>
      <c r="TSO115" s="0"/>
      <c r="TSP115" s="0"/>
      <c r="TSQ115" s="0"/>
      <c r="TSR115" s="0"/>
      <c r="TSS115" s="0"/>
      <c r="TST115" s="0"/>
      <c r="TSU115" s="0"/>
      <c r="TSV115" s="0"/>
      <c r="TSW115" s="0"/>
      <c r="TSX115" s="0"/>
      <c r="TSY115" s="0"/>
      <c r="TSZ115" s="0"/>
      <c r="TTA115" s="0"/>
      <c r="TTB115" s="0"/>
      <c r="TTC115" s="0"/>
      <c r="TTD115" s="0"/>
      <c r="TTE115" s="0"/>
      <c r="TTF115" s="0"/>
      <c r="TTG115" s="0"/>
      <c r="TTH115" s="0"/>
      <c r="TTI115" s="0"/>
      <c r="TTJ115" s="0"/>
      <c r="TTK115" s="0"/>
      <c r="TTL115" s="0"/>
      <c r="TTM115" s="0"/>
      <c r="TTN115" s="0"/>
      <c r="TTO115" s="0"/>
      <c r="TTP115" s="0"/>
      <c r="TTQ115" s="0"/>
      <c r="TTR115" s="0"/>
      <c r="TTS115" s="0"/>
      <c r="TTT115" s="0"/>
      <c r="TTU115" s="0"/>
      <c r="TTV115" s="0"/>
      <c r="TTW115" s="0"/>
      <c r="TTX115" s="0"/>
      <c r="TTY115" s="0"/>
      <c r="TTZ115" s="0"/>
      <c r="TUA115" s="0"/>
      <c r="TUB115" s="0"/>
      <c r="TUC115" s="0"/>
      <c r="TUD115" s="0"/>
      <c r="TUE115" s="0"/>
      <c r="TUF115" s="0"/>
      <c r="TUG115" s="0"/>
      <c r="TUH115" s="0"/>
      <c r="TUI115" s="0"/>
      <c r="TUJ115" s="0"/>
      <c r="TUK115" s="0"/>
      <c r="TUL115" s="0"/>
      <c r="TUM115" s="0"/>
      <c r="TUN115" s="0"/>
      <c r="TUO115" s="0"/>
      <c r="TUP115" s="0"/>
      <c r="TUQ115" s="0"/>
      <c r="TUR115" s="0"/>
      <c r="TUS115" s="0"/>
      <c r="TUT115" s="0"/>
      <c r="TUU115" s="0"/>
      <c r="TUV115" s="0"/>
      <c r="TUW115" s="0"/>
      <c r="TUX115" s="0"/>
      <c r="TUY115" s="0"/>
      <c r="TUZ115" s="0"/>
      <c r="TVA115" s="0"/>
      <c r="TVB115" s="0"/>
      <c r="TVC115" s="0"/>
      <c r="TVD115" s="0"/>
      <c r="TVE115" s="0"/>
      <c r="TVF115" s="0"/>
      <c r="TVG115" s="0"/>
      <c r="TVH115" s="0"/>
      <c r="TVI115" s="0"/>
      <c r="TVJ115" s="0"/>
      <c r="TVK115" s="0"/>
      <c r="TVL115" s="0"/>
      <c r="TVM115" s="0"/>
      <c r="TVN115" s="0"/>
      <c r="TVO115" s="0"/>
      <c r="TVP115" s="0"/>
      <c r="TVQ115" s="0"/>
      <c r="TVR115" s="0"/>
      <c r="TVS115" s="0"/>
      <c r="TVT115" s="0"/>
      <c r="TVU115" s="0"/>
      <c r="TVV115" s="0"/>
      <c r="TVW115" s="0"/>
      <c r="TVX115" s="0"/>
      <c r="TVY115" s="0"/>
      <c r="TVZ115" s="0"/>
      <c r="TWA115" s="0"/>
      <c r="TWB115" s="0"/>
      <c r="TWC115" s="0"/>
      <c r="TWD115" s="0"/>
      <c r="TWE115" s="0"/>
      <c r="TWF115" s="0"/>
      <c r="TWG115" s="0"/>
      <c r="TWH115" s="0"/>
      <c r="TWI115" s="0"/>
      <c r="TWJ115" s="0"/>
      <c r="TWK115" s="0"/>
      <c r="TWL115" s="0"/>
      <c r="TWM115" s="0"/>
      <c r="TWN115" s="0"/>
      <c r="TWO115" s="0"/>
      <c r="TWP115" s="0"/>
      <c r="TWQ115" s="0"/>
      <c r="TWR115" s="0"/>
      <c r="TWS115" s="0"/>
      <c r="TWT115" s="0"/>
      <c r="TWU115" s="0"/>
      <c r="TWV115" s="0"/>
      <c r="TWW115" s="0"/>
      <c r="TWX115" s="0"/>
      <c r="TWY115" s="0"/>
      <c r="TWZ115" s="0"/>
      <c r="TXA115" s="0"/>
      <c r="TXB115" s="0"/>
      <c r="TXC115" s="0"/>
      <c r="TXD115" s="0"/>
      <c r="TXE115" s="0"/>
      <c r="TXF115" s="0"/>
      <c r="TXG115" s="0"/>
      <c r="TXH115" s="0"/>
      <c r="TXI115" s="0"/>
      <c r="TXJ115" s="0"/>
      <c r="TXK115" s="0"/>
      <c r="TXL115" s="0"/>
      <c r="TXM115" s="0"/>
      <c r="TXN115" s="0"/>
      <c r="TXO115" s="0"/>
      <c r="TXP115" s="0"/>
      <c r="TXQ115" s="0"/>
      <c r="TXR115" s="0"/>
      <c r="TXS115" s="0"/>
      <c r="TXT115" s="0"/>
      <c r="TXU115" s="0"/>
      <c r="TXV115" s="0"/>
      <c r="TXW115" s="0"/>
      <c r="TXX115" s="0"/>
      <c r="TXY115" s="0"/>
      <c r="TXZ115" s="0"/>
      <c r="TYA115" s="0"/>
      <c r="TYB115" s="0"/>
      <c r="TYC115" s="0"/>
      <c r="TYD115" s="0"/>
      <c r="TYE115" s="0"/>
      <c r="TYF115" s="0"/>
      <c r="TYG115" s="0"/>
      <c r="TYH115" s="0"/>
      <c r="TYI115" s="0"/>
      <c r="TYJ115" s="0"/>
      <c r="TYK115" s="0"/>
      <c r="TYL115" s="0"/>
      <c r="TYM115" s="0"/>
      <c r="TYN115" s="0"/>
      <c r="TYO115" s="0"/>
      <c r="TYP115" s="0"/>
      <c r="TYQ115" s="0"/>
      <c r="TYR115" s="0"/>
      <c r="TYS115" s="0"/>
      <c r="TYT115" s="0"/>
      <c r="TYU115" s="0"/>
      <c r="TYV115" s="0"/>
      <c r="TYW115" s="0"/>
      <c r="TYX115" s="0"/>
      <c r="TYY115" s="0"/>
      <c r="TYZ115" s="0"/>
      <c r="TZA115" s="0"/>
      <c r="TZB115" s="0"/>
      <c r="TZC115" s="0"/>
      <c r="TZD115" s="0"/>
      <c r="TZE115" s="0"/>
      <c r="TZF115" s="0"/>
      <c r="TZG115" s="0"/>
      <c r="TZH115" s="0"/>
      <c r="TZI115" s="0"/>
      <c r="TZJ115" s="0"/>
      <c r="TZK115" s="0"/>
      <c r="TZL115" s="0"/>
      <c r="TZM115" s="0"/>
      <c r="TZN115" s="0"/>
      <c r="TZO115" s="0"/>
      <c r="TZP115" s="0"/>
      <c r="TZQ115" s="0"/>
      <c r="TZR115" s="0"/>
      <c r="TZS115" s="0"/>
      <c r="TZT115" s="0"/>
      <c r="TZU115" s="0"/>
      <c r="TZV115" s="0"/>
      <c r="TZW115" s="0"/>
      <c r="TZX115" s="0"/>
      <c r="TZY115" s="0"/>
      <c r="TZZ115" s="0"/>
      <c r="UAA115" s="0"/>
      <c r="UAB115" s="0"/>
      <c r="UAC115" s="0"/>
      <c r="UAD115" s="0"/>
      <c r="UAE115" s="0"/>
      <c r="UAF115" s="0"/>
      <c r="UAG115" s="0"/>
      <c r="UAH115" s="0"/>
      <c r="UAI115" s="0"/>
      <c r="UAJ115" s="0"/>
      <c r="UAK115" s="0"/>
      <c r="UAL115" s="0"/>
      <c r="UAM115" s="0"/>
      <c r="UAN115" s="0"/>
      <c r="UAO115" s="0"/>
      <c r="UAP115" s="0"/>
      <c r="UAQ115" s="0"/>
      <c r="UAR115" s="0"/>
      <c r="UAS115" s="0"/>
      <c r="UAT115" s="0"/>
      <c r="UAU115" s="0"/>
      <c r="UAV115" s="0"/>
      <c r="UAW115" s="0"/>
      <c r="UAX115" s="0"/>
      <c r="UAY115" s="0"/>
      <c r="UAZ115" s="0"/>
      <c r="UBA115" s="0"/>
      <c r="UBB115" s="0"/>
      <c r="UBC115" s="0"/>
      <c r="UBD115" s="0"/>
      <c r="UBE115" s="0"/>
      <c r="UBF115" s="0"/>
      <c r="UBG115" s="0"/>
      <c r="UBH115" s="0"/>
      <c r="UBI115" s="0"/>
      <c r="UBJ115" s="0"/>
      <c r="UBK115" s="0"/>
      <c r="UBL115" s="0"/>
      <c r="UBM115" s="0"/>
      <c r="UBN115" s="0"/>
      <c r="UBO115" s="0"/>
      <c r="UBP115" s="0"/>
      <c r="UBQ115" s="0"/>
      <c r="UBR115" s="0"/>
      <c r="UBS115" s="0"/>
      <c r="UBT115" s="0"/>
      <c r="UBU115" s="0"/>
      <c r="UBV115" s="0"/>
      <c r="UBW115" s="0"/>
      <c r="UBX115" s="0"/>
      <c r="UBY115" s="0"/>
      <c r="UBZ115" s="0"/>
      <c r="UCA115" s="0"/>
      <c r="UCB115" s="0"/>
      <c r="UCC115" s="0"/>
      <c r="UCD115" s="0"/>
      <c r="UCE115" s="0"/>
      <c r="UCF115" s="0"/>
      <c r="UCG115" s="0"/>
      <c r="UCH115" s="0"/>
      <c r="UCI115" s="0"/>
      <c r="UCJ115" s="0"/>
      <c r="UCK115" s="0"/>
      <c r="UCL115" s="0"/>
      <c r="UCM115" s="0"/>
      <c r="UCN115" s="0"/>
      <c r="UCO115" s="0"/>
      <c r="UCP115" s="0"/>
      <c r="UCQ115" s="0"/>
      <c r="UCR115" s="0"/>
      <c r="UCS115" s="0"/>
      <c r="UCT115" s="0"/>
      <c r="UCU115" s="0"/>
      <c r="UCV115" s="0"/>
      <c r="UCW115" s="0"/>
      <c r="UCX115" s="0"/>
      <c r="UCY115" s="0"/>
      <c r="UCZ115" s="0"/>
      <c r="UDA115" s="0"/>
      <c r="UDB115" s="0"/>
      <c r="UDC115" s="0"/>
      <c r="UDD115" s="0"/>
      <c r="UDE115" s="0"/>
      <c r="UDF115" s="0"/>
      <c r="UDG115" s="0"/>
      <c r="UDH115" s="0"/>
      <c r="UDI115" s="0"/>
      <c r="UDJ115" s="0"/>
      <c r="UDK115" s="0"/>
      <c r="UDL115" s="0"/>
      <c r="UDM115" s="0"/>
      <c r="UDN115" s="0"/>
      <c r="UDO115" s="0"/>
      <c r="UDP115" s="0"/>
      <c r="UDQ115" s="0"/>
      <c r="UDR115" s="0"/>
      <c r="UDS115" s="0"/>
      <c r="UDT115" s="0"/>
      <c r="UDU115" s="0"/>
      <c r="UDV115" s="0"/>
      <c r="UDW115" s="0"/>
      <c r="UDX115" s="0"/>
      <c r="UDY115" s="0"/>
      <c r="UDZ115" s="0"/>
      <c r="UEA115" s="0"/>
      <c r="UEB115" s="0"/>
      <c r="UEC115" s="0"/>
      <c r="UED115" s="0"/>
      <c r="UEE115" s="0"/>
      <c r="UEF115" s="0"/>
      <c r="UEG115" s="0"/>
      <c r="UEH115" s="0"/>
      <c r="UEI115" s="0"/>
      <c r="UEJ115" s="0"/>
      <c r="UEK115" s="0"/>
      <c r="UEL115" s="0"/>
      <c r="UEM115" s="0"/>
      <c r="UEN115" s="0"/>
      <c r="UEO115" s="0"/>
      <c r="UEP115" s="0"/>
      <c r="UEQ115" s="0"/>
      <c r="UER115" s="0"/>
      <c r="UES115" s="0"/>
      <c r="UET115" s="0"/>
      <c r="UEU115" s="0"/>
      <c r="UEV115" s="0"/>
      <c r="UEW115" s="0"/>
      <c r="UEX115" s="0"/>
      <c r="UEY115" s="0"/>
      <c r="UEZ115" s="0"/>
      <c r="UFA115" s="0"/>
      <c r="UFB115" s="0"/>
      <c r="UFC115" s="0"/>
      <c r="UFD115" s="0"/>
      <c r="UFE115" s="0"/>
      <c r="UFF115" s="0"/>
      <c r="UFG115" s="0"/>
      <c r="UFH115" s="0"/>
      <c r="UFI115" s="0"/>
      <c r="UFJ115" s="0"/>
      <c r="UFK115" s="0"/>
      <c r="UFL115" s="0"/>
      <c r="UFM115" s="0"/>
      <c r="UFN115" s="0"/>
      <c r="UFO115" s="0"/>
      <c r="UFP115" s="0"/>
      <c r="UFQ115" s="0"/>
      <c r="UFR115" s="0"/>
      <c r="UFS115" s="0"/>
      <c r="UFT115" s="0"/>
      <c r="UFU115" s="0"/>
      <c r="UFV115" s="0"/>
      <c r="UFW115" s="0"/>
      <c r="UFX115" s="0"/>
      <c r="UFY115" s="0"/>
      <c r="UFZ115" s="0"/>
      <c r="UGA115" s="0"/>
      <c r="UGB115" s="0"/>
      <c r="UGC115" s="0"/>
      <c r="UGD115" s="0"/>
      <c r="UGE115" s="0"/>
      <c r="UGF115" s="0"/>
      <c r="UGG115" s="0"/>
      <c r="UGH115" s="0"/>
      <c r="UGI115" s="0"/>
      <c r="UGJ115" s="0"/>
      <c r="UGK115" s="0"/>
      <c r="UGL115" s="0"/>
      <c r="UGM115" s="0"/>
      <c r="UGN115" s="0"/>
      <c r="UGO115" s="0"/>
      <c r="UGP115" s="0"/>
      <c r="UGQ115" s="0"/>
      <c r="UGR115" s="0"/>
      <c r="UGS115" s="0"/>
      <c r="UGT115" s="0"/>
      <c r="UGU115" s="0"/>
      <c r="UGV115" s="0"/>
      <c r="UGW115" s="0"/>
      <c r="UGX115" s="0"/>
      <c r="UGY115" s="0"/>
      <c r="UGZ115" s="0"/>
      <c r="UHA115" s="0"/>
      <c r="UHB115" s="0"/>
      <c r="UHC115" s="0"/>
      <c r="UHD115" s="0"/>
      <c r="UHE115" s="0"/>
      <c r="UHF115" s="0"/>
      <c r="UHG115" s="0"/>
      <c r="UHH115" s="0"/>
      <c r="UHI115" s="0"/>
      <c r="UHJ115" s="0"/>
      <c r="UHK115" s="0"/>
      <c r="UHL115" s="0"/>
      <c r="UHM115" s="0"/>
      <c r="UHN115" s="0"/>
      <c r="UHO115" s="0"/>
      <c r="UHP115" s="0"/>
      <c r="UHQ115" s="0"/>
      <c r="UHR115" s="0"/>
      <c r="UHS115" s="0"/>
      <c r="UHT115" s="0"/>
      <c r="UHU115" s="0"/>
      <c r="UHV115" s="0"/>
      <c r="UHW115" s="0"/>
      <c r="UHX115" s="0"/>
      <c r="UHY115" s="0"/>
      <c r="UHZ115" s="0"/>
      <c r="UIA115" s="0"/>
      <c r="UIB115" s="0"/>
      <c r="UIC115" s="0"/>
      <c r="UID115" s="0"/>
      <c r="UIE115" s="0"/>
      <c r="UIF115" s="0"/>
      <c r="UIG115" s="0"/>
      <c r="UIH115" s="0"/>
      <c r="UII115" s="0"/>
      <c r="UIJ115" s="0"/>
      <c r="UIK115" s="0"/>
      <c r="UIL115" s="0"/>
      <c r="UIM115" s="0"/>
      <c r="UIN115" s="0"/>
      <c r="UIO115" s="0"/>
      <c r="UIP115" s="0"/>
      <c r="UIQ115" s="0"/>
      <c r="UIR115" s="0"/>
      <c r="UIS115" s="0"/>
      <c r="UIT115" s="0"/>
      <c r="UIU115" s="0"/>
      <c r="UIV115" s="0"/>
      <c r="UIW115" s="0"/>
      <c r="UIX115" s="0"/>
      <c r="UIY115" s="0"/>
      <c r="UIZ115" s="0"/>
      <c r="UJA115" s="0"/>
      <c r="UJB115" s="0"/>
      <c r="UJC115" s="0"/>
      <c r="UJD115" s="0"/>
      <c r="UJE115" s="0"/>
      <c r="UJF115" s="0"/>
      <c r="UJG115" s="0"/>
      <c r="UJH115" s="0"/>
      <c r="UJI115" s="0"/>
      <c r="UJJ115" s="0"/>
      <c r="UJK115" s="0"/>
      <c r="UJL115" s="0"/>
      <c r="UJM115" s="0"/>
      <c r="UJN115" s="0"/>
      <c r="UJO115" s="0"/>
      <c r="UJP115" s="0"/>
      <c r="UJQ115" s="0"/>
      <c r="UJR115" s="0"/>
      <c r="UJS115" s="0"/>
      <c r="UJT115" s="0"/>
      <c r="UJU115" s="0"/>
      <c r="UJV115" s="0"/>
      <c r="UJW115" s="0"/>
      <c r="UJX115" s="0"/>
      <c r="UJY115" s="0"/>
      <c r="UJZ115" s="0"/>
      <c r="UKA115" s="0"/>
      <c r="UKB115" s="0"/>
      <c r="UKC115" s="0"/>
      <c r="UKD115" s="0"/>
      <c r="UKE115" s="0"/>
      <c r="UKF115" s="0"/>
      <c r="UKG115" s="0"/>
      <c r="UKH115" s="0"/>
      <c r="UKI115" s="0"/>
      <c r="UKJ115" s="0"/>
      <c r="UKK115" s="0"/>
      <c r="UKL115" s="0"/>
      <c r="UKM115" s="0"/>
      <c r="UKN115" s="0"/>
      <c r="UKO115" s="0"/>
      <c r="UKP115" s="0"/>
      <c r="UKQ115" s="0"/>
      <c r="UKR115" s="0"/>
      <c r="UKS115" s="0"/>
      <c r="UKT115" s="0"/>
      <c r="UKU115" s="0"/>
      <c r="UKV115" s="0"/>
      <c r="UKW115" s="0"/>
      <c r="UKX115" s="0"/>
      <c r="UKY115" s="0"/>
      <c r="UKZ115" s="0"/>
      <c r="ULA115" s="0"/>
      <c r="ULB115" s="0"/>
      <c r="ULC115" s="0"/>
      <c r="ULD115" s="0"/>
      <c r="ULE115" s="0"/>
      <c r="ULF115" s="0"/>
      <c r="ULG115" s="0"/>
      <c r="ULH115" s="0"/>
      <c r="ULI115" s="0"/>
      <c r="ULJ115" s="0"/>
      <c r="ULK115" s="0"/>
      <c r="ULL115" s="0"/>
      <c r="ULM115" s="0"/>
      <c r="ULN115" s="0"/>
      <c r="ULO115" s="0"/>
      <c r="ULP115" s="0"/>
      <c r="ULQ115" s="0"/>
      <c r="ULR115" s="0"/>
      <c r="ULS115" s="0"/>
      <c r="ULT115" s="0"/>
      <c r="ULU115" s="0"/>
      <c r="ULV115" s="0"/>
      <c r="ULW115" s="0"/>
      <c r="ULX115" s="0"/>
      <c r="ULY115" s="0"/>
      <c r="ULZ115" s="0"/>
      <c r="UMA115" s="0"/>
      <c r="UMB115" s="0"/>
      <c r="UMC115" s="0"/>
      <c r="UMD115" s="0"/>
      <c r="UME115" s="0"/>
      <c r="UMF115" s="0"/>
      <c r="UMG115" s="0"/>
      <c r="UMH115" s="0"/>
      <c r="UMI115" s="0"/>
      <c r="UMJ115" s="0"/>
      <c r="UMK115" s="0"/>
      <c r="UML115" s="0"/>
      <c r="UMM115" s="0"/>
      <c r="UMN115" s="0"/>
      <c r="UMO115" s="0"/>
      <c r="UMP115" s="0"/>
      <c r="UMQ115" s="0"/>
      <c r="UMR115" s="0"/>
      <c r="UMS115" s="0"/>
      <c r="UMT115" s="0"/>
      <c r="UMU115" s="0"/>
      <c r="UMV115" s="0"/>
      <c r="UMW115" s="0"/>
      <c r="UMX115" s="0"/>
      <c r="UMY115" s="0"/>
      <c r="UMZ115" s="0"/>
      <c r="UNA115" s="0"/>
      <c r="UNB115" s="0"/>
      <c r="UNC115" s="0"/>
      <c r="UND115" s="0"/>
      <c r="UNE115" s="0"/>
      <c r="UNF115" s="0"/>
      <c r="UNG115" s="0"/>
      <c r="UNH115" s="0"/>
      <c r="UNI115" s="0"/>
      <c r="UNJ115" s="0"/>
      <c r="UNK115" s="0"/>
      <c r="UNL115" s="0"/>
      <c r="UNM115" s="0"/>
      <c r="UNN115" s="0"/>
      <c r="UNO115" s="0"/>
      <c r="UNP115" s="0"/>
      <c r="UNQ115" s="0"/>
      <c r="UNR115" s="0"/>
      <c r="UNS115" s="0"/>
      <c r="UNT115" s="0"/>
      <c r="UNU115" s="0"/>
      <c r="UNV115" s="0"/>
      <c r="UNW115" s="0"/>
      <c r="UNX115" s="0"/>
      <c r="UNY115" s="0"/>
      <c r="UNZ115" s="0"/>
      <c r="UOA115" s="0"/>
      <c r="UOB115" s="0"/>
      <c r="UOC115" s="0"/>
      <c r="UOD115" s="0"/>
      <c r="UOE115" s="0"/>
      <c r="UOF115" s="0"/>
      <c r="UOG115" s="0"/>
      <c r="UOH115" s="0"/>
      <c r="UOI115" s="0"/>
      <c r="UOJ115" s="0"/>
      <c r="UOK115" s="0"/>
      <c r="UOL115" s="0"/>
      <c r="UOM115" s="0"/>
      <c r="UON115" s="0"/>
      <c r="UOO115" s="0"/>
      <c r="UOP115" s="0"/>
      <c r="UOQ115" s="0"/>
      <c r="UOR115" s="0"/>
      <c r="UOS115" s="0"/>
      <c r="UOT115" s="0"/>
      <c r="UOU115" s="0"/>
      <c r="UOV115" s="0"/>
      <c r="UOW115" s="0"/>
      <c r="UOX115" s="0"/>
      <c r="UOY115" s="0"/>
      <c r="UOZ115" s="0"/>
      <c r="UPA115" s="0"/>
      <c r="UPB115" s="0"/>
      <c r="UPC115" s="0"/>
      <c r="UPD115" s="0"/>
      <c r="UPE115" s="0"/>
      <c r="UPF115" s="0"/>
      <c r="UPG115" s="0"/>
      <c r="UPH115" s="0"/>
      <c r="UPI115" s="0"/>
      <c r="UPJ115" s="0"/>
      <c r="UPK115" s="0"/>
      <c r="UPL115" s="0"/>
      <c r="UPM115" s="0"/>
      <c r="UPN115" s="0"/>
      <c r="UPO115" s="0"/>
      <c r="UPP115" s="0"/>
      <c r="UPQ115" s="0"/>
      <c r="UPR115" s="0"/>
      <c r="UPS115" s="0"/>
      <c r="UPT115" s="0"/>
      <c r="UPU115" s="0"/>
      <c r="UPV115" s="0"/>
      <c r="UPW115" s="0"/>
      <c r="UPX115" s="0"/>
      <c r="UPY115" s="0"/>
      <c r="UPZ115" s="0"/>
      <c r="UQA115" s="0"/>
      <c r="UQB115" s="0"/>
      <c r="UQC115" s="0"/>
      <c r="UQD115" s="0"/>
      <c r="UQE115" s="0"/>
      <c r="UQF115" s="0"/>
      <c r="UQG115" s="0"/>
      <c r="UQH115" s="0"/>
      <c r="UQI115" s="0"/>
      <c r="UQJ115" s="0"/>
      <c r="UQK115" s="0"/>
      <c r="UQL115" s="0"/>
      <c r="UQM115" s="0"/>
      <c r="UQN115" s="0"/>
      <c r="UQO115" s="0"/>
      <c r="UQP115" s="0"/>
      <c r="UQQ115" s="0"/>
      <c r="UQR115" s="0"/>
      <c r="UQS115" s="0"/>
      <c r="UQT115" s="0"/>
      <c r="UQU115" s="0"/>
      <c r="UQV115" s="0"/>
      <c r="UQW115" s="0"/>
      <c r="UQX115" s="0"/>
      <c r="UQY115" s="0"/>
      <c r="UQZ115" s="0"/>
      <c r="URA115" s="0"/>
      <c r="URB115" s="0"/>
      <c r="URC115" s="0"/>
      <c r="URD115" s="0"/>
      <c r="URE115" s="0"/>
      <c r="URF115" s="0"/>
      <c r="URG115" s="0"/>
      <c r="URH115" s="0"/>
      <c r="URI115" s="0"/>
      <c r="URJ115" s="0"/>
      <c r="URK115" s="0"/>
      <c r="URL115" s="0"/>
      <c r="URM115" s="0"/>
      <c r="URN115" s="0"/>
      <c r="URO115" s="0"/>
      <c r="URP115" s="0"/>
      <c r="URQ115" s="0"/>
      <c r="URR115" s="0"/>
      <c r="URS115" s="0"/>
      <c r="URT115" s="0"/>
      <c r="URU115" s="0"/>
      <c r="URV115" s="0"/>
      <c r="URW115" s="0"/>
      <c r="URX115" s="0"/>
      <c r="URY115" s="0"/>
      <c r="URZ115" s="0"/>
      <c r="USA115" s="0"/>
      <c r="USB115" s="0"/>
      <c r="USC115" s="0"/>
      <c r="USD115" s="0"/>
      <c r="USE115" s="0"/>
      <c r="USF115" s="0"/>
      <c r="USG115" s="0"/>
      <c r="USH115" s="0"/>
      <c r="USI115" s="0"/>
      <c r="USJ115" s="0"/>
      <c r="USK115" s="0"/>
      <c r="USL115" s="0"/>
      <c r="USM115" s="0"/>
      <c r="USN115" s="0"/>
      <c r="USO115" s="0"/>
      <c r="USP115" s="0"/>
      <c r="USQ115" s="0"/>
      <c r="USR115" s="0"/>
      <c r="USS115" s="0"/>
      <c r="UST115" s="0"/>
      <c r="USU115" s="0"/>
      <c r="USV115" s="0"/>
      <c r="USW115" s="0"/>
      <c r="USX115" s="0"/>
      <c r="USY115" s="0"/>
      <c r="USZ115" s="0"/>
      <c r="UTA115" s="0"/>
      <c r="UTB115" s="0"/>
      <c r="UTC115" s="0"/>
      <c r="UTD115" s="0"/>
      <c r="UTE115" s="0"/>
      <c r="UTF115" s="0"/>
      <c r="UTG115" s="0"/>
      <c r="UTH115" s="0"/>
      <c r="UTI115" s="0"/>
      <c r="UTJ115" s="0"/>
      <c r="UTK115" s="0"/>
      <c r="UTL115" s="0"/>
      <c r="UTM115" s="0"/>
      <c r="UTN115" s="0"/>
      <c r="UTO115" s="0"/>
      <c r="UTP115" s="0"/>
      <c r="UTQ115" s="0"/>
      <c r="UTR115" s="0"/>
      <c r="UTS115" s="0"/>
      <c r="UTT115" s="0"/>
      <c r="UTU115" s="0"/>
      <c r="UTV115" s="0"/>
      <c r="UTW115" s="0"/>
      <c r="UTX115" s="0"/>
      <c r="UTY115" s="0"/>
      <c r="UTZ115" s="0"/>
      <c r="UUA115" s="0"/>
      <c r="UUB115" s="0"/>
      <c r="UUC115" s="0"/>
      <c r="UUD115" s="0"/>
      <c r="UUE115" s="0"/>
      <c r="UUF115" s="0"/>
      <c r="UUG115" s="0"/>
      <c r="UUH115" s="0"/>
      <c r="UUI115" s="0"/>
      <c r="UUJ115" s="0"/>
      <c r="UUK115" s="0"/>
      <c r="UUL115" s="0"/>
      <c r="UUM115" s="0"/>
      <c r="UUN115" s="0"/>
      <c r="UUO115" s="0"/>
      <c r="UUP115" s="0"/>
      <c r="UUQ115" s="0"/>
      <c r="UUR115" s="0"/>
      <c r="UUS115" s="0"/>
      <c r="UUT115" s="0"/>
      <c r="UUU115" s="0"/>
      <c r="UUV115" s="0"/>
      <c r="UUW115" s="0"/>
      <c r="UUX115" s="0"/>
      <c r="UUY115" s="0"/>
      <c r="UUZ115" s="0"/>
      <c r="UVA115" s="0"/>
      <c r="UVB115" s="0"/>
      <c r="UVC115" s="0"/>
      <c r="UVD115" s="0"/>
      <c r="UVE115" s="0"/>
      <c r="UVF115" s="0"/>
      <c r="UVG115" s="0"/>
      <c r="UVH115" s="0"/>
      <c r="UVI115" s="0"/>
      <c r="UVJ115" s="0"/>
      <c r="UVK115" s="0"/>
      <c r="UVL115" s="0"/>
      <c r="UVM115" s="0"/>
      <c r="UVN115" s="0"/>
      <c r="UVO115" s="0"/>
      <c r="UVP115" s="0"/>
      <c r="UVQ115" s="0"/>
      <c r="UVR115" s="0"/>
      <c r="UVS115" s="0"/>
      <c r="UVT115" s="0"/>
      <c r="UVU115" s="0"/>
      <c r="UVV115" s="0"/>
      <c r="UVW115" s="0"/>
      <c r="UVX115" s="0"/>
      <c r="UVY115" s="0"/>
      <c r="UVZ115" s="0"/>
      <c r="UWA115" s="0"/>
      <c r="UWB115" s="0"/>
      <c r="UWC115" s="0"/>
      <c r="UWD115" s="0"/>
      <c r="UWE115" s="0"/>
      <c r="UWF115" s="0"/>
      <c r="UWG115" s="0"/>
      <c r="UWH115" s="0"/>
      <c r="UWI115" s="0"/>
      <c r="UWJ115" s="0"/>
      <c r="UWK115" s="0"/>
      <c r="UWL115" s="0"/>
      <c r="UWM115" s="0"/>
      <c r="UWN115" s="0"/>
      <c r="UWO115" s="0"/>
      <c r="UWP115" s="0"/>
      <c r="UWQ115" s="0"/>
      <c r="UWR115" s="0"/>
      <c r="UWS115" s="0"/>
      <c r="UWT115" s="0"/>
      <c r="UWU115" s="0"/>
      <c r="UWV115" s="0"/>
      <c r="UWW115" s="0"/>
      <c r="UWX115" s="0"/>
      <c r="UWY115" s="0"/>
      <c r="UWZ115" s="0"/>
      <c r="UXA115" s="0"/>
      <c r="UXB115" s="0"/>
      <c r="UXC115" s="0"/>
      <c r="UXD115" s="0"/>
      <c r="UXE115" s="0"/>
      <c r="UXF115" s="0"/>
      <c r="UXG115" s="0"/>
      <c r="UXH115" s="0"/>
      <c r="UXI115" s="0"/>
      <c r="UXJ115" s="0"/>
      <c r="UXK115" s="0"/>
      <c r="UXL115" s="0"/>
      <c r="UXM115" s="0"/>
      <c r="UXN115" s="0"/>
      <c r="UXO115" s="0"/>
      <c r="UXP115" s="0"/>
      <c r="UXQ115" s="0"/>
      <c r="UXR115" s="0"/>
      <c r="UXS115" s="0"/>
      <c r="UXT115" s="0"/>
      <c r="UXU115" s="0"/>
      <c r="UXV115" s="0"/>
      <c r="UXW115" s="0"/>
      <c r="UXX115" s="0"/>
      <c r="UXY115" s="0"/>
      <c r="UXZ115" s="0"/>
      <c r="UYA115" s="0"/>
      <c r="UYB115" s="0"/>
      <c r="UYC115" s="0"/>
      <c r="UYD115" s="0"/>
      <c r="UYE115" s="0"/>
      <c r="UYF115" s="0"/>
      <c r="UYG115" s="0"/>
      <c r="UYH115" s="0"/>
      <c r="UYI115" s="0"/>
      <c r="UYJ115" s="0"/>
      <c r="UYK115" s="0"/>
      <c r="UYL115" s="0"/>
      <c r="UYM115" s="0"/>
      <c r="UYN115" s="0"/>
      <c r="UYO115" s="0"/>
      <c r="UYP115" s="0"/>
      <c r="UYQ115" s="0"/>
      <c r="UYR115" s="0"/>
      <c r="UYS115" s="0"/>
      <c r="UYT115" s="0"/>
      <c r="UYU115" s="0"/>
      <c r="UYV115" s="0"/>
      <c r="UYW115" s="0"/>
      <c r="UYX115" s="0"/>
      <c r="UYY115" s="0"/>
      <c r="UYZ115" s="0"/>
      <c r="UZA115" s="0"/>
      <c r="UZB115" s="0"/>
      <c r="UZC115" s="0"/>
      <c r="UZD115" s="0"/>
      <c r="UZE115" s="0"/>
      <c r="UZF115" s="0"/>
      <c r="UZG115" s="0"/>
      <c r="UZH115" s="0"/>
      <c r="UZI115" s="0"/>
      <c r="UZJ115" s="0"/>
      <c r="UZK115" s="0"/>
      <c r="UZL115" s="0"/>
      <c r="UZM115" s="0"/>
      <c r="UZN115" s="0"/>
      <c r="UZO115" s="0"/>
      <c r="UZP115" s="0"/>
      <c r="UZQ115" s="0"/>
      <c r="UZR115" s="0"/>
      <c r="UZS115" s="0"/>
      <c r="UZT115" s="0"/>
      <c r="UZU115" s="0"/>
      <c r="UZV115" s="0"/>
      <c r="UZW115" s="0"/>
      <c r="UZX115" s="0"/>
      <c r="UZY115" s="0"/>
      <c r="UZZ115" s="0"/>
      <c r="VAA115" s="0"/>
      <c r="VAB115" s="0"/>
      <c r="VAC115" s="0"/>
      <c r="VAD115" s="0"/>
      <c r="VAE115" s="0"/>
      <c r="VAF115" s="0"/>
      <c r="VAG115" s="0"/>
      <c r="VAH115" s="0"/>
      <c r="VAI115" s="0"/>
      <c r="VAJ115" s="0"/>
      <c r="VAK115" s="0"/>
      <c r="VAL115" s="0"/>
      <c r="VAM115" s="0"/>
      <c r="VAN115" s="0"/>
      <c r="VAO115" s="0"/>
      <c r="VAP115" s="0"/>
      <c r="VAQ115" s="0"/>
      <c r="VAR115" s="0"/>
      <c r="VAS115" s="0"/>
      <c r="VAT115" s="0"/>
      <c r="VAU115" s="0"/>
      <c r="VAV115" s="0"/>
      <c r="VAW115" s="0"/>
      <c r="VAX115" s="0"/>
      <c r="VAY115" s="0"/>
      <c r="VAZ115" s="0"/>
      <c r="VBA115" s="0"/>
      <c r="VBB115" s="0"/>
      <c r="VBC115" s="0"/>
      <c r="VBD115" s="0"/>
      <c r="VBE115" s="0"/>
      <c r="VBF115" s="0"/>
      <c r="VBG115" s="0"/>
      <c r="VBH115" s="0"/>
      <c r="VBI115" s="0"/>
      <c r="VBJ115" s="0"/>
      <c r="VBK115" s="0"/>
      <c r="VBL115" s="0"/>
      <c r="VBM115" s="0"/>
      <c r="VBN115" s="0"/>
      <c r="VBO115" s="0"/>
      <c r="VBP115" s="0"/>
      <c r="VBQ115" s="0"/>
      <c r="VBR115" s="0"/>
      <c r="VBS115" s="0"/>
      <c r="VBT115" s="0"/>
      <c r="VBU115" s="0"/>
      <c r="VBV115" s="0"/>
      <c r="VBW115" s="0"/>
      <c r="VBX115" s="0"/>
      <c r="VBY115" s="0"/>
      <c r="VBZ115" s="0"/>
      <c r="VCA115" s="0"/>
      <c r="VCB115" s="0"/>
      <c r="VCC115" s="0"/>
      <c r="VCD115" s="0"/>
      <c r="VCE115" s="0"/>
      <c r="VCF115" s="0"/>
      <c r="VCG115" s="0"/>
      <c r="VCH115" s="0"/>
      <c r="VCI115" s="0"/>
      <c r="VCJ115" s="0"/>
      <c r="VCK115" s="0"/>
      <c r="VCL115" s="0"/>
      <c r="VCM115" s="0"/>
      <c r="VCN115" s="0"/>
      <c r="VCO115" s="0"/>
      <c r="VCP115" s="0"/>
      <c r="VCQ115" s="0"/>
      <c r="VCR115" s="0"/>
      <c r="VCS115" s="0"/>
      <c r="VCT115" s="0"/>
      <c r="VCU115" s="0"/>
      <c r="VCV115" s="0"/>
      <c r="VCW115" s="0"/>
      <c r="VCX115" s="0"/>
      <c r="VCY115" s="0"/>
      <c r="VCZ115" s="0"/>
      <c r="VDA115" s="0"/>
      <c r="VDB115" s="0"/>
      <c r="VDC115" s="0"/>
      <c r="VDD115" s="0"/>
      <c r="VDE115" s="0"/>
      <c r="VDF115" s="0"/>
      <c r="VDG115" s="0"/>
      <c r="VDH115" s="0"/>
      <c r="VDI115" s="0"/>
      <c r="VDJ115" s="0"/>
      <c r="VDK115" s="0"/>
      <c r="VDL115" s="0"/>
      <c r="VDM115" s="0"/>
      <c r="VDN115" s="0"/>
      <c r="VDO115" s="0"/>
      <c r="VDP115" s="0"/>
      <c r="VDQ115" s="0"/>
      <c r="VDR115" s="0"/>
      <c r="VDS115" s="0"/>
      <c r="VDT115" s="0"/>
      <c r="VDU115" s="0"/>
      <c r="VDV115" s="0"/>
      <c r="VDW115" s="0"/>
      <c r="VDX115" s="0"/>
      <c r="VDY115" s="0"/>
      <c r="VDZ115" s="0"/>
      <c r="VEA115" s="0"/>
      <c r="VEB115" s="0"/>
      <c r="VEC115" s="0"/>
      <c r="VED115" s="0"/>
      <c r="VEE115" s="0"/>
      <c r="VEF115" s="0"/>
      <c r="VEG115" s="0"/>
      <c r="VEH115" s="0"/>
      <c r="VEI115" s="0"/>
      <c r="VEJ115" s="0"/>
      <c r="VEK115" s="0"/>
      <c r="VEL115" s="0"/>
      <c r="VEM115" s="0"/>
      <c r="VEN115" s="0"/>
      <c r="VEO115" s="0"/>
      <c r="VEP115" s="0"/>
      <c r="VEQ115" s="0"/>
      <c r="VER115" s="0"/>
      <c r="VES115" s="0"/>
      <c r="VET115" s="0"/>
      <c r="VEU115" s="0"/>
      <c r="VEV115" s="0"/>
      <c r="VEW115" s="0"/>
      <c r="VEX115" s="0"/>
      <c r="VEY115" s="0"/>
      <c r="VEZ115" s="0"/>
      <c r="VFA115" s="0"/>
      <c r="VFB115" s="0"/>
      <c r="VFC115" s="0"/>
      <c r="VFD115" s="0"/>
      <c r="VFE115" s="0"/>
      <c r="VFF115" s="0"/>
      <c r="VFG115" s="0"/>
      <c r="VFH115" s="0"/>
      <c r="VFI115" s="0"/>
      <c r="VFJ115" s="0"/>
      <c r="VFK115" s="0"/>
      <c r="VFL115" s="0"/>
      <c r="VFM115" s="0"/>
      <c r="VFN115" s="0"/>
      <c r="VFO115" s="0"/>
      <c r="VFP115" s="0"/>
      <c r="VFQ115" s="0"/>
      <c r="VFR115" s="0"/>
      <c r="VFS115" s="0"/>
      <c r="VFT115" s="0"/>
      <c r="VFU115" s="0"/>
      <c r="VFV115" s="0"/>
      <c r="VFW115" s="0"/>
      <c r="VFX115" s="0"/>
      <c r="VFY115" s="0"/>
      <c r="VFZ115" s="0"/>
      <c r="VGA115" s="0"/>
      <c r="VGB115" s="0"/>
      <c r="VGC115" s="0"/>
      <c r="VGD115" s="0"/>
      <c r="VGE115" s="0"/>
      <c r="VGF115" s="0"/>
      <c r="VGG115" s="0"/>
      <c r="VGH115" s="0"/>
      <c r="VGI115" s="0"/>
      <c r="VGJ115" s="0"/>
      <c r="VGK115" s="0"/>
      <c r="VGL115" s="0"/>
      <c r="VGM115" s="0"/>
      <c r="VGN115" s="0"/>
      <c r="VGO115" s="0"/>
      <c r="VGP115" s="0"/>
      <c r="VGQ115" s="0"/>
      <c r="VGR115" s="0"/>
      <c r="VGS115" s="0"/>
      <c r="VGT115" s="0"/>
      <c r="VGU115" s="0"/>
      <c r="VGV115" s="0"/>
      <c r="VGW115" s="0"/>
      <c r="VGX115" s="0"/>
      <c r="VGY115" s="0"/>
      <c r="VGZ115" s="0"/>
      <c r="VHA115" s="0"/>
      <c r="VHB115" s="0"/>
      <c r="VHC115" s="0"/>
      <c r="VHD115" s="0"/>
      <c r="VHE115" s="0"/>
      <c r="VHF115" s="0"/>
      <c r="VHG115" s="0"/>
      <c r="VHH115" s="0"/>
      <c r="VHI115" s="0"/>
      <c r="VHJ115" s="0"/>
      <c r="VHK115" s="0"/>
      <c r="VHL115" s="0"/>
      <c r="VHM115" s="0"/>
      <c r="VHN115" s="0"/>
      <c r="VHO115" s="0"/>
      <c r="VHP115" s="0"/>
      <c r="VHQ115" s="0"/>
      <c r="VHR115" s="0"/>
      <c r="VHS115" s="0"/>
      <c r="VHT115" s="0"/>
      <c r="VHU115" s="0"/>
      <c r="VHV115" s="0"/>
      <c r="VHW115" s="0"/>
      <c r="VHX115" s="0"/>
      <c r="VHY115" s="0"/>
      <c r="VHZ115" s="0"/>
      <c r="VIA115" s="0"/>
      <c r="VIB115" s="0"/>
      <c r="VIC115" s="0"/>
      <c r="VID115" s="0"/>
      <c r="VIE115" s="0"/>
      <c r="VIF115" s="0"/>
      <c r="VIG115" s="0"/>
      <c r="VIH115" s="0"/>
      <c r="VII115" s="0"/>
      <c r="VIJ115" s="0"/>
      <c r="VIK115" s="0"/>
      <c r="VIL115" s="0"/>
      <c r="VIM115" s="0"/>
      <c r="VIN115" s="0"/>
      <c r="VIO115" s="0"/>
      <c r="VIP115" s="0"/>
      <c r="VIQ115" s="0"/>
      <c r="VIR115" s="0"/>
      <c r="VIS115" s="0"/>
      <c r="VIT115" s="0"/>
      <c r="VIU115" s="0"/>
      <c r="VIV115" s="0"/>
      <c r="VIW115" s="0"/>
      <c r="VIX115" s="0"/>
      <c r="VIY115" s="0"/>
      <c r="VIZ115" s="0"/>
      <c r="VJA115" s="0"/>
      <c r="VJB115" s="0"/>
      <c r="VJC115" s="0"/>
      <c r="VJD115" s="0"/>
      <c r="VJE115" s="0"/>
      <c r="VJF115" s="0"/>
      <c r="VJG115" s="0"/>
      <c r="VJH115" s="0"/>
      <c r="VJI115" s="0"/>
      <c r="VJJ115" s="0"/>
      <c r="VJK115" s="0"/>
      <c r="VJL115" s="0"/>
      <c r="VJM115" s="0"/>
      <c r="VJN115" s="0"/>
      <c r="VJO115" s="0"/>
      <c r="VJP115" s="0"/>
      <c r="VJQ115" s="0"/>
      <c r="VJR115" s="0"/>
      <c r="VJS115" s="0"/>
      <c r="VJT115" s="0"/>
      <c r="VJU115" s="0"/>
      <c r="VJV115" s="0"/>
      <c r="VJW115" s="0"/>
      <c r="VJX115" s="0"/>
      <c r="VJY115" s="0"/>
      <c r="VJZ115" s="0"/>
      <c r="VKA115" s="0"/>
      <c r="VKB115" s="0"/>
      <c r="VKC115" s="0"/>
      <c r="VKD115" s="0"/>
      <c r="VKE115" s="0"/>
      <c r="VKF115" s="0"/>
      <c r="VKG115" s="0"/>
      <c r="VKH115" s="0"/>
      <c r="VKI115" s="0"/>
      <c r="VKJ115" s="0"/>
      <c r="VKK115" s="0"/>
      <c r="VKL115" s="0"/>
      <c r="VKM115" s="0"/>
      <c r="VKN115" s="0"/>
      <c r="VKO115" s="0"/>
      <c r="VKP115" s="0"/>
      <c r="VKQ115" s="0"/>
      <c r="VKR115" s="0"/>
      <c r="VKS115" s="0"/>
      <c r="VKT115" s="0"/>
      <c r="VKU115" s="0"/>
      <c r="VKV115" s="0"/>
      <c r="VKW115" s="0"/>
      <c r="VKX115" s="0"/>
      <c r="VKY115" s="0"/>
      <c r="VKZ115" s="0"/>
      <c r="VLA115" s="0"/>
      <c r="VLB115" s="0"/>
      <c r="VLC115" s="0"/>
      <c r="VLD115" s="0"/>
      <c r="VLE115" s="0"/>
      <c r="VLF115" s="0"/>
      <c r="VLG115" s="0"/>
      <c r="VLH115" s="0"/>
      <c r="VLI115" s="0"/>
      <c r="VLJ115" s="0"/>
      <c r="VLK115" s="0"/>
      <c r="VLL115" s="0"/>
      <c r="VLM115" s="0"/>
      <c r="VLN115" s="0"/>
      <c r="VLO115" s="0"/>
      <c r="VLP115" s="0"/>
      <c r="VLQ115" s="0"/>
      <c r="VLR115" s="0"/>
      <c r="VLS115" s="0"/>
      <c r="VLT115" s="0"/>
      <c r="VLU115" s="0"/>
      <c r="VLV115" s="0"/>
      <c r="VLW115" s="0"/>
      <c r="VLX115" s="0"/>
      <c r="VLY115" s="0"/>
      <c r="VLZ115" s="0"/>
      <c r="VMA115" s="0"/>
      <c r="VMB115" s="0"/>
      <c r="VMC115" s="0"/>
      <c r="VMD115" s="0"/>
      <c r="VME115" s="0"/>
      <c r="VMF115" s="0"/>
      <c r="VMG115" s="0"/>
      <c r="VMH115" s="0"/>
      <c r="VMI115" s="0"/>
      <c r="VMJ115" s="0"/>
      <c r="VMK115" s="0"/>
      <c r="VML115" s="0"/>
      <c r="VMM115" s="0"/>
      <c r="VMN115" s="0"/>
      <c r="VMO115" s="0"/>
      <c r="VMP115" s="0"/>
      <c r="VMQ115" s="0"/>
      <c r="VMR115" s="0"/>
      <c r="VMS115" s="0"/>
      <c r="VMT115" s="0"/>
      <c r="VMU115" s="0"/>
      <c r="VMV115" s="0"/>
      <c r="VMW115" s="0"/>
      <c r="VMX115" s="0"/>
      <c r="VMY115" s="0"/>
      <c r="VMZ115" s="0"/>
      <c r="VNA115" s="0"/>
      <c r="VNB115" s="0"/>
      <c r="VNC115" s="0"/>
      <c r="VND115" s="0"/>
      <c r="VNE115" s="0"/>
      <c r="VNF115" s="0"/>
      <c r="VNG115" s="0"/>
      <c r="VNH115" s="0"/>
      <c r="VNI115" s="0"/>
      <c r="VNJ115" s="0"/>
      <c r="VNK115" s="0"/>
      <c r="VNL115" s="0"/>
      <c r="VNM115" s="0"/>
      <c r="VNN115" s="0"/>
      <c r="VNO115" s="0"/>
      <c r="VNP115" s="0"/>
      <c r="VNQ115" s="0"/>
      <c r="VNR115" s="0"/>
      <c r="VNS115" s="0"/>
      <c r="VNT115" s="0"/>
      <c r="VNU115" s="0"/>
      <c r="VNV115" s="0"/>
      <c r="VNW115" s="0"/>
      <c r="VNX115" s="0"/>
      <c r="VNY115" s="0"/>
      <c r="VNZ115" s="0"/>
      <c r="VOA115" s="0"/>
      <c r="VOB115" s="0"/>
      <c r="VOC115" s="0"/>
      <c r="VOD115" s="0"/>
      <c r="VOE115" s="0"/>
      <c r="VOF115" s="0"/>
      <c r="VOG115" s="0"/>
      <c r="VOH115" s="0"/>
      <c r="VOI115" s="0"/>
      <c r="VOJ115" s="0"/>
      <c r="VOK115" s="0"/>
      <c r="VOL115" s="0"/>
      <c r="VOM115" s="0"/>
      <c r="VON115" s="0"/>
      <c r="VOO115" s="0"/>
      <c r="VOP115" s="0"/>
      <c r="VOQ115" s="0"/>
      <c r="VOR115" s="0"/>
      <c r="VOS115" s="0"/>
      <c r="VOT115" s="0"/>
      <c r="VOU115" s="0"/>
      <c r="VOV115" s="0"/>
      <c r="VOW115" s="0"/>
      <c r="VOX115" s="0"/>
      <c r="VOY115" s="0"/>
      <c r="VOZ115" s="0"/>
      <c r="VPA115" s="0"/>
      <c r="VPB115" s="0"/>
      <c r="VPC115" s="0"/>
      <c r="VPD115" s="0"/>
      <c r="VPE115" s="0"/>
      <c r="VPF115" s="0"/>
      <c r="VPG115" s="0"/>
      <c r="VPH115" s="0"/>
      <c r="VPI115" s="0"/>
      <c r="VPJ115" s="0"/>
      <c r="VPK115" s="0"/>
      <c r="VPL115" s="0"/>
      <c r="VPM115" s="0"/>
      <c r="VPN115" s="0"/>
      <c r="VPO115" s="0"/>
      <c r="VPP115" s="0"/>
      <c r="VPQ115" s="0"/>
      <c r="VPR115" s="0"/>
      <c r="VPS115" s="0"/>
      <c r="VPT115" s="0"/>
      <c r="VPU115" s="0"/>
      <c r="VPV115" s="0"/>
      <c r="VPW115" s="0"/>
      <c r="VPX115" s="0"/>
      <c r="VPY115" s="0"/>
      <c r="VPZ115" s="0"/>
      <c r="VQA115" s="0"/>
      <c r="VQB115" s="0"/>
      <c r="VQC115" s="0"/>
      <c r="VQD115" s="0"/>
      <c r="VQE115" s="0"/>
      <c r="VQF115" s="0"/>
      <c r="VQG115" s="0"/>
      <c r="VQH115" s="0"/>
      <c r="VQI115" s="0"/>
      <c r="VQJ115" s="0"/>
      <c r="VQK115" s="0"/>
      <c r="VQL115" s="0"/>
      <c r="VQM115" s="0"/>
      <c r="VQN115" s="0"/>
      <c r="VQO115" s="0"/>
      <c r="VQP115" s="0"/>
      <c r="VQQ115" s="0"/>
      <c r="VQR115" s="0"/>
      <c r="VQS115" s="0"/>
      <c r="VQT115" s="0"/>
      <c r="VQU115" s="0"/>
      <c r="VQV115" s="0"/>
      <c r="VQW115" s="0"/>
      <c r="VQX115" s="0"/>
      <c r="VQY115" s="0"/>
      <c r="VQZ115" s="0"/>
      <c r="VRA115" s="0"/>
      <c r="VRB115" s="0"/>
      <c r="VRC115" s="0"/>
      <c r="VRD115" s="0"/>
      <c r="VRE115" s="0"/>
      <c r="VRF115" s="0"/>
      <c r="VRG115" s="0"/>
      <c r="VRH115" s="0"/>
      <c r="VRI115" s="0"/>
      <c r="VRJ115" s="0"/>
      <c r="VRK115" s="0"/>
      <c r="VRL115" s="0"/>
      <c r="VRM115" s="0"/>
      <c r="VRN115" s="0"/>
      <c r="VRO115" s="0"/>
      <c r="VRP115" s="0"/>
      <c r="VRQ115" s="0"/>
      <c r="VRR115" s="0"/>
      <c r="VRS115" s="0"/>
      <c r="VRT115" s="0"/>
      <c r="VRU115" s="0"/>
      <c r="VRV115" s="0"/>
      <c r="VRW115" s="0"/>
      <c r="VRX115" s="0"/>
      <c r="VRY115" s="0"/>
      <c r="VRZ115" s="0"/>
      <c r="VSA115" s="0"/>
      <c r="VSB115" s="0"/>
      <c r="VSC115" s="0"/>
      <c r="VSD115" s="0"/>
      <c r="VSE115" s="0"/>
      <c r="VSF115" s="0"/>
      <c r="VSG115" s="0"/>
      <c r="VSH115" s="0"/>
      <c r="VSI115" s="0"/>
      <c r="VSJ115" s="0"/>
      <c r="VSK115" s="0"/>
      <c r="VSL115" s="0"/>
      <c r="VSM115" s="0"/>
      <c r="VSN115" s="0"/>
      <c r="VSO115" s="0"/>
      <c r="VSP115" s="0"/>
      <c r="VSQ115" s="0"/>
      <c r="VSR115" s="0"/>
      <c r="VSS115" s="0"/>
      <c r="VST115" s="0"/>
      <c r="VSU115" s="0"/>
      <c r="VSV115" s="0"/>
      <c r="VSW115" s="0"/>
      <c r="VSX115" s="0"/>
      <c r="VSY115" s="0"/>
      <c r="VSZ115" s="0"/>
      <c r="VTA115" s="0"/>
      <c r="VTB115" s="0"/>
      <c r="VTC115" s="0"/>
      <c r="VTD115" s="0"/>
      <c r="VTE115" s="0"/>
      <c r="VTF115" s="0"/>
      <c r="VTG115" s="0"/>
      <c r="VTH115" s="0"/>
      <c r="VTI115" s="0"/>
      <c r="VTJ115" s="0"/>
      <c r="VTK115" s="0"/>
      <c r="VTL115" s="0"/>
      <c r="VTM115" s="0"/>
      <c r="VTN115" s="0"/>
      <c r="VTO115" s="0"/>
      <c r="VTP115" s="0"/>
      <c r="VTQ115" s="0"/>
      <c r="VTR115" s="0"/>
      <c r="VTS115" s="0"/>
      <c r="VTT115" s="0"/>
      <c r="VTU115" s="0"/>
      <c r="VTV115" s="0"/>
      <c r="VTW115" s="0"/>
      <c r="VTX115" s="0"/>
      <c r="VTY115" s="0"/>
      <c r="VTZ115" s="0"/>
      <c r="VUA115" s="0"/>
      <c r="VUB115" s="0"/>
      <c r="VUC115" s="0"/>
      <c r="VUD115" s="0"/>
      <c r="VUE115" s="0"/>
      <c r="VUF115" s="0"/>
      <c r="VUG115" s="0"/>
      <c r="VUH115" s="0"/>
      <c r="VUI115" s="0"/>
      <c r="VUJ115" s="0"/>
      <c r="VUK115" s="0"/>
      <c r="VUL115" s="0"/>
      <c r="VUM115" s="0"/>
      <c r="VUN115" s="0"/>
      <c r="VUO115" s="0"/>
      <c r="VUP115" s="0"/>
      <c r="VUQ115" s="0"/>
      <c r="VUR115" s="0"/>
      <c r="VUS115" s="0"/>
      <c r="VUT115" s="0"/>
      <c r="VUU115" s="0"/>
      <c r="VUV115" s="0"/>
      <c r="VUW115" s="0"/>
      <c r="VUX115" s="0"/>
      <c r="VUY115" s="0"/>
      <c r="VUZ115" s="0"/>
      <c r="VVA115" s="0"/>
      <c r="VVB115" s="0"/>
      <c r="VVC115" s="0"/>
      <c r="VVD115" s="0"/>
      <c r="VVE115" s="0"/>
      <c r="VVF115" s="0"/>
      <c r="VVG115" s="0"/>
      <c r="VVH115" s="0"/>
      <c r="VVI115" s="0"/>
      <c r="VVJ115" s="0"/>
      <c r="VVK115" s="0"/>
      <c r="VVL115" s="0"/>
      <c r="VVM115" s="0"/>
      <c r="VVN115" s="0"/>
      <c r="VVO115" s="0"/>
      <c r="VVP115" s="0"/>
      <c r="VVQ115" s="0"/>
      <c r="VVR115" s="0"/>
      <c r="VVS115" s="0"/>
      <c r="VVT115" s="0"/>
      <c r="VVU115" s="0"/>
      <c r="VVV115" s="0"/>
      <c r="VVW115" s="0"/>
      <c r="VVX115" s="0"/>
      <c r="VVY115" s="0"/>
      <c r="VVZ115" s="0"/>
      <c r="VWA115" s="0"/>
      <c r="VWB115" s="0"/>
      <c r="VWC115" s="0"/>
      <c r="VWD115" s="0"/>
      <c r="VWE115" s="0"/>
      <c r="VWF115" s="0"/>
      <c r="VWG115" s="0"/>
      <c r="VWH115" s="0"/>
      <c r="VWI115" s="0"/>
      <c r="VWJ115" s="0"/>
      <c r="VWK115" s="0"/>
      <c r="VWL115" s="0"/>
      <c r="VWM115" s="0"/>
      <c r="VWN115" s="0"/>
      <c r="VWO115" s="0"/>
      <c r="VWP115" s="0"/>
      <c r="VWQ115" s="0"/>
      <c r="VWR115" s="0"/>
      <c r="VWS115" s="0"/>
      <c r="VWT115" s="0"/>
      <c r="VWU115" s="0"/>
      <c r="VWV115" s="0"/>
      <c r="VWW115" s="0"/>
      <c r="VWX115" s="0"/>
      <c r="VWY115" s="0"/>
      <c r="VWZ115" s="0"/>
      <c r="VXA115" s="0"/>
      <c r="VXB115" s="0"/>
      <c r="VXC115" s="0"/>
      <c r="VXD115" s="0"/>
      <c r="VXE115" s="0"/>
      <c r="VXF115" s="0"/>
      <c r="VXG115" s="0"/>
      <c r="VXH115" s="0"/>
      <c r="VXI115" s="0"/>
      <c r="VXJ115" s="0"/>
      <c r="VXK115" s="0"/>
      <c r="VXL115" s="0"/>
      <c r="VXM115" s="0"/>
      <c r="VXN115" s="0"/>
      <c r="VXO115" s="0"/>
      <c r="VXP115" s="0"/>
      <c r="VXQ115" s="0"/>
      <c r="VXR115" s="0"/>
      <c r="VXS115" s="0"/>
      <c r="VXT115" s="0"/>
      <c r="VXU115" s="0"/>
      <c r="VXV115" s="0"/>
      <c r="VXW115" s="0"/>
      <c r="VXX115" s="0"/>
      <c r="VXY115" s="0"/>
      <c r="VXZ115" s="0"/>
      <c r="VYA115" s="0"/>
      <c r="VYB115" s="0"/>
      <c r="VYC115" s="0"/>
      <c r="VYD115" s="0"/>
      <c r="VYE115" s="0"/>
      <c r="VYF115" s="0"/>
      <c r="VYG115" s="0"/>
      <c r="VYH115" s="0"/>
      <c r="VYI115" s="0"/>
      <c r="VYJ115" s="0"/>
      <c r="VYK115" s="0"/>
      <c r="VYL115" s="0"/>
      <c r="VYM115" s="0"/>
      <c r="VYN115" s="0"/>
      <c r="VYO115" s="0"/>
      <c r="VYP115" s="0"/>
      <c r="VYQ115" s="0"/>
      <c r="VYR115" s="0"/>
      <c r="VYS115" s="0"/>
      <c r="VYT115" s="0"/>
      <c r="VYU115" s="0"/>
      <c r="VYV115" s="0"/>
      <c r="VYW115" s="0"/>
      <c r="VYX115" s="0"/>
      <c r="VYY115" s="0"/>
      <c r="VYZ115" s="0"/>
      <c r="VZA115" s="0"/>
      <c r="VZB115" s="0"/>
      <c r="VZC115" s="0"/>
      <c r="VZD115" s="0"/>
      <c r="VZE115" s="0"/>
      <c r="VZF115" s="0"/>
      <c r="VZG115" s="0"/>
      <c r="VZH115" s="0"/>
      <c r="VZI115" s="0"/>
      <c r="VZJ115" s="0"/>
      <c r="VZK115" s="0"/>
      <c r="VZL115" s="0"/>
      <c r="VZM115" s="0"/>
      <c r="VZN115" s="0"/>
      <c r="VZO115" s="0"/>
      <c r="VZP115" s="0"/>
      <c r="VZQ115" s="0"/>
      <c r="VZR115" s="0"/>
      <c r="VZS115" s="0"/>
      <c r="VZT115" s="0"/>
      <c r="VZU115" s="0"/>
      <c r="VZV115" s="0"/>
      <c r="VZW115" s="0"/>
      <c r="VZX115" s="0"/>
      <c r="VZY115" s="0"/>
      <c r="VZZ115" s="0"/>
      <c r="WAA115" s="0"/>
      <c r="WAB115" s="0"/>
      <c r="WAC115" s="0"/>
      <c r="WAD115" s="0"/>
      <c r="WAE115" s="0"/>
      <c r="WAF115" s="0"/>
      <c r="WAG115" s="0"/>
      <c r="WAH115" s="0"/>
      <c r="WAI115" s="0"/>
      <c r="WAJ115" s="0"/>
      <c r="WAK115" s="0"/>
      <c r="WAL115" s="0"/>
      <c r="WAM115" s="0"/>
      <c r="WAN115" s="0"/>
      <c r="WAO115" s="0"/>
      <c r="WAP115" s="0"/>
      <c r="WAQ115" s="0"/>
      <c r="WAR115" s="0"/>
      <c r="WAS115" s="0"/>
      <c r="WAT115" s="0"/>
      <c r="WAU115" s="0"/>
      <c r="WAV115" s="0"/>
      <c r="WAW115" s="0"/>
      <c r="WAX115" s="0"/>
      <c r="WAY115" s="0"/>
      <c r="WAZ115" s="0"/>
      <c r="WBA115" s="0"/>
      <c r="WBB115" s="0"/>
      <c r="WBC115" s="0"/>
      <c r="WBD115" s="0"/>
      <c r="WBE115" s="0"/>
      <c r="WBF115" s="0"/>
      <c r="WBG115" s="0"/>
      <c r="WBH115" s="0"/>
      <c r="WBI115" s="0"/>
      <c r="WBJ115" s="0"/>
      <c r="WBK115" s="0"/>
      <c r="WBL115" s="0"/>
      <c r="WBM115" s="0"/>
      <c r="WBN115" s="0"/>
      <c r="WBO115" s="0"/>
      <c r="WBP115" s="0"/>
      <c r="WBQ115" s="0"/>
      <c r="WBR115" s="0"/>
      <c r="WBS115" s="0"/>
      <c r="WBT115" s="0"/>
      <c r="WBU115" s="0"/>
      <c r="WBV115" s="0"/>
      <c r="WBW115" s="0"/>
      <c r="WBX115" s="0"/>
      <c r="WBY115" s="0"/>
      <c r="WBZ115" s="0"/>
      <c r="WCA115" s="0"/>
      <c r="WCB115" s="0"/>
      <c r="WCC115" s="0"/>
      <c r="WCD115" s="0"/>
      <c r="WCE115" s="0"/>
      <c r="WCF115" s="0"/>
      <c r="WCG115" s="0"/>
      <c r="WCH115" s="0"/>
      <c r="WCI115" s="0"/>
      <c r="WCJ115" s="0"/>
      <c r="WCK115" s="0"/>
      <c r="WCL115" s="0"/>
      <c r="WCM115" s="0"/>
      <c r="WCN115" s="0"/>
      <c r="WCO115" s="0"/>
      <c r="WCP115" s="0"/>
      <c r="WCQ115" s="0"/>
      <c r="WCR115" s="0"/>
      <c r="WCS115" s="0"/>
      <c r="WCT115" s="0"/>
      <c r="WCU115" s="0"/>
      <c r="WCV115" s="0"/>
      <c r="WCW115" s="0"/>
      <c r="WCX115" s="0"/>
      <c r="WCY115" s="0"/>
      <c r="WCZ115" s="0"/>
      <c r="WDA115" s="0"/>
      <c r="WDB115" s="0"/>
      <c r="WDC115" s="0"/>
      <c r="WDD115" s="0"/>
      <c r="WDE115" s="0"/>
      <c r="WDF115" s="0"/>
      <c r="WDG115" s="0"/>
      <c r="WDH115" s="0"/>
      <c r="WDI115" s="0"/>
      <c r="WDJ115" s="0"/>
      <c r="WDK115" s="0"/>
      <c r="WDL115" s="0"/>
      <c r="WDM115" s="0"/>
      <c r="WDN115" s="0"/>
      <c r="WDO115" s="0"/>
      <c r="WDP115" s="0"/>
      <c r="WDQ115" s="0"/>
      <c r="WDR115" s="0"/>
      <c r="WDS115" s="0"/>
      <c r="WDT115" s="0"/>
      <c r="WDU115" s="0"/>
      <c r="WDV115" s="0"/>
      <c r="WDW115" s="0"/>
      <c r="WDX115" s="0"/>
      <c r="WDY115" s="0"/>
      <c r="WDZ115" s="0"/>
      <c r="WEA115" s="0"/>
      <c r="WEB115" s="0"/>
      <c r="WEC115" s="0"/>
      <c r="WED115" s="0"/>
      <c r="WEE115" s="0"/>
      <c r="WEF115" s="0"/>
      <c r="WEG115" s="0"/>
      <c r="WEH115" s="0"/>
      <c r="WEI115" s="0"/>
      <c r="WEJ115" s="0"/>
      <c r="WEK115" s="0"/>
      <c r="WEL115" s="0"/>
      <c r="WEM115" s="0"/>
      <c r="WEN115" s="0"/>
      <c r="WEO115" s="0"/>
      <c r="WEP115" s="0"/>
      <c r="WEQ115" s="0"/>
      <c r="WER115" s="0"/>
      <c r="WES115" s="0"/>
      <c r="WET115" s="0"/>
      <c r="WEU115" s="0"/>
      <c r="WEV115" s="0"/>
      <c r="WEW115" s="0"/>
      <c r="WEX115" s="0"/>
      <c r="WEY115" s="0"/>
      <c r="WEZ115" s="0"/>
      <c r="WFA115" s="0"/>
      <c r="WFB115" s="0"/>
      <c r="WFC115" s="0"/>
      <c r="WFD115" s="0"/>
      <c r="WFE115" s="0"/>
      <c r="WFF115" s="0"/>
      <c r="WFG115" s="0"/>
      <c r="WFH115" s="0"/>
      <c r="WFI115" s="0"/>
      <c r="WFJ115" s="0"/>
      <c r="WFK115" s="0"/>
      <c r="WFL115" s="0"/>
      <c r="WFM115" s="0"/>
      <c r="WFN115" s="0"/>
      <c r="WFO115" s="0"/>
      <c r="WFP115" s="0"/>
      <c r="WFQ115" s="0"/>
      <c r="WFR115" s="0"/>
      <c r="WFS115" s="0"/>
      <c r="WFT115" s="0"/>
      <c r="WFU115" s="0"/>
      <c r="WFV115" s="0"/>
      <c r="WFW115" s="0"/>
      <c r="WFX115" s="0"/>
      <c r="WFY115" s="0"/>
      <c r="WFZ115" s="0"/>
      <c r="WGA115" s="0"/>
      <c r="WGB115" s="0"/>
      <c r="WGC115" s="0"/>
      <c r="WGD115" s="0"/>
      <c r="WGE115" s="0"/>
      <c r="WGF115" s="0"/>
      <c r="WGG115" s="0"/>
      <c r="WGH115" s="0"/>
      <c r="WGI115" s="0"/>
      <c r="WGJ115" s="0"/>
      <c r="WGK115" s="0"/>
      <c r="WGL115" s="0"/>
      <c r="WGM115" s="0"/>
      <c r="WGN115" s="0"/>
      <c r="WGO115" s="0"/>
      <c r="WGP115" s="0"/>
      <c r="WGQ115" s="0"/>
      <c r="WGR115" s="0"/>
      <c r="WGS115" s="0"/>
      <c r="WGT115" s="0"/>
      <c r="WGU115" s="0"/>
      <c r="WGV115" s="0"/>
      <c r="WGW115" s="0"/>
      <c r="WGX115" s="0"/>
      <c r="WGY115" s="0"/>
      <c r="WGZ115" s="0"/>
      <c r="WHA115" s="0"/>
      <c r="WHB115" s="0"/>
      <c r="WHC115" s="0"/>
      <c r="WHD115" s="0"/>
      <c r="WHE115" s="0"/>
      <c r="WHF115" s="0"/>
      <c r="WHG115" s="0"/>
      <c r="WHH115" s="0"/>
      <c r="WHI115" s="0"/>
      <c r="WHJ115" s="0"/>
      <c r="WHK115" s="0"/>
      <c r="WHL115" s="0"/>
      <c r="WHM115" s="0"/>
      <c r="WHN115" s="0"/>
      <c r="WHO115" s="0"/>
      <c r="WHP115" s="0"/>
      <c r="WHQ115" s="0"/>
      <c r="WHR115" s="0"/>
      <c r="WHS115" s="0"/>
      <c r="WHT115" s="0"/>
      <c r="WHU115" s="0"/>
      <c r="WHV115" s="0"/>
      <c r="WHW115" s="0"/>
      <c r="WHX115" s="0"/>
      <c r="WHY115" s="0"/>
      <c r="WHZ115" s="0"/>
      <c r="WIA115" s="0"/>
      <c r="WIB115" s="0"/>
      <c r="WIC115" s="0"/>
      <c r="WID115" s="0"/>
      <c r="WIE115" s="0"/>
      <c r="WIF115" s="0"/>
      <c r="WIG115" s="0"/>
      <c r="WIH115" s="0"/>
      <c r="WII115" s="0"/>
      <c r="WIJ115" s="0"/>
      <c r="WIK115" s="0"/>
      <c r="WIL115" s="0"/>
      <c r="WIM115" s="0"/>
      <c r="WIN115" s="0"/>
      <c r="WIO115" s="0"/>
      <c r="WIP115" s="0"/>
      <c r="WIQ115" s="0"/>
      <c r="WIR115" s="0"/>
      <c r="WIS115" s="0"/>
      <c r="WIT115" s="0"/>
      <c r="WIU115" s="0"/>
      <c r="WIV115" s="0"/>
      <c r="WIW115" s="0"/>
      <c r="WIX115" s="0"/>
      <c r="WIY115" s="0"/>
      <c r="WIZ115" s="0"/>
      <c r="WJA115" s="0"/>
      <c r="WJB115" s="0"/>
      <c r="WJC115" s="0"/>
      <c r="WJD115" s="0"/>
      <c r="WJE115" s="0"/>
      <c r="WJF115" s="0"/>
      <c r="WJG115" s="0"/>
      <c r="WJH115" s="0"/>
      <c r="WJI115" s="0"/>
      <c r="WJJ115" s="0"/>
      <c r="WJK115" s="0"/>
      <c r="WJL115" s="0"/>
      <c r="WJM115" s="0"/>
      <c r="WJN115" s="0"/>
      <c r="WJO115" s="0"/>
      <c r="WJP115" s="0"/>
      <c r="WJQ115" s="0"/>
      <c r="WJR115" s="0"/>
      <c r="WJS115" s="0"/>
      <c r="WJT115" s="0"/>
      <c r="WJU115" s="0"/>
      <c r="WJV115" s="0"/>
      <c r="WJW115" s="0"/>
      <c r="WJX115" s="0"/>
      <c r="WJY115" s="0"/>
      <c r="WJZ115" s="0"/>
      <c r="WKA115" s="0"/>
      <c r="WKB115" s="0"/>
      <c r="WKC115" s="0"/>
      <c r="WKD115" s="0"/>
      <c r="WKE115" s="0"/>
      <c r="WKF115" s="0"/>
      <c r="WKG115" s="0"/>
      <c r="WKH115" s="0"/>
      <c r="WKI115" s="0"/>
      <c r="WKJ115" s="0"/>
      <c r="WKK115" s="0"/>
      <c r="WKL115" s="0"/>
      <c r="WKM115" s="0"/>
      <c r="WKN115" s="0"/>
      <c r="WKO115" s="0"/>
      <c r="WKP115" s="0"/>
      <c r="WKQ115" s="0"/>
      <c r="WKR115" s="0"/>
      <c r="WKS115" s="0"/>
      <c r="WKT115" s="0"/>
      <c r="WKU115" s="0"/>
      <c r="WKV115" s="0"/>
      <c r="WKW115" s="0"/>
      <c r="WKX115" s="0"/>
      <c r="WKY115" s="0"/>
      <c r="WKZ115" s="0"/>
      <c r="WLA115" s="0"/>
      <c r="WLB115" s="0"/>
      <c r="WLC115" s="0"/>
      <c r="WLD115" s="0"/>
      <c r="WLE115" s="0"/>
      <c r="WLF115" s="0"/>
      <c r="WLG115" s="0"/>
      <c r="WLH115" s="0"/>
      <c r="WLI115" s="0"/>
      <c r="WLJ115" s="0"/>
      <c r="WLK115" s="0"/>
      <c r="WLL115" s="0"/>
      <c r="WLM115" s="0"/>
      <c r="WLN115" s="0"/>
      <c r="WLO115" s="0"/>
      <c r="WLP115" s="0"/>
      <c r="WLQ115" s="0"/>
      <c r="WLR115" s="0"/>
      <c r="WLS115" s="0"/>
      <c r="WLT115" s="0"/>
      <c r="WLU115" s="0"/>
      <c r="WLV115" s="0"/>
      <c r="WLW115" s="0"/>
      <c r="WLX115" s="0"/>
      <c r="WLY115" s="0"/>
      <c r="WLZ115" s="0"/>
      <c r="WMA115" s="0"/>
      <c r="WMB115" s="0"/>
      <c r="WMC115" s="0"/>
      <c r="WMD115" s="0"/>
      <c r="WME115" s="0"/>
      <c r="WMF115" s="0"/>
      <c r="WMG115" s="0"/>
      <c r="WMH115" s="0"/>
      <c r="WMI115" s="0"/>
      <c r="WMJ115" s="0"/>
      <c r="WMK115" s="0"/>
      <c r="WML115" s="0"/>
      <c r="WMM115" s="0"/>
      <c r="WMN115" s="0"/>
      <c r="WMO115" s="0"/>
      <c r="WMP115" s="0"/>
      <c r="WMQ115" s="0"/>
      <c r="WMR115" s="0"/>
      <c r="WMS115" s="0"/>
      <c r="WMT115" s="0"/>
      <c r="WMU115" s="0"/>
      <c r="WMV115" s="0"/>
      <c r="WMW115" s="0"/>
      <c r="WMX115" s="0"/>
      <c r="WMY115" s="0"/>
      <c r="WMZ115" s="0"/>
      <c r="WNA115" s="0"/>
      <c r="WNB115" s="0"/>
      <c r="WNC115" s="0"/>
      <c r="WND115" s="0"/>
      <c r="WNE115" s="0"/>
      <c r="WNF115" s="0"/>
      <c r="WNG115" s="0"/>
      <c r="WNH115" s="0"/>
      <c r="WNI115" s="0"/>
      <c r="WNJ115" s="0"/>
      <c r="WNK115" s="0"/>
      <c r="WNL115" s="0"/>
      <c r="WNM115" s="0"/>
      <c r="WNN115" s="0"/>
      <c r="WNO115" s="0"/>
      <c r="WNP115" s="0"/>
      <c r="WNQ115" s="0"/>
      <c r="WNR115" s="0"/>
      <c r="WNS115" s="0"/>
      <c r="WNT115" s="0"/>
      <c r="WNU115" s="0"/>
      <c r="WNV115" s="0"/>
      <c r="WNW115" s="0"/>
      <c r="WNX115" s="0"/>
      <c r="WNY115" s="0"/>
      <c r="WNZ115" s="0"/>
      <c r="WOA115" s="0"/>
      <c r="WOB115" s="0"/>
      <c r="WOC115" s="0"/>
      <c r="WOD115" s="0"/>
      <c r="WOE115" s="0"/>
      <c r="WOF115" s="0"/>
      <c r="WOG115" s="0"/>
      <c r="WOH115" s="0"/>
      <c r="WOI115" s="0"/>
      <c r="WOJ115" s="0"/>
      <c r="WOK115" s="0"/>
      <c r="WOL115" s="0"/>
      <c r="WOM115" s="0"/>
      <c r="WON115" s="0"/>
      <c r="WOO115" s="0"/>
      <c r="WOP115" s="0"/>
      <c r="WOQ115" s="0"/>
      <c r="WOR115" s="0"/>
      <c r="WOS115" s="0"/>
      <c r="WOT115" s="0"/>
      <c r="WOU115" s="0"/>
      <c r="WOV115" s="0"/>
      <c r="WOW115" s="0"/>
      <c r="WOX115" s="0"/>
      <c r="WOY115" s="0"/>
      <c r="WOZ115" s="0"/>
      <c r="WPA115" s="0"/>
      <c r="WPB115" s="0"/>
      <c r="WPC115" s="0"/>
      <c r="WPD115" s="0"/>
      <c r="WPE115" s="0"/>
      <c r="WPF115" s="0"/>
      <c r="WPG115" s="0"/>
      <c r="WPH115" s="0"/>
      <c r="WPI115" s="0"/>
      <c r="WPJ115" s="0"/>
      <c r="WPK115" s="0"/>
      <c r="WPL115" s="0"/>
      <c r="WPM115" s="0"/>
      <c r="WPN115" s="0"/>
      <c r="WPO115" s="0"/>
      <c r="WPP115" s="0"/>
      <c r="WPQ115" s="0"/>
      <c r="WPR115" s="0"/>
      <c r="WPS115" s="0"/>
      <c r="WPT115" s="0"/>
      <c r="WPU115" s="0"/>
      <c r="WPV115" s="0"/>
      <c r="WPW115" s="0"/>
      <c r="WPX115" s="0"/>
      <c r="WPY115" s="0"/>
      <c r="WPZ115" s="0"/>
      <c r="WQA115" s="0"/>
      <c r="WQB115" s="0"/>
      <c r="WQC115" s="0"/>
      <c r="WQD115" s="0"/>
      <c r="WQE115" s="0"/>
      <c r="WQF115" s="0"/>
      <c r="WQG115" s="0"/>
      <c r="WQH115" s="0"/>
      <c r="WQI115" s="0"/>
      <c r="WQJ115" s="0"/>
      <c r="WQK115" s="0"/>
      <c r="WQL115" s="0"/>
      <c r="WQM115" s="0"/>
      <c r="WQN115" s="0"/>
      <c r="WQO115" s="0"/>
      <c r="WQP115" s="0"/>
      <c r="WQQ115" s="0"/>
      <c r="WQR115" s="0"/>
      <c r="WQS115" s="0"/>
      <c r="WQT115" s="0"/>
      <c r="WQU115" s="0"/>
      <c r="WQV115" s="0"/>
      <c r="WQW115" s="0"/>
      <c r="WQX115" s="0"/>
      <c r="WQY115" s="0"/>
      <c r="WQZ115" s="0"/>
      <c r="WRA115" s="0"/>
      <c r="WRB115" s="0"/>
      <c r="WRC115" s="0"/>
      <c r="WRD115" s="0"/>
      <c r="WRE115" s="0"/>
      <c r="WRF115" s="0"/>
      <c r="WRG115" s="0"/>
      <c r="WRH115" s="0"/>
      <c r="WRI115" s="0"/>
      <c r="WRJ115" s="0"/>
      <c r="WRK115" s="0"/>
      <c r="WRL115" s="0"/>
      <c r="WRM115" s="0"/>
      <c r="WRN115" s="0"/>
      <c r="WRO115" s="0"/>
      <c r="WRP115" s="0"/>
      <c r="WRQ115" s="0"/>
      <c r="WRR115" s="0"/>
      <c r="WRS115" s="0"/>
      <c r="WRT115" s="0"/>
      <c r="WRU115" s="0"/>
      <c r="WRV115" s="0"/>
      <c r="WRW115" s="0"/>
      <c r="WRX115" s="0"/>
      <c r="WRY115" s="0"/>
      <c r="WRZ115" s="0"/>
      <c r="WSA115" s="0"/>
      <c r="WSB115" s="0"/>
      <c r="WSC115" s="0"/>
      <c r="WSD115" s="0"/>
      <c r="WSE115" s="0"/>
      <c r="WSF115" s="0"/>
      <c r="WSG115" s="0"/>
      <c r="WSH115" s="0"/>
      <c r="WSI115" s="0"/>
      <c r="WSJ115" s="0"/>
      <c r="WSK115" s="0"/>
      <c r="WSL115" s="0"/>
      <c r="WSM115" s="0"/>
      <c r="WSN115" s="0"/>
      <c r="WSO115" s="0"/>
      <c r="WSP115" s="0"/>
      <c r="WSQ115" s="0"/>
      <c r="WSR115" s="0"/>
      <c r="WSS115" s="0"/>
      <c r="WST115" s="0"/>
      <c r="WSU115" s="0"/>
      <c r="WSV115" s="0"/>
      <c r="WSW115" s="0"/>
      <c r="WSX115" s="0"/>
      <c r="WSY115" s="0"/>
      <c r="WSZ115" s="0"/>
      <c r="WTA115" s="0"/>
      <c r="WTB115" s="0"/>
      <c r="WTC115" s="0"/>
      <c r="WTD115" s="0"/>
      <c r="WTE115" s="0"/>
      <c r="WTF115" s="0"/>
      <c r="WTG115" s="0"/>
      <c r="WTH115" s="0"/>
      <c r="WTI115" s="0"/>
      <c r="WTJ115" s="0"/>
      <c r="WTK115" s="0"/>
      <c r="WTL115" s="0"/>
      <c r="WTM115" s="0"/>
      <c r="WTN115" s="0"/>
      <c r="WTO115" s="0"/>
      <c r="WTP115" s="0"/>
      <c r="WTQ115" s="0"/>
      <c r="WTR115" s="0"/>
      <c r="WTS115" s="0"/>
      <c r="WTT115" s="0"/>
      <c r="WTU115" s="0"/>
      <c r="WTV115" s="0"/>
      <c r="WTW115" s="0"/>
      <c r="WTX115" s="0"/>
      <c r="WTY115" s="0"/>
      <c r="WTZ115" s="0"/>
      <c r="WUA115" s="0"/>
      <c r="WUB115" s="0"/>
      <c r="WUC115" s="0"/>
      <c r="WUD115" s="0"/>
      <c r="WUE115" s="0"/>
      <c r="WUF115" s="0"/>
      <c r="WUG115" s="0"/>
      <c r="WUH115" s="0"/>
      <c r="WUI115" s="0"/>
      <c r="WUJ115" s="0"/>
      <c r="WUK115" s="0"/>
      <c r="WUL115" s="0"/>
      <c r="WUM115" s="0"/>
      <c r="WUN115" s="0"/>
      <c r="WUO115" s="0"/>
      <c r="WUP115" s="0"/>
      <c r="WUQ115" s="0"/>
      <c r="WUR115" s="0"/>
      <c r="WUS115" s="0"/>
      <c r="WUT115" s="0"/>
      <c r="WUU115" s="0"/>
      <c r="WUV115" s="0"/>
      <c r="WUW115" s="0"/>
      <c r="WUX115" s="0"/>
      <c r="WUY115" s="0"/>
      <c r="WUZ115" s="0"/>
      <c r="WVA115" s="0"/>
      <c r="WVB115" s="0"/>
      <c r="WVC115" s="0"/>
      <c r="WVD115" s="0"/>
      <c r="WVE115" s="0"/>
      <c r="WVF115" s="0"/>
      <c r="WVG115" s="0"/>
      <c r="WVH115" s="0"/>
      <c r="WVI115" s="0"/>
      <c r="WVJ115" s="0"/>
      <c r="WVK115" s="0"/>
      <c r="WVL115" s="0"/>
      <c r="WVM115" s="0"/>
      <c r="WVN115" s="0"/>
      <c r="WVO115" s="0"/>
      <c r="WVP115" s="0"/>
      <c r="WVQ115" s="0"/>
      <c r="WVR115" s="0"/>
      <c r="WVS115" s="0"/>
      <c r="WVT115" s="0"/>
      <c r="WVU115" s="0"/>
      <c r="WVV115" s="0"/>
      <c r="WVW115" s="0"/>
      <c r="WVX115" s="0"/>
      <c r="WVY115" s="0"/>
      <c r="WVZ115" s="0"/>
      <c r="WWA115" s="0"/>
      <c r="WWB115" s="0"/>
      <c r="WWC115" s="0"/>
      <c r="WWD115" s="0"/>
      <c r="WWE115" s="0"/>
      <c r="WWF115" s="0"/>
      <c r="WWG115" s="0"/>
      <c r="WWH115" s="0"/>
      <c r="WWI115" s="0"/>
      <c r="WWJ115" s="0"/>
      <c r="WWK115" s="0"/>
      <c r="WWL115" s="0"/>
      <c r="WWM115" s="0"/>
      <c r="WWN115" s="0"/>
      <c r="WWO115" s="0"/>
      <c r="WWP115" s="0"/>
      <c r="WWQ115" s="0"/>
      <c r="WWR115" s="0"/>
      <c r="WWS115" s="0"/>
      <c r="WWT115" s="0"/>
      <c r="WWU115" s="0"/>
      <c r="WWV115" s="0"/>
      <c r="WWW115" s="0"/>
      <c r="WWX115" s="0"/>
      <c r="WWY115" s="0"/>
      <c r="WWZ115" s="0"/>
      <c r="WXA115" s="0"/>
      <c r="WXB115" s="0"/>
      <c r="WXC115" s="0"/>
      <c r="WXD115" s="0"/>
      <c r="WXE115" s="0"/>
      <c r="WXF115" s="0"/>
      <c r="WXG115" s="0"/>
      <c r="WXH115" s="0"/>
      <c r="WXI115" s="0"/>
      <c r="WXJ115" s="0"/>
      <c r="WXK115" s="0"/>
      <c r="WXL115" s="0"/>
      <c r="WXM115" s="0"/>
      <c r="WXN115" s="0"/>
      <c r="WXO115" s="0"/>
      <c r="WXP115" s="0"/>
      <c r="WXQ115" s="0"/>
      <c r="WXR115" s="0"/>
      <c r="WXS115" s="0"/>
      <c r="WXT115" s="0"/>
      <c r="WXU115" s="0"/>
      <c r="WXV115" s="0"/>
      <c r="WXW115" s="0"/>
      <c r="WXX115" s="0"/>
      <c r="WXY115" s="0"/>
      <c r="WXZ115" s="0"/>
      <c r="WYA115" s="0"/>
      <c r="WYB115" s="0"/>
      <c r="WYC115" s="0"/>
      <c r="WYD115" s="0"/>
      <c r="WYE115" s="0"/>
      <c r="WYF115" s="0"/>
      <c r="WYG115" s="0"/>
      <c r="WYH115" s="0"/>
      <c r="WYI115" s="0"/>
      <c r="WYJ115" s="0"/>
      <c r="WYK115" s="0"/>
      <c r="WYL115" s="0"/>
      <c r="WYM115" s="0"/>
      <c r="WYN115" s="0"/>
      <c r="WYO115" s="0"/>
      <c r="WYP115" s="0"/>
      <c r="WYQ115" s="0"/>
      <c r="WYR115" s="0"/>
      <c r="WYS115" s="0"/>
      <c r="WYT115" s="0"/>
      <c r="WYU115" s="0"/>
      <c r="WYV115" s="0"/>
      <c r="WYW115" s="0"/>
      <c r="WYX115" s="0"/>
      <c r="WYY115" s="0"/>
      <c r="WYZ115" s="0"/>
      <c r="WZA115" s="0"/>
      <c r="WZB115" s="0"/>
      <c r="WZC115" s="0"/>
      <c r="WZD115" s="0"/>
      <c r="WZE115" s="0"/>
      <c r="WZF115" s="0"/>
      <c r="WZG115" s="0"/>
      <c r="WZH115" s="0"/>
      <c r="WZI115" s="0"/>
      <c r="WZJ115" s="0"/>
      <c r="WZK115" s="0"/>
      <c r="WZL115" s="0"/>
      <c r="WZM115" s="0"/>
      <c r="WZN115" s="0"/>
      <c r="WZO115" s="0"/>
      <c r="WZP115" s="0"/>
      <c r="WZQ115" s="0"/>
      <c r="WZR115" s="0"/>
      <c r="WZS115" s="0"/>
      <c r="WZT115" s="0"/>
      <c r="WZU115" s="0"/>
      <c r="WZV115" s="0"/>
      <c r="WZW115" s="0"/>
      <c r="WZX115" s="0"/>
      <c r="WZY115" s="0"/>
      <c r="WZZ115" s="0"/>
      <c r="XAA115" s="0"/>
      <c r="XAB115" s="0"/>
      <c r="XAC115" s="0"/>
      <c r="XAD115" s="0"/>
      <c r="XAE115" s="0"/>
      <c r="XAF115" s="0"/>
      <c r="XAG115" s="0"/>
      <c r="XAH115" s="0"/>
      <c r="XAI115" s="0"/>
      <c r="XAJ115" s="0"/>
      <c r="XAK115" s="0"/>
      <c r="XAL115" s="0"/>
      <c r="XAM115" s="0"/>
      <c r="XAN115" s="0"/>
      <c r="XAO115" s="0"/>
      <c r="XAP115" s="0"/>
      <c r="XAQ115" s="0"/>
      <c r="XAR115" s="0"/>
      <c r="XAS115" s="0"/>
      <c r="XAT115" s="0"/>
      <c r="XAU115" s="0"/>
      <c r="XAV115" s="0"/>
      <c r="XAW115" s="0"/>
      <c r="XAX115" s="0"/>
      <c r="XAY115" s="0"/>
      <c r="XAZ115" s="0"/>
      <c r="XBA115" s="0"/>
      <c r="XBB115" s="0"/>
      <c r="XBC115" s="0"/>
      <c r="XBD115" s="0"/>
      <c r="XBE115" s="0"/>
      <c r="XBF115" s="0"/>
      <c r="XBG115" s="0"/>
      <c r="XBH115" s="0"/>
      <c r="XBI115" s="0"/>
      <c r="XBJ115" s="0"/>
      <c r="XBK115" s="0"/>
      <c r="XBL115" s="0"/>
      <c r="XBM115" s="0"/>
      <c r="XBN115" s="0"/>
      <c r="XBO115" s="0"/>
      <c r="XBP115" s="0"/>
      <c r="XBQ115" s="0"/>
      <c r="XBR115" s="0"/>
      <c r="XBS115" s="0"/>
      <c r="XBT115" s="0"/>
      <c r="XBU115" s="0"/>
      <c r="XBV115" s="0"/>
      <c r="XBW115" s="0"/>
      <c r="XBX115" s="0"/>
      <c r="XBY115" s="0"/>
      <c r="XBZ115" s="0"/>
      <c r="XCA115" s="0"/>
      <c r="XCB115" s="0"/>
      <c r="XCC115" s="0"/>
      <c r="XCD115" s="0"/>
      <c r="XCE115" s="0"/>
      <c r="XCF115" s="0"/>
      <c r="XCG115" s="0"/>
      <c r="XCH115" s="0"/>
      <c r="XCI115" s="0"/>
      <c r="XCJ115" s="0"/>
      <c r="XCK115" s="0"/>
      <c r="XCL115" s="0"/>
      <c r="XCM115" s="0"/>
      <c r="XCN115" s="0"/>
      <c r="XCO115" s="0"/>
      <c r="XCP115" s="0"/>
      <c r="XCQ115" s="0"/>
      <c r="XCR115" s="0"/>
      <c r="XCS115" s="0"/>
      <c r="XCT115" s="0"/>
      <c r="XCU115" s="0"/>
      <c r="XCV115" s="0"/>
      <c r="XCW115" s="0"/>
      <c r="XCX115" s="0"/>
      <c r="XCY115" s="0"/>
      <c r="XCZ115" s="0"/>
      <c r="XDA115" s="0"/>
      <c r="XDB115" s="0"/>
      <c r="XDC115" s="0"/>
      <c r="XDD115" s="0"/>
      <c r="XDE115" s="0"/>
      <c r="XDF115" s="0"/>
      <c r="XDG115" s="0"/>
      <c r="XDH115" s="0"/>
      <c r="XDI115" s="0"/>
      <c r="XDJ115" s="0"/>
      <c r="XDK115" s="0"/>
      <c r="XDL115" s="0"/>
      <c r="XDM115" s="0"/>
      <c r="XDN115" s="0"/>
      <c r="XDO115" s="0"/>
      <c r="XDP115" s="0"/>
      <c r="XDQ115" s="0"/>
      <c r="XDR115" s="0"/>
      <c r="XDS115" s="0"/>
      <c r="XDT115" s="0"/>
      <c r="XDU115" s="0"/>
      <c r="XDV115" s="0"/>
      <c r="XDW115" s="0"/>
      <c r="XDX115" s="0"/>
      <c r="XDY115" s="0"/>
      <c r="XDZ115" s="0"/>
      <c r="XEA115" s="0"/>
      <c r="XEB115" s="0"/>
      <c r="XEC115" s="0"/>
      <c r="XED115" s="0"/>
      <c r="XEE115" s="0"/>
      <c r="XEF115" s="0"/>
      <c r="XEG115" s="0"/>
      <c r="XEH115" s="0"/>
      <c r="XEI115" s="0"/>
      <c r="XEJ115" s="0"/>
      <c r="XEK115" s="0"/>
      <c r="XEL115" s="0"/>
      <c r="XEM115" s="0"/>
      <c r="XEN115" s="0"/>
      <c r="XEO115" s="0"/>
      <c r="XEP115" s="0"/>
      <c r="XEQ115" s="0"/>
      <c r="XER115" s="0"/>
      <c r="XES115" s="0"/>
      <c r="XET115" s="0"/>
      <c r="XEU115" s="0"/>
      <c r="XEV115" s="0"/>
      <c r="XEW115" s="0"/>
      <c r="XEX115" s="0"/>
      <c r="XEY115" s="0"/>
      <c r="XEZ115" s="0"/>
      <c r="XFA115" s="0"/>
      <c r="XFB115" s="0"/>
      <c r="XFC115" s="0"/>
      <c r="XFD115" s="0"/>
    </row>
    <row r="116" customFormat="false" ht="15" hidden="false" customHeight="true" outlineLevel="0" collapsed="false">
      <c r="A116" s="0"/>
      <c r="B116" s="0"/>
      <c r="C116" s="0"/>
      <c r="D116" s="0"/>
      <c r="E116" s="0"/>
      <c r="F116" s="0"/>
      <c r="G116" s="1830"/>
      <c r="H116" s="1831" t="s">
        <v>1914</v>
      </c>
      <c r="I116" s="1832" t="n">
        <f aca="false">SUM(I119:I220)</f>
        <v>0</v>
      </c>
      <c r="J116" s="1833" t="s">
        <v>1093</v>
      </c>
      <c r="K116" s="1832" t="n">
        <f aca="false">SUM(K119:K220)</f>
        <v>0</v>
      </c>
      <c r="L116" s="1834" t="s">
        <v>1652</v>
      </c>
      <c r="M116" s="1832" t="n">
        <f aca="false">SUM(M119:M220)</f>
        <v>0</v>
      </c>
      <c r="N116" s="1833" t="s">
        <v>1653</v>
      </c>
      <c r="O116" s="1832" t="n">
        <f aca="false">SUM(O119:O220)</f>
        <v>0</v>
      </c>
      <c r="P116" s="0"/>
      <c r="Q116" s="0"/>
      <c r="R116" s="0"/>
      <c r="S116" s="0"/>
      <c r="T116" s="0"/>
      <c r="U116" s="0"/>
      <c r="V116" s="0"/>
      <c r="W116" s="0"/>
      <c r="X116" s="0"/>
      <c r="AB116" s="0"/>
      <c r="AC116" s="0"/>
      <c r="AD116" s="0"/>
      <c r="AE116" s="0"/>
      <c r="AF116" s="0"/>
      <c r="AG116" s="0"/>
      <c r="AH116" s="0"/>
      <c r="AI116" s="0"/>
      <c r="AJ116" s="0"/>
      <c r="AK116" s="0"/>
      <c r="AL116" s="0"/>
      <c r="AM116" s="0"/>
      <c r="AN116" s="0"/>
      <c r="AO116" s="0"/>
      <c r="AP116" s="0"/>
      <c r="AQ116" s="0"/>
      <c r="AR116" s="0"/>
      <c r="AS116" s="0"/>
      <c r="AT116" s="0"/>
      <c r="AU116" s="0"/>
      <c r="AV116" s="0"/>
      <c r="AW116" s="0"/>
      <c r="AX116" s="0"/>
      <c r="AY116" s="0"/>
      <c r="AZ116" s="0"/>
      <c r="BA116" s="0"/>
      <c r="BB116" s="0"/>
      <c r="BC116" s="0"/>
      <c r="BD116" s="0"/>
      <c r="BE116" s="0"/>
      <c r="BF116" s="0"/>
      <c r="BG116" s="0"/>
      <c r="BH116" s="0"/>
      <c r="BI116" s="0"/>
      <c r="BJ116" s="0"/>
      <c r="BK116" s="0"/>
      <c r="BL116" s="0"/>
      <c r="BM116" s="0"/>
      <c r="BN116" s="0"/>
      <c r="BO116" s="0"/>
      <c r="BP116" s="0"/>
      <c r="BQ116" s="0"/>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IQ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c r="AMK116" s="0"/>
      <c r="AML116" s="0"/>
      <c r="AMM116" s="0"/>
      <c r="AMN116" s="0"/>
      <c r="AMO116" s="0"/>
      <c r="AMP116" s="0"/>
      <c r="AMQ116" s="0"/>
      <c r="AMR116" s="0"/>
      <c r="AMS116" s="0"/>
      <c r="AMT116" s="0"/>
      <c r="AMU116" s="0"/>
      <c r="AMV116" s="0"/>
      <c r="AMW116" s="0"/>
      <c r="AMX116" s="0"/>
      <c r="AMY116" s="0"/>
      <c r="AMZ116" s="0"/>
      <c r="ANA116" s="0"/>
      <c r="ANB116" s="0"/>
      <c r="ANC116" s="0"/>
      <c r="AND116" s="0"/>
      <c r="ANE116" s="0"/>
      <c r="ANF116" s="0"/>
      <c r="ANG116" s="0"/>
      <c r="ANH116" s="0"/>
      <c r="ANI116" s="0"/>
      <c r="ANJ116" s="0"/>
      <c r="ANK116" s="0"/>
      <c r="ANL116" s="0"/>
      <c r="ANM116" s="0"/>
      <c r="ANN116" s="0"/>
      <c r="ANO116" s="0"/>
      <c r="ANP116" s="0"/>
      <c r="ANQ116" s="0"/>
      <c r="ANR116" s="0"/>
      <c r="ANS116" s="0"/>
      <c r="ANT116" s="0"/>
      <c r="ANU116" s="0"/>
      <c r="ANV116" s="0"/>
      <c r="ANW116" s="0"/>
      <c r="ANX116" s="0"/>
      <c r="ANY116" s="0"/>
      <c r="ANZ116" s="0"/>
      <c r="AOA116" s="0"/>
      <c r="AOB116" s="0"/>
      <c r="AOC116" s="0"/>
      <c r="AOD116" s="0"/>
      <c r="AOE116" s="0"/>
      <c r="AOF116" s="0"/>
      <c r="AOG116" s="0"/>
      <c r="AOH116" s="0"/>
      <c r="AOI116" s="0"/>
      <c r="AOJ116" s="0"/>
      <c r="AOK116" s="0"/>
      <c r="AOL116" s="0"/>
      <c r="AOM116" s="0"/>
      <c r="AON116" s="0"/>
      <c r="AOO116" s="0"/>
      <c r="AOP116" s="0"/>
      <c r="AOQ116" s="0"/>
      <c r="AOR116" s="0"/>
      <c r="AOS116" s="0"/>
      <c r="AOT116" s="0"/>
      <c r="AOU116" s="0"/>
      <c r="AOV116" s="0"/>
      <c r="AOW116" s="0"/>
      <c r="AOX116" s="0"/>
      <c r="AOY116" s="0"/>
      <c r="AOZ116" s="0"/>
      <c r="APA116" s="0"/>
      <c r="APB116" s="0"/>
      <c r="APC116" s="0"/>
      <c r="APD116" s="0"/>
      <c r="APE116" s="0"/>
      <c r="APF116" s="0"/>
      <c r="APG116" s="0"/>
      <c r="APH116" s="0"/>
      <c r="API116" s="0"/>
      <c r="APJ116" s="0"/>
      <c r="APK116" s="0"/>
      <c r="APL116" s="0"/>
      <c r="APM116" s="0"/>
      <c r="APN116" s="0"/>
      <c r="APO116" s="0"/>
      <c r="APP116" s="0"/>
      <c r="APQ116" s="0"/>
      <c r="APR116" s="0"/>
      <c r="APS116" s="0"/>
      <c r="APT116" s="0"/>
      <c r="APU116" s="0"/>
      <c r="APV116" s="0"/>
      <c r="APW116" s="0"/>
      <c r="APX116" s="0"/>
      <c r="APY116" s="0"/>
      <c r="APZ116" s="0"/>
      <c r="AQA116" s="0"/>
      <c r="AQB116" s="0"/>
      <c r="AQC116" s="0"/>
      <c r="AQD116" s="0"/>
      <c r="AQE116" s="0"/>
      <c r="AQF116" s="0"/>
      <c r="AQG116" s="0"/>
      <c r="AQH116" s="0"/>
      <c r="AQI116" s="0"/>
      <c r="AQJ116" s="0"/>
      <c r="AQK116" s="0"/>
      <c r="AQL116" s="0"/>
      <c r="AQM116" s="0"/>
      <c r="AQN116" s="0"/>
      <c r="AQO116" s="0"/>
      <c r="AQP116" s="0"/>
      <c r="AQQ116" s="0"/>
      <c r="AQR116" s="0"/>
      <c r="AQS116" s="0"/>
      <c r="AQT116" s="0"/>
      <c r="AQU116" s="0"/>
      <c r="AQV116" s="0"/>
      <c r="AQW116" s="0"/>
      <c r="AQX116" s="0"/>
      <c r="AQY116" s="0"/>
      <c r="AQZ116" s="0"/>
      <c r="ARA116" s="0"/>
      <c r="ARB116" s="0"/>
      <c r="ARC116" s="0"/>
      <c r="ARD116" s="0"/>
      <c r="ARE116" s="0"/>
      <c r="ARF116" s="0"/>
      <c r="ARG116" s="0"/>
      <c r="ARH116" s="0"/>
      <c r="ARI116" s="0"/>
      <c r="ARJ116" s="0"/>
      <c r="ARK116" s="0"/>
      <c r="ARL116" s="0"/>
      <c r="ARM116" s="0"/>
      <c r="ARN116" s="0"/>
      <c r="ARO116" s="0"/>
      <c r="ARP116" s="0"/>
      <c r="ARQ116" s="0"/>
      <c r="ARR116" s="0"/>
      <c r="ARS116" s="0"/>
      <c r="ART116" s="0"/>
      <c r="ARU116" s="0"/>
      <c r="ARV116" s="0"/>
      <c r="ARW116" s="0"/>
      <c r="ARX116" s="0"/>
      <c r="ARY116" s="0"/>
      <c r="ARZ116" s="0"/>
      <c r="ASA116" s="0"/>
      <c r="ASB116" s="0"/>
      <c r="ASC116" s="0"/>
      <c r="ASD116" s="0"/>
      <c r="ASE116" s="0"/>
      <c r="ASF116" s="0"/>
      <c r="ASG116" s="0"/>
      <c r="ASH116" s="0"/>
      <c r="ASI116" s="0"/>
      <c r="ASJ116" s="0"/>
      <c r="ASK116" s="0"/>
      <c r="ASL116" s="0"/>
      <c r="ASM116" s="0"/>
      <c r="ASN116" s="0"/>
      <c r="ASO116" s="0"/>
      <c r="ASP116" s="0"/>
      <c r="ASQ116" s="0"/>
      <c r="ASR116" s="0"/>
      <c r="ASS116" s="0"/>
      <c r="AST116" s="0"/>
      <c r="ASU116" s="0"/>
      <c r="ASV116" s="0"/>
      <c r="ASW116" s="0"/>
      <c r="ASX116" s="0"/>
      <c r="ASY116" s="0"/>
      <c r="ASZ116" s="0"/>
      <c r="ATA116" s="0"/>
      <c r="ATB116" s="0"/>
      <c r="ATC116" s="0"/>
      <c r="ATD116" s="0"/>
      <c r="ATE116" s="0"/>
      <c r="ATF116" s="0"/>
      <c r="ATG116" s="0"/>
      <c r="ATH116" s="0"/>
      <c r="ATI116" s="0"/>
      <c r="ATJ116" s="0"/>
      <c r="ATK116" s="0"/>
      <c r="ATL116" s="0"/>
      <c r="ATM116" s="0"/>
      <c r="ATN116" s="0"/>
      <c r="ATO116" s="0"/>
      <c r="ATP116" s="0"/>
      <c r="ATQ116" s="0"/>
      <c r="ATR116" s="0"/>
      <c r="ATS116" s="0"/>
      <c r="ATT116" s="0"/>
      <c r="ATU116" s="0"/>
      <c r="ATV116" s="0"/>
      <c r="ATW116" s="0"/>
      <c r="ATX116" s="0"/>
      <c r="ATY116" s="0"/>
      <c r="ATZ116" s="0"/>
      <c r="AUA116" s="0"/>
      <c r="AUB116" s="0"/>
      <c r="AUC116" s="0"/>
      <c r="AUD116" s="0"/>
      <c r="AUE116" s="0"/>
      <c r="AUF116" s="0"/>
      <c r="AUG116" s="0"/>
      <c r="AUH116" s="0"/>
      <c r="AUI116" s="0"/>
      <c r="AUJ116" s="0"/>
      <c r="AUK116" s="0"/>
      <c r="AUL116" s="0"/>
      <c r="AUM116" s="0"/>
      <c r="AUN116" s="0"/>
      <c r="AUO116" s="0"/>
      <c r="AUP116" s="0"/>
      <c r="AUQ116" s="0"/>
      <c r="AUR116" s="0"/>
      <c r="AUS116" s="0"/>
      <c r="AUT116" s="0"/>
      <c r="AUU116" s="0"/>
      <c r="AUV116" s="0"/>
      <c r="AUW116" s="0"/>
      <c r="AUX116" s="0"/>
      <c r="AUY116" s="0"/>
      <c r="AUZ116" s="0"/>
      <c r="AVA116" s="0"/>
      <c r="AVB116" s="0"/>
      <c r="AVC116" s="0"/>
      <c r="AVD116" s="0"/>
      <c r="AVE116" s="0"/>
      <c r="AVF116" s="0"/>
      <c r="AVG116" s="0"/>
      <c r="AVH116" s="0"/>
      <c r="AVI116" s="0"/>
      <c r="AVJ116" s="0"/>
      <c r="AVK116" s="0"/>
      <c r="AVL116" s="0"/>
      <c r="AVM116" s="0"/>
      <c r="AVN116" s="0"/>
      <c r="AVO116" s="0"/>
      <c r="AVP116" s="0"/>
      <c r="AVQ116" s="0"/>
      <c r="AVR116" s="0"/>
      <c r="AVS116" s="0"/>
      <c r="AVT116" s="0"/>
      <c r="AVU116" s="0"/>
      <c r="AVV116" s="0"/>
      <c r="AVW116" s="0"/>
      <c r="AVX116" s="0"/>
      <c r="AVY116" s="0"/>
      <c r="AVZ116" s="0"/>
      <c r="AWA116" s="0"/>
      <c r="AWB116" s="0"/>
      <c r="AWC116" s="0"/>
      <c r="AWD116" s="0"/>
      <c r="AWE116" s="0"/>
      <c r="AWF116" s="0"/>
      <c r="AWG116" s="0"/>
      <c r="AWH116" s="0"/>
      <c r="AWI116" s="0"/>
      <c r="AWJ116" s="0"/>
      <c r="AWK116" s="0"/>
      <c r="AWL116" s="0"/>
      <c r="AWM116" s="0"/>
      <c r="AWN116" s="0"/>
      <c r="AWO116" s="0"/>
      <c r="AWP116" s="0"/>
      <c r="AWQ116" s="0"/>
      <c r="AWR116" s="0"/>
      <c r="AWS116" s="0"/>
      <c r="AWT116" s="0"/>
      <c r="AWU116" s="0"/>
      <c r="AWV116" s="0"/>
      <c r="AWW116" s="0"/>
      <c r="AWX116" s="0"/>
      <c r="AWY116" s="0"/>
      <c r="AWZ116" s="0"/>
      <c r="AXA116" s="0"/>
      <c r="AXB116" s="0"/>
      <c r="AXC116" s="0"/>
      <c r="AXD116" s="0"/>
      <c r="AXE116" s="0"/>
      <c r="AXF116" s="0"/>
      <c r="AXG116" s="0"/>
      <c r="AXH116" s="0"/>
      <c r="AXI116" s="0"/>
      <c r="AXJ116" s="0"/>
      <c r="AXK116" s="0"/>
      <c r="AXL116" s="0"/>
      <c r="AXM116" s="0"/>
      <c r="AXN116" s="0"/>
      <c r="AXO116" s="0"/>
      <c r="AXP116" s="0"/>
      <c r="AXQ116" s="0"/>
      <c r="AXR116" s="0"/>
      <c r="AXS116" s="0"/>
      <c r="AXT116" s="0"/>
      <c r="AXU116" s="0"/>
      <c r="AXV116" s="0"/>
      <c r="AXW116" s="0"/>
      <c r="AXX116" s="0"/>
      <c r="AXY116" s="0"/>
      <c r="AXZ116" s="0"/>
      <c r="AYA116" s="0"/>
      <c r="AYB116" s="0"/>
      <c r="AYC116" s="0"/>
      <c r="AYD116" s="0"/>
      <c r="AYE116" s="0"/>
      <c r="AYF116" s="0"/>
      <c r="AYG116" s="0"/>
      <c r="AYH116" s="0"/>
      <c r="AYI116" s="0"/>
      <c r="AYJ116" s="0"/>
      <c r="AYK116" s="0"/>
      <c r="AYL116" s="0"/>
      <c r="AYM116" s="0"/>
      <c r="AYN116" s="0"/>
      <c r="AYO116" s="0"/>
      <c r="AYP116" s="0"/>
      <c r="AYQ116" s="0"/>
      <c r="AYR116" s="0"/>
      <c r="AYS116" s="0"/>
      <c r="AYT116" s="0"/>
      <c r="AYU116" s="0"/>
      <c r="AYV116" s="0"/>
      <c r="AYW116" s="0"/>
      <c r="AYX116" s="0"/>
      <c r="AYY116" s="0"/>
      <c r="AYZ116" s="0"/>
      <c r="AZA116" s="0"/>
      <c r="AZB116" s="0"/>
      <c r="AZC116" s="0"/>
      <c r="AZD116" s="0"/>
      <c r="AZE116" s="0"/>
      <c r="AZF116" s="0"/>
      <c r="AZG116" s="0"/>
      <c r="AZH116" s="0"/>
      <c r="AZI116" s="0"/>
      <c r="AZJ116" s="0"/>
      <c r="AZK116" s="0"/>
      <c r="AZL116" s="0"/>
      <c r="AZM116" s="0"/>
      <c r="AZN116" s="0"/>
      <c r="AZO116" s="0"/>
      <c r="AZP116" s="0"/>
      <c r="AZQ116" s="0"/>
      <c r="AZR116" s="0"/>
      <c r="AZS116" s="0"/>
      <c r="AZT116" s="0"/>
      <c r="AZU116" s="0"/>
      <c r="AZV116" s="0"/>
      <c r="AZW116" s="0"/>
      <c r="AZX116" s="0"/>
      <c r="AZY116" s="0"/>
      <c r="AZZ116" s="0"/>
      <c r="BAA116" s="0"/>
      <c r="BAB116" s="0"/>
      <c r="BAC116" s="0"/>
      <c r="BAD116" s="0"/>
      <c r="BAE116" s="0"/>
      <c r="BAF116" s="0"/>
      <c r="BAG116" s="0"/>
      <c r="BAH116" s="0"/>
      <c r="BAI116" s="0"/>
      <c r="BAJ116" s="0"/>
      <c r="BAK116" s="0"/>
      <c r="BAL116" s="0"/>
      <c r="BAM116" s="0"/>
      <c r="BAN116" s="0"/>
      <c r="BAO116" s="0"/>
      <c r="BAP116" s="0"/>
      <c r="BAQ116" s="0"/>
      <c r="BAR116" s="0"/>
      <c r="BAS116" s="0"/>
      <c r="BAT116" s="0"/>
      <c r="BAU116" s="0"/>
      <c r="BAV116" s="0"/>
      <c r="BAW116" s="0"/>
      <c r="BAX116" s="0"/>
      <c r="BAY116" s="0"/>
      <c r="BAZ116" s="0"/>
      <c r="BBA116" s="0"/>
      <c r="BBB116" s="0"/>
      <c r="BBC116" s="0"/>
      <c r="BBD116" s="0"/>
      <c r="BBE116" s="0"/>
      <c r="BBF116" s="0"/>
      <c r="BBG116" s="0"/>
      <c r="BBH116" s="0"/>
      <c r="BBI116" s="0"/>
      <c r="BBJ116" s="0"/>
      <c r="BBK116" s="0"/>
      <c r="BBL116" s="0"/>
      <c r="BBM116" s="0"/>
      <c r="BBN116" s="0"/>
      <c r="BBO116" s="0"/>
      <c r="BBP116" s="0"/>
      <c r="BBQ116" s="0"/>
      <c r="BBR116" s="0"/>
      <c r="BBS116" s="0"/>
      <c r="BBT116" s="0"/>
      <c r="BBU116" s="0"/>
      <c r="BBV116" s="0"/>
      <c r="BBW116" s="0"/>
      <c r="BBX116" s="0"/>
      <c r="BBY116" s="0"/>
      <c r="BBZ116" s="0"/>
      <c r="BCA116" s="0"/>
      <c r="BCB116" s="0"/>
      <c r="BCC116" s="0"/>
      <c r="BCD116" s="0"/>
      <c r="BCE116" s="0"/>
      <c r="BCF116" s="0"/>
      <c r="BCG116" s="0"/>
      <c r="BCH116" s="0"/>
      <c r="BCI116" s="0"/>
      <c r="BCJ116" s="0"/>
      <c r="BCK116" s="0"/>
      <c r="BCL116" s="0"/>
      <c r="BCM116" s="0"/>
      <c r="BCN116" s="0"/>
      <c r="BCO116" s="0"/>
      <c r="BCP116" s="0"/>
      <c r="BCQ116" s="0"/>
      <c r="BCR116" s="0"/>
      <c r="BCS116" s="0"/>
      <c r="BCT116" s="0"/>
      <c r="BCU116" s="0"/>
      <c r="BCV116" s="0"/>
      <c r="BCW116" s="0"/>
      <c r="BCX116" s="0"/>
      <c r="BCY116" s="0"/>
      <c r="BCZ116" s="0"/>
      <c r="BDA116" s="0"/>
      <c r="BDB116" s="0"/>
      <c r="BDC116" s="0"/>
      <c r="BDD116" s="0"/>
      <c r="BDE116" s="0"/>
      <c r="BDF116" s="0"/>
      <c r="BDG116" s="0"/>
      <c r="BDH116" s="0"/>
      <c r="BDI116" s="0"/>
      <c r="BDJ116" s="0"/>
      <c r="BDK116" s="0"/>
      <c r="BDL116" s="0"/>
      <c r="BDM116" s="0"/>
      <c r="BDN116" s="0"/>
      <c r="BDO116" s="0"/>
      <c r="BDP116" s="0"/>
      <c r="BDQ116" s="0"/>
      <c r="BDR116" s="0"/>
      <c r="BDS116" s="0"/>
      <c r="BDT116" s="0"/>
      <c r="BDU116" s="0"/>
      <c r="BDV116" s="0"/>
      <c r="BDW116" s="0"/>
      <c r="BDX116" s="0"/>
      <c r="BDY116" s="0"/>
      <c r="BDZ116" s="0"/>
      <c r="BEA116" s="0"/>
      <c r="BEB116" s="0"/>
      <c r="BEC116" s="0"/>
      <c r="BED116" s="0"/>
      <c r="BEE116" s="0"/>
      <c r="BEF116" s="0"/>
      <c r="BEG116" s="0"/>
      <c r="BEH116" s="0"/>
      <c r="BEI116" s="0"/>
      <c r="BEJ116" s="0"/>
      <c r="BEK116" s="0"/>
      <c r="BEL116" s="0"/>
      <c r="BEM116" s="0"/>
      <c r="BEN116" s="0"/>
      <c r="BEO116" s="0"/>
      <c r="BEP116" s="0"/>
      <c r="BEQ116" s="0"/>
      <c r="BER116" s="0"/>
      <c r="BES116" s="0"/>
      <c r="BET116" s="0"/>
      <c r="BEU116" s="0"/>
      <c r="BEV116" s="0"/>
      <c r="BEW116" s="0"/>
      <c r="BEX116" s="0"/>
      <c r="BEY116" s="0"/>
      <c r="BEZ116" s="0"/>
      <c r="BFA116" s="0"/>
      <c r="BFB116" s="0"/>
      <c r="BFC116" s="0"/>
      <c r="BFD116" s="0"/>
      <c r="BFE116" s="0"/>
      <c r="BFF116" s="0"/>
      <c r="BFG116" s="0"/>
      <c r="BFH116" s="0"/>
      <c r="BFI116" s="0"/>
      <c r="BFJ116" s="0"/>
      <c r="BFK116" s="0"/>
      <c r="BFL116" s="0"/>
      <c r="BFM116" s="0"/>
      <c r="BFN116" s="0"/>
      <c r="BFO116" s="0"/>
      <c r="BFP116" s="0"/>
      <c r="BFQ116" s="0"/>
      <c r="BFR116" s="0"/>
      <c r="BFS116" s="0"/>
      <c r="BFT116" s="0"/>
      <c r="BFU116" s="0"/>
      <c r="BFV116" s="0"/>
      <c r="BFW116" s="0"/>
      <c r="BFX116" s="0"/>
      <c r="BFY116" s="0"/>
      <c r="BFZ116" s="0"/>
      <c r="BGA116" s="0"/>
      <c r="BGB116" s="0"/>
      <c r="BGC116" s="0"/>
      <c r="BGD116" s="0"/>
      <c r="BGE116" s="0"/>
      <c r="BGF116" s="0"/>
      <c r="BGG116" s="0"/>
      <c r="BGH116" s="0"/>
      <c r="BGI116" s="0"/>
      <c r="BGJ116" s="0"/>
      <c r="BGK116" s="0"/>
      <c r="BGL116" s="0"/>
      <c r="BGM116" s="0"/>
      <c r="BGN116" s="0"/>
      <c r="BGO116" s="0"/>
      <c r="BGP116" s="0"/>
      <c r="BGQ116" s="0"/>
      <c r="BGR116" s="0"/>
      <c r="BGS116" s="0"/>
      <c r="BGT116" s="0"/>
      <c r="BGU116" s="0"/>
      <c r="BGV116" s="0"/>
      <c r="BGW116" s="0"/>
      <c r="BGX116" s="0"/>
      <c r="BGY116" s="0"/>
      <c r="BGZ116" s="0"/>
      <c r="BHA116" s="0"/>
      <c r="BHB116" s="0"/>
      <c r="BHC116" s="0"/>
      <c r="BHD116" s="0"/>
      <c r="BHE116" s="0"/>
      <c r="BHF116" s="0"/>
      <c r="BHG116" s="0"/>
      <c r="BHH116" s="0"/>
      <c r="BHI116" s="0"/>
      <c r="BHJ116" s="0"/>
      <c r="BHK116" s="0"/>
      <c r="BHL116" s="0"/>
      <c r="BHM116" s="0"/>
      <c r="BHN116" s="0"/>
      <c r="BHO116" s="0"/>
      <c r="BHP116" s="0"/>
      <c r="BHQ116" s="0"/>
      <c r="BHR116" s="0"/>
      <c r="BHS116" s="0"/>
      <c r="BHT116" s="0"/>
      <c r="BHU116" s="0"/>
      <c r="BHV116" s="0"/>
      <c r="BHW116" s="0"/>
      <c r="BHX116" s="0"/>
      <c r="BHY116" s="0"/>
      <c r="BHZ116" s="0"/>
      <c r="BIA116" s="0"/>
      <c r="BIB116" s="0"/>
      <c r="BIC116" s="0"/>
      <c r="BID116" s="0"/>
      <c r="BIE116" s="0"/>
      <c r="BIF116" s="0"/>
      <c r="BIG116" s="0"/>
      <c r="BIH116" s="0"/>
      <c r="BII116" s="0"/>
      <c r="BIJ116" s="0"/>
      <c r="BIK116" s="0"/>
      <c r="BIL116" s="0"/>
      <c r="BIM116" s="0"/>
      <c r="BIN116" s="0"/>
      <c r="BIO116" s="0"/>
      <c r="BIP116" s="0"/>
      <c r="BIQ116" s="0"/>
      <c r="BIR116" s="0"/>
      <c r="BIS116" s="0"/>
      <c r="BIT116" s="0"/>
      <c r="BIU116" s="0"/>
      <c r="BIV116" s="0"/>
      <c r="BIW116" s="0"/>
      <c r="BIX116" s="0"/>
      <c r="BIY116" s="0"/>
      <c r="BIZ116" s="0"/>
      <c r="BJA116" s="0"/>
      <c r="BJB116" s="0"/>
      <c r="BJC116" s="0"/>
      <c r="BJD116" s="0"/>
      <c r="BJE116" s="0"/>
      <c r="BJF116" s="0"/>
      <c r="BJG116" s="0"/>
      <c r="BJH116" s="0"/>
      <c r="BJI116" s="0"/>
      <c r="BJJ116" s="0"/>
      <c r="BJK116" s="0"/>
      <c r="BJL116" s="0"/>
      <c r="BJM116" s="0"/>
      <c r="BJN116" s="0"/>
      <c r="BJO116" s="0"/>
      <c r="BJP116" s="0"/>
      <c r="BJQ116" s="0"/>
      <c r="BJR116" s="0"/>
      <c r="BJS116" s="0"/>
      <c r="BJT116" s="0"/>
      <c r="BJU116" s="0"/>
      <c r="BJV116" s="0"/>
      <c r="BJW116" s="0"/>
      <c r="BJX116" s="0"/>
      <c r="BJY116" s="0"/>
      <c r="BJZ116" s="0"/>
      <c r="BKA116" s="0"/>
      <c r="BKB116" s="0"/>
      <c r="BKC116" s="0"/>
      <c r="BKD116" s="0"/>
      <c r="BKE116" s="0"/>
      <c r="BKF116" s="0"/>
      <c r="BKG116" s="0"/>
      <c r="BKH116" s="0"/>
      <c r="BKI116" s="0"/>
      <c r="BKJ116" s="0"/>
      <c r="BKK116" s="0"/>
      <c r="BKL116" s="0"/>
      <c r="BKM116" s="0"/>
      <c r="BKN116" s="0"/>
      <c r="BKO116" s="0"/>
      <c r="BKP116" s="0"/>
      <c r="BKQ116" s="0"/>
      <c r="BKR116" s="0"/>
      <c r="BKS116" s="0"/>
      <c r="BKT116" s="0"/>
      <c r="BKU116" s="0"/>
      <c r="BKV116" s="0"/>
      <c r="BKW116" s="0"/>
      <c r="BKX116" s="0"/>
      <c r="BKY116" s="0"/>
      <c r="BKZ116" s="0"/>
      <c r="BLA116" s="0"/>
      <c r="BLB116" s="0"/>
      <c r="BLC116" s="0"/>
      <c r="BLD116" s="0"/>
      <c r="BLE116" s="0"/>
      <c r="BLF116" s="0"/>
      <c r="BLG116" s="0"/>
      <c r="BLH116" s="0"/>
      <c r="BLI116" s="0"/>
      <c r="BLJ116" s="0"/>
      <c r="BLK116" s="0"/>
      <c r="BLL116" s="0"/>
      <c r="BLM116" s="0"/>
      <c r="BLN116" s="0"/>
      <c r="BLO116" s="0"/>
      <c r="BLP116" s="0"/>
      <c r="BLQ116" s="0"/>
      <c r="BLR116" s="0"/>
      <c r="BLS116" s="0"/>
      <c r="BLT116" s="0"/>
      <c r="BLU116" s="0"/>
      <c r="BLV116" s="0"/>
      <c r="BLW116" s="0"/>
      <c r="BLX116" s="0"/>
      <c r="BLY116" s="0"/>
      <c r="BLZ116" s="0"/>
      <c r="BMA116" s="0"/>
      <c r="BMB116" s="0"/>
      <c r="BMC116" s="0"/>
      <c r="BMD116" s="0"/>
      <c r="BME116" s="0"/>
      <c r="BMF116" s="0"/>
      <c r="BMG116" s="0"/>
      <c r="BMH116" s="0"/>
      <c r="BMI116" s="0"/>
      <c r="BMJ116" s="0"/>
      <c r="BMK116" s="0"/>
      <c r="BML116" s="0"/>
      <c r="BMM116" s="0"/>
      <c r="BMN116" s="0"/>
      <c r="BMO116" s="0"/>
      <c r="BMP116" s="0"/>
      <c r="BMQ116" s="0"/>
      <c r="BMR116" s="0"/>
      <c r="BMS116" s="0"/>
      <c r="BMT116" s="0"/>
      <c r="BMU116" s="0"/>
      <c r="BMV116" s="0"/>
      <c r="BMW116" s="0"/>
      <c r="BMX116" s="0"/>
      <c r="BMY116" s="0"/>
      <c r="BMZ116" s="0"/>
      <c r="BNA116" s="0"/>
      <c r="BNB116" s="0"/>
      <c r="BNC116" s="0"/>
      <c r="BND116" s="0"/>
      <c r="BNE116" s="0"/>
      <c r="BNF116" s="0"/>
      <c r="BNG116" s="0"/>
      <c r="BNH116" s="0"/>
      <c r="BNI116" s="0"/>
      <c r="BNJ116" s="0"/>
      <c r="BNK116" s="0"/>
      <c r="BNL116" s="0"/>
      <c r="BNM116" s="0"/>
      <c r="BNN116" s="0"/>
      <c r="BNO116" s="0"/>
      <c r="BNP116" s="0"/>
      <c r="BNQ116" s="0"/>
      <c r="BNR116" s="0"/>
      <c r="BNS116" s="0"/>
      <c r="BNT116" s="0"/>
      <c r="BNU116" s="0"/>
      <c r="BNV116" s="0"/>
      <c r="BNW116" s="0"/>
      <c r="BNX116" s="0"/>
      <c r="BNY116" s="0"/>
      <c r="BNZ116" s="0"/>
      <c r="BOA116" s="0"/>
      <c r="BOB116" s="0"/>
      <c r="BOC116" s="0"/>
      <c r="BOD116" s="0"/>
      <c r="BOE116" s="0"/>
      <c r="BOF116" s="0"/>
      <c r="BOG116" s="0"/>
      <c r="BOH116" s="0"/>
      <c r="BOI116" s="0"/>
      <c r="BOJ116" s="0"/>
      <c r="BOK116" s="0"/>
      <c r="BOL116" s="0"/>
      <c r="BOM116" s="0"/>
      <c r="BON116" s="0"/>
      <c r="BOO116" s="0"/>
      <c r="BOP116" s="0"/>
      <c r="BOQ116" s="0"/>
      <c r="BOR116" s="0"/>
      <c r="BOS116" s="0"/>
      <c r="BOT116" s="0"/>
      <c r="BOU116" s="0"/>
      <c r="BOV116" s="0"/>
      <c r="BOW116" s="0"/>
      <c r="BOX116" s="0"/>
      <c r="BOY116" s="0"/>
      <c r="BOZ116" s="0"/>
      <c r="BPA116" s="0"/>
      <c r="BPB116" s="0"/>
      <c r="BPC116" s="0"/>
      <c r="BPD116" s="0"/>
      <c r="BPE116" s="0"/>
      <c r="BPF116" s="0"/>
      <c r="BPG116" s="0"/>
      <c r="BPH116" s="0"/>
      <c r="BPI116" s="0"/>
      <c r="BPJ116" s="0"/>
      <c r="BPK116" s="0"/>
      <c r="BPL116" s="0"/>
      <c r="BPM116" s="0"/>
      <c r="BPN116" s="0"/>
      <c r="BPO116" s="0"/>
      <c r="BPP116" s="0"/>
      <c r="BPQ116" s="0"/>
      <c r="BPR116" s="0"/>
      <c r="BPS116" s="0"/>
      <c r="BPT116" s="0"/>
      <c r="BPU116" s="0"/>
      <c r="BPV116" s="0"/>
      <c r="BPW116" s="0"/>
      <c r="BPX116" s="0"/>
      <c r="BPY116" s="0"/>
      <c r="BPZ116" s="0"/>
      <c r="BQA116" s="0"/>
      <c r="BQB116" s="0"/>
      <c r="BQC116" s="0"/>
      <c r="BQD116" s="0"/>
      <c r="BQE116" s="0"/>
      <c r="BQF116" s="0"/>
      <c r="BQG116" s="0"/>
      <c r="BQH116" s="0"/>
      <c r="BQI116" s="0"/>
      <c r="BQJ116" s="0"/>
      <c r="BQK116" s="0"/>
      <c r="BQL116" s="0"/>
      <c r="BQM116" s="0"/>
      <c r="BQN116" s="0"/>
      <c r="BQO116" s="0"/>
      <c r="BQP116" s="0"/>
      <c r="BQQ116" s="0"/>
      <c r="BQR116" s="0"/>
      <c r="BQS116" s="0"/>
      <c r="BQT116" s="0"/>
      <c r="BQU116" s="0"/>
      <c r="BQV116" s="0"/>
      <c r="BQW116" s="0"/>
      <c r="BQX116" s="0"/>
      <c r="BQY116" s="0"/>
      <c r="BQZ116" s="0"/>
      <c r="BRA116" s="0"/>
      <c r="BRB116" s="0"/>
      <c r="BRC116" s="0"/>
      <c r="BRD116" s="0"/>
      <c r="BRE116" s="0"/>
      <c r="BRF116" s="0"/>
      <c r="BRG116" s="0"/>
      <c r="BRH116" s="0"/>
      <c r="BRI116" s="0"/>
      <c r="BRJ116" s="0"/>
      <c r="BRK116" s="0"/>
      <c r="BRL116" s="0"/>
      <c r="BRM116" s="0"/>
      <c r="BRN116" s="0"/>
      <c r="BRO116" s="0"/>
      <c r="BRP116" s="0"/>
      <c r="BRQ116" s="0"/>
      <c r="BRR116" s="0"/>
      <c r="BRS116" s="0"/>
      <c r="BRT116" s="0"/>
      <c r="BRU116" s="0"/>
      <c r="BRV116" s="0"/>
      <c r="BRW116" s="0"/>
      <c r="BRX116" s="0"/>
      <c r="BRY116" s="0"/>
      <c r="BRZ116" s="0"/>
      <c r="BSA116" s="0"/>
      <c r="BSB116" s="0"/>
      <c r="BSC116" s="0"/>
      <c r="BSD116" s="0"/>
      <c r="BSE116" s="0"/>
      <c r="BSF116" s="0"/>
      <c r="BSG116" s="0"/>
      <c r="BSH116" s="0"/>
      <c r="BSI116" s="0"/>
      <c r="BSJ116" s="0"/>
      <c r="BSK116" s="0"/>
      <c r="BSL116" s="0"/>
      <c r="BSM116" s="0"/>
      <c r="BSN116" s="0"/>
      <c r="BSO116" s="0"/>
      <c r="BSP116" s="0"/>
      <c r="BSQ116" s="0"/>
      <c r="BSR116" s="0"/>
      <c r="BSS116" s="0"/>
      <c r="BST116" s="0"/>
      <c r="BSU116" s="0"/>
      <c r="BSV116" s="0"/>
      <c r="BSW116" s="0"/>
      <c r="BSX116" s="0"/>
      <c r="BSY116" s="0"/>
      <c r="BSZ116" s="0"/>
      <c r="BTA116" s="0"/>
      <c r="BTB116" s="0"/>
      <c r="BTC116" s="0"/>
      <c r="BTD116" s="0"/>
      <c r="BTE116" s="0"/>
      <c r="BTF116" s="0"/>
      <c r="BTG116" s="0"/>
      <c r="BTH116" s="0"/>
      <c r="BTI116" s="0"/>
      <c r="BTJ116" s="0"/>
      <c r="BTK116" s="0"/>
      <c r="BTL116" s="0"/>
      <c r="BTM116" s="0"/>
      <c r="BTN116" s="0"/>
      <c r="BTO116" s="0"/>
      <c r="BTP116" s="0"/>
      <c r="BTQ116" s="0"/>
      <c r="BTR116" s="0"/>
      <c r="BTS116" s="0"/>
      <c r="BTT116" s="0"/>
      <c r="BTU116" s="0"/>
      <c r="BTV116" s="0"/>
      <c r="BTW116" s="0"/>
      <c r="BTX116" s="0"/>
      <c r="BTY116" s="0"/>
      <c r="BTZ116" s="0"/>
      <c r="BUA116" s="0"/>
      <c r="BUB116" s="0"/>
      <c r="BUC116" s="0"/>
      <c r="BUD116" s="0"/>
      <c r="BUE116" s="0"/>
      <c r="BUF116" s="0"/>
      <c r="BUG116" s="0"/>
      <c r="BUH116" s="0"/>
      <c r="BUI116" s="0"/>
      <c r="BUJ116" s="0"/>
      <c r="BUK116" s="0"/>
      <c r="BUL116" s="0"/>
      <c r="BUM116" s="0"/>
      <c r="BUN116" s="0"/>
      <c r="BUO116" s="0"/>
      <c r="BUP116" s="0"/>
      <c r="BUQ116" s="0"/>
      <c r="BUR116" s="0"/>
      <c r="BUS116" s="0"/>
      <c r="BUT116" s="0"/>
      <c r="BUU116" s="0"/>
      <c r="BUV116" s="0"/>
      <c r="BUW116" s="0"/>
      <c r="BUX116" s="0"/>
      <c r="BUY116" s="0"/>
      <c r="BUZ116" s="0"/>
      <c r="BVA116" s="0"/>
      <c r="BVB116" s="0"/>
      <c r="BVC116" s="0"/>
      <c r="BVD116" s="0"/>
      <c r="BVE116" s="0"/>
      <c r="BVF116" s="0"/>
      <c r="BVG116" s="0"/>
      <c r="BVH116" s="0"/>
      <c r="BVI116" s="0"/>
      <c r="BVJ116" s="0"/>
      <c r="BVK116" s="0"/>
      <c r="BVL116" s="0"/>
      <c r="BVM116" s="0"/>
      <c r="BVN116" s="0"/>
      <c r="BVO116" s="0"/>
      <c r="BVP116" s="0"/>
      <c r="BVQ116" s="0"/>
      <c r="BVR116" s="0"/>
      <c r="BVS116" s="0"/>
      <c r="BVT116" s="0"/>
      <c r="BVU116" s="0"/>
      <c r="BVV116" s="0"/>
      <c r="BVW116" s="0"/>
      <c r="BVX116" s="0"/>
      <c r="BVY116" s="0"/>
      <c r="BVZ116" s="0"/>
      <c r="BWA116" s="0"/>
      <c r="BWB116" s="0"/>
      <c r="BWC116" s="0"/>
      <c r="BWD116" s="0"/>
      <c r="BWE116" s="0"/>
      <c r="BWF116" s="0"/>
      <c r="BWG116" s="0"/>
      <c r="BWH116" s="0"/>
      <c r="BWI116" s="0"/>
      <c r="BWJ116" s="0"/>
      <c r="BWK116" s="0"/>
      <c r="BWL116" s="0"/>
      <c r="BWM116" s="0"/>
      <c r="BWN116" s="0"/>
      <c r="BWO116" s="0"/>
      <c r="BWP116" s="0"/>
      <c r="BWQ116" s="0"/>
      <c r="BWR116" s="0"/>
      <c r="BWS116" s="0"/>
      <c r="BWT116" s="0"/>
      <c r="BWU116" s="0"/>
      <c r="BWV116" s="0"/>
      <c r="BWW116" s="0"/>
      <c r="BWX116" s="0"/>
      <c r="BWY116" s="0"/>
      <c r="BWZ116" s="0"/>
      <c r="BXA116" s="0"/>
      <c r="BXB116" s="0"/>
      <c r="BXC116" s="0"/>
      <c r="BXD116" s="0"/>
      <c r="BXE116" s="0"/>
      <c r="BXF116" s="0"/>
      <c r="BXG116" s="0"/>
      <c r="BXH116" s="0"/>
      <c r="BXI116" s="0"/>
      <c r="BXJ116" s="0"/>
      <c r="BXK116" s="0"/>
      <c r="BXL116" s="0"/>
      <c r="BXM116" s="0"/>
      <c r="BXN116" s="0"/>
      <c r="BXO116" s="0"/>
      <c r="BXP116" s="0"/>
      <c r="BXQ116" s="0"/>
      <c r="BXR116" s="0"/>
      <c r="BXS116" s="0"/>
      <c r="BXT116" s="0"/>
      <c r="BXU116" s="0"/>
      <c r="BXV116" s="0"/>
      <c r="BXW116" s="0"/>
      <c r="BXX116" s="0"/>
      <c r="BXY116" s="0"/>
      <c r="BXZ116" s="0"/>
      <c r="BYA116" s="0"/>
      <c r="BYB116" s="0"/>
      <c r="BYC116" s="0"/>
      <c r="BYD116" s="0"/>
      <c r="BYE116" s="0"/>
      <c r="BYF116" s="0"/>
      <c r="BYG116" s="0"/>
      <c r="BYH116" s="0"/>
      <c r="BYI116" s="0"/>
      <c r="BYJ116" s="0"/>
      <c r="BYK116" s="0"/>
      <c r="BYL116" s="0"/>
      <c r="BYM116" s="0"/>
      <c r="BYN116" s="0"/>
      <c r="BYO116" s="0"/>
      <c r="BYP116" s="0"/>
      <c r="BYQ116" s="0"/>
      <c r="BYR116" s="0"/>
      <c r="BYS116" s="0"/>
      <c r="BYT116" s="0"/>
      <c r="BYU116" s="0"/>
      <c r="BYV116" s="0"/>
      <c r="BYW116" s="0"/>
      <c r="BYX116" s="0"/>
      <c r="BYY116" s="0"/>
      <c r="BYZ116" s="0"/>
      <c r="BZA116" s="0"/>
      <c r="BZB116" s="0"/>
      <c r="BZC116" s="0"/>
      <c r="BZD116" s="0"/>
      <c r="BZE116" s="0"/>
      <c r="BZF116" s="0"/>
      <c r="BZG116" s="0"/>
      <c r="BZH116" s="0"/>
      <c r="BZI116" s="0"/>
      <c r="BZJ116" s="0"/>
      <c r="BZK116" s="0"/>
      <c r="BZL116" s="0"/>
      <c r="BZM116" s="0"/>
      <c r="BZN116" s="0"/>
      <c r="BZO116" s="0"/>
      <c r="BZP116" s="0"/>
      <c r="BZQ116" s="0"/>
      <c r="BZR116" s="0"/>
      <c r="BZS116" s="0"/>
      <c r="BZT116" s="0"/>
      <c r="BZU116" s="0"/>
      <c r="BZV116" s="0"/>
      <c r="BZW116" s="0"/>
      <c r="BZX116" s="0"/>
      <c r="BZY116" s="0"/>
      <c r="BZZ116" s="0"/>
      <c r="CAA116" s="0"/>
      <c r="CAB116" s="0"/>
      <c r="CAC116" s="0"/>
      <c r="CAD116" s="0"/>
      <c r="CAE116" s="0"/>
      <c r="CAF116" s="0"/>
      <c r="CAG116" s="0"/>
      <c r="CAH116" s="0"/>
      <c r="CAI116" s="0"/>
      <c r="CAJ116" s="0"/>
      <c r="CAK116" s="0"/>
      <c r="CAL116" s="0"/>
      <c r="CAM116" s="0"/>
      <c r="CAN116" s="0"/>
      <c r="CAO116" s="0"/>
      <c r="CAP116" s="0"/>
      <c r="CAQ116" s="0"/>
      <c r="CAR116" s="0"/>
      <c r="CAS116" s="0"/>
      <c r="CAT116" s="0"/>
      <c r="CAU116" s="0"/>
      <c r="CAV116" s="0"/>
      <c r="CAW116" s="0"/>
      <c r="CAX116" s="0"/>
      <c r="CAY116" s="0"/>
      <c r="CAZ116" s="0"/>
      <c r="CBA116" s="0"/>
      <c r="CBB116" s="0"/>
      <c r="CBC116" s="0"/>
      <c r="CBD116" s="0"/>
      <c r="CBE116" s="0"/>
      <c r="CBF116" s="0"/>
      <c r="CBG116" s="0"/>
      <c r="CBH116" s="0"/>
      <c r="CBI116" s="0"/>
      <c r="CBJ116" s="0"/>
      <c r="CBK116" s="0"/>
      <c r="CBL116" s="0"/>
      <c r="CBM116" s="0"/>
      <c r="CBN116" s="0"/>
      <c r="CBO116" s="0"/>
      <c r="CBP116" s="0"/>
      <c r="CBQ116" s="0"/>
      <c r="CBR116" s="0"/>
      <c r="CBS116" s="0"/>
      <c r="CBT116" s="0"/>
      <c r="CBU116" s="0"/>
      <c r="CBV116" s="0"/>
      <c r="CBW116" s="0"/>
      <c r="CBX116" s="0"/>
      <c r="CBY116" s="0"/>
      <c r="CBZ116" s="0"/>
      <c r="CCA116" s="0"/>
      <c r="CCB116" s="0"/>
      <c r="CCC116" s="0"/>
      <c r="CCD116" s="0"/>
      <c r="CCE116" s="0"/>
      <c r="CCF116" s="0"/>
      <c r="CCG116" s="0"/>
      <c r="CCH116" s="0"/>
      <c r="CCI116" s="0"/>
      <c r="CCJ116" s="0"/>
      <c r="CCK116" s="0"/>
      <c r="CCL116" s="0"/>
      <c r="CCM116" s="0"/>
      <c r="CCN116" s="0"/>
      <c r="CCO116" s="0"/>
      <c r="CCP116" s="0"/>
      <c r="CCQ116" s="0"/>
      <c r="CCR116" s="0"/>
      <c r="CCS116" s="0"/>
      <c r="CCT116" s="0"/>
      <c r="CCU116" s="0"/>
      <c r="CCV116" s="0"/>
      <c r="CCW116" s="0"/>
      <c r="CCX116" s="0"/>
      <c r="CCY116" s="0"/>
      <c r="CCZ116" s="0"/>
      <c r="CDA116" s="0"/>
      <c r="CDB116" s="0"/>
      <c r="CDC116" s="0"/>
      <c r="CDD116" s="0"/>
      <c r="CDE116" s="0"/>
      <c r="CDF116" s="0"/>
      <c r="CDG116" s="0"/>
      <c r="CDH116" s="0"/>
      <c r="CDI116" s="0"/>
      <c r="CDJ116" s="0"/>
      <c r="CDK116" s="0"/>
      <c r="CDL116" s="0"/>
      <c r="CDM116" s="0"/>
      <c r="CDN116" s="0"/>
      <c r="CDO116" s="0"/>
      <c r="CDP116" s="0"/>
      <c r="CDQ116" s="0"/>
      <c r="CDR116" s="0"/>
      <c r="CDS116" s="0"/>
      <c r="CDT116" s="0"/>
      <c r="CDU116" s="0"/>
      <c r="CDV116" s="0"/>
      <c r="CDW116" s="0"/>
      <c r="CDX116" s="0"/>
      <c r="CDY116" s="0"/>
      <c r="CDZ116" s="0"/>
      <c r="CEA116" s="0"/>
      <c r="CEB116" s="0"/>
      <c r="CEC116" s="0"/>
      <c r="CED116" s="0"/>
      <c r="CEE116" s="0"/>
      <c r="CEF116" s="0"/>
      <c r="CEG116" s="0"/>
      <c r="CEH116" s="0"/>
      <c r="CEI116" s="0"/>
      <c r="CEJ116" s="0"/>
      <c r="CEK116" s="0"/>
      <c r="CEL116" s="0"/>
      <c r="CEM116" s="0"/>
      <c r="CEN116" s="0"/>
      <c r="CEO116" s="0"/>
      <c r="CEP116" s="0"/>
      <c r="CEQ116" s="0"/>
      <c r="CER116" s="0"/>
      <c r="CES116" s="0"/>
      <c r="CET116" s="0"/>
      <c r="CEU116" s="0"/>
      <c r="CEV116" s="0"/>
      <c r="CEW116" s="0"/>
      <c r="CEX116" s="0"/>
      <c r="CEY116" s="0"/>
      <c r="CEZ116" s="0"/>
      <c r="CFA116" s="0"/>
      <c r="CFB116" s="0"/>
      <c r="CFC116" s="0"/>
      <c r="CFD116" s="0"/>
      <c r="CFE116" s="0"/>
      <c r="CFF116" s="0"/>
      <c r="CFG116" s="0"/>
      <c r="CFH116" s="0"/>
      <c r="CFI116" s="0"/>
      <c r="CFJ116" s="0"/>
      <c r="CFK116" s="0"/>
      <c r="CFL116" s="0"/>
      <c r="CFM116" s="0"/>
      <c r="CFN116" s="0"/>
      <c r="CFO116" s="0"/>
      <c r="CFP116" s="0"/>
      <c r="CFQ116" s="0"/>
      <c r="CFR116" s="0"/>
      <c r="CFS116" s="0"/>
      <c r="CFT116" s="0"/>
      <c r="CFU116" s="0"/>
      <c r="CFV116" s="0"/>
      <c r="CFW116" s="0"/>
      <c r="CFX116" s="0"/>
      <c r="CFY116" s="0"/>
      <c r="CFZ116" s="0"/>
      <c r="CGA116" s="0"/>
      <c r="CGB116" s="0"/>
      <c r="CGC116" s="0"/>
      <c r="CGD116" s="0"/>
      <c r="CGE116" s="0"/>
      <c r="CGF116" s="0"/>
      <c r="CGG116" s="0"/>
      <c r="CGH116" s="0"/>
      <c r="CGI116" s="0"/>
      <c r="CGJ116" s="0"/>
      <c r="CGK116" s="0"/>
      <c r="CGL116" s="0"/>
      <c r="CGM116" s="0"/>
      <c r="CGN116" s="0"/>
      <c r="CGO116" s="0"/>
      <c r="CGP116" s="0"/>
      <c r="CGQ116" s="0"/>
      <c r="CGR116" s="0"/>
      <c r="CGS116" s="0"/>
      <c r="CGT116" s="0"/>
      <c r="CGU116" s="0"/>
      <c r="CGV116" s="0"/>
      <c r="CGW116" s="0"/>
      <c r="CGX116" s="0"/>
      <c r="CGY116" s="0"/>
      <c r="CGZ116" s="0"/>
      <c r="CHA116" s="0"/>
      <c r="CHB116" s="0"/>
      <c r="CHC116" s="0"/>
      <c r="CHD116" s="0"/>
      <c r="CHE116" s="0"/>
      <c r="CHF116" s="0"/>
      <c r="CHG116" s="0"/>
      <c r="CHH116" s="0"/>
      <c r="CHI116" s="0"/>
      <c r="CHJ116" s="0"/>
      <c r="CHK116" s="0"/>
      <c r="CHL116" s="0"/>
      <c r="CHM116" s="0"/>
      <c r="CHN116" s="0"/>
      <c r="CHO116" s="0"/>
      <c r="CHP116" s="0"/>
      <c r="CHQ116" s="0"/>
      <c r="CHR116" s="0"/>
      <c r="CHS116" s="0"/>
      <c r="CHT116" s="0"/>
      <c r="CHU116" s="0"/>
      <c r="CHV116" s="0"/>
      <c r="CHW116" s="0"/>
      <c r="CHX116" s="0"/>
      <c r="CHY116" s="0"/>
      <c r="CHZ116" s="0"/>
      <c r="CIA116" s="0"/>
      <c r="CIB116" s="0"/>
      <c r="CIC116" s="0"/>
      <c r="CID116" s="0"/>
      <c r="CIE116" s="0"/>
      <c r="CIF116" s="0"/>
      <c r="CIG116" s="0"/>
      <c r="CIH116" s="0"/>
      <c r="CII116" s="0"/>
      <c r="CIJ116" s="0"/>
      <c r="CIK116" s="0"/>
      <c r="CIL116" s="0"/>
      <c r="CIM116" s="0"/>
      <c r="CIN116" s="0"/>
      <c r="CIO116" s="0"/>
      <c r="CIP116" s="0"/>
      <c r="CIQ116" s="0"/>
      <c r="CIR116" s="0"/>
      <c r="CIS116" s="0"/>
      <c r="CIT116" s="0"/>
      <c r="CIU116" s="0"/>
      <c r="CIV116" s="0"/>
      <c r="CIW116" s="0"/>
      <c r="CIX116" s="0"/>
      <c r="CIY116" s="0"/>
      <c r="CIZ116" s="0"/>
      <c r="CJA116" s="0"/>
      <c r="CJB116" s="0"/>
      <c r="CJC116" s="0"/>
      <c r="CJD116" s="0"/>
      <c r="CJE116" s="0"/>
      <c r="CJF116" s="0"/>
      <c r="CJG116" s="0"/>
      <c r="CJH116" s="0"/>
      <c r="CJI116" s="0"/>
      <c r="CJJ116" s="0"/>
      <c r="CJK116" s="0"/>
      <c r="CJL116" s="0"/>
      <c r="CJM116" s="0"/>
      <c r="CJN116" s="0"/>
      <c r="CJO116" s="0"/>
      <c r="CJP116" s="0"/>
      <c r="CJQ116" s="0"/>
      <c r="CJR116" s="0"/>
      <c r="CJS116" s="0"/>
      <c r="CJT116" s="0"/>
      <c r="CJU116" s="0"/>
      <c r="CJV116" s="0"/>
      <c r="CJW116" s="0"/>
      <c r="CJX116" s="0"/>
      <c r="CJY116" s="0"/>
      <c r="CJZ116" s="0"/>
      <c r="CKA116" s="0"/>
      <c r="CKB116" s="0"/>
      <c r="CKC116" s="0"/>
      <c r="CKD116" s="0"/>
      <c r="CKE116" s="0"/>
      <c r="CKF116" s="0"/>
      <c r="CKG116" s="0"/>
      <c r="CKH116" s="0"/>
      <c r="CKI116" s="0"/>
      <c r="CKJ116" s="0"/>
      <c r="CKK116" s="0"/>
      <c r="CKL116" s="0"/>
      <c r="CKM116" s="0"/>
      <c r="CKN116" s="0"/>
      <c r="CKO116" s="0"/>
      <c r="CKP116" s="0"/>
      <c r="CKQ116" s="0"/>
      <c r="CKR116" s="0"/>
      <c r="CKS116" s="0"/>
      <c r="CKT116" s="0"/>
      <c r="CKU116" s="0"/>
      <c r="CKV116" s="0"/>
      <c r="CKW116" s="0"/>
      <c r="CKX116" s="0"/>
      <c r="CKY116" s="0"/>
      <c r="CKZ116" s="0"/>
      <c r="CLA116" s="0"/>
      <c r="CLB116" s="0"/>
      <c r="CLC116" s="0"/>
      <c r="CLD116" s="0"/>
      <c r="CLE116" s="0"/>
      <c r="CLF116" s="0"/>
      <c r="CLG116" s="0"/>
      <c r="CLH116" s="0"/>
      <c r="CLI116" s="0"/>
      <c r="CLJ116" s="0"/>
      <c r="CLK116" s="0"/>
      <c r="CLL116" s="0"/>
      <c r="CLM116" s="0"/>
      <c r="CLN116" s="0"/>
      <c r="CLO116" s="0"/>
      <c r="CLP116" s="0"/>
      <c r="CLQ116" s="0"/>
      <c r="CLR116" s="0"/>
      <c r="CLS116" s="0"/>
      <c r="CLT116" s="0"/>
      <c r="CLU116" s="0"/>
      <c r="CLV116" s="0"/>
      <c r="CLW116" s="0"/>
      <c r="CLX116" s="0"/>
      <c r="CLY116" s="0"/>
      <c r="CLZ116" s="0"/>
      <c r="CMA116" s="0"/>
      <c r="CMB116" s="0"/>
      <c r="CMC116" s="0"/>
      <c r="CMD116" s="0"/>
      <c r="CME116" s="0"/>
      <c r="CMF116" s="0"/>
      <c r="CMG116" s="0"/>
      <c r="CMH116" s="0"/>
      <c r="CMI116" s="0"/>
      <c r="CMJ116" s="0"/>
      <c r="CMK116" s="0"/>
      <c r="CML116" s="0"/>
      <c r="CMM116" s="0"/>
      <c r="CMN116" s="0"/>
      <c r="CMO116" s="0"/>
      <c r="CMP116" s="0"/>
      <c r="CMQ116" s="0"/>
      <c r="CMR116" s="0"/>
      <c r="CMS116" s="0"/>
      <c r="CMT116" s="0"/>
      <c r="CMU116" s="0"/>
      <c r="CMV116" s="0"/>
      <c r="CMW116" s="0"/>
      <c r="CMX116" s="0"/>
      <c r="CMY116" s="0"/>
      <c r="CMZ116" s="0"/>
      <c r="CNA116" s="0"/>
      <c r="CNB116" s="0"/>
      <c r="CNC116" s="0"/>
      <c r="CND116" s="0"/>
      <c r="CNE116" s="0"/>
      <c r="CNF116" s="0"/>
      <c r="CNG116" s="0"/>
      <c r="CNH116" s="0"/>
      <c r="CNI116" s="0"/>
      <c r="CNJ116" s="0"/>
      <c r="CNK116" s="0"/>
      <c r="CNL116" s="0"/>
      <c r="CNM116" s="0"/>
      <c r="CNN116" s="0"/>
      <c r="CNO116" s="0"/>
      <c r="CNP116" s="0"/>
      <c r="CNQ116" s="0"/>
      <c r="CNR116" s="0"/>
      <c r="CNS116" s="0"/>
      <c r="CNT116" s="0"/>
      <c r="CNU116" s="0"/>
      <c r="CNV116" s="0"/>
      <c r="CNW116" s="0"/>
      <c r="CNX116" s="0"/>
      <c r="CNY116" s="0"/>
      <c r="CNZ116" s="0"/>
      <c r="COA116" s="0"/>
      <c r="COB116" s="0"/>
      <c r="COC116" s="0"/>
      <c r="COD116" s="0"/>
      <c r="COE116" s="0"/>
      <c r="COF116" s="0"/>
      <c r="COG116" s="0"/>
      <c r="COH116" s="0"/>
      <c r="COI116" s="0"/>
      <c r="COJ116" s="0"/>
      <c r="COK116" s="0"/>
      <c r="COL116" s="0"/>
      <c r="COM116" s="0"/>
      <c r="CON116" s="0"/>
      <c r="COO116" s="0"/>
      <c r="COP116" s="0"/>
      <c r="COQ116" s="0"/>
      <c r="COR116" s="0"/>
      <c r="COS116" s="0"/>
      <c r="COT116" s="0"/>
      <c r="COU116" s="0"/>
      <c r="COV116" s="0"/>
      <c r="COW116" s="0"/>
      <c r="COX116" s="0"/>
      <c r="COY116" s="0"/>
      <c r="COZ116" s="0"/>
      <c r="CPA116" s="0"/>
      <c r="CPB116" s="0"/>
      <c r="CPC116" s="0"/>
      <c r="CPD116" s="0"/>
      <c r="CPE116" s="0"/>
      <c r="CPF116" s="0"/>
      <c r="CPG116" s="0"/>
      <c r="CPH116" s="0"/>
      <c r="CPI116" s="0"/>
      <c r="CPJ116" s="0"/>
      <c r="CPK116" s="0"/>
      <c r="CPL116" s="0"/>
      <c r="CPM116" s="0"/>
      <c r="CPN116" s="0"/>
      <c r="CPO116" s="0"/>
      <c r="CPP116" s="0"/>
      <c r="CPQ116" s="0"/>
      <c r="CPR116" s="0"/>
      <c r="CPS116" s="0"/>
      <c r="CPT116" s="0"/>
      <c r="CPU116" s="0"/>
      <c r="CPV116" s="0"/>
      <c r="CPW116" s="0"/>
      <c r="CPX116" s="0"/>
      <c r="CPY116" s="0"/>
      <c r="CPZ116" s="0"/>
      <c r="CQA116" s="0"/>
      <c r="CQB116" s="0"/>
      <c r="CQC116" s="0"/>
      <c r="CQD116" s="0"/>
      <c r="CQE116" s="0"/>
      <c r="CQF116" s="0"/>
      <c r="CQG116" s="0"/>
      <c r="CQH116" s="0"/>
      <c r="CQI116" s="0"/>
      <c r="CQJ116" s="0"/>
      <c r="CQK116" s="0"/>
      <c r="CQL116" s="0"/>
      <c r="CQM116" s="0"/>
      <c r="CQN116" s="0"/>
      <c r="CQO116" s="0"/>
      <c r="CQP116" s="0"/>
      <c r="CQQ116" s="0"/>
      <c r="CQR116" s="0"/>
      <c r="CQS116" s="0"/>
      <c r="CQT116" s="0"/>
      <c r="CQU116" s="0"/>
      <c r="CQV116" s="0"/>
      <c r="CQW116" s="0"/>
      <c r="CQX116" s="0"/>
      <c r="CQY116" s="0"/>
      <c r="CQZ116" s="0"/>
      <c r="CRA116" s="0"/>
      <c r="CRB116" s="0"/>
      <c r="CRC116" s="0"/>
      <c r="CRD116" s="0"/>
      <c r="CRE116" s="0"/>
      <c r="CRF116" s="0"/>
      <c r="CRG116" s="0"/>
      <c r="CRH116" s="0"/>
      <c r="CRI116" s="0"/>
      <c r="CRJ116" s="0"/>
      <c r="CRK116" s="0"/>
      <c r="CRL116" s="0"/>
      <c r="CRM116" s="0"/>
      <c r="CRN116" s="0"/>
      <c r="CRO116" s="0"/>
      <c r="CRP116" s="0"/>
      <c r="CRQ116" s="0"/>
      <c r="CRR116" s="0"/>
      <c r="CRS116" s="0"/>
      <c r="CRT116" s="0"/>
      <c r="CRU116" s="0"/>
      <c r="CRV116" s="0"/>
      <c r="CRW116" s="0"/>
      <c r="CRX116" s="0"/>
      <c r="CRY116" s="0"/>
      <c r="CRZ116" s="0"/>
      <c r="CSA116" s="0"/>
      <c r="CSB116" s="0"/>
      <c r="CSC116" s="0"/>
      <c r="CSD116" s="0"/>
      <c r="CSE116" s="0"/>
      <c r="CSF116" s="0"/>
      <c r="CSG116" s="0"/>
      <c r="CSH116" s="0"/>
      <c r="CSI116" s="0"/>
      <c r="CSJ116" s="0"/>
      <c r="CSK116" s="0"/>
      <c r="CSL116" s="0"/>
      <c r="CSM116" s="0"/>
      <c r="CSN116" s="0"/>
      <c r="CSO116" s="0"/>
      <c r="CSP116" s="0"/>
      <c r="CSQ116" s="0"/>
      <c r="CSR116" s="0"/>
      <c r="CSS116" s="0"/>
      <c r="CST116" s="0"/>
      <c r="CSU116" s="0"/>
      <c r="CSV116" s="0"/>
      <c r="CSW116" s="0"/>
      <c r="CSX116" s="0"/>
      <c r="CSY116" s="0"/>
      <c r="CSZ116" s="0"/>
      <c r="CTA116" s="0"/>
      <c r="CTB116" s="0"/>
      <c r="CTC116" s="0"/>
      <c r="CTD116" s="0"/>
      <c r="CTE116" s="0"/>
      <c r="CTF116" s="0"/>
      <c r="CTG116" s="0"/>
      <c r="CTH116" s="0"/>
      <c r="CTI116" s="0"/>
      <c r="CTJ116" s="0"/>
      <c r="CTK116" s="0"/>
      <c r="CTL116" s="0"/>
      <c r="CTM116" s="0"/>
      <c r="CTN116" s="0"/>
      <c r="CTO116" s="0"/>
      <c r="CTP116" s="0"/>
      <c r="CTQ116" s="0"/>
      <c r="CTR116" s="0"/>
      <c r="CTS116" s="0"/>
      <c r="CTT116" s="0"/>
      <c r="CTU116" s="0"/>
      <c r="CTV116" s="0"/>
      <c r="CTW116" s="0"/>
      <c r="CTX116" s="0"/>
      <c r="CTY116" s="0"/>
      <c r="CTZ116" s="0"/>
      <c r="CUA116" s="0"/>
      <c r="CUB116" s="0"/>
      <c r="CUC116" s="0"/>
      <c r="CUD116" s="0"/>
      <c r="CUE116" s="0"/>
      <c r="CUF116" s="0"/>
      <c r="CUG116" s="0"/>
      <c r="CUH116" s="0"/>
      <c r="CUI116" s="0"/>
      <c r="CUJ116" s="0"/>
      <c r="CUK116" s="0"/>
      <c r="CUL116" s="0"/>
      <c r="CUM116" s="0"/>
      <c r="CUN116" s="0"/>
      <c r="CUO116" s="0"/>
      <c r="CUP116" s="0"/>
      <c r="CUQ116" s="0"/>
      <c r="CUR116" s="0"/>
      <c r="CUS116" s="0"/>
      <c r="CUT116" s="0"/>
      <c r="CUU116" s="0"/>
      <c r="CUV116" s="0"/>
      <c r="CUW116" s="0"/>
      <c r="CUX116" s="0"/>
      <c r="CUY116" s="0"/>
      <c r="CUZ116" s="0"/>
      <c r="CVA116" s="0"/>
      <c r="CVB116" s="0"/>
      <c r="CVC116" s="0"/>
      <c r="CVD116" s="0"/>
      <c r="CVE116" s="0"/>
      <c r="CVF116" s="0"/>
      <c r="CVG116" s="0"/>
      <c r="CVH116" s="0"/>
      <c r="CVI116" s="0"/>
      <c r="CVJ116" s="0"/>
      <c r="CVK116" s="0"/>
      <c r="CVL116" s="0"/>
      <c r="CVM116" s="0"/>
      <c r="CVN116" s="0"/>
      <c r="CVO116" s="0"/>
      <c r="CVP116" s="0"/>
      <c r="CVQ116" s="0"/>
      <c r="CVR116" s="0"/>
      <c r="CVS116" s="0"/>
      <c r="CVT116" s="0"/>
      <c r="CVU116" s="0"/>
      <c r="CVV116" s="0"/>
      <c r="CVW116" s="0"/>
      <c r="CVX116" s="0"/>
      <c r="CVY116" s="0"/>
      <c r="CVZ116" s="0"/>
      <c r="CWA116" s="0"/>
      <c r="CWB116" s="0"/>
      <c r="CWC116" s="0"/>
      <c r="CWD116" s="0"/>
      <c r="CWE116" s="0"/>
      <c r="CWF116" s="0"/>
      <c r="CWG116" s="0"/>
      <c r="CWH116" s="0"/>
      <c r="CWI116" s="0"/>
      <c r="CWJ116" s="0"/>
      <c r="CWK116" s="0"/>
      <c r="CWL116" s="0"/>
      <c r="CWM116" s="0"/>
      <c r="CWN116" s="0"/>
      <c r="CWO116" s="0"/>
      <c r="CWP116" s="0"/>
      <c r="CWQ116" s="0"/>
      <c r="CWR116" s="0"/>
      <c r="CWS116" s="0"/>
      <c r="CWT116" s="0"/>
      <c r="CWU116" s="0"/>
      <c r="CWV116" s="0"/>
      <c r="CWW116" s="0"/>
      <c r="CWX116" s="0"/>
      <c r="CWY116" s="0"/>
      <c r="CWZ116" s="0"/>
      <c r="CXA116" s="0"/>
      <c r="CXB116" s="0"/>
      <c r="CXC116" s="0"/>
      <c r="CXD116" s="0"/>
      <c r="CXE116" s="0"/>
      <c r="CXF116" s="0"/>
      <c r="CXG116" s="0"/>
      <c r="CXH116" s="0"/>
      <c r="CXI116" s="0"/>
      <c r="CXJ116" s="0"/>
      <c r="CXK116" s="0"/>
      <c r="CXL116" s="0"/>
      <c r="CXM116" s="0"/>
      <c r="CXN116" s="0"/>
      <c r="CXO116" s="0"/>
      <c r="CXP116" s="0"/>
      <c r="CXQ116" s="0"/>
      <c r="CXR116" s="0"/>
      <c r="CXS116" s="0"/>
      <c r="CXT116" s="0"/>
      <c r="CXU116" s="0"/>
      <c r="CXV116" s="0"/>
      <c r="CXW116" s="0"/>
      <c r="CXX116" s="0"/>
      <c r="CXY116" s="0"/>
      <c r="CXZ116" s="0"/>
      <c r="CYA116" s="0"/>
      <c r="CYB116" s="0"/>
      <c r="CYC116" s="0"/>
      <c r="CYD116" s="0"/>
      <c r="CYE116" s="0"/>
      <c r="CYF116" s="0"/>
      <c r="CYG116" s="0"/>
      <c r="CYH116" s="0"/>
      <c r="CYI116" s="0"/>
      <c r="CYJ116" s="0"/>
      <c r="CYK116" s="0"/>
      <c r="CYL116" s="0"/>
      <c r="CYM116" s="0"/>
      <c r="CYN116" s="0"/>
      <c r="CYO116" s="0"/>
      <c r="CYP116" s="0"/>
      <c r="CYQ116" s="0"/>
      <c r="CYR116" s="0"/>
      <c r="CYS116" s="0"/>
      <c r="CYT116" s="0"/>
      <c r="CYU116" s="0"/>
      <c r="CYV116" s="0"/>
      <c r="CYW116" s="0"/>
      <c r="CYX116" s="0"/>
      <c r="CYY116" s="0"/>
      <c r="CYZ116" s="0"/>
      <c r="CZA116" s="0"/>
      <c r="CZB116" s="0"/>
      <c r="CZC116" s="0"/>
      <c r="CZD116" s="0"/>
      <c r="CZE116" s="0"/>
      <c r="CZF116" s="0"/>
      <c r="CZG116" s="0"/>
      <c r="CZH116" s="0"/>
      <c r="CZI116" s="0"/>
      <c r="CZJ116" s="0"/>
      <c r="CZK116" s="0"/>
      <c r="CZL116" s="0"/>
      <c r="CZM116" s="0"/>
      <c r="CZN116" s="0"/>
      <c r="CZO116" s="0"/>
      <c r="CZP116" s="0"/>
      <c r="CZQ116" s="0"/>
      <c r="CZR116" s="0"/>
      <c r="CZS116" s="0"/>
      <c r="CZT116" s="0"/>
      <c r="CZU116" s="0"/>
      <c r="CZV116" s="0"/>
      <c r="CZW116" s="0"/>
      <c r="CZX116" s="0"/>
      <c r="CZY116" s="0"/>
      <c r="CZZ116" s="0"/>
      <c r="DAA116" s="0"/>
      <c r="DAB116" s="0"/>
      <c r="DAC116" s="0"/>
      <c r="DAD116" s="0"/>
      <c r="DAE116" s="0"/>
      <c r="DAF116" s="0"/>
      <c r="DAG116" s="0"/>
      <c r="DAH116" s="0"/>
      <c r="DAI116" s="0"/>
      <c r="DAJ116" s="0"/>
      <c r="DAK116" s="0"/>
      <c r="DAL116" s="0"/>
      <c r="DAM116" s="0"/>
      <c r="DAN116" s="0"/>
      <c r="DAO116" s="0"/>
      <c r="DAP116" s="0"/>
      <c r="DAQ116" s="0"/>
      <c r="DAR116" s="0"/>
      <c r="DAS116" s="0"/>
      <c r="DAT116" s="0"/>
      <c r="DAU116" s="0"/>
      <c r="DAV116" s="0"/>
      <c r="DAW116" s="0"/>
      <c r="DAX116" s="0"/>
      <c r="DAY116" s="0"/>
      <c r="DAZ116" s="0"/>
      <c r="DBA116" s="0"/>
      <c r="DBB116" s="0"/>
      <c r="DBC116" s="0"/>
      <c r="DBD116" s="0"/>
      <c r="DBE116" s="0"/>
      <c r="DBF116" s="0"/>
      <c r="DBG116" s="0"/>
      <c r="DBH116" s="0"/>
      <c r="DBI116" s="0"/>
      <c r="DBJ116" s="0"/>
      <c r="DBK116" s="0"/>
      <c r="DBL116" s="0"/>
      <c r="DBM116" s="0"/>
      <c r="DBN116" s="0"/>
      <c r="DBO116" s="0"/>
      <c r="DBP116" s="0"/>
      <c r="DBQ116" s="0"/>
      <c r="DBR116" s="0"/>
      <c r="DBS116" s="0"/>
      <c r="DBT116" s="0"/>
      <c r="DBU116" s="0"/>
      <c r="DBV116" s="0"/>
      <c r="DBW116" s="0"/>
      <c r="DBX116" s="0"/>
      <c r="DBY116" s="0"/>
      <c r="DBZ116" s="0"/>
      <c r="DCA116" s="0"/>
      <c r="DCB116" s="0"/>
      <c r="DCC116" s="0"/>
      <c r="DCD116" s="0"/>
      <c r="DCE116" s="0"/>
      <c r="DCF116" s="0"/>
      <c r="DCG116" s="0"/>
      <c r="DCH116" s="0"/>
      <c r="DCI116" s="0"/>
      <c r="DCJ116" s="0"/>
      <c r="DCK116" s="0"/>
      <c r="DCL116" s="0"/>
      <c r="DCM116" s="0"/>
      <c r="DCN116" s="0"/>
      <c r="DCO116" s="0"/>
      <c r="DCP116" s="0"/>
      <c r="DCQ116" s="0"/>
      <c r="DCR116" s="0"/>
      <c r="DCS116" s="0"/>
      <c r="DCT116" s="0"/>
      <c r="DCU116" s="0"/>
      <c r="DCV116" s="0"/>
      <c r="DCW116" s="0"/>
      <c r="DCX116" s="0"/>
      <c r="DCY116" s="0"/>
      <c r="DCZ116" s="0"/>
      <c r="DDA116" s="0"/>
      <c r="DDB116" s="0"/>
      <c r="DDC116" s="0"/>
      <c r="DDD116" s="0"/>
      <c r="DDE116" s="0"/>
      <c r="DDF116" s="0"/>
      <c r="DDG116" s="0"/>
      <c r="DDH116" s="0"/>
      <c r="DDI116" s="0"/>
      <c r="DDJ116" s="0"/>
      <c r="DDK116" s="0"/>
      <c r="DDL116" s="0"/>
      <c r="DDM116" s="0"/>
      <c r="DDN116" s="0"/>
      <c r="DDO116" s="0"/>
      <c r="DDP116" s="0"/>
      <c r="DDQ116" s="0"/>
      <c r="DDR116" s="0"/>
      <c r="DDS116" s="0"/>
      <c r="DDT116" s="0"/>
      <c r="DDU116" s="0"/>
      <c r="DDV116" s="0"/>
      <c r="DDW116" s="0"/>
      <c r="DDX116" s="0"/>
      <c r="DDY116" s="0"/>
      <c r="DDZ116" s="0"/>
      <c r="DEA116" s="0"/>
      <c r="DEB116" s="0"/>
      <c r="DEC116" s="0"/>
      <c r="DED116" s="0"/>
      <c r="DEE116" s="0"/>
      <c r="DEF116" s="0"/>
      <c r="DEG116" s="0"/>
      <c r="DEH116" s="0"/>
      <c r="DEI116" s="0"/>
      <c r="DEJ116" s="0"/>
      <c r="DEK116" s="0"/>
      <c r="DEL116" s="0"/>
      <c r="DEM116" s="0"/>
      <c r="DEN116" s="0"/>
      <c r="DEO116" s="0"/>
      <c r="DEP116" s="0"/>
      <c r="DEQ116" s="0"/>
      <c r="DER116" s="0"/>
      <c r="DES116" s="0"/>
      <c r="DET116" s="0"/>
      <c r="DEU116" s="0"/>
      <c r="DEV116" s="0"/>
      <c r="DEW116" s="0"/>
      <c r="DEX116" s="0"/>
      <c r="DEY116" s="0"/>
      <c r="DEZ116" s="0"/>
      <c r="DFA116" s="0"/>
      <c r="DFB116" s="0"/>
      <c r="DFC116" s="0"/>
      <c r="DFD116" s="0"/>
      <c r="DFE116" s="0"/>
      <c r="DFF116" s="0"/>
      <c r="DFG116" s="0"/>
      <c r="DFH116" s="0"/>
      <c r="DFI116" s="0"/>
      <c r="DFJ116" s="0"/>
      <c r="DFK116" s="0"/>
      <c r="DFL116" s="0"/>
      <c r="DFM116" s="0"/>
      <c r="DFN116" s="0"/>
      <c r="DFO116" s="0"/>
      <c r="DFP116" s="0"/>
      <c r="DFQ116" s="0"/>
      <c r="DFR116" s="0"/>
      <c r="DFS116" s="0"/>
      <c r="DFT116" s="0"/>
      <c r="DFU116" s="0"/>
      <c r="DFV116" s="0"/>
      <c r="DFW116" s="0"/>
      <c r="DFX116" s="0"/>
      <c r="DFY116" s="0"/>
      <c r="DFZ116" s="0"/>
      <c r="DGA116" s="0"/>
      <c r="DGB116" s="0"/>
      <c r="DGC116" s="0"/>
      <c r="DGD116" s="0"/>
      <c r="DGE116" s="0"/>
      <c r="DGF116" s="0"/>
      <c r="DGG116" s="0"/>
      <c r="DGH116" s="0"/>
      <c r="DGI116" s="0"/>
      <c r="DGJ116" s="0"/>
      <c r="DGK116" s="0"/>
      <c r="DGL116" s="0"/>
      <c r="DGM116" s="0"/>
      <c r="DGN116" s="0"/>
      <c r="DGO116" s="0"/>
      <c r="DGP116" s="0"/>
      <c r="DGQ116" s="0"/>
      <c r="DGR116" s="0"/>
      <c r="DGS116" s="0"/>
      <c r="DGT116" s="0"/>
      <c r="DGU116" s="0"/>
      <c r="DGV116" s="0"/>
      <c r="DGW116" s="0"/>
      <c r="DGX116" s="0"/>
      <c r="DGY116" s="0"/>
      <c r="DGZ116" s="0"/>
      <c r="DHA116" s="0"/>
      <c r="DHB116" s="0"/>
      <c r="DHC116" s="0"/>
      <c r="DHD116" s="0"/>
      <c r="DHE116" s="0"/>
      <c r="DHF116" s="0"/>
      <c r="DHG116" s="0"/>
      <c r="DHH116" s="0"/>
      <c r="DHI116" s="0"/>
      <c r="DHJ116" s="0"/>
      <c r="DHK116" s="0"/>
      <c r="DHL116" s="0"/>
      <c r="DHM116" s="0"/>
      <c r="DHN116" s="0"/>
      <c r="DHO116" s="0"/>
      <c r="DHP116" s="0"/>
      <c r="DHQ116" s="0"/>
      <c r="DHR116" s="0"/>
      <c r="DHS116" s="0"/>
      <c r="DHT116" s="0"/>
      <c r="DHU116" s="0"/>
      <c r="DHV116" s="0"/>
      <c r="DHW116" s="0"/>
      <c r="DHX116" s="0"/>
      <c r="DHY116" s="0"/>
      <c r="DHZ116" s="0"/>
      <c r="DIA116" s="0"/>
      <c r="DIB116" s="0"/>
      <c r="DIC116" s="0"/>
      <c r="DID116" s="0"/>
      <c r="DIE116" s="0"/>
      <c r="DIF116" s="0"/>
      <c r="DIG116" s="0"/>
      <c r="DIH116" s="0"/>
      <c r="DII116" s="0"/>
      <c r="DIJ116" s="0"/>
      <c r="DIK116" s="0"/>
      <c r="DIL116" s="0"/>
      <c r="DIM116" s="0"/>
      <c r="DIN116" s="0"/>
      <c r="DIO116" s="0"/>
      <c r="DIP116" s="0"/>
      <c r="DIQ116" s="0"/>
      <c r="DIR116" s="0"/>
      <c r="DIS116" s="0"/>
      <c r="DIT116" s="0"/>
      <c r="DIU116" s="0"/>
      <c r="DIV116" s="0"/>
      <c r="DIW116" s="0"/>
      <c r="DIX116" s="0"/>
      <c r="DIY116" s="0"/>
      <c r="DIZ116" s="0"/>
      <c r="DJA116" s="0"/>
      <c r="DJB116" s="0"/>
      <c r="DJC116" s="0"/>
      <c r="DJD116" s="0"/>
      <c r="DJE116" s="0"/>
      <c r="DJF116" s="0"/>
      <c r="DJG116" s="0"/>
      <c r="DJH116" s="0"/>
      <c r="DJI116" s="0"/>
      <c r="DJJ116" s="0"/>
      <c r="DJK116" s="0"/>
      <c r="DJL116" s="0"/>
      <c r="DJM116" s="0"/>
      <c r="DJN116" s="0"/>
      <c r="DJO116" s="0"/>
      <c r="DJP116" s="0"/>
      <c r="DJQ116" s="0"/>
      <c r="DJR116" s="0"/>
      <c r="DJS116" s="0"/>
      <c r="DJT116" s="0"/>
      <c r="DJU116" s="0"/>
      <c r="DJV116" s="0"/>
      <c r="DJW116" s="0"/>
      <c r="DJX116" s="0"/>
      <c r="DJY116" s="0"/>
      <c r="DJZ116" s="0"/>
      <c r="DKA116" s="0"/>
      <c r="DKB116" s="0"/>
      <c r="DKC116" s="0"/>
      <c r="DKD116" s="0"/>
      <c r="DKE116" s="0"/>
      <c r="DKF116" s="0"/>
      <c r="DKG116" s="0"/>
      <c r="DKH116" s="0"/>
      <c r="DKI116" s="0"/>
      <c r="DKJ116" s="0"/>
      <c r="DKK116" s="0"/>
      <c r="DKL116" s="0"/>
      <c r="DKM116" s="0"/>
      <c r="DKN116" s="0"/>
      <c r="DKO116" s="0"/>
      <c r="DKP116" s="0"/>
      <c r="DKQ116" s="0"/>
      <c r="DKR116" s="0"/>
      <c r="DKS116" s="0"/>
      <c r="DKT116" s="0"/>
      <c r="DKU116" s="0"/>
      <c r="DKV116" s="0"/>
      <c r="DKW116" s="0"/>
      <c r="DKX116" s="0"/>
      <c r="DKY116" s="0"/>
      <c r="DKZ116" s="0"/>
      <c r="DLA116" s="0"/>
      <c r="DLB116" s="0"/>
      <c r="DLC116" s="0"/>
      <c r="DLD116" s="0"/>
      <c r="DLE116" s="0"/>
      <c r="DLF116" s="0"/>
      <c r="DLG116" s="0"/>
      <c r="DLH116" s="0"/>
      <c r="DLI116" s="0"/>
      <c r="DLJ116" s="0"/>
      <c r="DLK116" s="0"/>
      <c r="DLL116" s="0"/>
      <c r="DLM116" s="0"/>
      <c r="DLN116" s="0"/>
      <c r="DLO116" s="0"/>
      <c r="DLP116" s="0"/>
      <c r="DLQ116" s="0"/>
      <c r="DLR116" s="0"/>
      <c r="DLS116" s="0"/>
      <c r="DLT116" s="0"/>
      <c r="DLU116" s="0"/>
      <c r="DLV116" s="0"/>
      <c r="DLW116" s="0"/>
      <c r="DLX116" s="0"/>
      <c r="DLY116" s="0"/>
      <c r="DLZ116" s="0"/>
      <c r="DMA116" s="0"/>
      <c r="DMB116" s="0"/>
      <c r="DMC116" s="0"/>
      <c r="DMD116" s="0"/>
      <c r="DME116" s="0"/>
      <c r="DMF116" s="0"/>
      <c r="DMG116" s="0"/>
      <c r="DMH116" s="0"/>
      <c r="DMI116" s="0"/>
      <c r="DMJ116" s="0"/>
      <c r="DMK116" s="0"/>
      <c r="DML116" s="0"/>
      <c r="DMM116" s="0"/>
      <c r="DMN116" s="0"/>
      <c r="DMO116" s="0"/>
      <c r="DMP116" s="0"/>
      <c r="DMQ116" s="0"/>
      <c r="DMR116" s="0"/>
      <c r="DMS116" s="0"/>
      <c r="DMT116" s="0"/>
      <c r="DMU116" s="0"/>
      <c r="DMV116" s="0"/>
      <c r="DMW116" s="0"/>
      <c r="DMX116" s="0"/>
      <c r="DMY116" s="0"/>
      <c r="DMZ116" s="0"/>
      <c r="DNA116" s="0"/>
      <c r="DNB116" s="0"/>
      <c r="DNC116" s="0"/>
      <c r="DND116" s="0"/>
      <c r="DNE116" s="0"/>
      <c r="DNF116" s="0"/>
      <c r="DNG116" s="0"/>
      <c r="DNH116" s="0"/>
      <c r="DNI116" s="0"/>
      <c r="DNJ116" s="0"/>
      <c r="DNK116" s="0"/>
      <c r="DNL116" s="0"/>
      <c r="DNM116" s="0"/>
      <c r="DNN116" s="0"/>
      <c r="DNO116" s="0"/>
      <c r="DNP116" s="0"/>
      <c r="DNQ116" s="0"/>
      <c r="DNR116" s="0"/>
      <c r="DNS116" s="0"/>
      <c r="DNT116" s="0"/>
      <c r="DNU116" s="0"/>
      <c r="DNV116" s="0"/>
      <c r="DNW116" s="0"/>
      <c r="DNX116" s="0"/>
      <c r="DNY116" s="0"/>
      <c r="DNZ116" s="0"/>
      <c r="DOA116" s="0"/>
      <c r="DOB116" s="0"/>
      <c r="DOC116" s="0"/>
      <c r="DOD116" s="0"/>
      <c r="DOE116" s="0"/>
      <c r="DOF116" s="0"/>
      <c r="DOG116" s="0"/>
      <c r="DOH116" s="0"/>
      <c r="DOI116" s="0"/>
      <c r="DOJ116" s="0"/>
      <c r="DOK116" s="0"/>
      <c r="DOL116" s="0"/>
      <c r="DOM116" s="0"/>
      <c r="DON116" s="0"/>
      <c r="DOO116" s="0"/>
      <c r="DOP116" s="0"/>
      <c r="DOQ116" s="0"/>
      <c r="DOR116" s="0"/>
      <c r="DOS116" s="0"/>
      <c r="DOT116" s="0"/>
      <c r="DOU116" s="0"/>
      <c r="DOV116" s="0"/>
      <c r="DOW116" s="0"/>
      <c r="DOX116" s="0"/>
      <c r="DOY116" s="0"/>
      <c r="DOZ116" s="0"/>
      <c r="DPA116" s="0"/>
      <c r="DPB116" s="0"/>
      <c r="DPC116" s="0"/>
      <c r="DPD116" s="0"/>
      <c r="DPE116" s="0"/>
      <c r="DPF116" s="0"/>
      <c r="DPG116" s="0"/>
      <c r="DPH116" s="0"/>
      <c r="DPI116" s="0"/>
      <c r="DPJ116" s="0"/>
      <c r="DPK116" s="0"/>
      <c r="DPL116" s="0"/>
      <c r="DPM116" s="0"/>
      <c r="DPN116" s="0"/>
      <c r="DPO116" s="0"/>
      <c r="DPP116" s="0"/>
      <c r="DPQ116" s="0"/>
      <c r="DPR116" s="0"/>
      <c r="DPS116" s="0"/>
      <c r="DPT116" s="0"/>
      <c r="DPU116" s="0"/>
      <c r="DPV116" s="0"/>
      <c r="DPW116" s="0"/>
      <c r="DPX116" s="0"/>
      <c r="DPY116" s="0"/>
      <c r="DPZ116" s="0"/>
      <c r="DQA116" s="0"/>
      <c r="DQB116" s="0"/>
      <c r="DQC116" s="0"/>
      <c r="DQD116" s="0"/>
      <c r="DQE116" s="0"/>
      <c r="DQF116" s="0"/>
      <c r="DQG116" s="0"/>
      <c r="DQH116" s="0"/>
      <c r="DQI116" s="0"/>
      <c r="DQJ116" s="0"/>
      <c r="DQK116" s="0"/>
      <c r="DQL116" s="0"/>
      <c r="DQM116" s="0"/>
      <c r="DQN116" s="0"/>
      <c r="DQO116" s="0"/>
      <c r="DQP116" s="0"/>
      <c r="DQQ116" s="0"/>
      <c r="DQR116" s="0"/>
      <c r="DQS116" s="0"/>
      <c r="DQT116" s="0"/>
      <c r="DQU116" s="0"/>
      <c r="DQV116" s="0"/>
      <c r="DQW116" s="0"/>
      <c r="DQX116" s="0"/>
      <c r="DQY116" s="0"/>
      <c r="DQZ116" s="0"/>
      <c r="DRA116" s="0"/>
      <c r="DRB116" s="0"/>
      <c r="DRC116" s="0"/>
      <c r="DRD116" s="0"/>
      <c r="DRE116" s="0"/>
      <c r="DRF116" s="0"/>
      <c r="DRG116" s="0"/>
      <c r="DRH116" s="0"/>
      <c r="DRI116" s="0"/>
      <c r="DRJ116" s="0"/>
      <c r="DRK116" s="0"/>
      <c r="DRL116" s="0"/>
      <c r="DRM116" s="0"/>
      <c r="DRN116" s="0"/>
      <c r="DRO116" s="0"/>
      <c r="DRP116" s="0"/>
      <c r="DRQ116" s="0"/>
      <c r="DRR116" s="0"/>
      <c r="DRS116" s="0"/>
      <c r="DRT116" s="0"/>
      <c r="DRU116" s="0"/>
      <c r="DRV116" s="0"/>
      <c r="DRW116" s="0"/>
      <c r="DRX116" s="0"/>
      <c r="DRY116" s="0"/>
      <c r="DRZ116" s="0"/>
      <c r="DSA116" s="0"/>
      <c r="DSB116" s="0"/>
      <c r="DSC116" s="0"/>
      <c r="DSD116" s="0"/>
      <c r="DSE116" s="0"/>
      <c r="DSF116" s="0"/>
      <c r="DSG116" s="0"/>
      <c r="DSH116" s="0"/>
      <c r="DSI116" s="0"/>
      <c r="DSJ116" s="0"/>
      <c r="DSK116" s="0"/>
      <c r="DSL116" s="0"/>
      <c r="DSM116" s="0"/>
      <c r="DSN116" s="0"/>
      <c r="DSO116" s="0"/>
      <c r="DSP116" s="0"/>
      <c r="DSQ116" s="0"/>
      <c r="DSR116" s="0"/>
      <c r="DSS116" s="0"/>
      <c r="DST116" s="0"/>
      <c r="DSU116" s="0"/>
      <c r="DSV116" s="0"/>
      <c r="DSW116" s="0"/>
      <c r="DSX116" s="0"/>
      <c r="DSY116" s="0"/>
      <c r="DSZ116" s="0"/>
      <c r="DTA116" s="0"/>
      <c r="DTB116" s="0"/>
      <c r="DTC116" s="0"/>
      <c r="DTD116" s="0"/>
      <c r="DTE116" s="0"/>
      <c r="DTF116" s="0"/>
      <c r="DTG116" s="0"/>
      <c r="DTH116" s="0"/>
      <c r="DTI116" s="0"/>
      <c r="DTJ116" s="0"/>
      <c r="DTK116" s="0"/>
      <c r="DTL116" s="0"/>
      <c r="DTM116" s="0"/>
      <c r="DTN116" s="0"/>
      <c r="DTO116" s="0"/>
      <c r="DTP116" s="0"/>
      <c r="DTQ116" s="0"/>
      <c r="DTR116" s="0"/>
      <c r="DTS116" s="0"/>
      <c r="DTT116" s="0"/>
      <c r="DTU116" s="0"/>
      <c r="DTV116" s="0"/>
      <c r="DTW116" s="0"/>
      <c r="DTX116" s="0"/>
      <c r="DTY116" s="0"/>
      <c r="DTZ116" s="0"/>
      <c r="DUA116" s="0"/>
      <c r="DUB116" s="0"/>
      <c r="DUC116" s="0"/>
      <c r="DUD116" s="0"/>
      <c r="DUE116" s="0"/>
      <c r="DUF116" s="0"/>
      <c r="DUG116" s="0"/>
      <c r="DUH116" s="0"/>
      <c r="DUI116" s="0"/>
      <c r="DUJ116" s="0"/>
      <c r="DUK116" s="0"/>
      <c r="DUL116" s="0"/>
      <c r="DUM116" s="0"/>
      <c r="DUN116" s="0"/>
      <c r="DUO116" s="0"/>
      <c r="DUP116" s="0"/>
      <c r="DUQ116" s="0"/>
      <c r="DUR116" s="0"/>
      <c r="DUS116" s="0"/>
      <c r="DUT116" s="0"/>
      <c r="DUU116" s="0"/>
      <c r="DUV116" s="0"/>
      <c r="DUW116" s="0"/>
      <c r="DUX116" s="0"/>
      <c r="DUY116" s="0"/>
      <c r="DUZ116" s="0"/>
      <c r="DVA116" s="0"/>
      <c r="DVB116" s="0"/>
      <c r="DVC116" s="0"/>
      <c r="DVD116" s="0"/>
      <c r="DVE116" s="0"/>
      <c r="DVF116" s="0"/>
      <c r="DVG116" s="0"/>
      <c r="DVH116" s="0"/>
      <c r="DVI116" s="0"/>
      <c r="DVJ116" s="0"/>
      <c r="DVK116" s="0"/>
      <c r="DVL116" s="0"/>
      <c r="DVM116" s="0"/>
      <c r="DVN116" s="0"/>
      <c r="DVO116" s="0"/>
      <c r="DVP116" s="0"/>
      <c r="DVQ116" s="0"/>
      <c r="DVR116" s="0"/>
      <c r="DVS116" s="0"/>
      <c r="DVT116" s="0"/>
      <c r="DVU116" s="0"/>
      <c r="DVV116" s="0"/>
      <c r="DVW116" s="0"/>
      <c r="DVX116" s="0"/>
      <c r="DVY116" s="0"/>
      <c r="DVZ116" s="0"/>
      <c r="DWA116" s="0"/>
      <c r="DWB116" s="0"/>
      <c r="DWC116" s="0"/>
      <c r="DWD116" s="0"/>
      <c r="DWE116" s="0"/>
      <c r="DWF116" s="0"/>
      <c r="DWG116" s="0"/>
      <c r="DWH116" s="0"/>
      <c r="DWI116" s="0"/>
      <c r="DWJ116" s="0"/>
      <c r="DWK116" s="0"/>
      <c r="DWL116" s="0"/>
      <c r="DWM116" s="0"/>
      <c r="DWN116" s="0"/>
      <c r="DWO116" s="0"/>
      <c r="DWP116" s="0"/>
      <c r="DWQ116" s="0"/>
      <c r="DWR116" s="0"/>
      <c r="DWS116" s="0"/>
      <c r="DWT116" s="0"/>
      <c r="DWU116" s="0"/>
      <c r="DWV116" s="0"/>
      <c r="DWW116" s="0"/>
      <c r="DWX116" s="0"/>
      <c r="DWY116" s="0"/>
      <c r="DWZ116" s="0"/>
      <c r="DXA116" s="0"/>
      <c r="DXB116" s="0"/>
      <c r="DXC116" s="0"/>
      <c r="DXD116" s="0"/>
      <c r="DXE116" s="0"/>
      <c r="DXF116" s="0"/>
      <c r="DXG116" s="0"/>
      <c r="DXH116" s="0"/>
      <c r="DXI116" s="0"/>
      <c r="DXJ116" s="0"/>
      <c r="DXK116" s="0"/>
      <c r="DXL116" s="0"/>
      <c r="DXM116" s="0"/>
      <c r="DXN116" s="0"/>
      <c r="DXO116" s="0"/>
      <c r="DXP116" s="0"/>
      <c r="DXQ116" s="0"/>
      <c r="DXR116" s="0"/>
      <c r="DXS116" s="0"/>
      <c r="DXT116" s="0"/>
      <c r="DXU116" s="0"/>
      <c r="DXV116" s="0"/>
      <c r="DXW116" s="0"/>
      <c r="DXX116" s="0"/>
      <c r="DXY116" s="0"/>
      <c r="DXZ116" s="0"/>
      <c r="DYA116" s="0"/>
      <c r="DYB116" s="0"/>
      <c r="DYC116" s="0"/>
      <c r="DYD116" s="0"/>
      <c r="DYE116" s="0"/>
      <c r="DYF116" s="0"/>
      <c r="DYG116" s="0"/>
      <c r="DYH116" s="0"/>
      <c r="DYI116" s="0"/>
      <c r="DYJ116" s="0"/>
      <c r="DYK116" s="0"/>
      <c r="DYL116" s="0"/>
      <c r="DYM116" s="0"/>
      <c r="DYN116" s="0"/>
      <c r="DYO116" s="0"/>
      <c r="DYP116" s="0"/>
      <c r="DYQ116" s="0"/>
      <c r="DYR116" s="0"/>
      <c r="DYS116" s="0"/>
      <c r="DYT116" s="0"/>
      <c r="DYU116" s="0"/>
      <c r="DYV116" s="0"/>
      <c r="DYW116" s="0"/>
      <c r="DYX116" s="0"/>
      <c r="DYY116" s="0"/>
      <c r="DYZ116" s="0"/>
      <c r="DZA116" s="0"/>
      <c r="DZB116" s="0"/>
      <c r="DZC116" s="0"/>
      <c r="DZD116" s="0"/>
      <c r="DZE116" s="0"/>
      <c r="DZF116" s="0"/>
      <c r="DZG116" s="0"/>
      <c r="DZH116" s="0"/>
      <c r="DZI116" s="0"/>
      <c r="DZJ116" s="0"/>
      <c r="DZK116" s="0"/>
      <c r="DZL116" s="0"/>
      <c r="DZM116" s="0"/>
      <c r="DZN116" s="0"/>
      <c r="DZO116" s="0"/>
      <c r="DZP116" s="0"/>
      <c r="DZQ116" s="0"/>
      <c r="DZR116" s="0"/>
      <c r="DZS116" s="0"/>
      <c r="DZT116" s="0"/>
      <c r="DZU116" s="0"/>
      <c r="DZV116" s="0"/>
      <c r="DZW116" s="0"/>
      <c r="DZX116" s="0"/>
      <c r="DZY116" s="0"/>
      <c r="DZZ116" s="0"/>
      <c r="EAA116" s="0"/>
      <c r="EAB116" s="0"/>
      <c r="EAC116" s="0"/>
      <c r="EAD116" s="0"/>
      <c r="EAE116" s="0"/>
      <c r="EAF116" s="0"/>
      <c r="EAG116" s="0"/>
      <c r="EAH116" s="0"/>
      <c r="EAI116" s="0"/>
      <c r="EAJ116" s="0"/>
      <c r="EAK116" s="0"/>
      <c r="EAL116" s="0"/>
      <c r="EAM116" s="0"/>
      <c r="EAN116" s="0"/>
      <c r="EAO116" s="0"/>
      <c r="EAP116" s="0"/>
      <c r="EAQ116" s="0"/>
      <c r="EAR116" s="0"/>
      <c r="EAS116" s="0"/>
      <c r="EAT116" s="0"/>
      <c r="EAU116" s="0"/>
      <c r="EAV116" s="0"/>
      <c r="EAW116" s="0"/>
      <c r="EAX116" s="0"/>
      <c r="EAY116" s="0"/>
      <c r="EAZ116" s="0"/>
      <c r="EBA116" s="0"/>
      <c r="EBB116" s="0"/>
      <c r="EBC116" s="0"/>
      <c r="EBD116" s="0"/>
      <c r="EBE116" s="0"/>
      <c r="EBF116" s="0"/>
      <c r="EBG116" s="0"/>
      <c r="EBH116" s="0"/>
      <c r="EBI116" s="0"/>
      <c r="EBJ116" s="0"/>
      <c r="EBK116" s="0"/>
      <c r="EBL116" s="0"/>
      <c r="EBM116" s="0"/>
      <c r="EBN116" s="0"/>
      <c r="EBO116" s="0"/>
      <c r="EBP116" s="0"/>
      <c r="EBQ116" s="0"/>
      <c r="EBR116" s="0"/>
      <c r="EBS116" s="0"/>
      <c r="EBT116" s="0"/>
      <c r="EBU116" s="0"/>
      <c r="EBV116" s="0"/>
      <c r="EBW116" s="0"/>
      <c r="EBX116" s="0"/>
      <c r="EBY116" s="0"/>
      <c r="EBZ116" s="0"/>
      <c r="ECA116" s="0"/>
      <c r="ECB116" s="0"/>
      <c r="ECC116" s="0"/>
      <c r="ECD116" s="0"/>
      <c r="ECE116" s="0"/>
      <c r="ECF116" s="0"/>
      <c r="ECG116" s="0"/>
      <c r="ECH116" s="0"/>
      <c r="ECI116" s="0"/>
      <c r="ECJ116" s="0"/>
      <c r="ECK116" s="0"/>
      <c r="ECL116" s="0"/>
      <c r="ECM116" s="0"/>
      <c r="ECN116" s="0"/>
      <c r="ECO116" s="0"/>
      <c r="ECP116" s="0"/>
      <c r="ECQ116" s="0"/>
      <c r="ECR116" s="0"/>
      <c r="ECS116" s="0"/>
      <c r="ECT116" s="0"/>
      <c r="ECU116" s="0"/>
      <c r="ECV116" s="0"/>
      <c r="ECW116" s="0"/>
      <c r="ECX116" s="0"/>
      <c r="ECY116" s="0"/>
      <c r="ECZ116" s="0"/>
      <c r="EDA116" s="0"/>
      <c r="EDB116" s="0"/>
      <c r="EDC116" s="0"/>
      <c r="EDD116" s="0"/>
      <c r="EDE116" s="0"/>
      <c r="EDF116" s="0"/>
      <c r="EDG116" s="0"/>
      <c r="EDH116" s="0"/>
      <c r="EDI116" s="0"/>
      <c r="EDJ116" s="0"/>
      <c r="EDK116" s="0"/>
      <c r="EDL116" s="0"/>
      <c r="EDM116" s="0"/>
      <c r="EDN116" s="0"/>
      <c r="EDO116" s="0"/>
      <c r="EDP116" s="0"/>
      <c r="EDQ116" s="0"/>
      <c r="EDR116" s="0"/>
      <c r="EDS116" s="0"/>
      <c r="EDT116" s="0"/>
      <c r="EDU116" s="0"/>
      <c r="EDV116" s="0"/>
      <c r="EDW116" s="0"/>
      <c r="EDX116" s="0"/>
      <c r="EDY116" s="0"/>
      <c r="EDZ116" s="0"/>
      <c r="EEA116" s="0"/>
      <c r="EEB116" s="0"/>
      <c r="EEC116" s="0"/>
      <c r="EED116" s="0"/>
      <c r="EEE116" s="0"/>
      <c r="EEF116" s="0"/>
      <c r="EEG116" s="0"/>
      <c r="EEH116" s="0"/>
      <c r="EEI116" s="0"/>
      <c r="EEJ116" s="0"/>
      <c r="EEK116" s="0"/>
      <c r="EEL116" s="0"/>
      <c r="EEM116" s="0"/>
      <c r="EEN116" s="0"/>
      <c r="EEO116" s="0"/>
      <c r="EEP116" s="0"/>
      <c r="EEQ116" s="0"/>
      <c r="EER116" s="0"/>
      <c r="EES116" s="0"/>
      <c r="EET116" s="0"/>
      <c r="EEU116" s="0"/>
      <c r="EEV116" s="0"/>
      <c r="EEW116" s="0"/>
      <c r="EEX116" s="0"/>
      <c r="EEY116" s="0"/>
      <c r="EEZ116" s="0"/>
      <c r="EFA116" s="0"/>
      <c r="EFB116" s="0"/>
      <c r="EFC116" s="0"/>
      <c r="EFD116" s="0"/>
      <c r="EFE116" s="0"/>
      <c r="EFF116" s="0"/>
      <c r="EFG116" s="0"/>
      <c r="EFH116" s="0"/>
      <c r="EFI116" s="0"/>
      <c r="EFJ116" s="0"/>
      <c r="EFK116" s="0"/>
      <c r="EFL116" s="0"/>
      <c r="EFM116" s="0"/>
      <c r="EFN116" s="0"/>
      <c r="EFO116" s="0"/>
      <c r="EFP116" s="0"/>
      <c r="EFQ116" s="0"/>
      <c r="EFR116" s="0"/>
      <c r="EFS116" s="0"/>
      <c r="EFT116" s="0"/>
      <c r="EFU116" s="0"/>
      <c r="EFV116" s="0"/>
      <c r="EFW116" s="0"/>
      <c r="EFX116" s="0"/>
      <c r="EFY116" s="0"/>
      <c r="EFZ116" s="0"/>
      <c r="EGA116" s="0"/>
      <c r="EGB116" s="0"/>
      <c r="EGC116" s="0"/>
      <c r="EGD116" s="0"/>
      <c r="EGE116" s="0"/>
      <c r="EGF116" s="0"/>
      <c r="EGG116" s="0"/>
      <c r="EGH116" s="0"/>
      <c r="EGI116" s="0"/>
      <c r="EGJ116" s="0"/>
      <c r="EGK116" s="0"/>
      <c r="EGL116" s="0"/>
      <c r="EGM116" s="0"/>
      <c r="EGN116" s="0"/>
      <c r="EGO116" s="0"/>
      <c r="EGP116" s="0"/>
      <c r="EGQ116" s="0"/>
      <c r="EGR116" s="0"/>
      <c r="EGS116" s="0"/>
      <c r="EGT116" s="0"/>
      <c r="EGU116" s="0"/>
      <c r="EGV116" s="0"/>
      <c r="EGW116" s="0"/>
      <c r="EGX116" s="0"/>
      <c r="EGY116" s="0"/>
      <c r="EGZ116" s="0"/>
      <c r="EHA116" s="0"/>
      <c r="EHB116" s="0"/>
      <c r="EHC116" s="0"/>
      <c r="EHD116" s="0"/>
      <c r="EHE116" s="0"/>
      <c r="EHF116" s="0"/>
      <c r="EHG116" s="0"/>
      <c r="EHH116" s="0"/>
      <c r="EHI116" s="0"/>
      <c r="EHJ116" s="0"/>
      <c r="EHK116" s="0"/>
      <c r="EHL116" s="0"/>
      <c r="EHM116" s="0"/>
      <c r="EHN116" s="0"/>
      <c r="EHO116" s="0"/>
      <c r="EHP116" s="0"/>
      <c r="EHQ116" s="0"/>
      <c r="EHR116" s="0"/>
      <c r="EHS116" s="0"/>
      <c r="EHT116" s="0"/>
      <c r="EHU116" s="0"/>
      <c r="EHV116" s="0"/>
      <c r="EHW116" s="0"/>
      <c r="EHX116" s="0"/>
      <c r="EHY116" s="0"/>
      <c r="EHZ116" s="0"/>
      <c r="EIA116" s="0"/>
      <c r="EIB116" s="0"/>
      <c r="EIC116" s="0"/>
      <c r="EID116" s="0"/>
      <c r="EIE116" s="0"/>
      <c r="EIF116" s="0"/>
      <c r="EIG116" s="0"/>
      <c r="EIH116" s="0"/>
      <c r="EII116" s="0"/>
      <c r="EIJ116" s="0"/>
      <c r="EIK116" s="0"/>
      <c r="EIL116" s="0"/>
      <c r="EIM116" s="0"/>
      <c r="EIN116" s="0"/>
      <c r="EIO116" s="0"/>
      <c r="EIP116" s="0"/>
      <c r="EIQ116" s="0"/>
      <c r="EIR116" s="0"/>
      <c r="EIS116" s="0"/>
      <c r="EIT116" s="0"/>
      <c r="EIU116" s="0"/>
      <c r="EIV116" s="0"/>
      <c r="EIW116" s="0"/>
      <c r="EIX116" s="0"/>
      <c r="EIY116" s="0"/>
      <c r="EIZ116" s="0"/>
      <c r="EJA116" s="0"/>
      <c r="EJB116" s="0"/>
      <c r="EJC116" s="0"/>
      <c r="EJD116" s="0"/>
      <c r="EJE116" s="0"/>
      <c r="EJF116" s="0"/>
      <c r="EJG116" s="0"/>
      <c r="EJH116" s="0"/>
      <c r="EJI116" s="0"/>
      <c r="EJJ116" s="0"/>
      <c r="EJK116" s="0"/>
      <c r="EJL116" s="0"/>
      <c r="EJM116" s="0"/>
      <c r="EJN116" s="0"/>
      <c r="EJO116" s="0"/>
      <c r="EJP116" s="0"/>
      <c r="EJQ116" s="0"/>
      <c r="EJR116" s="0"/>
      <c r="EJS116" s="0"/>
      <c r="EJT116" s="0"/>
      <c r="EJU116" s="0"/>
      <c r="EJV116" s="0"/>
      <c r="EJW116" s="0"/>
      <c r="EJX116" s="0"/>
      <c r="EJY116" s="0"/>
      <c r="EJZ116" s="0"/>
      <c r="EKA116" s="0"/>
      <c r="EKB116" s="0"/>
      <c r="EKC116" s="0"/>
      <c r="EKD116" s="0"/>
      <c r="EKE116" s="0"/>
      <c r="EKF116" s="0"/>
      <c r="EKG116" s="0"/>
      <c r="EKH116" s="0"/>
      <c r="EKI116" s="0"/>
      <c r="EKJ116" s="0"/>
      <c r="EKK116" s="0"/>
      <c r="EKL116" s="0"/>
      <c r="EKM116" s="0"/>
      <c r="EKN116" s="0"/>
      <c r="EKO116" s="0"/>
      <c r="EKP116" s="0"/>
      <c r="EKQ116" s="0"/>
      <c r="EKR116" s="0"/>
      <c r="EKS116" s="0"/>
      <c r="EKT116" s="0"/>
      <c r="EKU116" s="0"/>
      <c r="EKV116" s="0"/>
      <c r="EKW116" s="0"/>
      <c r="EKX116" s="0"/>
      <c r="EKY116" s="0"/>
      <c r="EKZ116" s="0"/>
      <c r="ELA116" s="0"/>
      <c r="ELB116" s="0"/>
      <c r="ELC116" s="0"/>
      <c r="ELD116" s="0"/>
      <c r="ELE116" s="0"/>
      <c r="ELF116" s="0"/>
      <c r="ELG116" s="0"/>
      <c r="ELH116" s="0"/>
      <c r="ELI116" s="0"/>
      <c r="ELJ116" s="0"/>
      <c r="ELK116" s="0"/>
      <c r="ELL116" s="0"/>
      <c r="ELM116" s="0"/>
      <c r="ELN116" s="0"/>
      <c r="ELO116" s="0"/>
      <c r="ELP116" s="0"/>
      <c r="ELQ116" s="0"/>
      <c r="ELR116" s="0"/>
      <c r="ELS116" s="0"/>
      <c r="ELT116" s="0"/>
      <c r="ELU116" s="0"/>
      <c r="ELV116" s="0"/>
      <c r="ELW116" s="0"/>
      <c r="ELX116" s="0"/>
      <c r="ELY116" s="0"/>
      <c r="ELZ116" s="0"/>
      <c r="EMA116" s="0"/>
      <c r="EMB116" s="0"/>
      <c r="EMC116" s="0"/>
      <c r="EMD116" s="0"/>
      <c r="EME116" s="0"/>
      <c r="EMF116" s="0"/>
      <c r="EMG116" s="0"/>
      <c r="EMH116" s="0"/>
      <c r="EMI116" s="0"/>
      <c r="EMJ116" s="0"/>
      <c r="EMK116" s="0"/>
      <c r="EML116" s="0"/>
      <c r="EMM116" s="0"/>
      <c r="EMN116" s="0"/>
      <c r="EMO116" s="0"/>
      <c r="EMP116" s="0"/>
      <c r="EMQ116" s="0"/>
      <c r="EMR116" s="0"/>
      <c r="EMS116" s="0"/>
      <c r="EMT116" s="0"/>
      <c r="EMU116" s="0"/>
      <c r="EMV116" s="0"/>
      <c r="EMW116" s="0"/>
      <c r="EMX116" s="0"/>
      <c r="EMY116" s="0"/>
      <c r="EMZ116" s="0"/>
      <c r="ENA116" s="0"/>
      <c r="ENB116" s="0"/>
      <c r="ENC116" s="0"/>
      <c r="END116" s="0"/>
      <c r="ENE116" s="0"/>
      <c r="ENF116" s="0"/>
      <c r="ENG116" s="0"/>
      <c r="ENH116" s="0"/>
      <c r="ENI116" s="0"/>
      <c r="ENJ116" s="0"/>
      <c r="ENK116" s="0"/>
      <c r="ENL116" s="0"/>
      <c r="ENM116" s="0"/>
      <c r="ENN116" s="0"/>
      <c r="ENO116" s="0"/>
      <c r="ENP116" s="0"/>
      <c r="ENQ116" s="0"/>
      <c r="ENR116" s="0"/>
      <c r="ENS116" s="0"/>
      <c r="ENT116" s="0"/>
      <c r="ENU116" s="0"/>
      <c r="ENV116" s="0"/>
      <c r="ENW116" s="0"/>
      <c r="ENX116" s="0"/>
      <c r="ENY116" s="0"/>
      <c r="ENZ116" s="0"/>
      <c r="EOA116" s="0"/>
      <c r="EOB116" s="0"/>
      <c r="EOC116" s="0"/>
      <c r="EOD116" s="0"/>
      <c r="EOE116" s="0"/>
      <c r="EOF116" s="0"/>
      <c r="EOG116" s="0"/>
      <c r="EOH116" s="0"/>
      <c r="EOI116" s="0"/>
      <c r="EOJ116" s="0"/>
      <c r="EOK116" s="0"/>
      <c r="EOL116" s="0"/>
      <c r="EOM116" s="0"/>
      <c r="EON116" s="0"/>
      <c r="EOO116" s="0"/>
      <c r="EOP116" s="0"/>
      <c r="EOQ116" s="0"/>
      <c r="EOR116" s="0"/>
      <c r="EOS116" s="0"/>
      <c r="EOT116" s="0"/>
      <c r="EOU116" s="0"/>
      <c r="EOV116" s="0"/>
      <c r="EOW116" s="0"/>
      <c r="EOX116" s="0"/>
      <c r="EOY116" s="0"/>
      <c r="EOZ116" s="0"/>
      <c r="EPA116" s="0"/>
      <c r="EPB116" s="0"/>
      <c r="EPC116" s="0"/>
      <c r="EPD116" s="0"/>
      <c r="EPE116" s="0"/>
      <c r="EPF116" s="0"/>
      <c r="EPG116" s="0"/>
      <c r="EPH116" s="0"/>
      <c r="EPI116" s="0"/>
      <c r="EPJ116" s="0"/>
      <c r="EPK116" s="0"/>
      <c r="EPL116" s="0"/>
      <c r="EPM116" s="0"/>
      <c r="EPN116" s="0"/>
      <c r="EPO116" s="0"/>
      <c r="EPP116" s="0"/>
      <c r="EPQ116" s="0"/>
      <c r="EPR116" s="0"/>
      <c r="EPS116" s="0"/>
      <c r="EPT116" s="0"/>
      <c r="EPU116" s="0"/>
      <c r="EPV116" s="0"/>
      <c r="EPW116" s="0"/>
      <c r="EPX116" s="0"/>
      <c r="EPY116" s="0"/>
      <c r="EPZ116" s="0"/>
      <c r="EQA116" s="0"/>
      <c r="EQB116" s="0"/>
      <c r="EQC116" s="0"/>
      <c r="EQD116" s="0"/>
      <c r="EQE116" s="0"/>
      <c r="EQF116" s="0"/>
      <c r="EQG116" s="0"/>
      <c r="EQH116" s="0"/>
      <c r="EQI116" s="0"/>
      <c r="EQJ116" s="0"/>
      <c r="EQK116" s="0"/>
      <c r="EQL116" s="0"/>
      <c r="EQM116" s="0"/>
      <c r="EQN116" s="0"/>
      <c r="EQO116" s="0"/>
      <c r="EQP116" s="0"/>
      <c r="EQQ116" s="0"/>
      <c r="EQR116" s="0"/>
      <c r="EQS116" s="0"/>
      <c r="EQT116" s="0"/>
      <c r="EQU116" s="0"/>
      <c r="EQV116" s="0"/>
      <c r="EQW116" s="0"/>
      <c r="EQX116" s="0"/>
      <c r="EQY116" s="0"/>
      <c r="EQZ116" s="0"/>
      <c r="ERA116" s="0"/>
      <c r="ERB116" s="0"/>
      <c r="ERC116" s="0"/>
      <c r="ERD116" s="0"/>
      <c r="ERE116" s="0"/>
      <c r="ERF116" s="0"/>
      <c r="ERG116" s="0"/>
      <c r="ERH116" s="0"/>
      <c r="ERI116" s="0"/>
      <c r="ERJ116" s="0"/>
      <c r="ERK116" s="0"/>
      <c r="ERL116" s="0"/>
      <c r="ERM116" s="0"/>
      <c r="ERN116" s="0"/>
      <c r="ERO116" s="0"/>
      <c r="ERP116" s="0"/>
      <c r="ERQ116" s="0"/>
      <c r="ERR116" s="0"/>
      <c r="ERS116" s="0"/>
      <c r="ERT116" s="0"/>
      <c r="ERU116" s="0"/>
      <c r="ERV116" s="0"/>
      <c r="ERW116" s="0"/>
      <c r="ERX116" s="0"/>
      <c r="ERY116" s="0"/>
      <c r="ERZ116" s="0"/>
      <c r="ESA116" s="0"/>
      <c r="ESB116" s="0"/>
      <c r="ESC116" s="0"/>
      <c r="ESD116" s="0"/>
      <c r="ESE116" s="0"/>
      <c r="ESF116" s="0"/>
      <c r="ESG116" s="0"/>
      <c r="ESH116" s="0"/>
      <c r="ESI116" s="0"/>
      <c r="ESJ116" s="0"/>
      <c r="ESK116" s="0"/>
      <c r="ESL116" s="0"/>
      <c r="ESM116" s="0"/>
      <c r="ESN116" s="0"/>
      <c r="ESO116" s="0"/>
      <c r="ESP116" s="0"/>
      <c r="ESQ116" s="0"/>
      <c r="ESR116" s="0"/>
      <c r="ESS116" s="0"/>
      <c r="EST116" s="0"/>
      <c r="ESU116" s="0"/>
      <c r="ESV116" s="0"/>
      <c r="ESW116" s="0"/>
      <c r="ESX116" s="0"/>
      <c r="ESY116" s="0"/>
      <c r="ESZ116" s="0"/>
      <c r="ETA116" s="0"/>
      <c r="ETB116" s="0"/>
      <c r="ETC116" s="0"/>
      <c r="ETD116" s="0"/>
      <c r="ETE116" s="0"/>
      <c r="ETF116" s="0"/>
      <c r="ETG116" s="0"/>
      <c r="ETH116" s="0"/>
      <c r="ETI116" s="0"/>
      <c r="ETJ116" s="0"/>
      <c r="ETK116" s="0"/>
      <c r="ETL116" s="0"/>
      <c r="ETM116" s="0"/>
      <c r="ETN116" s="0"/>
      <c r="ETO116" s="0"/>
      <c r="ETP116" s="0"/>
      <c r="ETQ116" s="0"/>
      <c r="ETR116" s="0"/>
      <c r="ETS116" s="0"/>
      <c r="ETT116" s="0"/>
      <c r="ETU116" s="0"/>
      <c r="ETV116" s="0"/>
      <c r="ETW116" s="0"/>
      <c r="ETX116" s="0"/>
      <c r="ETY116" s="0"/>
      <c r="ETZ116" s="0"/>
      <c r="EUA116" s="0"/>
      <c r="EUB116" s="0"/>
      <c r="EUC116" s="0"/>
      <c r="EUD116" s="0"/>
      <c r="EUE116" s="0"/>
      <c r="EUF116" s="0"/>
      <c r="EUG116" s="0"/>
      <c r="EUH116" s="0"/>
      <c r="EUI116" s="0"/>
      <c r="EUJ116" s="0"/>
      <c r="EUK116" s="0"/>
      <c r="EUL116" s="0"/>
      <c r="EUM116" s="0"/>
      <c r="EUN116" s="0"/>
      <c r="EUO116" s="0"/>
      <c r="EUP116" s="0"/>
      <c r="EUQ116" s="0"/>
      <c r="EUR116" s="0"/>
      <c r="EUS116" s="0"/>
      <c r="EUT116" s="0"/>
      <c r="EUU116" s="0"/>
      <c r="EUV116" s="0"/>
      <c r="EUW116" s="0"/>
      <c r="EUX116" s="0"/>
      <c r="EUY116" s="0"/>
      <c r="EUZ116" s="0"/>
      <c r="EVA116" s="0"/>
      <c r="EVB116" s="0"/>
      <c r="EVC116" s="0"/>
      <c r="EVD116" s="0"/>
      <c r="EVE116" s="0"/>
      <c r="EVF116" s="0"/>
      <c r="EVG116" s="0"/>
      <c r="EVH116" s="0"/>
      <c r="EVI116" s="0"/>
      <c r="EVJ116" s="0"/>
      <c r="EVK116" s="0"/>
      <c r="EVL116" s="0"/>
      <c r="EVM116" s="0"/>
      <c r="EVN116" s="0"/>
      <c r="EVO116" s="0"/>
      <c r="EVP116" s="0"/>
      <c r="EVQ116" s="0"/>
      <c r="EVR116" s="0"/>
      <c r="EVS116" s="0"/>
      <c r="EVT116" s="0"/>
      <c r="EVU116" s="0"/>
      <c r="EVV116" s="0"/>
      <c r="EVW116" s="0"/>
      <c r="EVX116" s="0"/>
      <c r="EVY116" s="0"/>
      <c r="EVZ116" s="0"/>
      <c r="EWA116" s="0"/>
      <c r="EWB116" s="0"/>
      <c r="EWC116" s="0"/>
      <c r="EWD116" s="0"/>
      <c r="EWE116" s="0"/>
      <c r="EWF116" s="0"/>
      <c r="EWG116" s="0"/>
      <c r="EWH116" s="0"/>
      <c r="EWI116" s="0"/>
      <c r="EWJ116" s="0"/>
      <c r="EWK116" s="0"/>
      <c r="EWL116" s="0"/>
      <c r="EWM116" s="0"/>
      <c r="EWN116" s="0"/>
      <c r="EWO116" s="0"/>
      <c r="EWP116" s="0"/>
      <c r="EWQ116" s="0"/>
      <c r="EWR116" s="0"/>
      <c r="EWS116" s="0"/>
      <c r="EWT116" s="0"/>
      <c r="EWU116" s="0"/>
      <c r="EWV116" s="0"/>
      <c r="EWW116" s="0"/>
      <c r="EWX116" s="0"/>
      <c r="EWY116" s="0"/>
      <c r="EWZ116" s="0"/>
      <c r="EXA116" s="0"/>
      <c r="EXB116" s="0"/>
      <c r="EXC116" s="0"/>
      <c r="EXD116" s="0"/>
      <c r="EXE116" s="0"/>
      <c r="EXF116" s="0"/>
      <c r="EXG116" s="0"/>
      <c r="EXH116" s="0"/>
      <c r="EXI116" s="0"/>
      <c r="EXJ116" s="0"/>
      <c r="EXK116" s="0"/>
      <c r="EXL116" s="0"/>
      <c r="EXM116" s="0"/>
      <c r="EXN116" s="0"/>
      <c r="EXO116" s="0"/>
      <c r="EXP116" s="0"/>
      <c r="EXQ116" s="0"/>
      <c r="EXR116" s="0"/>
      <c r="EXS116" s="0"/>
      <c r="EXT116" s="0"/>
      <c r="EXU116" s="0"/>
      <c r="EXV116" s="0"/>
      <c r="EXW116" s="0"/>
      <c r="EXX116" s="0"/>
      <c r="EXY116" s="0"/>
      <c r="EXZ116" s="0"/>
      <c r="EYA116" s="0"/>
      <c r="EYB116" s="0"/>
      <c r="EYC116" s="0"/>
      <c r="EYD116" s="0"/>
      <c r="EYE116" s="0"/>
      <c r="EYF116" s="0"/>
      <c r="EYG116" s="0"/>
      <c r="EYH116" s="0"/>
      <c r="EYI116" s="0"/>
      <c r="EYJ116" s="0"/>
      <c r="EYK116" s="0"/>
      <c r="EYL116" s="0"/>
      <c r="EYM116" s="0"/>
      <c r="EYN116" s="0"/>
      <c r="EYO116" s="0"/>
      <c r="EYP116" s="0"/>
      <c r="EYQ116" s="0"/>
      <c r="EYR116" s="0"/>
      <c r="EYS116" s="0"/>
      <c r="EYT116" s="0"/>
      <c r="EYU116" s="0"/>
      <c r="EYV116" s="0"/>
      <c r="EYW116" s="0"/>
      <c r="EYX116" s="0"/>
      <c r="EYY116" s="0"/>
      <c r="EYZ116" s="0"/>
      <c r="EZA116" s="0"/>
      <c r="EZB116" s="0"/>
      <c r="EZC116" s="0"/>
      <c r="EZD116" s="0"/>
      <c r="EZE116" s="0"/>
      <c r="EZF116" s="0"/>
      <c r="EZG116" s="0"/>
      <c r="EZH116" s="0"/>
      <c r="EZI116" s="0"/>
      <c r="EZJ116" s="0"/>
      <c r="EZK116" s="0"/>
      <c r="EZL116" s="0"/>
      <c r="EZM116" s="0"/>
      <c r="EZN116" s="0"/>
      <c r="EZO116" s="0"/>
      <c r="EZP116" s="0"/>
      <c r="EZQ116" s="0"/>
      <c r="EZR116" s="0"/>
      <c r="EZS116" s="0"/>
      <c r="EZT116" s="0"/>
      <c r="EZU116" s="0"/>
      <c r="EZV116" s="0"/>
      <c r="EZW116" s="0"/>
      <c r="EZX116" s="0"/>
      <c r="EZY116" s="0"/>
      <c r="EZZ116" s="0"/>
      <c r="FAA116" s="0"/>
      <c r="FAB116" s="0"/>
      <c r="FAC116" s="0"/>
      <c r="FAD116" s="0"/>
      <c r="FAE116" s="0"/>
      <c r="FAF116" s="0"/>
      <c r="FAG116" s="0"/>
      <c r="FAH116" s="0"/>
      <c r="FAI116" s="0"/>
      <c r="FAJ116" s="0"/>
      <c r="FAK116" s="0"/>
      <c r="FAL116" s="0"/>
      <c r="FAM116" s="0"/>
      <c r="FAN116" s="0"/>
      <c r="FAO116" s="0"/>
      <c r="FAP116" s="0"/>
      <c r="FAQ116" s="0"/>
      <c r="FAR116" s="0"/>
      <c r="FAS116" s="0"/>
      <c r="FAT116" s="0"/>
      <c r="FAU116" s="0"/>
      <c r="FAV116" s="0"/>
      <c r="FAW116" s="0"/>
      <c r="FAX116" s="0"/>
      <c r="FAY116" s="0"/>
      <c r="FAZ116" s="0"/>
      <c r="FBA116" s="0"/>
      <c r="FBB116" s="0"/>
      <c r="FBC116" s="0"/>
      <c r="FBD116" s="0"/>
      <c r="FBE116" s="0"/>
      <c r="FBF116" s="0"/>
      <c r="FBG116" s="0"/>
      <c r="FBH116" s="0"/>
      <c r="FBI116" s="0"/>
      <c r="FBJ116" s="0"/>
      <c r="FBK116" s="0"/>
      <c r="FBL116" s="0"/>
      <c r="FBM116" s="0"/>
      <c r="FBN116" s="0"/>
      <c r="FBO116" s="0"/>
      <c r="FBP116" s="0"/>
      <c r="FBQ116" s="0"/>
      <c r="FBR116" s="0"/>
      <c r="FBS116" s="0"/>
      <c r="FBT116" s="0"/>
      <c r="FBU116" s="0"/>
      <c r="FBV116" s="0"/>
      <c r="FBW116" s="0"/>
      <c r="FBX116" s="0"/>
      <c r="FBY116" s="0"/>
      <c r="FBZ116" s="0"/>
      <c r="FCA116" s="0"/>
      <c r="FCB116" s="0"/>
      <c r="FCC116" s="0"/>
      <c r="FCD116" s="0"/>
      <c r="FCE116" s="0"/>
      <c r="FCF116" s="0"/>
      <c r="FCG116" s="0"/>
      <c r="FCH116" s="0"/>
      <c r="FCI116" s="0"/>
      <c r="FCJ116" s="0"/>
      <c r="FCK116" s="0"/>
      <c r="FCL116" s="0"/>
      <c r="FCM116" s="0"/>
      <c r="FCN116" s="0"/>
      <c r="FCO116" s="0"/>
      <c r="FCP116" s="0"/>
      <c r="FCQ116" s="0"/>
      <c r="FCR116" s="0"/>
      <c r="FCS116" s="0"/>
      <c r="FCT116" s="0"/>
      <c r="FCU116" s="0"/>
      <c r="FCV116" s="0"/>
      <c r="FCW116" s="0"/>
      <c r="FCX116" s="0"/>
      <c r="FCY116" s="0"/>
      <c r="FCZ116" s="0"/>
      <c r="FDA116" s="0"/>
      <c r="FDB116" s="0"/>
      <c r="FDC116" s="0"/>
      <c r="FDD116" s="0"/>
      <c r="FDE116" s="0"/>
      <c r="FDF116" s="0"/>
      <c r="FDG116" s="0"/>
      <c r="FDH116" s="0"/>
      <c r="FDI116" s="0"/>
      <c r="FDJ116" s="0"/>
      <c r="FDK116" s="0"/>
      <c r="FDL116" s="0"/>
      <c r="FDM116" s="0"/>
      <c r="FDN116" s="0"/>
      <c r="FDO116" s="0"/>
      <c r="FDP116" s="0"/>
      <c r="FDQ116" s="0"/>
      <c r="FDR116" s="0"/>
      <c r="FDS116" s="0"/>
      <c r="FDT116" s="0"/>
      <c r="FDU116" s="0"/>
      <c r="FDV116" s="0"/>
      <c r="FDW116" s="0"/>
      <c r="FDX116" s="0"/>
      <c r="FDY116" s="0"/>
      <c r="FDZ116" s="0"/>
      <c r="FEA116" s="0"/>
      <c r="FEB116" s="0"/>
      <c r="FEC116" s="0"/>
      <c r="FED116" s="0"/>
      <c r="FEE116" s="0"/>
      <c r="FEF116" s="0"/>
      <c r="FEG116" s="0"/>
      <c r="FEH116" s="0"/>
      <c r="FEI116" s="0"/>
      <c r="FEJ116" s="0"/>
      <c r="FEK116" s="0"/>
      <c r="FEL116" s="0"/>
      <c r="FEM116" s="0"/>
      <c r="FEN116" s="0"/>
      <c r="FEO116" s="0"/>
      <c r="FEP116" s="0"/>
      <c r="FEQ116" s="0"/>
      <c r="FER116" s="0"/>
      <c r="FES116" s="0"/>
      <c r="FET116" s="0"/>
      <c r="FEU116" s="0"/>
      <c r="FEV116" s="0"/>
      <c r="FEW116" s="0"/>
      <c r="FEX116" s="0"/>
      <c r="FEY116" s="0"/>
      <c r="FEZ116" s="0"/>
      <c r="FFA116" s="0"/>
      <c r="FFB116" s="0"/>
      <c r="FFC116" s="0"/>
      <c r="FFD116" s="0"/>
      <c r="FFE116" s="0"/>
      <c r="FFF116" s="0"/>
      <c r="FFG116" s="0"/>
      <c r="FFH116" s="0"/>
      <c r="FFI116" s="0"/>
      <c r="FFJ116" s="0"/>
      <c r="FFK116" s="0"/>
      <c r="FFL116" s="0"/>
      <c r="FFM116" s="0"/>
      <c r="FFN116" s="0"/>
      <c r="FFO116" s="0"/>
      <c r="FFP116" s="0"/>
      <c r="FFQ116" s="0"/>
      <c r="FFR116" s="0"/>
      <c r="FFS116" s="0"/>
      <c r="FFT116" s="0"/>
      <c r="FFU116" s="0"/>
      <c r="FFV116" s="0"/>
      <c r="FFW116" s="0"/>
      <c r="FFX116" s="0"/>
      <c r="FFY116" s="0"/>
      <c r="FFZ116" s="0"/>
      <c r="FGA116" s="0"/>
      <c r="FGB116" s="0"/>
      <c r="FGC116" s="0"/>
      <c r="FGD116" s="0"/>
      <c r="FGE116" s="0"/>
      <c r="FGF116" s="0"/>
      <c r="FGG116" s="0"/>
      <c r="FGH116" s="0"/>
      <c r="FGI116" s="0"/>
      <c r="FGJ116" s="0"/>
      <c r="FGK116" s="0"/>
      <c r="FGL116" s="0"/>
      <c r="FGM116" s="0"/>
      <c r="FGN116" s="0"/>
      <c r="FGO116" s="0"/>
      <c r="FGP116" s="0"/>
      <c r="FGQ116" s="0"/>
      <c r="FGR116" s="0"/>
      <c r="FGS116" s="0"/>
      <c r="FGT116" s="0"/>
      <c r="FGU116" s="0"/>
      <c r="FGV116" s="0"/>
      <c r="FGW116" s="0"/>
      <c r="FGX116" s="0"/>
      <c r="FGY116" s="0"/>
      <c r="FGZ116" s="0"/>
      <c r="FHA116" s="0"/>
      <c r="FHB116" s="0"/>
      <c r="FHC116" s="0"/>
      <c r="FHD116" s="0"/>
      <c r="FHE116" s="0"/>
      <c r="FHF116" s="0"/>
      <c r="FHG116" s="0"/>
      <c r="FHH116" s="0"/>
      <c r="FHI116" s="0"/>
      <c r="FHJ116" s="0"/>
      <c r="FHK116" s="0"/>
      <c r="FHL116" s="0"/>
      <c r="FHM116" s="0"/>
      <c r="FHN116" s="0"/>
      <c r="FHO116" s="0"/>
      <c r="FHP116" s="0"/>
      <c r="FHQ116" s="0"/>
      <c r="FHR116" s="0"/>
      <c r="FHS116" s="0"/>
      <c r="FHT116" s="0"/>
      <c r="FHU116" s="0"/>
      <c r="FHV116" s="0"/>
      <c r="FHW116" s="0"/>
      <c r="FHX116" s="0"/>
      <c r="FHY116" s="0"/>
      <c r="FHZ116" s="0"/>
      <c r="FIA116" s="0"/>
      <c r="FIB116" s="0"/>
      <c r="FIC116" s="0"/>
      <c r="FID116" s="0"/>
      <c r="FIE116" s="0"/>
      <c r="FIF116" s="0"/>
      <c r="FIG116" s="0"/>
      <c r="FIH116" s="0"/>
      <c r="FII116" s="0"/>
      <c r="FIJ116" s="0"/>
      <c r="FIK116" s="0"/>
      <c r="FIL116" s="0"/>
      <c r="FIM116" s="0"/>
      <c r="FIN116" s="0"/>
      <c r="FIO116" s="0"/>
      <c r="FIP116" s="0"/>
      <c r="FIQ116" s="0"/>
      <c r="FIR116" s="0"/>
      <c r="FIS116" s="0"/>
      <c r="FIT116" s="0"/>
      <c r="FIU116" s="0"/>
      <c r="FIV116" s="0"/>
      <c r="FIW116" s="0"/>
      <c r="FIX116" s="0"/>
      <c r="FIY116" s="0"/>
      <c r="FIZ116" s="0"/>
      <c r="FJA116" s="0"/>
      <c r="FJB116" s="0"/>
      <c r="FJC116" s="0"/>
      <c r="FJD116" s="0"/>
      <c r="FJE116" s="0"/>
      <c r="FJF116" s="0"/>
      <c r="FJG116" s="0"/>
      <c r="FJH116" s="0"/>
      <c r="FJI116" s="0"/>
      <c r="FJJ116" s="0"/>
      <c r="FJK116" s="0"/>
      <c r="FJL116" s="0"/>
      <c r="FJM116" s="0"/>
      <c r="FJN116" s="0"/>
      <c r="FJO116" s="0"/>
      <c r="FJP116" s="0"/>
      <c r="FJQ116" s="0"/>
      <c r="FJR116" s="0"/>
      <c r="FJS116" s="0"/>
      <c r="FJT116" s="0"/>
      <c r="FJU116" s="0"/>
      <c r="FJV116" s="0"/>
      <c r="FJW116" s="0"/>
      <c r="FJX116" s="0"/>
      <c r="FJY116" s="0"/>
      <c r="FJZ116" s="0"/>
      <c r="FKA116" s="0"/>
      <c r="FKB116" s="0"/>
      <c r="FKC116" s="0"/>
      <c r="FKD116" s="0"/>
      <c r="FKE116" s="0"/>
      <c r="FKF116" s="0"/>
      <c r="FKG116" s="0"/>
      <c r="FKH116" s="0"/>
      <c r="FKI116" s="0"/>
      <c r="FKJ116" s="0"/>
      <c r="FKK116" s="0"/>
      <c r="FKL116" s="0"/>
      <c r="FKM116" s="0"/>
      <c r="FKN116" s="0"/>
      <c r="FKO116" s="0"/>
      <c r="FKP116" s="0"/>
      <c r="FKQ116" s="0"/>
      <c r="FKR116" s="0"/>
      <c r="FKS116" s="0"/>
      <c r="FKT116" s="0"/>
      <c r="FKU116" s="0"/>
      <c r="FKV116" s="0"/>
      <c r="FKW116" s="0"/>
      <c r="FKX116" s="0"/>
      <c r="FKY116" s="0"/>
      <c r="FKZ116" s="0"/>
      <c r="FLA116" s="0"/>
      <c r="FLB116" s="0"/>
      <c r="FLC116" s="0"/>
      <c r="FLD116" s="0"/>
      <c r="FLE116" s="0"/>
      <c r="FLF116" s="0"/>
      <c r="FLG116" s="0"/>
      <c r="FLH116" s="0"/>
      <c r="FLI116" s="0"/>
      <c r="FLJ116" s="0"/>
      <c r="FLK116" s="0"/>
      <c r="FLL116" s="0"/>
      <c r="FLM116" s="0"/>
      <c r="FLN116" s="0"/>
      <c r="FLO116" s="0"/>
      <c r="FLP116" s="0"/>
      <c r="FLQ116" s="0"/>
      <c r="FLR116" s="0"/>
      <c r="FLS116" s="0"/>
      <c r="FLT116" s="0"/>
      <c r="FLU116" s="0"/>
      <c r="FLV116" s="0"/>
      <c r="FLW116" s="0"/>
      <c r="FLX116" s="0"/>
      <c r="FLY116" s="0"/>
      <c r="FLZ116" s="0"/>
      <c r="FMA116" s="0"/>
      <c r="FMB116" s="0"/>
      <c r="FMC116" s="0"/>
      <c r="FMD116" s="0"/>
      <c r="FME116" s="0"/>
      <c r="FMF116" s="0"/>
      <c r="FMG116" s="0"/>
      <c r="FMH116" s="0"/>
      <c r="FMI116" s="0"/>
      <c r="FMJ116" s="0"/>
      <c r="FMK116" s="0"/>
      <c r="FML116" s="0"/>
      <c r="FMM116" s="0"/>
      <c r="FMN116" s="0"/>
      <c r="FMO116" s="0"/>
      <c r="FMP116" s="0"/>
      <c r="FMQ116" s="0"/>
      <c r="FMR116" s="0"/>
      <c r="FMS116" s="0"/>
      <c r="FMT116" s="0"/>
      <c r="FMU116" s="0"/>
      <c r="FMV116" s="0"/>
      <c r="FMW116" s="0"/>
      <c r="FMX116" s="0"/>
      <c r="FMY116" s="0"/>
      <c r="FMZ116" s="0"/>
      <c r="FNA116" s="0"/>
      <c r="FNB116" s="0"/>
      <c r="FNC116" s="0"/>
      <c r="FND116" s="0"/>
      <c r="FNE116" s="0"/>
      <c r="FNF116" s="0"/>
      <c r="FNG116" s="0"/>
      <c r="FNH116" s="0"/>
      <c r="FNI116" s="0"/>
      <c r="FNJ116" s="0"/>
      <c r="FNK116" s="0"/>
      <c r="FNL116" s="0"/>
      <c r="FNM116" s="0"/>
      <c r="FNN116" s="0"/>
      <c r="FNO116" s="0"/>
      <c r="FNP116" s="0"/>
      <c r="FNQ116" s="0"/>
      <c r="FNR116" s="0"/>
      <c r="FNS116" s="0"/>
      <c r="FNT116" s="0"/>
      <c r="FNU116" s="0"/>
      <c r="FNV116" s="0"/>
      <c r="FNW116" s="0"/>
      <c r="FNX116" s="0"/>
      <c r="FNY116" s="0"/>
      <c r="FNZ116" s="0"/>
      <c r="FOA116" s="0"/>
      <c r="FOB116" s="0"/>
      <c r="FOC116" s="0"/>
      <c r="FOD116" s="0"/>
      <c r="FOE116" s="0"/>
      <c r="FOF116" s="0"/>
      <c r="FOG116" s="0"/>
      <c r="FOH116" s="0"/>
      <c r="FOI116" s="0"/>
      <c r="FOJ116" s="0"/>
      <c r="FOK116" s="0"/>
      <c r="FOL116" s="0"/>
      <c r="FOM116" s="0"/>
      <c r="FON116" s="0"/>
      <c r="FOO116" s="0"/>
      <c r="FOP116" s="0"/>
      <c r="FOQ116" s="0"/>
      <c r="FOR116" s="0"/>
      <c r="FOS116" s="0"/>
      <c r="FOT116" s="0"/>
      <c r="FOU116" s="0"/>
      <c r="FOV116" s="0"/>
      <c r="FOW116" s="0"/>
      <c r="FOX116" s="0"/>
      <c r="FOY116" s="0"/>
      <c r="FOZ116" s="0"/>
      <c r="FPA116" s="0"/>
      <c r="FPB116" s="0"/>
      <c r="FPC116" s="0"/>
      <c r="FPD116" s="0"/>
      <c r="FPE116" s="0"/>
      <c r="FPF116" s="0"/>
      <c r="FPG116" s="0"/>
      <c r="FPH116" s="0"/>
      <c r="FPI116" s="0"/>
      <c r="FPJ116" s="0"/>
      <c r="FPK116" s="0"/>
      <c r="FPL116" s="0"/>
      <c r="FPM116" s="0"/>
      <c r="FPN116" s="0"/>
      <c r="FPO116" s="0"/>
      <c r="FPP116" s="0"/>
      <c r="FPQ116" s="0"/>
      <c r="FPR116" s="0"/>
      <c r="FPS116" s="0"/>
      <c r="FPT116" s="0"/>
      <c r="FPU116" s="0"/>
      <c r="FPV116" s="0"/>
      <c r="FPW116" s="0"/>
      <c r="FPX116" s="0"/>
      <c r="FPY116" s="0"/>
      <c r="FPZ116" s="0"/>
      <c r="FQA116" s="0"/>
      <c r="FQB116" s="0"/>
      <c r="FQC116" s="0"/>
      <c r="FQD116" s="0"/>
      <c r="FQE116" s="0"/>
      <c r="FQF116" s="0"/>
      <c r="FQG116" s="0"/>
      <c r="FQH116" s="0"/>
      <c r="FQI116" s="0"/>
      <c r="FQJ116" s="0"/>
      <c r="FQK116" s="0"/>
      <c r="FQL116" s="0"/>
      <c r="FQM116" s="0"/>
      <c r="FQN116" s="0"/>
      <c r="FQO116" s="0"/>
      <c r="FQP116" s="0"/>
      <c r="FQQ116" s="0"/>
      <c r="FQR116" s="0"/>
      <c r="FQS116" s="0"/>
      <c r="FQT116" s="0"/>
      <c r="FQU116" s="0"/>
      <c r="FQV116" s="0"/>
      <c r="FQW116" s="0"/>
      <c r="FQX116" s="0"/>
      <c r="FQY116" s="0"/>
      <c r="FQZ116" s="0"/>
      <c r="FRA116" s="0"/>
      <c r="FRB116" s="0"/>
      <c r="FRC116" s="0"/>
      <c r="FRD116" s="0"/>
      <c r="FRE116" s="0"/>
      <c r="FRF116" s="0"/>
      <c r="FRG116" s="0"/>
      <c r="FRH116" s="0"/>
      <c r="FRI116" s="0"/>
      <c r="FRJ116" s="0"/>
      <c r="FRK116" s="0"/>
      <c r="FRL116" s="0"/>
      <c r="FRM116" s="0"/>
      <c r="FRN116" s="0"/>
      <c r="FRO116" s="0"/>
      <c r="FRP116" s="0"/>
      <c r="FRQ116" s="0"/>
      <c r="FRR116" s="0"/>
      <c r="FRS116" s="0"/>
      <c r="FRT116" s="0"/>
      <c r="FRU116" s="0"/>
      <c r="FRV116" s="0"/>
      <c r="FRW116" s="0"/>
      <c r="FRX116" s="0"/>
      <c r="FRY116" s="0"/>
      <c r="FRZ116" s="0"/>
      <c r="FSA116" s="0"/>
      <c r="FSB116" s="0"/>
      <c r="FSC116" s="0"/>
      <c r="FSD116" s="0"/>
      <c r="FSE116" s="0"/>
      <c r="FSF116" s="0"/>
      <c r="FSG116" s="0"/>
      <c r="FSH116" s="0"/>
      <c r="FSI116" s="0"/>
      <c r="FSJ116" s="0"/>
      <c r="FSK116" s="0"/>
      <c r="FSL116" s="0"/>
      <c r="FSM116" s="0"/>
      <c r="FSN116" s="0"/>
      <c r="FSO116" s="0"/>
      <c r="FSP116" s="0"/>
      <c r="FSQ116" s="0"/>
      <c r="FSR116" s="0"/>
      <c r="FSS116" s="0"/>
      <c r="FST116" s="0"/>
      <c r="FSU116" s="0"/>
      <c r="FSV116" s="0"/>
      <c r="FSW116" s="0"/>
      <c r="FSX116" s="0"/>
      <c r="FSY116" s="0"/>
      <c r="FSZ116" s="0"/>
      <c r="FTA116" s="0"/>
      <c r="FTB116" s="0"/>
      <c r="FTC116" s="0"/>
      <c r="FTD116" s="0"/>
      <c r="FTE116" s="0"/>
      <c r="FTF116" s="0"/>
      <c r="FTG116" s="0"/>
      <c r="FTH116" s="0"/>
      <c r="FTI116" s="0"/>
      <c r="FTJ116" s="0"/>
      <c r="FTK116" s="0"/>
      <c r="FTL116" s="0"/>
      <c r="FTM116" s="0"/>
      <c r="FTN116" s="0"/>
      <c r="FTO116" s="0"/>
      <c r="FTP116" s="0"/>
      <c r="FTQ116" s="0"/>
      <c r="FTR116" s="0"/>
      <c r="FTS116" s="0"/>
      <c r="FTT116" s="0"/>
      <c r="FTU116" s="0"/>
      <c r="FTV116" s="0"/>
      <c r="FTW116" s="0"/>
      <c r="FTX116" s="0"/>
      <c r="FTY116" s="0"/>
      <c r="FTZ116" s="0"/>
      <c r="FUA116" s="0"/>
      <c r="FUB116" s="0"/>
      <c r="FUC116" s="0"/>
      <c r="FUD116" s="0"/>
      <c r="FUE116" s="0"/>
      <c r="FUF116" s="0"/>
      <c r="FUG116" s="0"/>
      <c r="FUH116" s="0"/>
      <c r="FUI116" s="0"/>
      <c r="FUJ116" s="0"/>
      <c r="FUK116" s="0"/>
      <c r="FUL116" s="0"/>
      <c r="FUM116" s="0"/>
      <c r="FUN116" s="0"/>
      <c r="FUO116" s="0"/>
      <c r="FUP116" s="0"/>
      <c r="FUQ116" s="0"/>
      <c r="FUR116" s="0"/>
      <c r="FUS116" s="0"/>
      <c r="FUT116" s="0"/>
      <c r="FUU116" s="0"/>
      <c r="FUV116" s="0"/>
      <c r="FUW116" s="0"/>
      <c r="FUX116" s="0"/>
      <c r="FUY116" s="0"/>
      <c r="FUZ116" s="0"/>
      <c r="FVA116" s="0"/>
      <c r="FVB116" s="0"/>
      <c r="FVC116" s="0"/>
      <c r="FVD116" s="0"/>
      <c r="FVE116" s="0"/>
      <c r="FVF116" s="0"/>
      <c r="FVG116" s="0"/>
      <c r="FVH116" s="0"/>
      <c r="FVI116" s="0"/>
      <c r="FVJ116" s="0"/>
      <c r="FVK116" s="0"/>
      <c r="FVL116" s="0"/>
      <c r="FVM116" s="0"/>
      <c r="FVN116" s="0"/>
      <c r="FVO116" s="0"/>
      <c r="FVP116" s="0"/>
      <c r="FVQ116" s="0"/>
      <c r="FVR116" s="0"/>
      <c r="FVS116" s="0"/>
      <c r="FVT116" s="0"/>
      <c r="FVU116" s="0"/>
      <c r="FVV116" s="0"/>
      <c r="FVW116" s="0"/>
      <c r="FVX116" s="0"/>
      <c r="FVY116" s="0"/>
      <c r="FVZ116" s="0"/>
      <c r="FWA116" s="0"/>
      <c r="FWB116" s="0"/>
      <c r="FWC116" s="0"/>
      <c r="FWD116" s="0"/>
      <c r="FWE116" s="0"/>
      <c r="FWF116" s="0"/>
      <c r="FWG116" s="0"/>
      <c r="FWH116" s="0"/>
      <c r="FWI116" s="0"/>
      <c r="FWJ116" s="0"/>
      <c r="FWK116" s="0"/>
      <c r="FWL116" s="0"/>
      <c r="FWM116" s="0"/>
      <c r="FWN116" s="0"/>
      <c r="FWO116" s="0"/>
      <c r="FWP116" s="0"/>
      <c r="FWQ116" s="0"/>
      <c r="FWR116" s="0"/>
      <c r="FWS116" s="0"/>
      <c r="FWT116" s="0"/>
      <c r="FWU116" s="0"/>
      <c r="FWV116" s="0"/>
      <c r="FWW116" s="0"/>
      <c r="FWX116" s="0"/>
      <c r="FWY116" s="0"/>
      <c r="FWZ116" s="0"/>
      <c r="FXA116" s="0"/>
      <c r="FXB116" s="0"/>
      <c r="FXC116" s="0"/>
      <c r="FXD116" s="0"/>
      <c r="FXE116" s="0"/>
      <c r="FXF116" s="0"/>
      <c r="FXG116" s="0"/>
      <c r="FXH116" s="0"/>
      <c r="FXI116" s="0"/>
      <c r="FXJ116" s="0"/>
      <c r="FXK116" s="0"/>
      <c r="FXL116" s="0"/>
      <c r="FXM116" s="0"/>
      <c r="FXN116" s="0"/>
      <c r="FXO116" s="0"/>
      <c r="FXP116" s="0"/>
      <c r="FXQ116" s="0"/>
      <c r="FXR116" s="0"/>
      <c r="FXS116" s="0"/>
      <c r="FXT116" s="0"/>
      <c r="FXU116" s="0"/>
      <c r="FXV116" s="0"/>
      <c r="FXW116" s="0"/>
      <c r="FXX116" s="0"/>
      <c r="FXY116" s="0"/>
      <c r="FXZ116" s="0"/>
      <c r="FYA116" s="0"/>
      <c r="FYB116" s="0"/>
      <c r="FYC116" s="0"/>
      <c r="FYD116" s="0"/>
      <c r="FYE116" s="0"/>
      <c r="FYF116" s="0"/>
      <c r="FYG116" s="0"/>
      <c r="FYH116" s="0"/>
      <c r="FYI116" s="0"/>
      <c r="FYJ116" s="0"/>
      <c r="FYK116" s="0"/>
      <c r="FYL116" s="0"/>
      <c r="FYM116" s="0"/>
      <c r="FYN116" s="0"/>
      <c r="FYO116" s="0"/>
      <c r="FYP116" s="0"/>
      <c r="FYQ116" s="0"/>
      <c r="FYR116" s="0"/>
      <c r="FYS116" s="0"/>
      <c r="FYT116" s="0"/>
      <c r="FYU116" s="0"/>
      <c r="FYV116" s="0"/>
      <c r="FYW116" s="0"/>
      <c r="FYX116" s="0"/>
      <c r="FYY116" s="0"/>
      <c r="FYZ116" s="0"/>
      <c r="FZA116" s="0"/>
      <c r="FZB116" s="0"/>
      <c r="FZC116" s="0"/>
      <c r="FZD116" s="0"/>
      <c r="FZE116" s="0"/>
      <c r="FZF116" s="0"/>
      <c r="FZG116" s="0"/>
      <c r="FZH116" s="0"/>
      <c r="FZI116" s="0"/>
      <c r="FZJ116" s="0"/>
      <c r="FZK116" s="0"/>
      <c r="FZL116" s="0"/>
      <c r="FZM116" s="0"/>
      <c r="FZN116" s="0"/>
      <c r="FZO116" s="0"/>
      <c r="FZP116" s="0"/>
      <c r="FZQ116" s="0"/>
      <c r="FZR116" s="0"/>
      <c r="FZS116" s="0"/>
      <c r="FZT116" s="0"/>
      <c r="FZU116" s="0"/>
      <c r="FZV116" s="0"/>
      <c r="FZW116" s="0"/>
      <c r="FZX116" s="0"/>
      <c r="FZY116" s="0"/>
      <c r="FZZ116" s="0"/>
      <c r="GAA116" s="0"/>
      <c r="GAB116" s="0"/>
      <c r="GAC116" s="0"/>
      <c r="GAD116" s="0"/>
      <c r="GAE116" s="0"/>
      <c r="GAF116" s="0"/>
      <c r="GAG116" s="0"/>
      <c r="GAH116" s="0"/>
      <c r="GAI116" s="0"/>
      <c r="GAJ116" s="0"/>
      <c r="GAK116" s="0"/>
      <c r="GAL116" s="0"/>
      <c r="GAM116" s="0"/>
      <c r="GAN116" s="0"/>
      <c r="GAO116" s="0"/>
      <c r="GAP116" s="0"/>
      <c r="GAQ116" s="0"/>
      <c r="GAR116" s="0"/>
      <c r="GAS116" s="0"/>
      <c r="GAT116" s="0"/>
      <c r="GAU116" s="0"/>
      <c r="GAV116" s="0"/>
      <c r="GAW116" s="0"/>
      <c r="GAX116" s="0"/>
      <c r="GAY116" s="0"/>
      <c r="GAZ116" s="0"/>
      <c r="GBA116" s="0"/>
      <c r="GBB116" s="0"/>
      <c r="GBC116" s="0"/>
      <c r="GBD116" s="0"/>
      <c r="GBE116" s="0"/>
      <c r="GBF116" s="0"/>
      <c r="GBG116" s="0"/>
      <c r="GBH116" s="0"/>
      <c r="GBI116" s="0"/>
      <c r="GBJ116" s="0"/>
      <c r="GBK116" s="0"/>
      <c r="GBL116" s="0"/>
      <c r="GBM116" s="0"/>
      <c r="GBN116" s="0"/>
      <c r="GBO116" s="0"/>
      <c r="GBP116" s="0"/>
      <c r="GBQ116" s="0"/>
      <c r="GBR116" s="0"/>
      <c r="GBS116" s="0"/>
      <c r="GBT116" s="0"/>
      <c r="GBU116" s="0"/>
      <c r="GBV116" s="0"/>
      <c r="GBW116" s="0"/>
      <c r="GBX116" s="0"/>
      <c r="GBY116" s="0"/>
      <c r="GBZ116" s="0"/>
      <c r="GCA116" s="0"/>
      <c r="GCB116" s="0"/>
      <c r="GCC116" s="0"/>
      <c r="GCD116" s="0"/>
      <c r="GCE116" s="0"/>
      <c r="GCF116" s="0"/>
      <c r="GCG116" s="0"/>
      <c r="GCH116" s="0"/>
      <c r="GCI116" s="0"/>
      <c r="GCJ116" s="0"/>
      <c r="GCK116" s="0"/>
      <c r="GCL116" s="0"/>
      <c r="GCM116" s="0"/>
      <c r="GCN116" s="0"/>
      <c r="GCO116" s="0"/>
      <c r="GCP116" s="0"/>
      <c r="GCQ116" s="0"/>
      <c r="GCR116" s="0"/>
      <c r="GCS116" s="0"/>
      <c r="GCT116" s="0"/>
      <c r="GCU116" s="0"/>
      <c r="GCV116" s="0"/>
      <c r="GCW116" s="0"/>
      <c r="GCX116" s="0"/>
      <c r="GCY116" s="0"/>
      <c r="GCZ116" s="0"/>
      <c r="GDA116" s="0"/>
      <c r="GDB116" s="0"/>
      <c r="GDC116" s="0"/>
      <c r="GDD116" s="0"/>
      <c r="GDE116" s="0"/>
      <c r="GDF116" s="0"/>
      <c r="GDG116" s="0"/>
      <c r="GDH116" s="0"/>
      <c r="GDI116" s="0"/>
      <c r="GDJ116" s="0"/>
      <c r="GDK116" s="0"/>
      <c r="GDL116" s="0"/>
      <c r="GDM116" s="0"/>
      <c r="GDN116" s="0"/>
      <c r="GDO116" s="0"/>
      <c r="GDP116" s="0"/>
      <c r="GDQ116" s="0"/>
      <c r="GDR116" s="0"/>
      <c r="GDS116" s="0"/>
      <c r="GDT116" s="0"/>
      <c r="GDU116" s="0"/>
      <c r="GDV116" s="0"/>
      <c r="GDW116" s="0"/>
      <c r="GDX116" s="0"/>
      <c r="GDY116" s="0"/>
      <c r="GDZ116" s="0"/>
      <c r="GEA116" s="0"/>
      <c r="GEB116" s="0"/>
      <c r="GEC116" s="0"/>
      <c r="GED116" s="0"/>
      <c r="GEE116" s="0"/>
      <c r="GEF116" s="0"/>
      <c r="GEG116" s="0"/>
      <c r="GEH116" s="0"/>
      <c r="GEI116" s="0"/>
      <c r="GEJ116" s="0"/>
      <c r="GEK116" s="0"/>
      <c r="GEL116" s="0"/>
      <c r="GEM116" s="0"/>
      <c r="GEN116" s="0"/>
      <c r="GEO116" s="0"/>
      <c r="GEP116" s="0"/>
      <c r="GEQ116" s="0"/>
      <c r="GER116" s="0"/>
      <c r="GES116" s="0"/>
      <c r="GET116" s="0"/>
      <c r="GEU116" s="0"/>
      <c r="GEV116" s="0"/>
      <c r="GEW116" s="0"/>
      <c r="GEX116" s="0"/>
      <c r="GEY116" s="0"/>
      <c r="GEZ116" s="0"/>
      <c r="GFA116" s="0"/>
      <c r="GFB116" s="0"/>
      <c r="GFC116" s="0"/>
      <c r="GFD116" s="0"/>
      <c r="GFE116" s="0"/>
      <c r="GFF116" s="0"/>
      <c r="GFG116" s="0"/>
      <c r="GFH116" s="0"/>
      <c r="GFI116" s="0"/>
      <c r="GFJ116" s="0"/>
      <c r="GFK116" s="0"/>
      <c r="GFL116" s="0"/>
      <c r="GFM116" s="0"/>
      <c r="GFN116" s="0"/>
      <c r="GFO116" s="0"/>
      <c r="GFP116" s="0"/>
      <c r="GFQ116" s="0"/>
      <c r="GFR116" s="0"/>
      <c r="GFS116" s="0"/>
      <c r="GFT116" s="0"/>
      <c r="GFU116" s="0"/>
      <c r="GFV116" s="0"/>
      <c r="GFW116" s="0"/>
      <c r="GFX116" s="0"/>
      <c r="GFY116" s="0"/>
      <c r="GFZ116" s="0"/>
      <c r="GGA116" s="0"/>
      <c r="GGB116" s="0"/>
      <c r="GGC116" s="0"/>
      <c r="GGD116" s="0"/>
      <c r="GGE116" s="0"/>
      <c r="GGF116" s="0"/>
      <c r="GGG116" s="0"/>
      <c r="GGH116" s="0"/>
      <c r="GGI116" s="0"/>
      <c r="GGJ116" s="0"/>
      <c r="GGK116" s="0"/>
      <c r="GGL116" s="0"/>
      <c r="GGM116" s="0"/>
      <c r="GGN116" s="0"/>
      <c r="GGO116" s="0"/>
      <c r="GGP116" s="0"/>
      <c r="GGQ116" s="0"/>
      <c r="GGR116" s="0"/>
      <c r="GGS116" s="0"/>
      <c r="GGT116" s="0"/>
      <c r="GGU116" s="0"/>
      <c r="GGV116" s="0"/>
      <c r="GGW116" s="0"/>
      <c r="GGX116" s="0"/>
      <c r="GGY116" s="0"/>
      <c r="GGZ116" s="0"/>
      <c r="GHA116" s="0"/>
      <c r="GHB116" s="0"/>
      <c r="GHC116" s="0"/>
      <c r="GHD116" s="0"/>
      <c r="GHE116" s="0"/>
      <c r="GHF116" s="0"/>
      <c r="GHG116" s="0"/>
      <c r="GHH116" s="0"/>
      <c r="GHI116" s="0"/>
      <c r="GHJ116" s="0"/>
      <c r="GHK116" s="0"/>
      <c r="GHL116" s="0"/>
      <c r="GHM116" s="0"/>
      <c r="GHN116" s="0"/>
      <c r="GHO116" s="0"/>
      <c r="GHP116" s="0"/>
      <c r="GHQ116" s="0"/>
      <c r="GHR116" s="0"/>
      <c r="GHS116" s="0"/>
      <c r="GHT116" s="0"/>
      <c r="GHU116" s="0"/>
      <c r="GHV116" s="0"/>
      <c r="GHW116" s="0"/>
      <c r="GHX116" s="0"/>
      <c r="GHY116" s="0"/>
      <c r="GHZ116" s="0"/>
      <c r="GIA116" s="0"/>
      <c r="GIB116" s="0"/>
      <c r="GIC116" s="0"/>
      <c r="GID116" s="0"/>
      <c r="GIE116" s="0"/>
      <c r="GIF116" s="0"/>
      <c r="GIG116" s="0"/>
      <c r="GIH116" s="0"/>
      <c r="GII116" s="0"/>
      <c r="GIJ116" s="0"/>
      <c r="GIK116" s="0"/>
      <c r="GIL116" s="0"/>
      <c r="GIM116" s="0"/>
      <c r="GIN116" s="0"/>
      <c r="GIO116" s="0"/>
      <c r="GIP116" s="0"/>
      <c r="GIQ116" s="0"/>
      <c r="GIR116" s="0"/>
      <c r="GIS116" s="0"/>
      <c r="GIT116" s="0"/>
      <c r="GIU116" s="0"/>
      <c r="GIV116" s="0"/>
      <c r="GIW116" s="0"/>
      <c r="GIX116" s="0"/>
      <c r="GIY116" s="0"/>
      <c r="GIZ116" s="0"/>
      <c r="GJA116" s="0"/>
      <c r="GJB116" s="0"/>
      <c r="GJC116" s="0"/>
      <c r="GJD116" s="0"/>
      <c r="GJE116" s="0"/>
      <c r="GJF116" s="0"/>
      <c r="GJG116" s="0"/>
      <c r="GJH116" s="0"/>
      <c r="GJI116" s="0"/>
      <c r="GJJ116" s="0"/>
      <c r="GJK116" s="0"/>
      <c r="GJL116" s="0"/>
      <c r="GJM116" s="0"/>
      <c r="GJN116" s="0"/>
      <c r="GJO116" s="0"/>
      <c r="GJP116" s="0"/>
      <c r="GJQ116" s="0"/>
      <c r="GJR116" s="0"/>
      <c r="GJS116" s="0"/>
      <c r="GJT116" s="0"/>
      <c r="GJU116" s="0"/>
      <c r="GJV116" s="0"/>
      <c r="GJW116" s="0"/>
      <c r="GJX116" s="0"/>
      <c r="GJY116" s="0"/>
      <c r="GJZ116" s="0"/>
      <c r="GKA116" s="0"/>
      <c r="GKB116" s="0"/>
      <c r="GKC116" s="0"/>
      <c r="GKD116" s="0"/>
      <c r="GKE116" s="0"/>
      <c r="GKF116" s="0"/>
      <c r="GKG116" s="0"/>
      <c r="GKH116" s="0"/>
      <c r="GKI116" s="0"/>
      <c r="GKJ116" s="0"/>
      <c r="GKK116" s="0"/>
      <c r="GKL116" s="0"/>
      <c r="GKM116" s="0"/>
      <c r="GKN116" s="0"/>
      <c r="GKO116" s="0"/>
      <c r="GKP116" s="0"/>
      <c r="GKQ116" s="0"/>
      <c r="GKR116" s="0"/>
      <c r="GKS116" s="0"/>
      <c r="GKT116" s="0"/>
      <c r="GKU116" s="0"/>
      <c r="GKV116" s="0"/>
      <c r="GKW116" s="0"/>
      <c r="GKX116" s="0"/>
      <c r="GKY116" s="0"/>
      <c r="GKZ116" s="0"/>
      <c r="GLA116" s="0"/>
      <c r="GLB116" s="0"/>
      <c r="GLC116" s="0"/>
      <c r="GLD116" s="0"/>
      <c r="GLE116" s="0"/>
      <c r="GLF116" s="0"/>
      <c r="GLG116" s="0"/>
      <c r="GLH116" s="0"/>
      <c r="GLI116" s="0"/>
      <c r="GLJ116" s="0"/>
      <c r="GLK116" s="0"/>
      <c r="GLL116" s="0"/>
      <c r="GLM116" s="0"/>
      <c r="GLN116" s="0"/>
      <c r="GLO116" s="0"/>
      <c r="GLP116" s="0"/>
      <c r="GLQ116" s="0"/>
      <c r="GLR116" s="0"/>
      <c r="GLS116" s="0"/>
      <c r="GLT116" s="0"/>
      <c r="GLU116" s="0"/>
      <c r="GLV116" s="0"/>
      <c r="GLW116" s="0"/>
      <c r="GLX116" s="0"/>
      <c r="GLY116" s="0"/>
      <c r="GLZ116" s="0"/>
      <c r="GMA116" s="0"/>
      <c r="GMB116" s="0"/>
      <c r="GMC116" s="0"/>
      <c r="GMD116" s="0"/>
      <c r="GME116" s="0"/>
      <c r="GMF116" s="0"/>
      <c r="GMG116" s="0"/>
      <c r="GMH116" s="0"/>
      <c r="GMI116" s="0"/>
      <c r="GMJ116" s="0"/>
      <c r="GMK116" s="0"/>
      <c r="GML116" s="0"/>
      <c r="GMM116" s="0"/>
      <c r="GMN116" s="0"/>
      <c r="GMO116" s="0"/>
      <c r="GMP116" s="0"/>
      <c r="GMQ116" s="0"/>
      <c r="GMR116" s="0"/>
      <c r="GMS116" s="0"/>
      <c r="GMT116" s="0"/>
      <c r="GMU116" s="0"/>
      <c r="GMV116" s="0"/>
      <c r="GMW116" s="0"/>
      <c r="GMX116" s="0"/>
      <c r="GMY116" s="0"/>
      <c r="GMZ116" s="0"/>
      <c r="GNA116" s="0"/>
      <c r="GNB116" s="0"/>
      <c r="GNC116" s="0"/>
      <c r="GND116" s="0"/>
      <c r="GNE116" s="0"/>
      <c r="GNF116" s="0"/>
      <c r="GNG116" s="0"/>
      <c r="GNH116" s="0"/>
      <c r="GNI116" s="0"/>
      <c r="GNJ116" s="0"/>
      <c r="GNK116" s="0"/>
      <c r="GNL116" s="0"/>
      <c r="GNM116" s="0"/>
      <c r="GNN116" s="0"/>
      <c r="GNO116" s="0"/>
      <c r="GNP116" s="0"/>
      <c r="GNQ116" s="0"/>
      <c r="GNR116" s="0"/>
      <c r="GNS116" s="0"/>
      <c r="GNT116" s="0"/>
      <c r="GNU116" s="0"/>
      <c r="GNV116" s="0"/>
      <c r="GNW116" s="0"/>
      <c r="GNX116" s="0"/>
      <c r="GNY116" s="0"/>
      <c r="GNZ116" s="0"/>
      <c r="GOA116" s="0"/>
      <c r="GOB116" s="0"/>
      <c r="GOC116" s="0"/>
      <c r="GOD116" s="0"/>
      <c r="GOE116" s="0"/>
      <c r="GOF116" s="0"/>
      <c r="GOG116" s="0"/>
      <c r="GOH116" s="0"/>
      <c r="GOI116" s="0"/>
      <c r="GOJ116" s="0"/>
      <c r="GOK116" s="0"/>
      <c r="GOL116" s="0"/>
      <c r="GOM116" s="0"/>
      <c r="GON116" s="0"/>
      <c r="GOO116" s="0"/>
      <c r="GOP116" s="0"/>
      <c r="GOQ116" s="0"/>
      <c r="GOR116" s="0"/>
      <c r="GOS116" s="0"/>
      <c r="GOT116" s="0"/>
      <c r="GOU116" s="0"/>
      <c r="GOV116" s="0"/>
      <c r="GOW116" s="0"/>
      <c r="GOX116" s="0"/>
      <c r="GOY116" s="0"/>
      <c r="GOZ116" s="0"/>
      <c r="GPA116" s="0"/>
      <c r="GPB116" s="0"/>
      <c r="GPC116" s="0"/>
      <c r="GPD116" s="0"/>
      <c r="GPE116" s="0"/>
      <c r="GPF116" s="0"/>
      <c r="GPG116" s="0"/>
      <c r="GPH116" s="0"/>
      <c r="GPI116" s="0"/>
      <c r="GPJ116" s="0"/>
      <c r="GPK116" s="0"/>
      <c r="GPL116" s="0"/>
      <c r="GPM116" s="0"/>
      <c r="GPN116" s="0"/>
      <c r="GPO116" s="0"/>
      <c r="GPP116" s="0"/>
      <c r="GPQ116" s="0"/>
      <c r="GPR116" s="0"/>
      <c r="GPS116" s="0"/>
      <c r="GPT116" s="0"/>
      <c r="GPU116" s="0"/>
      <c r="GPV116" s="0"/>
      <c r="GPW116" s="0"/>
      <c r="GPX116" s="0"/>
      <c r="GPY116" s="0"/>
      <c r="GPZ116" s="0"/>
      <c r="GQA116" s="0"/>
      <c r="GQB116" s="0"/>
      <c r="GQC116" s="0"/>
      <c r="GQD116" s="0"/>
      <c r="GQE116" s="0"/>
      <c r="GQF116" s="0"/>
      <c r="GQG116" s="0"/>
      <c r="GQH116" s="0"/>
      <c r="GQI116" s="0"/>
      <c r="GQJ116" s="0"/>
      <c r="GQK116" s="0"/>
      <c r="GQL116" s="0"/>
      <c r="GQM116" s="0"/>
      <c r="GQN116" s="0"/>
      <c r="GQO116" s="0"/>
      <c r="GQP116" s="0"/>
      <c r="GQQ116" s="0"/>
      <c r="GQR116" s="0"/>
      <c r="GQS116" s="0"/>
      <c r="GQT116" s="0"/>
      <c r="GQU116" s="0"/>
      <c r="GQV116" s="0"/>
      <c r="GQW116" s="0"/>
      <c r="GQX116" s="0"/>
      <c r="GQY116" s="0"/>
      <c r="GQZ116" s="0"/>
      <c r="GRA116" s="0"/>
      <c r="GRB116" s="0"/>
      <c r="GRC116" s="0"/>
      <c r="GRD116" s="0"/>
      <c r="GRE116" s="0"/>
      <c r="GRF116" s="0"/>
      <c r="GRG116" s="0"/>
      <c r="GRH116" s="0"/>
      <c r="GRI116" s="0"/>
      <c r="GRJ116" s="0"/>
      <c r="GRK116" s="0"/>
      <c r="GRL116" s="0"/>
      <c r="GRM116" s="0"/>
      <c r="GRN116" s="0"/>
      <c r="GRO116" s="0"/>
      <c r="GRP116" s="0"/>
      <c r="GRQ116" s="0"/>
      <c r="GRR116" s="0"/>
      <c r="GRS116" s="0"/>
      <c r="GRT116" s="0"/>
      <c r="GRU116" s="0"/>
      <c r="GRV116" s="0"/>
      <c r="GRW116" s="0"/>
      <c r="GRX116" s="0"/>
      <c r="GRY116" s="0"/>
      <c r="GRZ116" s="0"/>
      <c r="GSA116" s="0"/>
      <c r="GSB116" s="0"/>
      <c r="GSC116" s="0"/>
      <c r="GSD116" s="0"/>
      <c r="GSE116" s="0"/>
      <c r="GSF116" s="0"/>
      <c r="GSG116" s="0"/>
      <c r="GSH116" s="0"/>
      <c r="GSI116" s="0"/>
      <c r="GSJ116" s="0"/>
      <c r="GSK116" s="0"/>
      <c r="GSL116" s="0"/>
      <c r="GSM116" s="0"/>
      <c r="GSN116" s="0"/>
      <c r="GSO116" s="0"/>
      <c r="GSP116" s="0"/>
      <c r="GSQ116" s="0"/>
      <c r="GSR116" s="0"/>
      <c r="GSS116" s="0"/>
      <c r="GST116" s="0"/>
      <c r="GSU116" s="0"/>
      <c r="GSV116" s="0"/>
      <c r="GSW116" s="0"/>
      <c r="GSX116" s="0"/>
      <c r="GSY116" s="0"/>
      <c r="GSZ116" s="0"/>
      <c r="GTA116" s="0"/>
      <c r="GTB116" s="0"/>
      <c r="GTC116" s="0"/>
      <c r="GTD116" s="0"/>
      <c r="GTE116" s="0"/>
      <c r="GTF116" s="0"/>
      <c r="GTG116" s="0"/>
      <c r="GTH116" s="0"/>
      <c r="GTI116" s="0"/>
      <c r="GTJ116" s="0"/>
      <c r="GTK116" s="0"/>
      <c r="GTL116" s="0"/>
      <c r="GTM116" s="0"/>
      <c r="GTN116" s="0"/>
      <c r="GTO116" s="0"/>
      <c r="GTP116" s="0"/>
      <c r="GTQ116" s="0"/>
      <c r="GTR116" s="0"/>
      <c r="GTS116" s="0"/>
      <c r="GTT116" s="0"/>
      <c r="GTU116" s="0"/>
      <c r="GTV116" s="0"/>
      <c r="GTW116" s="0"/>
      <c r="GTX116" s="0"/>
      <c r="GTY116" s="0"/>
      <c r="GTZ116" s="0"/>
      <c r="GUA116" s="0"/>
      <c r="GUB116" s="0"/>
      <c r="GUC116" s="0"/>
      <c r="GUD116" s="0"/>
      <c r="GUE116" s="0"/>
      <c r="GUF116" s="0"/>
      <c r="GUG116" s="0"/>
      <c r="GUH116" s="0"/>
      <c r="GUI116" s="0"/>
      <c r="GUJ116" s="0"/>
      <c r="GUK116" s="0"/>
      <c r="GUL116" s="0"/>
      <c r="GUM116" s="0"/>
      <c r="GUN116" s="0"/>
      <c r="GUO116" s="0"/>
      <c r="GUP116" s="0"/>
      <c r="GUQ116" s="0"/>
      <c r="GUR116" s="0"/>
      <c r="GUS116" s="0"/>
      <c r="GUT116" s="0"/>
      <c r="GUU116" s="0"/>
      <c r="GUV116" s="0"/>
      <c r="GUW116" s="0"/>
      <c r="GUX116" s="0"/>
      <c r="GUY116" s="0"/>
      <c r="GUZ116" s="0"/>
      <c r="GVA116" s="0"/>
      <c r="GVB116" s="0"/>
      <c r="GVC116" s="0"/>
      <c r="GVD116" s="0"/>
      <c r="GVE116" s="0"/>
      <c r="GVF116" s="0"/>
      <c r="GVG116" s="0"/>
      <c r="GVH116" s="0"/>
      <c r="GVI116" s="0"/>
      <c r="GVJ116" s="0"/>
      <c r="GVK116" s="0"/>
      <c r="GVL116" s="0"/>
      <c r="GVM116" s="0"/>
      <c r="GVN116" s="0"/>
      <c r="GVO116" s="0"/>
      <c r="GVP116" s="0"/>
      <c r="GVQ116" s="0"/>
      <c r="GVR116" s="0"/>
      <c r="GVS116" s="0"/>
      <c r="GVT116" s="0"/>
      <c r="GVU116" s="0"/>
      <c r="GVV116" s="0"/>
      <c r="GVW116" s="0"/>
      <c r="GVX116" s="0"/>
      <c r="GVY116" s="0"/>
      <c r="GVZ116" s="0"/>
      <c r="GWA116" s="0"/>
      <c r="GWB116" s="0"/>
      <c r="GWC116" s="0"/>
      <c r="GWD116" s="0"/>
      <c r="GWE116" s="0"/>
      <c r="GWF116" s="0"/>
      <c r="GWG116" s="0"/>
      <c r="GWH116" s="0"/>
      <c r="GWI116" s="0"/>
      <c r="GWJ116" s="0"/>
      <c r="GWK116" s="0"/>
      <c r="GWL116" s="0"/>
      <c r="GWM116" s="0"/>
      <c r="GWN116" s="0"/>
      <c r="GWO116" s="0"/>
      <c r="GWP116" s="0"/>
      <c r="GWQ116" s="0"/>
      <c r="GWR116" s="0"/>
      <c r="GWS116" s="0"/>
      <c r="GWT116" s="0"/>
      <c r="GWU116" s="0"/>
      <c r="GWV116" s="0"/>
      <c r="GWW116" s="0"/>
      <c r="GWX116" s="0"/>
      <c r="GWY116" s="0"/>
      <c r="GWZ116" s="0"/>
      <c r="GXA116" s="0"/>
      <c r="GXB116" s="0"/>
      <c r="GXC116" s="0"/>
      <c r="GXD116" s="0"/>
      <c r="GXE116" s="0"/>
      <c r="GXF116" s="0"/>
      <c r="GXG116" s="0"/>
      <c r="GXH116" s="0"/>
      <c r="GXI116" s="0"/>
      <c r="GXJ116" s="0"/>
      <c r="GXK116" s="0"/>
      <c r="GXL116" s="0"/>
      <c r="GXM116" s="0"/>
      <c r="GXN116" s="0"/>
      <c r="GXO116" s="0"/>
      <c r="GXP116" s="0"/>
      <c r="GXQ116" s="0"/>
      <c r="GXR116" s="0"/>
      <c r="GXS116" s="0"/>
      <c r="GXT116" s="0"/>
      <c r="GXU116" s="0"/>
      <c r="GXV116" s="0"/>
      <c r="GXW116" s="0"/>
      <c r="GXX116" s="0"/>
      <c r="GXY116" s="0"/>
      <c r="GXZ116" s="0"/>
      <c r="GYA116" s="0"/>
      <c r="GYB116" s="0"/>
      <c r="GYC116" s="0"/>
      <c r="GYD116" s="0"/>
      <c r="GYE116" s="0"/>
      <c r="GYF116" s="0"/>
      <c r="GYG116" s="0"/>
      <c r="GYH116" s="0"/>
      <c r="GYI116" s="0"/>
      <c r="GYJ116" s="0"/>
      <c r="GYK116" s="0"/>
      <c r="GYL116" s="0"/>
      <c r="GYM116" s="0"/>
      <c r="GYN116" s="0"/>
      <c r="GYO116" s="0"/>
      <c r="GYP116" s="0"/>
      <c r="GYQ116" s="0"/>
      <c r="GYR116" s="0"/>
      <c r="GYS116" s="0"/>
      <c r="GYT116" s="0"/>
      <c r="GYU116" s="0"/>
      <c r="GYV116" s="0"/>
      <c r="GYW116" s="0"/>
      <c r="GYX116" s="0"/>
      <c r="GYY116" s="0"/>
      <c r="GYZ116" s="0"/>
      <c r="GZA116" s="0"/>
      <c r="GZB116" s="0"/>
      <c r="GZC116" s="0"/>
      <c r="GZD116" s="0"/>
      <c r="GZE116" s="0"/>
      <c r="GZF116" s="0"/>
      <c r="GZG116" s="0"/>
      <c r="GZH116" s="0"/>
      <c r="GZI116" s="0"/>
      <c r="GZJ116" s="0"/>
      <c r="GZK116" s="0"/>
      <c r="GZL116" s="0"/>
      <c r="GZM116" s="0"/>
      <c r="GZN116" s="0"/>
      <c r="GZO116" s="0"/>
      <c r="GZP116" s="0"/>
      <c r="GZQ116" s="0"/>
      <c r="GZR116" s="0"/>
      <c r="GZS116" s="0"/>
      <c r="GZT116" s="0"/>
      <c r="GZU116" s="0"/>
      <c r="GZV116" s="0"/>
      <c r="GZW116" s="0"/>
      <c r="GZX116" s="0"/>
      <c r="GZY116" s="0"/>
      <c r="GZZ116" s="0"/>
      <c r="HAA116" s="0"/>
      <c r="HAB116" s="0"/>
      <c r="HAC116" s="0"/>
      <c r="HAD116" s="0"/>
      <c r="HAE116" s="0"/>
      <c r="HAF116" s="0"/>
      <c r="HAG116" s="0"/>
      <c r="HAH116" s="0"/>
      <c r="HAI116" s="0"/>
      <c r="HAJ116" s="0"/>
      <c r="HAK116" s="0"/>
      <c r="HAL116" s="0"/>
      <c r="HAM116" s="0"/>
      <c r="HAN116" s="0"/>
      <c r="HAO116" s="0"/>
      <c r="HAP116" s="0"/>
      <c r="HAQ116" s="0"/>
      <c r="HAR116" s="0"/>
      <c r="HAS116" s="0"/>
      <c r="HAT116" s="0"/>
      <c r="HAU116" s="0"/>
      <c r="HAV116" s="0"/>
      <c r="HAW116" s="0"/>
      <c r="HAX116" s="0"/>
      <c r="HAY116" s="0"/>
      <c r="HAZ116" s="0"/>
      <c r="HBA116" s="0"/>
      <c r="HBB116" s="0"/>
      <c r="HBC116" s="0"/>
      <c r="HBD116" s="0"/>
      <c r="HBE116" s="0"/>
      <c r="HBF116" s="0"/>
      <c r="HBG116" s="0"/>
      <c r="HBH116" s="0"/>
      <c r="HBI116" s="0"/>
      <c r="HBJ116" s="0"/>
      <c r="HBK116" s="0"/>
      <c r="HBL116" s="0"/>
      <c r="HBM116" s="0"/>
      <c r="HBN116" s="0"/>
      <c r="HBO116" s="0"/>
      <c r="HBP116" s="0"/>
      <c r="HBQ116" s="0"/>
      <c r="HBR116" s="0"/>
      <c r="HBS116" s="0"/>
      <c r="HBT116" s="0"/>
      <c r="HBU116" s="0"/>
      <c r="HBV116" s="0"/>
      <c r="HBW116" s="0"/>
      <c r="HBX116" s="0"/>
      <c r="HBY116" s="0"/>
      <c r="HBZ116" s="0"/>
      <c r="HCA116" s="0"/>
      <c r="HCB116" s="0"/>
      <c r="HCC116" s="0"/>
      <c r="HCD116" s="0"/>
      <c r="HCE116" s="0"/>
      <c r="HCF116" s="0"/>
      <c r="HCG116" s="0"/>
      <c r="HCH116" s="0"/>
      <c r="HCI116" s="0"/>
      <c r="HCJ116" s="0"/>
      <c r="HCK116" s="0"/>
      <c r="HCL116" s="0"/>
      <c r="HCM116" s="0"/>
      <c r="HCN116" s="0"/>
      <c r="HCO116" s="0"/>
      <c r="HCP116" s="0"/>
      <c r="HCQ116" s="0"/>
      <c r="HCR116" s="0"/>
      <c r="HCS116" s="0"/>
      <c r="HCT116" s="0"/>
      <c r="HCU116" s="0"/>
      <c r="HCV116" s="0"/>
      <c r="HCW116" s="0"/>
      <c r="HCX116" s="0"/>
      <c r="HCY116" s="0"/>
      <c r="HCZ116" s="0"/>
      <c r="HDA116" s="0"/>
      <c r="HDB116" s="0"/>
      <c r="HDC116" s="0"/>
      <c r="HDD116" s="0"/>
      <c r="HDE116" s="0"/>
      <c r="HDF116" s="0"/>
      <c r="HDG116" s="0"/>
      <c r="HDH116" s="0"/>
      <c r="HDI116" s="0"/>
      <c r="HDJ116" s="0"/>
      <c r="HDK116" s="0"/>
      <c r="HDL116" s="0"/>
      <c r="HDM116" s="0"/>
      <c r="HDN116" s="0"/>
      <c r="HDO116" s="0"/>
      <c r="HDP116" s="0"/>
      <c r="HDQ116" s="0"/>
      <c r="HDR116" s="0"/>
      <c r="HDS116" s="0"/>
      <c r="HDT116" s="0"/>
      <c r="HDU116" s="0"/>
      <c r="HDV116" s="0"/>
      <c r="HDW116" s="0"/>
      <c r="HDX116" s="0"/>
      <c r="HDY116" s="0"/>
      <c r="HDZ116" s="0"/>
      <c r="HEA116" s="0"/>
      <c r="HEB116" s="0"/>
      <c r="HEC116" s="0"/>
      <c r="HED116" s="0"/>
      <c r="HEE116" s="0"/>
      <c r="HEF116" s="0"/>
      <c r="HEG116" s="0"/>
      <c r="HEH116" s="0"/>
      <c r="HEI116" s="0"/>
      <c r="HEJ116" s="0"/>
      <c r="HEK116" s="0"/>
      <c r="HEL116" s="0"/>
      <c r="HEM116" s="0"/>
      <c r="HEN116" s="0"/>
      <c r="HEO116" s="0"/>
      <c r="HEP116" s="0"/>
      <c r="HEQ116" s="0"/>
      <c r="HER116" s="0"/>
      <c r="HES116" s="0"/>
      <c r="HET116" s="0"/>
      <c r="HEU116" s="0"/>
      <c r="HEV116" s="0"/>
      <c r="HEW116" s="0"/>
      <c r="HEX116" s="0"/>
      <c r="HEY116" s="0"/>
      <c r="HEZ116" s="0"/>
      <c r="HFA116" s="0"/>
      <c r="HFB116" s="0"/>
      <c r="HFC116" s="0"/>
      <c r="HFD116" s="0"/>
      <c r="HFE116" s="0"/>
      <c r="HFF116" s="0"/>
      <c r="HFG116" s="0"/>
      <c r="HFH116" s="0"/>
      <c r="HFI116" s="0"/>
      <c r="HFJ116" s="0"/>
      <c r="HFK116" s="0"/>
      <c r="HFL116" s="0"/>
      <c r="HFM116" s="0"/>
      <c r="HFN116" s="0"/>
      <c r="HFO116" s="0"/>
      <c r="HFP116" s="0"/>
      <c r="HFQ116" s="0"/>
      <c r="HFR116" s="0"/>
      <c r="HFS116" s="0"/>
      <c r="HFT116" s="0"/>
      <c r="HFU116" s="0"/>
      <c r="HFV116" s="0"/>
      <c r="HFW116" s="0"/>
      <c r="HFX116" s="0"/>
      <c r="HFY116" s="0"/>
      <c r="HFZ116" s="0"/>
      <c r="HGA116" s="0"/>
      <c r="HGB116" s="0"/>
      <c r="HGC116" s="0"/>
      <c r="HGD116" s="0"/>
      <c r="HGE116" s="0"/>
      <c r="HGF116" s="0"/>
      <c r="HGG116" s="0"/>
      <c r="HGH116" s="0"/>
      <c r="HGI116" s="0"/>
      <c r="HGJ116" s="0"/>
      <c r="HGK116" s="0"/>
      <c r="HGL116" s="0"/>
      <c r="HGM116" s="0"/>
      <c r="HGN116" s="0"/>
      <c r="HGO116" s="0"/>
      <c r="HGP116" s="0"/>
      <c r="HGQ116" s="0"/>
      <c r="HGR116" s="0"/>
      <c r="HGS116" s="0"/>
      <c r="HGT116" s="0"/>
      <c r="HGU116" s="0"/>
      <c r="HGV116" s="0"/>
      <c r="HGW116" s="0"/>
      <c r="HGX116" s="0"/>
      <c r="HGY116" s="0"/>
      <c r="HGZ116" s="0"/>
      <c r="HHA116" s="0"/>
      <c r="HHB116" s="0"/>
      <c r="HHC116" s="0"/>
      <c r="HHD116" s="0"/>
      <c r="HHE116" s="0"/>
      <c r="HHF116" s="0"/>
      <c r="HHG116" s="0"/>
      <c r="HHH116" s="0"/>
      <c r="HHI116" s="0"/>
      <c r="HHJ116" s="0"/>
      <c r="HHK116" s="0"/>
      <c r="HHL116" s="0"/>
      <c r="HHM116" s="0"/>
      <c r="HHN116" s="0"/>
      <c r="HHO116" s="0"/>
      <c r="HHP116" s="0"/>
      <c r="HHQ116" s="0"/>
      <c r="HHR116" s="0"/>
      <c r="HHS116" s="0"/>
      <c r="HHT116" s="0"/>
      <c r="HHU116" s="0"/>
      <c r="HHV116" s="0"/>
      <c r="HHW116" s="0"/>
      <c r="HHX116" s="0"/>
      <c r="HHY116" s="0"/>
      <c r="HHZ116" s="0"/>
      <c r="HIA116" s="0"/>
      <c r="HIB116" s="0"/>
      <c r="HIC116" s="0"/>
      <c r="HID116" s="0"/>
      <c r="HIE116" s="0"/>
      <c r="HIF116" s="0"/>
      <c r="HIG116" s="0"/>
      <c r="HIH116" s="0"/>
      <c r="HII116" s="0"/>
      <c r="HIJ116" s="0"/>
      <c r="HIK116" s="0"/>
      <c r="HIL116" s="0"/>
      <c r="HIM116" s="0"/>
      <c r="HIN116" s="0"/>
      <c r="HIO116" s="0"/>
      <c r="HIP116" s="0"/>
      <c r="HIQ116" s="0"/>
      <c r="HIR116" s="0"/>
      <c r="HIS116" s="0"/>
      <c r="HIT116" s="0"/>
      <c r="HIU116" s="0"/>
      <c r="HIV116" s="0"/>
      <c r="HIW116" s="0"/>
      <c r="HIX116" s="0"/>
      <c r="HIY116" s="0"/>
      <c r="HIZ116" s="0"/>
      <c r="HJA116" s="0"/>
      <c r="HJB116" s="0"/>
      <c r="HJC116" s="0"/>
      <c r="HJD116" s="0"/>
      <c r="HJE116" s="0"/>
      <c r="HJF116" s="0"/>
      <c r="HJG116" s="0"/>
      <c r="HJH116" s="0"/>
      <c r="HJI116" s="0"/>
      <c r="HJJ116" s="0"/>
      <c r="HJK116" s="0"/>
      <c r="HJL116" s="0"/>
      <c r="HJM116" s="0"/>
      <c r="HJN116" s="0"/>
      <c r="HJO116" s="0"/>
      <c r="HJP116" s="0"/>
      <c r="HJQ116" s="0"/>
      <c r="HJR116" s="0"/>
      <c r="HJS116" s="0"/>
      <c r="HJT116" s="0"/>
      <c r="HJU116" s="0"/>
      <c r="HJV116" s="0"/>
      <c r="HJW116" s="0"/>
      <c r="HJX116" s="0"/>
      <c r="HJY116" s="0"/>
      <c r="HJZ116" s="0"/>
      <c r="HKA116" s="0"/>
      <c r="HKB116" s="0"/>
      <c r="HKC116" s="0"/>
      <c r="HKD116" s="0"/>
      <c r="HKE116" s="0"/>
      <c r="HKF116" s="0"/>
      <c r="HKG116" s="0"/>
      <c r="HKH116" s="0"/>
      <c r="HKI116" s="0"/>
      <c r="HKJ116" s="0"/>
      <c r="HKK116" s="0"/>
      <c r="HKL116" s="0"/>
      <c r="HKM116" s="0"/>
      <c r="HKN116" s="0"/>
      <c r="HKO116" s="0"/>
      <c r="HKP116" s="0"/>
      <c r="HKQ116" s="0"/>
      <c r="HKR116" s="0"/>
      <c r="HKS116" s="0"/>
      <c r="HKT116" s="0"/>
      <c r="HKU116" s="0"/>
      <c r="HKV116" s="0"/>
      <c r="HKW116" s="0"/>
      <c r="HKX116" s="0"/>
      <c r="HKY116" s="0"/>
      <c r="HKZ116" s="0"/>
      <c r="HLA116" s="0"/>
      <c r="HLB116" s="0"/>
      <c r="HLC116" s="0"/>
      <c r="HLD116" s="0"/>
      <c r="HLE116" s="0"/>
      <c r="HLF116" s="0"/>
      <c r="HLG116" s="0"/>
      <c r="HLH116" s="0"/>
      <c r="HLI116" s="0"/>
      <c r="HLJ116" s="0"/>
      <c r="HLK116" s="0"/>
      <c r="HLL116" s="0"/>
      <c r="HLM116" s="0"/>
      <c r="HLN116" s="0"/>
      <c r="HLO116" s="0"/>
      <c r="HLP116" s="0"/>
      <c r="HLQ116" s="0"/>
      <c r="HLR116" s="0"/>
      <c r="HLS116" s="0"/>
      <c r="HLT116" s="0"/>
      <c r="HLU116" s="0"/>
      <c r="HLV116" s="0"/>
      <c r="HLW116" s="0"/>
      <c r="HLX116" s="0"/>
      <c r="HLY116" s="0"/>
      <c r="HLZ116" s="0"/>
      <c r="HMA116" s="0"/>
      <c r="HMB116" s="0"/>
      <c r="HMC116" s="0"/>
      <c r="HMD116" s="0"/>
      <c r="HME116" s="0"/>
      <c r="HMF116" s="0"/>
      <c r="HMG116" s="0"/>
      <c r="HMH116" s="0"/>
      <c r="HMI116" s="0"/>
      <c r="HMJ116" s="0"/>
      <c r="HMK116" s="0"/>
      <c r="HML116" s="0"/>
      <c r="HMM116" s="0"/>
      <c r="HMN116" s="0"/>
      <c r="HMO116" s="0"/>
      <c r="HMP116" s="0"/>
      <c r="HMQ116" s="0"/>
      <c r="HMR116" s="0"/>
      <c r="HMS116" s="0"/>
      <c r="HMT116" s="0"/>
      <c r="HMU116" s="0"/>
      <c r="HMV116" s="0"/>
      <c r="HMW116" s="0"/>
      <c r="HMX116" s="0"/>
      <c r="HMY116" s="0"/>
      <c r="HMZ116" s="0"/>
      <c r="HNA116" s="0"/>
      <c r="HNB116" s="0"/>
      <c r="HNC116" s="0"/>
      <c r="HND116" s="0"/>
      <c r="HNE116" s="0"/>
      <c r="HNF116" s="0"/>
      <c r="HNG116" s="0"/>
      <c r="HNH116" s="0"/>
      <c r="HNI116" s="0"/>
      <c r="HNJ116" s="0"/>
      <c r="HNK116" s="0"/>
      <c r="HNL116" s="0"/>
      <c r="HNM116" s="0"/>
      <c r="HNN116" s="0"/>
      <c r="HNO116" s="0"/>
      <c r="HNP116" s="0"/>
      <c r="HNQ116" s="0"/>
      <c r="HNR116" s="0"/>
      <c r="HNS116" s="0"/>
      <c r="HNT116" s="0"/>
      <c r="HNU116" s="0"/>
      <c r="HNV116" s="0"/>
      <c r="HNW116" s="0"/>
      <c r="HNX116" s="0"/>
      <c r="HNY116" s="0"/>
      <c r="HNZ116" s="0"/>
      <c r="HOA116" s="0"/>
      <c r="HOB116" s="0"/>
      <c r="HOC116" s="0"/>
      <c r="HOD116" s="0"/>
      <c r="HOE116" s="0"/>
      <c r="HOF116" s="0"/>
      <c r="HOG116" s="0"/>
      <c r="HOH116" s="0"/>
      <c r="HOI116" s="0"/>
      <c r="HOJ116" s="0"/>
      <c r="HOK116" s="0"/>
      <c r="HOL116" s="0"/>
      <c r="HOM116" s="0"/>
      <c r="HON116" s="0"/>
      <c r="HOO116" s="0"/>
      <c r="HOP116" s="0"/>
      <c r="HOQ116" s="0"/>
      <c r="HOR116" s="0"/>
      <c r="HOS116" s="0"/>
      <c r="HOT116" s="0"/>
      <c r="HOU116" s="0"/>
      <c r="HOV116" s="0"/>
      <c r="HOW116" s="0"/>
      <c r="HOX116" s="0"/>
      <c r="HOY116" s="0"/>
      <c r="HOZ116" s="0"/>
      <c r="HPA116" s="0"/>
      <c r="HPB116" s="0"/>
      <c r="HPC116" s="0"/>
      <c r="HPD116" s="0"/>
      <c r="HPE116" s="0"/>
      <c r="HPF116" s="0"/>
      <c r="HPG116" s="0"/>
      <c r="HPH116" s="0"/>
      <c r="HPI116" s="0"/>
      <c r="HPJ116" s="0"/>
      <c r="HPK116" s="0"/>
      <c r="HPL116" s="0"/>
      <c r="HPM116" s="0"/>
      <c r="HPN116" s="0"/>
      <c r="HPO116" s="0"/>
      <c r="HPP116" s="0"/>
      <c r="HPQ116" s="0"/>
      <c r="HPR116" s="0"/>
      <c r="HPS116" s="0"/>
      <c r="HPT116" s="0"/>
      <c r="HPU116" s="0"/>
      <c r="HPV116" s="0"/>
      <c r="HPW116" s="0"/>
      <c r="HPX116" s="0"/>
      <c r="HPY116" s="0"/>
      <c r="HPZ116" s="0"/>
      <c r="HQA116" s="0"/>
      <c r="HQB116" s="0"/>
      <c r="HQC116" s="0"/>
      <c r="HQD116" s="0"/>
      <c r="HQE116" s="0"/>
      <c r="HQF116" s="0"/>
      <c r="HQG116" s="0"/>
      <c r="HQH116" s="0"/>
      <c r="HQI116" s="0"/>
      <c r="HQJ116" s="0"/>
      <c r="HQK116" s="0"/>
      <c r="HQL116" s="0"/>
      <c r="HQM116" s="0"/>
      <c r="HQN116" s="0"/>
      <c r="HQO116" s="0"/>
      <c r="HQP116" s="0"/>
      <c r="HQQ116" s="0"/>
      <c r="HQR116" s="0"/>
      <c r="HQS116" s="0"/>
      <c r="HQT116" s="0"/>
      <c r="HQU116" s="0"/>
      <c r="HQV116" s="0"/>
      <c r="HQW116" s="0"/>
      <c r="HQX116" s="0"/>
      <c r="HQY116" s="0"/>
      <c r="HQZ116" s="0"/>
      <c r="HRA116" s="0"/>
      <c r="HRB116" s="0"/>
      <c r="HRC116" s="0"/>
      <c r="HRD116" s="0"/>
      <c r="HRE116" s="0"/>
      <c r="HRF116" s="0"/>
      <c r="HRG116" s="0"/>
      <c r="HRH116" s="0"/>
      <c r="HRI116" s="0"/>
      <c r="HRJ116" s="0"/>
      <c r="HRK116" s="0"/>
      <c r="HRL116" s="0"/>
      <c r="HRM116" s="0"/>
      <c r="HRN116" s="0"/>
      <c r="HRO116" s="0"/>
      <c r="HRP116" s="0"/>
      <c r="HRQ116" s="0"/>
      <c r="HRR116" s="0"/>
      <c r="HRS116" s="0"/>
      <c r="HRT116" s="0"/>
      <c r="HRU116" s="0"/>
      <c r="HRV116" s="0"/>
      <c r="HRW116" s="0"/>
      <c r="HRX116" s="0"/>
      <c r="HRY116" s="0"/>
      <c r="HRZ116" s="0"/>
      <c r="HSA116" s="0"/>
      <c r="HSB116" s="0"/>
      <c r="HSC116" s="0"/>
      <c r="HSD116" s="0"/>
      <c r="HSE116" s="0"/>
      <c r="HSF116" s="0"/>
      <c r="HSG116" s="0"/>
      <c r="HSH116" s="0"/>
      <c r="HSI116" s="0"/>
      <c r="HSJ116" s="0"/>
      <c r="HSK116" s="0"/>
      <c r="HSL116" s="0"/>
      <c r="HSM116" s="0"/>
      <c r="HSN116" s="0"/>
      <c r="HSO116" s="0"/>
      <c r="HSP116" s="0"/>
      <c r="HSQ116" s="0"/>
      <c r="HSR116" s="0"/>
      <c r="HSS116" s="0"/>
      <c r="HST116" s="0"/>
      <c r="HSU116" s="0"/>
      <c r="HSV116" s="0"/>
      <c r="HSW116" s="0"/>
      <c r="HSX116" s="0"/>
      <c r="HSY116" s="0"/>
      <c r="HSZ116" s="0"/>
      <c r="HTA116" s="0"/>
      <c r="HTB116" s="0"/>
      <c r="HTC116" s="0"/>
      <c r="HTD116" s="0"/>
      <c r="HTE116" s="0"/>
      <c r="HTF116" s="0"/>
      <c r="HTG116" s="0"/>
      <c r="HTH116" s="0"/>
      <c r="HTI116" s="0"/>
      <c r="HTJ116" s="0"/>
      <c r="HTK116" s="0"/>
      <c r="HTL116" s="0"/>
      <c r="HTM116" s="0"/>
      <c r="HTN116" s="0"/>
      <c r="HTO116" s="0"/>
      <c r="HTP116" s="0"/>
      <c r="HTQ116" s="0"/>
      <c r="HTR116" s="0"/>
      <c r="HTS116" s="0"/>
      <c r="HTT116" s="0"/>
      <c r="HTU116" s="0"/>
      <c r="HTV116" s="0"/>
      <c r="HTW116" s="0"/>
      <c r="HTX116" s="0"/>
      <c r="HTY116" s="0"/>
      <c r="HTZ116" s="0"/>
      <c r="HUA116" s="0"/>
      <c r="HUB116" s="0"/>
      <c r="HUC116" s="0"/>
      <c r="HUD116" s="0"/>
      <c r="HUE116" s="0"/>
      <c r="HUF116" s="0"/>
      <c r="HUG116" s="0"/>
      <c r="HUH116" s="0"/>
      <c r="HUI116" s="0"/>
      <c r="HUJ116" s="0"/>
      <c r="HUK116" s="0"/>
      <c r="HUL116" s="0"/>
      <c r="HUM116" s="0"/>
      <c r="HUN116" s="0"/>
      <c r="HUO116" s="0"/>
      <c r="HUP116" s="0"/>
      <c r="HUQ116" s="0"/>
      <c r="HUR116" s="0"/>
      <c r="HUS116" s="0"/>
      <c r="HUT116" s="0"/>
      <c r="HUU116" s="0"/>
      <c r="HUV116" s="0"/>
      <c r="HUW116" s="0"/>
      <c r="HUX116" s="0"/>
      <c r="HUY116" s="0"/>
      <c r="HUZ116" s="0"/>
      <c r="HVA116" s="0"/>
      <c r="HVB116" s="0"/>
      <c r="HVC116" s="0"/>
      <c r="HVD116" s="0"/>
      <c r="HVE116" s="0"/>
      <c r="HVF116" s="0"/>
      <c r="HVG116" s="0"/>
      <c r="HVH116" s="0"/>
      <c r="HVI116" s="0"/>
      <c r="HVJ116" s="0"/>
      <c r="HVK116" s="0"/>
      <c r="HVL116" s="0"/>
      <c r="HVM116" s="0"/>
      <c r="HVN116" s="0"/>
      <c r="HVO116" s="0"/>
      <c r="HVP116" s="0"/>
      <c r="HVQ116" s="0"/>
      <c r="HVR116" s="0"/>
      <c r="HVS116" s="0"/>
      <c r="HVT116" s="0"/>
      <c r="HVU116" s="0"/>
      <c r="HVV116" s="0"/>
      <c r="HVW116" s="0"/>
      <c r="HVX116" s="0"/>
      <c r="HVY116" s="0"/>
      <c r="HVZ116" s="0"/>
      <c r="HWA116" s="0"/>
      <c r="HWB116" s="0"/>
      <c r="HWC116" s="0"/>
      <c r="HWD116" s="0"/>
      <c r="HWE116" s="0"/>
      <c r="HWF116" s="0"/>
      <c r="HWG116" s="0"/>
      <c r="HWH116" s="0"/>
      <c r="HWI116" s="0"/>
      <c r="HWJ116" s="0"/>
      <c r="HWK116" s="0"/>
      <c r="HWL116" s="0"/>
      <c r="HWM116" s="0"/>
      <c r="HWN116" s="0"/>
      <c r="HWO116" s="0"/>
      <c r="HWP116" s="0"/>
      <c r="HWQ116" s="0"/>
      <c r="HWR116" s="0"/>
      <c r="HWS116" s="0"/>
      <c r="HWT116" s="0"/>
      <c r="HWU116" s="0"/>
      <c r="HWV116" s="0"/>
      <c r="HWW116" s="0"/>
      <c r="HWX116" s="0"/>
      <c r="HWY116" s="0"/>
      <c r="HWZ116" s="0"/>
      <c r="HXA116" s="0"/>
      <c r="HXB116" s="0"/>
      <c r="HXC116" s="0"/>
      <c r="HXD116" s="0"/>
      <c r="HXE116" s="0"/>
      <c r="HXF116" s="0"/>
      <c r="HXG116" s="0"/>
      <c r="HXH116" s="0"/>
      <c r="HXI116" s="0"/>
      <c r="HXJ116" s="0"/>
      <c r="HXK116" s="0"/>
      <c r="HXL116" s="0"/>
      <c r="HXM116" s="0"/>
      <c r="HXN116" s="0"/>
      <c r="HXO116" s="0"/>
      <c r="HXP116" s="0"/>
      <c r="HXQ116" s="0"/>
      <c r="HXR116" s="0"/>
      <c r="HXS116" s="0"/>
      <c r="HXT116" s="0"/>
      <c r="HXU116" s="0"/>
      <c r="HXV116" s="0"/>
      <c r="HXW116" s="0"/>
      <c r="HXX116" s="0"/>
      <c r="HXY116" s="0"/>
      <c r="HXZ116" s="0"/>
      <c r="HYA116" s="0"/>
      <c r="HYB116" s="0"/>
      <c r="HYC116" s="0"/>
      <c r="HYD116" s="0"/>
      <c r="HYE116" s="0"/>
      <c r="HYF116" s="0"/>
      <c r="HYG116" s="0"/>
      <c r="HYH116" s="0"/>
      <c r="HYI116" s="0"/>
      <c r="HYJ116" s="0"/>
      <c r="HYK116" s="0"/>
      <c r="HYL116" s="0"/>
      <c r="HYM116" s="0"/>
      <c r="HYN116" s="0"/>
      <c r="HYO116" s="0"/>
      <c r="HYP116" s="0"/>
      <c r="HYQ116" s="0"/>
      <c r="HYR116" s="0"/>
      <c r="HYS116" s="0"/>
      <c r="HYT116" s="0"/>
      <c r="HYU116" s="0"/>
      <c r="HYV116" s="0"/>
      <c r="HYW116" s="0"/>
      <c r="HYX116" s="0"/>
      <c r="HYY116" s="0"/>
      <c r="HYZ116" s="0"/>
      <c r="HZA116" s="0"/>
      <c r="HZB116" s="0"/>
      <c r="HZC116" s="0"/>
      <c r="HZD116" s="0"/>
      <c r="HZE116" s="0"/>
      <c r="HZF116" s="0"/>
      <c r="HZG116" s="0"/>
      <c r="HZH116" s="0"/>
      <c r="HZI116" s="0"/>
      <c r="HZJ116" s="0"/>
      <c r="HZK116" s="0"/>
      <c r="HZL116" s="0"/>
      <c r="HZM116" s="0"/>
      <c r="HZN116" s="0"/>
      <c r="HZO116" s="0"/>
      <c r="HZP116" s="0"/>
      <c r="HZQ116" s="0"/>
      <c r="HZR116" s="0"/>
      <c r="HZS116" s="0"/>
      <c r="HZT116" s="0"/>
      <c r="HZU116" s="0"/>
      <c r="HZV116" s="0"/>
      <c r="HZW116" s="0"/>
      <c r="HZX116" s="0"/>
      <c r="HZY116" s="0"/>
      <c r="HZZ116" s="0"/>
      <c r="IAA116" s="0"/>
      <c r="IAB116" s="0"/>
      <c r="IAC116" s="0"/>
      <c r="IAD116" s="0"/>
      <c r="IAE116" s="0"/>
      <c r="IAF116" s="0"/>
      <c r="IAG116" s="0"/>
      <c r="IAH116" s="0"/>
      <c r="IAI116" s="0"/>
      <c r="IAJ116" s="0"/>
      <c r="IAK116" s="0"/>
      <c r="IAL116" s="0"/>
      <c r="IAM116" s="0"/>
      <c r="IAN116" s="0"/>
      <c r="IAO116" s="0"/>
      <c r="IAP116" s="0"/>
      <c r="IAQ116" s="0"/>
      <c r="IAR116" s="0"/>
      <c r="IAS116" s="0"/>
      <c r="IAT116" s="0"/>
      <c r="IAU116" s="0"/>
      <c r="IAV116" s="0"/>
      <c r="IAW116" s="0"/>
      <c r="IAX116" s="0"/>
      <c r="IAY116" s="0"/>
      <c r="IAZ116" s="0"/>
      <c r="IBA116" s="0"/>
      <c r="IBB116" s="0"/>
      <c r="IBC116" s="0"/>
      <c r="IBD116" s="0"/>
      <c r="IBE116" s="0"/>
      <c r="IBF116" s="0"/>
      <c r="IBG116" s="0"/>
      <c r="IBH116" s="0"/>
      <c r="IBI116" s="0"/>
      <c r="IBJ116" s="0"/>
      <c r="IBK116" s="0"/>
      <c r="IBL116" s="0"/>
      <c r="IBM116" s="0"/>
      <c r="IBN116" s="0"/>
      <c r="IBO116" s="0"/>
      <c r="IBP116" s="0"/>
      <c r="IBQ116" s="0"/>
      <c r="IBR116" s="0"/>
      <c r="IBS116" s="0"/>
      <c r="IBT116" s="0"/>
      <c r="IBU116" s="0"/>
      <c r="IBV116" s="0"/>
      <c r="IBW116" s="0"/>
      <c r="IBX116" s="0"/>
      <c r="IBY116" s="0"/>
      <c r="IBZ116" s="0"/>
      <c r="ICA116" s="0"/>
      <c r="ICB116" s="0"/>
      <c r="ICC116" s="0"/>
      <c r="ICD116" s="0"/>
      <c r="ICE116" s="0"/>
      <c r="ICF116" s="0"/>
      <c r="ICG116" s="0"/>
      <c r="ICH116" s="0"/>
      <c r="ICI116" s="0"/>
      <c r="ICJ116" s="0"/>
      <c r="ICK116" s="0"/>
      <c r="ICL116" s="0"/>
      <c r="ICM116" s="0"/>
      <c r="ICN116" s="0"/>
      <c r="ICO116" s="0"/>
      <c r="ICP116" s="0"/>
      <c r="ICQ116" s="0"/>
      <c r="ICR116" s="0"/>
      <c r="ICS116" s="0"/>
      <c r="ICT116" s="0"/>
      <c r="ICU116" s="0"/>
      <c r="ICV116" s="0"/>
      <c r="ICW116" s="0"/>
      <c r="ICX116" s="0"/>
      <c r="ICY116" s="0"/>
      <c r="ICZ116" s="0"/>
      <c r="IDA116" s="0"/>
      <c r="IDB116" s="0"/>
      <c r="IDC116" s="0"/>
      <c r="IDD116" s="0"/>
      <c r="IDE116" s="0"/>
      <c r="IDF116" s="0"/>
      <c r="IDG116" s="0"/>
      <c r="IDH116" s="0"/>
      <c r="IDI116" s="0"/>
      <c r="IDJ116" s="0"/>
      <c r="IDK116" s="0"/>
      <c r="IDL116" s="0"/>
      <c r="IDM116" s="0"/>
      <c r="IDN116" s="0"/>
      <c r="IDO116" s="0"/>
      <c r="IDP116" s="0"/>
      <c r="IDQ116" s="0"/>
      <c r="IDR116" s="0"/>
      <c r="IDS116" s="0"/>
      <c r="IDT116" s="0"/>
      <c r="IDU116" s="0"/>
      <c r="IDV116" s="0"/>
      <c r="IDW116" s="0"/>
      <c r="IDX116" s="0"/>
      <c r="IDY116" s="0"/>
      <c r="IDZ116" s="0"/>
      <c r="IEA116" s="0"/>
      <c r="IEB116" s="0"/>
      <c r="IEC116" s="0"/>
      <c r="IED116" s="0"/>
      <c r="IEE116" s="0"/>
      <c r="IEF116" s="0"/>
      <c r="IEG116" s="0"/>
      <c r="IEH116" s="0"/>
      <c r="IEI116" s="0"/>
      <c r="IEJ116" s="0"/>
      <c r="IEK116" s="0"/>
      <c r="IEL116" s="0"/>
      <c r="IEM116" s="0"/>
      <c r="IEN116" s="0"/>
      <c r="IEO116" s="0"/>
      <c r="IEP116" s="0"/>
      <c r="IEQ116" s="0"/>
      <c r="IER116" s="0"/>
      <c r="IES116" s="0"/>
      <c r="IET116" s="0"/>
      <c r="IEU116" s="0"/>
      <c r="IEV116" s="0"/>
      <c r="IEW116" s="0"/>
      <c r="IEX116" s="0"/>
      <c r="IEY116" s="0"/>
      <c r="IEZ116" s="0"/>
      <c r="IFA116" s="0"/>
      <c r="IFB116" s="0"/>
      <c r="IFC116" s="0"/>
      <c r="IFD116" s="0"/>
      <c r="IFE116" s="0"/>
      <c r="IFF116" s="0"/>
      <c r="IFG116" s="0"/>
      <c r="IFH116" s="0"/>
      <c r="IFI116" s="0"/>
      <c r="IFJ116" s="0"/>
      <c r="IFK116" s="0"/>
      <c r="IFL116" s="0"/>
      <c r="IFM116" s="0"/>
      <c r="IFN116" s="0"/>
      <c r="IFO116" s="0"/>
      <c r="IFP116" s="0"/>
      <c r="IFQ116" s="0"/>
      <c r="IFR116" s="0"/>
      <c r="IFS116" s="0"/>
      <c r="IFT116" s="0"/>
      <c r="IFU116" s="0"/>
      <c r="IFV116" s="0"/>
      <c r="IFW116" s="0"/>
      <c r="IFX116" s="0"/>
      <c r="IFY116" s="0"/>
      <c r="IFZ116" s="0"/>
      <c r="IGA116" s="0"/>
      <c r="IGB116" s="0"/>
      <c r="IGC116" s="0"/>
      <c r="IGD116" s="0"/>
      <c r="IGE116" s="0"/>
      <c r="IGF116" s="0"/>
      <c r="IGG116" s="0"/>
      <c r="IGH116" s="0"/>
      <c r="IGI116" s="0"/>
      <c r="IGJ116" s="0"/>
      <c r="IGK116" s="0"/>
      <c r="IGL116" s="0"/>
      <c r="IGM116" s="0"/>
      <c r="IGN116" s="0"/>
      <c r="IGO116" s="0"/>
      <c r="IGP116" s="0"/>
      <c r="IGQ116" s="0"/>
      <c r="IGR116" s="0"/>
      <c r="IGS116" s="0"/>
      <c r="IGT116" s="0"/>
      <c r="IGU116" s="0"/>
      <c r="IGV116" s="0"/>
      <c r="IGW116" s="0"/>
      <c r="IGX116" s="0"/>
      <c r="IGY116" s="0"/>
      <c r="IGZ116" s="0"/>
      <c r="IHA116" s="0"/>
      <c r="IHB116" s="0"/>
      <c r="IHC116" s="0"/>
      <c r="IHD116" s="0"/>
      <c r="IHE116" s="0"/>
      <c r="IHF116" s="0"/>
      <c r="IHG116" s="0"/>
      <c r="IHH116" s="0"/>
      <c r="IHI116" s="0"/>
      <c r="IHJ116" s="0"/>
      <c r="IHK116" s="0"/>
      <c r="IHL116" s="0"/>
      <c r="IHM116" s="0"/>
      <c r="IHN116" s="0"/>
      <c r="IHO116" s="0"/>
      <c r="IHP116" s="0"/>
      <c r="IHQ116" s="0"/>
      <c r="IHR116" s="0"/>
      <c r="IHS116" s="0"/>
      <c r="IHT116" s="0"/>
      <c r="IHU116" s="0"/>
      <c r="IHV116" s="0"/>
      <c r="IHW116" s="0"/>
      <c r="IHX116" s="0"/>
      <c r="IHY116" s="0"/>
      <c r="IHZ116" s="0"/>
      <c r="IIA116" s="0"/>
      <c r="IIB116" s="0"/>
      <c r="IIC116" s="0"/>
      <c r="IID116" s="0"/>
      <c r="IIE116" s="0"/>
      <c r="IIF116" s="0"/>
      <c r="IIG116" s="0"/>
      <c r="IIH116" s="0"/>
      <c r="III116" s="0"/>
      <c r="IIJ116" s="0"/>
      <c r="IIK116" s="0"/>
      <c r="IIL116" s="0"/>
      <c r="IIM116" s="0"/>
      <c r="IIN116" s="0"/>
      <c r="IIO116" s="0"/>
      <c r="IIP116" s="0"/>
      <c r="IIQ116" s="0"/>
      <c r="IIR116" s="0"/>
      <c r="IIS116" s="0"/>
      <c r="IIT116" s="0"/>
      <c r="IIU116" s="0"/>
      <c r="IIV116" s="0"/>
      <c r="IIW116" s="0"/>
      <c r="IIX116" s="0"/>
      <c r="IIY116" s="0"/>
      <c r="IIZ116" s="0"/>
      <c r="IJA116" s="0"/>
      <c r="IJB116" s="0"/>
      <c r="IJC116" s="0"/>
      <c r="IJD116" s="0"/>
      <c r="IJE116" s="0"/>
      <c r="IJF116" s="0"/>
      <c r="IJG116" s="0"/>
      <c r="IJH116" s="0"/>
      <c r="IJI116" s="0"/>
      <c r="IJJ116" s="0"/>
      <c r="IJK116" s="0"/>
      <c r="IJL116" s="0"/>
      <c r="IJM116" s="0"/>
      <c r="IJN116" s="0"/>
      <c r="IJO116" s="0"/>
      <c r="IJP116" s="0"/>
      <c r="IJQ116" s="0"/>
      <c r="IJR116" s="0"/>
      <c r="IJS116" s="0"/>
      <c r="IJT116" s="0"/>
      <c r="IJU116" s="0"/>
      <c r="IJV116" s="0"/>
      <c r="IJW116" s="0"/>
      <c r="IJX116" s="0"/>
      <c r="IJY116" s="0"/>
      <c r="IJZ116" s="0"/>
      <c r="IKA116" s="0"/>
      <c r="IKB116" s="0"/>
      <c r="IKC116" s="0"/>
      <c r="IKD116" s="0"/>
      <c r="IKE116" s="0"/>
      <c r="IKF116" s="0"/>
      <c r="IKG116" s="0"/>
      <c r="IKH116" s="0"/>
      <c r="IKI116" s="0"/>
      <c r="IKJ116" s="0"/>
      <c r="IKK116" s="0"/>
      <c r="IKL116" s="0"/>
      <c r="IKM116" s="0"/>
      <c r="IKN116" s="0"/>
      <c r="IKO116" s="0"/>
      <c r="IKP116" s="0"/>
      <c r="IKQ116" s="0"/>
      <c r="IKR116" s="0"/>
      <c r="IKS116" s="0"/>
      <c r="IKT116" s="0"/>
      <c r="IKU116" s="0"/>
      <c r="IKV116" s="0"/>
      <c r="IKW116" s="0"/>
      <c r="IKX116" s="0"/>
      <c r="IKY116" s="0"/>
      <c r="IKZ116" s="0"/>
      <c r="ILA116" s="0"/>
      <c r="ILB116" s="0"/>
      <c r="ILC116" s="0"/>
      <c r="ILD116" s="0"/>
      <c r="ILE116" s="0"/>
      <c r="ILF116" s="0"/>
      <c r="ILG116" s="0"/>
      <c r="ILH116" s="0"/>
      <c r="ILI116" s="0"/>
      <c r="ILJ116" s="0"/>
      <c r="ILK116" s="0"/>
      <c r="ILL116" s="0"/>
      <c r="ILM116" s="0"/>
      <c r="ILN116" s="0"/>
      <c r="ILO116" s="0"/>
      <c r="ILP116" s="0"/>
      <c r="ILQ116" s="0"/>
      <c r="ILR116" s="0"/>
      <c r="ILS116" s="0"/>
      <c r="ILT116" s="0"/>
      <c r="ILU116" s="0"/>
      <c r="ILV116" s="0"/>
      <c r="ILW116" s="0"/>
      <c r="ILX116" s="0"/>
      <c r="ILY116" s="0"/>
      <c r="ILZ116" s="0"/>
      <c r="IMA116" s="0"/>
      <c r="IMB116" s="0"/>
      <c r="IMC116" s="0"/>
      <c r="IMD116" s="0"/>
      <c r="IME116" s="0"/>
      <c r="IMF116" s="0"/>
      <c r="IMG116" s="0"/>
      <c r="IMH116" s="0"/>
      <c r="IMI116" s="0"/>
      <c r="IMJ116" s="0"/>
      <c r="IMK116" s="0"/>
      <c r="IML116" s="0"/>
      <c r="IMM116" s="0"/>
      <c r="IMN116" s="0"/>
      <c r="IMO116" s="0"/>
      <c r="IMP116" s="0"/>
      <c r="IMQ116" s="0"/>
      <c r="IMR116" s="0"/>
      <c r="IMS116" s="0"/>
      <c r="IMT116" s="0"/>
      <c r="IMU116" s="0"/>
      <c r="IMV116" s="0"/>
      <c r="IMW116" s="0"/>
      <c r="IMX116" s="0"/>
      <c r="IMY116" s="0"/>
      <c r="IMZ116" s="0"/>
      <c r="INA116" s="0"/>
      <c r="INB116" s="0"/>
      <c r="INC116" s="0"/>
      <c r="IND116" s="0"/>
      <c r="INE116" s="0"/>
      <c r="INF116" s="0"/>
      <c r="ING116" s="0"/>
      <c r="INH116" s="0"/>
      <c r="INI116" s="0"/>
      <c r="INJ116" s="0"/>
      <c r="INK116" s="0"/>
      <c r="INL116" s="0"/>
      <c r="INM116" s="0"/>
      <c r="INN116" s="0"/>
      <c r="INO116" s="0"/>
      <c r="INP116" s="0"/>
      <c r="INQ116" s="0"/>
      <c r="INR116" s="0"/>
      <c r="INS116" s="0"/>
      <c r="INT116" s="0"/>
      <c r="INU116" s="0"/>
      <c r="INV116" s="0"/>
      <c r="INW116" s="0"/>
      <c r="INX116" s="0"/>
      <c r="INY116" s="0"/>
      <c r="INZ116" s="0"/>
      <c r="IOA116" s="0"/>
      <c r="IOB116" s="0"/>
      <c r="IOC116" s="0"/>
      <c r="IOD116" s="0"/>
      <c r="IOE116" s="0"/>
      <c r="IOF116" s="0"/>
      <c r="IOG116" s="0"/>
      <c r="IOH116" s="0"/>
      <c r="IOI116" s="0"/>
      <c r="IOJ116" s="0"/>
      <c r="IOK116" s="0"/>
      <c r="IOL116" s="0"/>
      <c r="IOM116" s="0"/>
      <c r="ION116" s="0"/>
      <c r="IOO116" s="0"/>
      <c r="IOP116" s="0"/>
      <c r="IOQ116" s="0"/>
      <c r="IOR116" s="0"/>
      <c r="IOS116" s="0"/>
      <c r="IOT116" s="0"/>
      <c r="IOU116" s="0"/>
      <c r="IOV116" s="0"/>
      <c r="IOW116" s="0"/>
      <c r="IOX116" s="0"/>
      <c r="IOY116" s="0"/>
      <c r="IOZ116" s="0"/>
      <c r="IPA116" s="0"/>
      <c r="IPB116" s="0"/>
      <c r="IPC116" s="0"/>
      <c r="IPD116" s="0"/>
      <c r="IPE116" s="0"/>
      <c r="IPF116" s="0"/>
      <c r="IPG116" s="0"/>
      <c r="IPH116" s="0"/>
      <c r="IPI116" s="0"/>
      <c r="IPJ116" s="0"/>
      <c r="IPK116" s="0"/>
      <c r="IPL116" s="0"/>
      <c r="IPM116" s="0"/>
      <c r="IPN116" s="0"/>
      <c r="IPO116" s="0"/>
      <c r="IPP116" s="0"/>
      <c r="IPQ116" s="0"/>
      <c r="IPR116" s="0"/>
      <c r="IPS116" s="0"/>
      <c r="IPT116" s="0"/>
      <c r="IPU116" s="0"/>
      <c r="IPV116" s="0"/>
      <c r="IPW116" s="0"/>
      <c r="IPX116" s="0"/>
      <c r="IPY116" s="0"/>
      <c r="IPZ116" s="0"/>
      <c r="IQA116" s="0"/>
      <c r="IQB116" s="0"/>
      <c r="IQC116" s="0"/>
      <c r="IQD116" s="0"/>
      <c r="IQE116" s="0"/>
      <c r="IQF116" s="0"/>
      <c r="IQG116" s="0"/>
      <c r="IQH116" s="0"/>
      <c r="IQI116" s="0"/>
      <c r="IQJ116" s="0"/>
      <c r="IQK116" s="0"/>
      <c r="IQL116" s="0"/>
      <c r="IQM116" s="0"/>
      <c r="IQN116" s="0"/>
      <c r="IQO116" s="0"/>
      <c r="IQP116" s="0"/>
      <c r="IQQ116" s="0"/>
      <c r="IQR116" s="0"/>
      <c r="IQS116" s="0"/>
      <c r="IQT116" s="0"/>
      <c r="IQU116" s="0"/>
      <c r="IQV116" s="0"/>
      <c r="IQW116" s="0"/>
      <c r="IQX116" s="0"/>
      <c r="IQY116" s="0"/>
      <c r="IQZ116" s="0"/>
      <c r="IRA116" s="0"/>
      <c r="IRB116" s="0"/>
      <c r="IRC116" s="0"/>
      <c r="IRD116" s="0"/>
      <c r="IRE116" s="0"/>
      <c r="IRF116" s="0"/>
      <c r="IRG116" s="0"/>
      <c r="IRH116" s="0"/>
      <c r="IRI116" s="0"/>
      <c r="IRJ116" s="0"/>
      <c r="IRK116" s="0"/>
      <c r="IRL116" s="0"/>
      <c r="IRM116" s="0"/>
      <c r="IRN116" s="0"/>
      <c r="IRO116" s="0"/>
      <c r="IRP116" s="0"/>
      <c r="IRQ116" s="0"/>
      <c r="IRR116" s="0"/>
      <c r="IRS116" s="0"/>
      <c r="IRT116" s="0"/>
      <c r="IRU116" s="0"/>
      <c r="IRV116" s="0"/>
      <c r="IRW116" s="0"/>
      <c r="IRX116" s="0"/>
      <c r="IRY116" s="0"/>
      <c r="IRZ116" s="0"/>
      <c r="ISA116" s="0"/>
      <c r="ISB116" s="0"/>
      <c r="ISC116" s="0"/>
      <c r="ISD116" s="0"/>
      <c r="ISE116" s="0"/>
      <c r="ISF116" s="0"/>
      <c r="ISG116" s="0"/>
      <c r="ISH116" s="0"/>
      <c r="ISI116" s="0"/>
      <c r="ISJ116" s="0"/>
      <c r="ISK116" s="0"/>
      <c r="ISL116" s="0"/>
      <c r="ISM116" s="0"/>
      <c r="ISN116" s="0"/>
      <c r="ISO116" s="0"/>
      <c r="ISP116" s="0"/>
      <c r="ISQ116" s="0"/>
      <c r="ISR116" s="0"/>
      <c r="ISS116" s="0"/>
      <c r="IST116" s="0"/>
      <c r="ISU116" s="0"/>
      <c r="ISV116" s="0"/>
      <c r="ISW116" s="0"/>
      <c r="ISX116" s="0"/>
      <c r="ISY116" s="0"/>
      <c r="ISZ116" s="0"/>
      <c r="ITA116" s="0"/>
      <c r="ITB116" s="0"/>
      <c r="ITC116" s="0"/>
      <c r="ITD116" s="0"/>
      <c r="ITE116" s="0"/>
      <c r="ITF116" s="0"/>
      <c r="ITG116" s="0"/>
      <c r="ITH116" s="0"/>
      <c r="ITI116" s="0"/>
      <c r="ITJ116" s="0"/>
      <c r="ITK116" s="0"/>
      <c r="ITL116" s="0"/>
      <c r="ITM116" s="0"/>
      <c r="ITN116" s="0"/>
      <c r="ITO116" s="0"/>
      <c r="ITP116" s="0"/>
      <c r="ITQ116" s="0"/>
      <c r="ITR116" s="0"/>
      <c r="ITS116" s="0"/>
      <c r="ITT116" s="0"/>
      <c r="ITU116" s="0"/>
      <c r="ITV116" s="0"/>
      <c r="ITW116" s="0"/>
      <c r="ITX116" s="0"/>
      <c r="ITY116" s="0"/>
      <c r="ITZ116" s="0"/>
      <c r="IUA116" s="0"/>
      <c r="IUB116" s="0"/>
      <c r="IUC116" s="0"/>
      <c r="IUD116" s="0"/>
      <c r="IUE116" s="0"/>
      <c r="IUF116" s="0"/>
      <c r="IUG116" s="0"/>
      <c r="IUH116" s="0"/>
      <c r="IUI116" s="0"/>
      <c r="IUJ116" s="0"/>
      <c r="IUK116" s="0"/>
      <c r="IUL116" s="0"/>
      <c r="IUM116" s="0"/>
      <c r="IUN116" s="0"/>
      <c r="IUO116" s="0"/>
      <c r="IUP116" s="0"/>
      <c r="IUQ116" s="0"/>
      <c r="IUR116" s="0"/>
      <c r="IUS116" s="0"/>
      <c r="IUT116" s="0"/>
      <c r="IUU116" s="0"/>
      <c r="IUV116" s="0"/>
      <c r="IUW116" s="0"/>
      <c r="IUX116" s="0"/>
      <c r="IUY116" s="0"/>
      <c r="IUZ116" s="0"/>
      <c r="IVA116" s="0"/>
      <c r="IVB116" s="0"/>
      <c r="IVC116" s="0"/>
      <c r="IVD116" s="0"/>
      <c r="IVE116" s="0"/>
      <c r="IVF116" s="0"/>
      <c r="IVG116" s="0"/>
      <c r="IVH116" s="0"/>
      <c r="IVI116" s="0"/>
      <c r="IVJ116" s="0"/>
      <c r="IVK116" s="0"/>
      <c r="IVL116" s="0"/>
      <c r="IVM116" s="0"/>
      <c r="IVN116" s="0"/>
      <c r="IVO116" s="0"/>
      <c r="IVP116" s="0"/>
      <c r="IVQ116" s="0"/>
      <c r="IVR116" s="0"/>
      <c r="IVS116" s="0"/>
      <c r="IVT116" s="0"/>
      <c r="IVU116" s="0"/>
      <c r="IVV116" s="0"/>
      <c r="IVW116" s="0"/>
      <c r="IVX116" s="0"/>
      <c r="IVY116" s="0"/>
      <c r="IVZ116" s="0"/>
      <c r="IWA116" s="0"/>
      <c r="IWB116" s="0"/>
      <c r="IWC116" s="0"/>
      <c r="IWD116" s="0"/>
      <c r="IWE116" s="0"/>
      <c r="IWF116" s="0"/>
      <c r="IWG116" s="0"/>
      <c r="IWH116" s="0"/>
      <c r="IWI116" s="0"/>
      <c r="IWJ116" s="0"/>
      <c r="IWK116" s="0"/>
      <c r="IWL116" s="0"/>
      <c r="IWM116" s="0"/>
      <c r="IWN116" s="0"/>
      <c r="IWO116" s="0"/>
      <c r="IWP116" s="0"/>
      <c r="IWQ116" s="0"/>
      <c r="IWR116" s="0"/>
      <c r="IWS116" s="0"/>
      <c r="IWT116" s="0"/>
      <c r="IWU116" s="0"/>
      <c r="IWV116" s="0"/>
      <c r="IWW116" s="0"/>
      <c r="IWX116" s="0"/>
      <c r="IWY116" s="0"/>
      <c r="IWZ116" s="0"/>
      <c r="IXA116" s="0"/>
      <c r="IXB116" s="0"/>
      <c r="IXC116" s="0"/>
      <c r="IXD116" s="0"/>
      <c r="IXE116" s="0"/>
      <c r="IXF116" s="0"/>
      <c r="IXG116" s="0"/>
      <c r="IXH116" s="0"/>
      <c r="IXI116" s="0"/>
      <c r="IXJ116" s="0"/>
      <c r="IXK116" s="0"/>
      <c r="IXL116" s="0"/>
      <c r="IXM116" s="0"/>
      <c r="IXN116" s="0"/>
      <c r="IXO116" s="0"/>
      <c r="IXP116" s="0"/>
      <c r="IXQ116" s="0"/>
      <c r="IXR116" s="0"/>
      <c r="IXS116" s="0"/>
      <c r="IXT116" s="0"/>
      <c r="IXU116" s="0"/>
      <c r="IXV116" s="0"/>
      <c r="IXW116" s="0"/>
      <c r="IXX116" s="0"/>
      <c r="IXY116" s="0"/>
      <c r="IXZ116" s="0"/>
      <c r="IYA116" s="0"/>
      <c r="IYB116" s="0"/>
      <c r="IYC116" s="0"/>
      <c r="IYD116" s="0"/>
      <c r="IYE116" s="0"/>
      <c r="IYF116" s="0"/>
      <c r="IYG116" s="0"/>
      <c r="IYH116" s="0"/>
      <c r="IYI116" s="0"/>
      <c r="IYJ116" s="0"/>
      <c r="IYK116" s="0"/>
      <c r="IYL116" s="0"/>
      <c r="IYM116" s="0"/>
      <c r="IYN116" s="0"/>
      <c r="IYO116" s="0"/>
      <c r="IYP116" s="0"/>
      <c r="IYQ116" s="0"/>
      <c r="IYR116" s="0"/>
      <c r="IYS116" s="0"/>
      <c r="IYT116" s="0"/>
      <c r="IYU116" s="0"/>
      <c r="IYV116" s="0"/>
      <c r="IYW116" s="0"/>
      <c r="IYX116" s="0"/>
      <c r="IYY116" s="0"/>
      <c r="IYZ116" s="0"/>
      <c r="IZA116" s="0"/>
      <c r="IZB116" s="0"/>
      <c r="IZC116" s="0"/>
      <c r="IZD116" s="0"/>
      <c r="IZE116" s="0"/>
      <c r="IZF116" s="0"/>
      <c r="IZG116" s="0"/>
      <c r="IZH116" s="0"/>
      <c r="IZI116" s="0"/>
      <c r="IZJ116" s="0"/>
      <c r="IZK116" s="0"/>
      <c r="IZL116" s="0"/>
      <c r="IZM116" s="0"/>
      <c r="IZN116" s="0"/>
      <c r="IZO116" s="0"/>
      <c r="IZP116" s="0"/>
      <c r="IZQ116" s="0"/>
      <c r="IZR116" s="0"/>
      <c r="IZS116" s="0"/>
      <c r="IZT116" s="0"/>
      <c r="IZU116" s="0"/>
      <c r="IZV116" s="0"/>
      <c r="IZW116" s="0"/>
      <c r="IZX116" s="0"/>
      <c r="IZY116" s="0"/>
      <c r="IZZ116" s="0"/>
      <c r="JAA116" s="0"/>
      <c r="JAB116" s="0"/>
      <c r="JAC116" s="0"/>
      <c r="JAD116" s="0"/>
      <c r="JAE116" s="0"/>
      <c r="JAF116" s="0"/>
      <c r="JAG116" s="0"/>
      <c r="JAH116" s="0"/>
      <c r="JAI116" s="0"/>
      <c r="JAJ116" s="0"/>
      <c r="JAK116" s="0"/>
      <c r="JAL116" s="0"/>
      <c r="JAM116" s="0"/>
      <c r="JAN116" s="0"/>
      <c r="JAO116" s="0"/>
      <c r="JAP116" s="0"/>
      <c r="JAQ116" s="0"/>
      <c r="JAR116" s="0"/>
      <c r="JAS116" s="0"/>
      <c r="JAT116" s="0"/>
      <c r="JAU116" s="0"/>
      <c r="JAV116" s="0"/>
      <c r="JAW116" s="0"/>
      <c r="JAX116" s="0"/>
      <c r="JAY116" s="0"/>
      <c r="JAZ116" s="0"/>
      <c r="JBA116" s="0"/>
      <c r="JBB116" s="0"/>
      <c r="JBC116" s="0"/>
      <c r="JBD116" s="0"/>
      <c r="JBE116" s="0"/>
      <c r="JBF116" s="0"/>
      <c r="JBG116" s="0"/>
      <c r="JBH116" s="0"/>
      <c r="JBI116" s="0"/>
      <c r="JBJ116" s="0"/>
      <c r="JBK116" s="0"/>
      <c r="JBL116" s="0"/>
      <c r="JBM116" s="0"/>
      <c r="JBN116" s="0"/>
      <c r="JBO116" s="0"/>
      <c r="JBP116" s="0"/>
      <c r="JBQ116" s="0"/>
      <c r="JBR116" s="0"/>
      <c r="JBS116" s="0"/>
      <c r="JBT116" s="0"/>
      <c r="JBU116" s="0"/>
      <c r="JBV116" s="0"/>
      <c r="JBW116" s="0"/>
      <c r="JBX116" s="0"/>
      <c r="JBY116" s="0"/>
      <c r="JBZ116" s="0"/>
      <c r="JCA116" s="0"/>
      <c r="JCB116" s="0"/>
      <c r="JCC116" s="0"/>
      <c r="JCD116" s="0"/>
      <c r="JCE116" s="0"/>
      <c r="JCF116" s="0"/>
      <c r="JCG116" s="0"/>
      <c r="JCH116" s="0"/>
      <c r="JCI116" s="0"/>
      <c r="JCJ116" s="0"/>
      <c r="JCK116" s="0"/>
      <c r="JCL116" s="0"/>
      <c r="JCM116" s="0"/>
      <c r="JCN116" s="0"/>
      <c r="JCO116" s="0"/>
      <c r="JCP116" s="0"/>
      <c r="JCQ116" s="0"/>
      <c r="JCR116" s="0"/>
      <c r="JCS116" s="0"/>
      <c r="JCT116" s="0"/>
      <c r="JCU116" s="0"/>
      <c r="JCV116" s="0"/>
      <c r="JCW116" s="0"/>
      <c r="JCX116" s="0"/>
      <c r="JCY116" s="0"/>
      <c r="JCZ116" s="0"/>
      <c r="JDA116" s="0"/>
      <c r="JDB116" s="0"/>
      <c r="JDC116" s="0"/>
      <c r="JDD116" s="0"/>
      <c r="JDE116" s="0"/>
      <c r="JDF116" s="0"/>
      <c r="JDG116" s="0"/>
      <c r="JDH116" s="0"/>
      <c r="JDI116" s="0"/>
      <c r="JDJ116" s="0"/>
      <c r="JDK116" s="0"/>
      <c r="JDL116" s="0"/>
      <c r="JDM116" s="0"/>
      <c r="JDN116" s="0"/>
      <c r="JDO116" s="0"/>
      <c r="JDP116" s="0"/>
      <c r="JDQ116" s="0"/>
      <c r="JDR116" s="0"/>
      <c r="JDS116" s="0"/>
      <c r="JDT116" s="0"/>
      <c r="JDU116" s="0"/>
      <c r="JDV116" s="0"/>
      <c r="JDW116" s="0"/>
      <c r="JDX116" s="0"/>
      <c r="JDY116" s="0"/>
      <c r="JDZ116" s="0"/>
      <c r="JEA116" s="0"/>
      <c r="JEB116" s="0"/>
      <c r="JEC116" s="0"/>
      <c r="JED116" s="0"/>
      <c r="JEE116" s="0"/>
      <c r="JEF116" s="0"/>
      <c r="JEG116" s="0"/>
      <c r="JEH116" s="0"/>
      <c r="JEI116" s="0"/>
      <c r="JEJ116" s="0"/>
      <c r="JEK116" s="0"/>
      <c r="JEL116" s="0"/>
      <c r="JEM116" s="0"/>
      <c r="JEN116" s="0"/>
      <c r="JEO116" s="0"/>
      <c r="JEP116" s="0"/>
      <c r="JEQ116" s="0"/>
      <c r="JER116" s="0"/>
      <c r="JES116" s="0"/>
      <c r="JET116" s="0"/>
      <c r="JEU116" s="0"/>
      <c r="JEV116" s="0"/>
      <c r="JEW116" s="0"/>
      <c r="JEX116" s="0"/>
      <c r="JEY116" s="0"/>
      <c r="JEZ116" s="0"/>
      <c r="JFA116" s="0"/>
      <c r="JFB116" s="0"/>
      <c r="JFC116" s="0"/>
      <c r="JFD116" s="0"/>
      <c r="JFE116" s="0"/>
      <c r="JFF116" s="0"/>
      <c r="JFG116" s="0"/>
      <c r="JFH116" s="0"/>
      <c r="JFI116" s="0"/>
      <c r="JFJ116" s="0"/>
      <c r="JFK116" s="0"/>
      <c r="JFL116" s="0"/>
      <c r="JFM116" s="0"/>
      <c r="JFN116" s="0"/>
      <c r="JFO116" s="0"/>
      <c r="JFP116" s="0"/>
      <c r="JFQ116" s="0"/>
      <c r="JFR116" s="0"/>
      <c r="JFS116" s="0"/>
      <c r="JFT116" s="0"/>
      <c r="JFU116" s="0"/>
      <c r="JFV116" s="0"/>
      <c r="JFW116" s="0"/>
      <c r="JFX116" s="0"/>
      <c r="JFY116" s="0"/>
      <c r="JFZ116" s="0"/>
      <c r="JGA116" s="0"/>
      <c r="JGB116" s="0"/>
      <c r="JGC116" s="0"/>
      <c r="JGD116" s="0"/>
      <c r="JGE116" s="0"/>
      <c r="JGF116" s="0"/>
      <c r="JGG116" s="0"/>
      <c r="JGH116" s="0"/>
      <c r="JGI116" s="0"/>
      <c r="JGJ116" s="0"/>
      <c r="JGK116" s="0"/>
      <c r="JGL116" s="0"/>
      <c r="JGM116" s="0"/>
      <c r="JGN116" s="0"/>
      <c r="JGO116" s="0"/>
      <c r="JGP116" s="0"/>
      <c r="JGQ116" s="0"/>
      <c r="JGR116" s="0"/>
      <c r="JGS116" s="0"/>
      <c r="JGT116" s="0"/>
      <c r="JGU116" s="0"/>
      <c r="JGV116" s="0"/>
      <c r="JGW116" s="0"/>
      <c r="JGX116" s="0"/>
      <c r="JGY116" s="0"/>
      <c r="JGZ116" s="0"/>
      <c r="JHA116" s="0"/>
      <c r="JHB116" s="0"/>
      <c r="JHC116" s="0"/>
      <c r="JHD116" s="0"/>
      <c r="JHE116" s="0"/>
      <c r="JHF116" s="0"/>
      <c r="JHG116" s="0"/>
      <c r="JHH116" s="0"/>
      <c r="JHI116" s="0"/>
      <c r="JHJ116" s="0"/>
      <c r="JHK116" s="0"/>
      <c r="JHL116" s="0"/>
      <c r="JHM116" s="0"/>
      <c r="JHN116" s="0"/>
      <c r="JHO116" s="0"/>
      <c r="JHP116" s="0"/>
      <c r="JHQ116" s="0"/>
      <c r="JHR116" s="0"/>
      <c r="JHS116" s="0"/>
      <c r="JHT116" s="0"/>
      <c r="JHU116" s="0"/>
      <c r="JHV116" s="0"/>
      <c r="JHW116" s="0"/>
      <c r="JHX116" s="0"/>
      <c r="JHY116" s="0"/>
      <c r="JHZ116" s="0"/>
      <c r="JIA116" s="0"/>
      <c r="JIB116" s="0"/>
      <c r="JIC116" s="0"/>
      <c r="JID116" s="0"/>
      <c r="JIE116" s="0"/>
      <c r="JIF116" s="0"/>
      <c r="JIG116" s="0"/>
      <c r="JIH116" s="0"/>
      <c r="JII116" s="0"/>
      <c r="JIJ116" s="0"/>
      <c r="JIK116" s="0"/>
      <c r="JIL116" s="0"/>
      <c r="JIM116" s="0"/>
      <c r="JIN116" s="0"/>
      <c r="JIO116" s="0"/>
      <c r="JIP116" s="0"/>
      <c r="JIQ116" s="0"/>
      <c r="JIR116" s="0"/>
      <c r="JIS116" s="0"/>
      <c r="JIT116" s="0"/>
      <c r="JIU116" s="0"/>
      <c r="JIV116" s="0"/>
      <c r="JIW116" s="0"/>
      <c r="JIX116" s="0"/>
      <c r="JIY116" s="0"/>
      <c r="JIZ116" s="0"/>
      <c r="JJA116" s="0"/>
      <c r="JJB116" s="0"/>
      <c r="JJC116" s="0"/>
      <c r="JJD116" s="0"/>
      <c r="JJE116" s="0"/>
      <c r="JJF116" s="0"/>
      <c r="JJG116" s="0"/>
      <c r="JJH116" s="0"/>
      <c r="JJI116" s="0"/>
      <c r="JJJ116" s="0"/>
      <c r="JJK116" s="0"/>
      <c r="JJL116" s="0"/>
      <c r="JJM116" s="0"/>
      <c r="JJN116" s="0"/>
      <c r="JJO116" s="0"/>
      <c r="JJP116" s="0"/>
      <c r="JJQ116" s="0"/>
      <c r="JJR116" s="0"/>
      <c r="JJS116" s="0"/>
      <c r="JJT116" s="0"/>
      <c r="JJU116" s="0"/>
      <c r="JJV116" s="0"/>
      <c r="JJW116" s="0"/>
      <c r="JJX116" s="0"/>
      <c r="JJY116" s="0"/>
      <c r="JJZ116" s="0"/>
      <c r="JKA116" s="0"/>
      <c r="JKB116" s="0"/>
      <c r="JKC116" s="0"/>
      <c r="JKD116" s="0"/>
      <c r="JKE116" s="0"/>
      <c r="JKF116" s="0"/>
      <c r="JKG116" s="0"/>
      <c r="JKH116" s="0"/>
      <c r="JKI116" s="0"/>
      <c r="JKJ116" s="0"/>
      <c r="JKK116" s="0"/>
      <c r="JKL116" s="0"/>
      <c r="JKM116" s="0"/>
      <c r="JKN116" s="0"/>
      <c r="JKO116" s="0"/>
      <c r="JKP116" s="0"/>
      <c r="JKQ116" s="0"/>
      <c r="JKR116" s="0"/>
      <c r="JKS116" s="0"/>
      <c r="JKT116" s="0"/>
      <c r="JKU116" s="0"/>
      <c r="JKV116" s="0"/>
      <c r="JKW116" s="0"/>
      <c r="JKX116" s="0"/>
      <c r="JKY116" s="0"/>
      <c r="JKZ116" s="0"/>
      <c r="JLA116" s="0"/>
      <c r="JLB116" s="0"/>
      <c r="JLC116" s="0"/>
      <c r="JLD116" s="0"/>
      <c r="JLE116" s="0"/>
      <c r="JLF116" s="0"/>
      <c r="JLG116" s="0"/>
      <c r="JLH116" s="0"/>
      <c r="JLI116" s="0"/>
      <c r="JLJ116" s="0"/>
      <c r="JLK116" s="0"/>
      <c r="JLL116" s="0"/>
      <c r="JLM116" s="0"/>
      <c r="JLN116" s="0"/>
      <c r="JLO116" s="0"/>
      <c r="JLP116" s="0"/>
      <c r="JLQ116" s="0"/>
      <c r="JLR116" s="0"/>
      <c r="JLS116" s="0"/>
      <c r="JLT116" s="0"/>
      <c r="JLU116" s="0"/>
      <c r="JLV116" s="0"/>
      <c r="JLW116" s="0"/>
      <c r="JLX116" s="0"/>
      <c r="JLY116" s="0"/>
      <c r="JLZ116" s="0"/>
      <c r="JMA116" s="0"/>
      <c r="JMB116" s="0"/>
      <c r="JMC116" s="0"/>
      <c r="JMD116" s="0"/>
      <c r="JME116" s="0"/>
      <c r="JMF116" s="0"/>
      <c r="JMG116" s="0"/>
      <c r="JMH116" s="0"/>
      <c r="JMI116" s="0"/>
      <c r="JMJ116" s="0"/>
      <c r="JMK116" s="0"/>
      <c r="JML116" s="0"/>
      <c r="JMM116" s="0"/>
      <c r="JMN116" s="0"/>
      <c r="JMO116" s="0"/>
      <c r="JMP116" s="0"/>
      <c r="JMQ116" s="0"/>
      <c r="JMR116" s="0"/>
      <c r="JMS116" s="0"/>
      <c r="JMT116" s="0"/>
      <c r="JMU116" s="0"/>
      <c r="JMV116" s="0"/>
      <c r="JMW116" s="0"/>
      <c r="JMX116" s="0"/>
      <c r="JMY116" s="0"/>
      <c r="JMZ116" s="0"/>
      <c r="JNA116" s="0"/>
      <c r="JNB116" s="0"/>
      <c r="JNC116" s="0"/>
      <c r="JND116" s="0"/>
      <c r="JNE116" s="0"/>
      <c r="JNF116" s="0"/>
      <c r="JNG116" s="0"/>
      <c r="JNH116" s="0"/>
      <c r="JNI116" s="0"/>
      <c r="JNJ116" s="0"/>
      <c r="JNK116" s="0"/>
      <c r="JNL116" s="0"/>
      <c r="JNM116" s="0"/>
      <c r="JNN116" s="0"/>
      <c r="JNO116" s="0"/>
      <c r="JNP116" s="0"/>
      <c r="JNQ116" s="0"/>
      <c r="JNR116" s="0"/>
      <c r="JNS116" s="0"/>
      <c r="JNT116" s="0"/>
      <c r="JNU116" s="0"/>
      <c r="JNV116" s="0"/>
      <c r="JNW116" s="0"/>
      <c r="JNX116" s="0"/>
      <c r="JNY116" s="0"/>
      <c r="JNZ116" s="0"/>
      <c r="JOA116" s="0"/>
      <c r="JOB116" s="0"/>
      <c r="JOC116" s="0"/>
      <c r="JOD116" s="0"/>
      <c r="JOE116" s="0"/>
      <c r="JOF116" s="0"/>
      <c r="JOG116" s="0"/>
      <c r="JOH116" s="0"/>
      <c r="JOI116" s="0"/>
      <c r="JOJ116" s="0"/>
      <c r="JOK116" s="0"/>
      <c r="JOL116" s="0"/>
      <c r="JOM116" s="0"/>
      <c r="JON116" s="0"/>
      <c r="JOO116" s="0"/>
      <c r="JOP116" s="0"/>
      <c r="JOQ116" s="0"/>
      <c r="JOR116" s="0"/>
      <c r="JOS116" s="0"/>
      <c r="JOT116" s="0"/>
      <c r="JOU116" s="0"/>
      <c r="JOV116" s="0"/>
      <c r="JOW116" s="0"/>
      <c r="JOX116" s="0"/>
      <c r="JOY116" s="0"/>
      <c r="JOZ116" s="0"/>
      <c r="JPA116" s="0"/>
      <c r="JPB116" s="0"/>
      <c r="JPC116" s="0"/>
      <c r="JPD116" s="0"/>
      <c r="JPE116" s="0"/>
      <c r="JPF116" s="0"/>
      <c r="JPG116" s="0"/>
      <c r="JPH116" s="0"/>
      <c r="JPI116" s="0"/>
      <c r="JPJ116" s="0"/>
      <c r="JPK116" s="0"/>
      <c r="JPL116" s="0"/>
      <c r="JPM116" s="0"/>
      <c r="JPN116" s="0"/>
      <c r="JPO116" s="0"/>
      <c r="JPP116" s="0"/>
      <c r="JPQ116" s="0"/>
      <c r="JPR116" s="0"/>
      <c r="JPS116" s="0"/>
      <c r="JPT116" s="0"/>
      <c r="JPU116" s="0"/>
      <c r="JPV116" s="0"/>
      <c r="JPW116" s="0"/>
      <c r="JPX116" s="0"/>
      <c r="JPY116" s="0"/>
      <c r="JPZ116" s="0"/>
      <c r="JQA116" s="0"/>
      <c r="JQB116" s="0"/>
      <c r="JQC116" s="0"/>
      <c r="JQD116" s="0"/>
      <c r="JQE116" s="0"/>
      <c r="JQF116" s="0"/>
      <c r="JQG116" s="0"/>
      <c r="JQH116" s="0"/>
      <c r="JQI116" s="0"/>
      <c r="JQJ116" s="0"/>
      <c r="JQK116" s="0"/>
      <c r="JQL116" s="0"/>
      <c r="JQM116" s="0"/>
      <c r="JQN116" s="0"/>
      <c r="JQO116" s="0"/>
      <c r="JQP116" s="0"/>
      <c r="JQQ116" s="0"/>
      <c r="JQR116" s="0"/>
      <c r="JQS116" s="0"/>
      <c r="JQT116" s="0"/>
      <c r="JQU116" s="0"/>
      <c r="JQV116" s="0"/>
      <c r="JQW116" s="0"/>
      <c r="JQX116" s="0"/>
      <c r="JQY116" s="0"/>
      <c r="JQZ116" s="0"/>
      <c r="JRA116" s="0"/>
      <c r="JRB116" s="0"/>
      <c r="JRC116" s="0"/>
      <c r="JRD116" s="0"/>
      <c r="JRE116" s="0"/>
      <c r="JRF116" s="0"/>
      <c r="JRG116" s="0"/>
      <c r="JRH116" s="0"/>
      <c r="JRI116" s="0"/>
      <c r="JRJ116" s="0"/>
      <c r="JRK116" s="0"/>
      <c r="JRL116" s="0"/>
      <c r="JRM116" s="0"/>
      <c r="JRN116" s="0"/>
      <c r="JRO116" s="0"/>
      <c r="JRP116" s="0"/>
      <c r="JRQ116" s="0"/>
      <c r="JRR116" s="0"/>
      <c r="JRS116" s="0"/>
      <c r="JRT116" s="0"/>
      <c r="JRU116" s="0"/>
      <c r="JRV116" s="0"/>
      <c r="JRW116" s="0"/>
      <c r="JRX116" s="0"/>
      <c r="JRY116" s="0"/>
      <c r="JRZ116" s="0"/>
      <c r="JSA116" s="0"/>
      <c r="JSB116" s="0"/>
      <c r="JSC116" s="0"/>
      <c r="JSD116" s="0"/>
      <c r="JSE116" s="0"/>
      <c r="JSF116" s="0"/>
      <c r="JSG116" s="0"/>
      <c r="JSH116" s="0"/>
      <c r="JSI116" s="0"/>
      <c r="JSJ116" s="0"/>
      <c r="JSK116" s="0"/>
      <c r="JSL116" s="0"/>
      <c r="JSM116" s="0"/>
      <c r="JSN116" s="0"/>
      <c r="JSO116" s="0"/>
      <c r="JSP116" s="0"/>
      <c r="JSQ116" s="0"/>
      <c r="JSR116" s="0"/>
      <c r="JSS116" s="0"/>
      <c r="JST116" s="0"/>
      <c r="JSU116" s="0"/>
      <c r="JSV116" s="0"/>
      <c r="JSW116" s="0"/>
      <c r="JSX116" s="0"/>
      <c r="JSY116" s="0"/>
      <c r="JSZ116" s="0"/>
      <c r="JTA116" s="0"/>
      <c r="JTB116" s="0"/>
      <c r="JTC116" s="0"/>
      <c r="JTD116" s="0"/>
      <c r="JTE116" s="0"/>
      <c r="JTF116" s="0"/>
      <c r="JTG116" s="0"/>
      <c r="JTH116" s="0"/>
      <c r="JTI116" s="0"/>
      <c r="JTJ116" s="0"/>
      <c r="JTK116" s="0"/>
      <c r="JTL116" s="0"/>
      <c r="JTM116" s="0"/>
      <c r="JTN116" s="0"/>
      <c r="JTO116" s="0"/>
      <c r="JTP116" s="0"/>
      <c r="JTQ116" s="0"/>
      <c r="JTR116" s="0"/>
      <c r="JTS116" s="0"/>
      <c r="JTT116" s="0"/>
      <c r="JTU116" s="0"/>
      <c r="JTV116" s="0"/>
      <c r="JTW116" s="0"/>
      <c r="JTX116" s="0"/>
      <c r="JTY116" s="0"/>
      <c r="JTZ116" s="0"/>
      <c r="JUA116" s="0"/>
      <c r="JUB116" s="0"/>
      <c r="JUC116" s="0"/>
      <c r="JUD116" s="0"/>
      <c r="JUE116" s="0"/>
      <c r="JUF116" s="0"/>
      <c r="JUG116" s="0"/>
      <c r="JUH116" s="0"/>
      <c r="JUI116" s="0"/>
      <c r="JUJ116" s="0"/>
      <c r="JUK116" s="0"/>
      <c r="JUL116" s="0"/>
      <c r="JUM116" s="0"/>
      <c r="JUN116" s="0"/>
      <c r="JUO116" s="0"/>
      <c r="JUP116" s="0"/>
      <c r="JUQ116" s="0"/>
      <c r="JUR116" s="0"/>
      <c r="JUS116" s="0"/>
      <c r="JUT116" s="0"/>
      <c r="JUU116" s="0"/>
      <c r="JUV116" s="0"/>
      <c r="JUW116" s="0"/>
      <c r="JUX116" s="0"/>
      <c r="JUY116" s="0"/>
      <c r="JUZ116" s="0"/>
      <c r="JVA116" s="0"/>
      <c r="JVB116" s="0"/>
      <c r="JVC116" s="0"/>
      <c r="JVD116" s="0"/>
      <c r="JVE116" s="0"/>
      <c r="JVF116" s="0"/>
      <c r="JVG116" s="0"/>
      <c r="JVH116" s="0"/>
      <c r="JVI116" s="0"/>
      <c r="JVJ116" s="0"/>
      <c r="JVK116" s="0"/>
      <c r="JVL116" s="0"/>
      <c r="JVM116" s="0"/>
      <c r="JVN116" s="0"/>
      <c r="JVO116" s="0"/>
      <c r="JVP116" s="0"/>
      <c r="JVQ116" s="0"/>
      <c r="JVR116" s="0"/>
      <c r="JVS116" s="0"/>
      <c r="JVT116" s="0"/>
      <c r="JVU116" s="0"/>
      <c r="JVV116" s="0"/>
      <c r="JVW116" s="0"/>
      <c r="JVX116" s="0"/>
      <c r="JVY116" s="0"/>
      <c r="JVZ116" s="0"/>
      <c r="JWA116" s="0"/>
      <c r="JWB116" s="0"/>
      <c r="JWC116" s="0"/>
      <c r="JWD116" s="0"/>
      <c r="JWE116" s="0"/>
      <c r="JWF116" s="0"/>
      <c r="JWG116" s="0"/>
      <c r="JWH116" s="0"/>
      <c r="JWI116" s="0"/>
      <c r="JWJ116" s="0"/>
      <c r="JWK116" s="0"/>
      <c r="JWL116" s="0"/>
      <c r="JWM116" s="0"/>
      <c r="JWN116" s="0"/>
      <c r="JWO116" s="0"/>
      <c r="JWP116" s="0"/>
      <c r="JWQ116" s="0"/>
      <c r="JWR116" s="0"/>
      <c r="JWS116" s="0"/>
      <c r="JWT116" s="0"/>
      <c r="JWU116" s="0"/>
      <c r="JWV116" s="0"/>
      <c r="JWW116" s="0"/>
      <c r="JWX116" s="0"/>
      <c r="JWY116" s="0"/>
      <c r="JWZ116" s="0"/>
      <c r="JXA116" s="0"/>
      <c r="JXB116" s="0"/>
      <c r="JXC116" s="0"/>
      <c r="JXD116" s="0"/>
      <c r="JXE116" s="0"/>
      <c r="JXF116" s="0"/>
      <c r="JXG116" s="0"/>
      <c r="JXH116" s="0"/>
      <c r="JXI116" s="0"/>
      <c r="JXJ116" s="0"/>
      <c r="JXK116" s="0"/>
      <c r="JXL116" s="0"/>
      <c r="JXM116" s="0"/>
      <c r="JXN116" s="0"/>
      <c r="JXO116" s="0"/>
      <c r="JXP116" s="0"/>
      <c r="JXQ116" s="0"/>
      <c r="JXR116" s="0"/>
      <c r="JXS116" s="0"/>
      <c r="JXT116" s="0"/>
      <c r="JXU116" s="0"/>
      <c r="JXV116" s="0"/>
      <c r="JXW116" s="0"/>
      <c r="JXX116" s="0"/>
      <c r="JXY116" s="0"/>
      <c r="JXZ116" s="0"/>
      <c r="JYA116" s="0"/>
      <c r="JYB116" s="0"/>
      <c r="JYC116" s="0"/>
      <c r="JYD116" s="0"/>
      <c r="JYE116" s="0"/>
      <c r="JYF116" s="0"/>
      <c r="JYG116" s="0"/>
      <c r="JYH116" s="0"/>
      <c r="JYI116" s="0"/>
      <c r="JYJ116" s="0"/>
      <c r="JYK116" s="0"/>
      <c r="JYL116" s="0"/>
      <c r="JYM116" s="0"/>
      <c r="JYN116" s="0"/>
      <c r="JYO116" s="0"/>
      <c r="JYP116" s="0"/>
      <c r="JYQ116" s="0"/>
      <c r="JYR116" s="0"/>
      <c r="JYS116" s="0"/>
      <c r="JYT116" s="0"/>
      <c r="JYU116" s="0"/>
      <c r="JYV116" s="0"/>
      <c r="JYW116" s="0"/>
      <c r="JYX116" s="0"/>
      <c r="JYY116" s="0"/>
      <c r="JYZ116" s="0"/>
      <c r="JZA116" s="0"/>
      <c r="JZB116" s="0"/>
      <c r="JZC116" s="0"/>
      <c r="JZD116" s="0"/>
      <c r="JZE116" s="0"/>
      <c r="JZF116" s="0"/>
      <c r="JZG116" s="0"/>
      <c r="JZH116" s="0"/>
      <c r="JZI116" s="0"/>
      <c r="JZJ116" s="0"/>
      <c r="JZK116" s="0"/>
      <c r="JZL116" s="0"/>
      <c r="JZM116" s="0"/>
      <c r="JZN116" s="0"/>
      <c r="JZO116" s="0"/>
      <c r="JZP116" s="0"/>
      <c r="JZQ116" s="0"/>
      <c r="JZR116" s="0"/>
      <c r="JZS116" s="0"/>
      <c r="JZT116" s="0"/>
      <c r="JZU116" s="0"/>
      <c r="JZV116" s="0"/>
      <c r="JZW116" s="0"/>
      <c r="JZX116" s="0"/>
      <c r="JZY116" s="0"/>
      <c r="JZZ116" s="0"/>
      <c r="KAA116" s="0"/>
      <c r="KAB116" s="0"/>
      <c r="KAC116" s="0"/>
      <c r="KAD116" s="0"/>
      <c r="KAE116" s="0"/>
      <c r="KAF116" s="0"/>
      <c r="KAG116" s="0"/>
      <c r="KAH116" s="0"/>
      <c r="KAI116" s="0"/>
      <c r="KAJ116" s="0"/>
      <c r="KAK116" s="0"/>
      <c r="KAL116" s="0"/>
      <c r="KAM116" s="0"/>
      <c r="KAN116" s="0"/>
      <c r="KAO116" s="0"/>
      <c r="KAP116" s="0"/>
      <c r="KAQ116" s="0"/>
      <c r="KAR116" s="0"/>
      <c r="KAS116" s="0"/>
      <c r="KAT116" s="0"/>
      <c r="KAU116" s="0"/>
      <c r="KAV116" s="0"/>
      <c r="KAW116" s="0"/>
      <c r="KAX116" s="0"/>
      <c r="KAY116" s="0"/>
      <c r="KAZ116" s="0"/>
      <c r="KBA116" s="0"/>
      <c r="KBB116" s="0"/>
      <c r="KBC116" s="0"/>
      <c r="KBD116" s="0"/>
      <c r="KBE116" s="0"/>
      <c r="KBF116" s="0"/>
      <c r="KBG116" s="0"/>
      <c r="KBH116" s="0"/>
      <c r="KBI116" s="0"/>
      <c r="KBJ116" s="0"/>
      <c r="KBK116" s="0"/>
      <c r="KBL116" s="0"/>
      <c r="KBM116" s="0"/>
      <c r="KBN116" s="0"/>
      <c r="KBO116" s="0"/>
      <c r="KBP116" s="0"/>
      <c r="KBQ116" s="0"/>
      <c r="KBR116" s="0"/>
      <c r="KBS116" s="0"/>
      <c r="KBT116" s="0"/>
      <c r="KBU116" s="0"/>
      <c r="KBV116" s="0"/>
      <c r="KBW116" s="0"/>
      <c r="KBX116" s="0"/>
      <c r="KBY116" s="0"/>
      <c r="KBZ116" s="0"/>
      <c r="KCA116" s="0"/>
      <c r="KCB116" s="0"/>
      <c r="KCC116" s="0"/>
      <c r="KCD116" s="0"/>
      <c r="KCE116" s="0"/>
      <c r="KCF116" s="0"/>
      <c r="KCG116" s="0"/>
      <c r="KCH116" s="0"/>
      <c r="KCI116" s="0"/>
      <c r="KCJ116" s="0"/>
      <c r="KCK116" s="0"/>
      <c r="KCL116" s="0"/>
      <c r="KCM116" s="0"/>
      <c r="KCN116" s="0"/>
      <c r="KCO116" s="0"/>
      <c r="KCP116" s="0"/>
      <c r="KCQ116" s="0"/>
      <c r="KCR116" s="0"/>
      <c r="KCS116" s="0"/>
      <c r="KCT116" s="0"/>
      <c r="KCU116" s="0"/>
      <c r="KCV116" s="0"/>
      <c r="KCW116" s="0"/>
      <c r="KCX116" s="0"/>
      <c r="KCY116" s="0"/>
      <c r="KCZ116" s="0"/>
      <c r="KDA116" s="0"/>
      <c r="KDB116" s="0"/>
      <c r="KDC116" s="0"/>
      <c r="KDD116" s="0"/>
      <c r="KDE116" s="0"/>
      <c r="KDF116" s="0"/>
      <c r="KDG116" s="0"/>
      <c r="KDH116" s="0"/>
      <c r="KDI116" s="0"/>
      <c r="KDJ116" s="0"/>
      <c r="KDK116" s="0"/>
      <c r="KDL116" s="0"/>
      <c r="KDM116" s="0"/>
      <c r="KDN116" s="0"/>
      <c r="KDO116" s="0"/>
      <c r="KDP116" s="0"/>
      <c r="KDQ116" s="0"/>
      <c r="KDR116" s="0"/>
      <c r="KDS116" s="0"/>
      <c r="KDT116" s="0"/>
      <c r="KDU116" s="0"/>
      <c r="KDV116" s="0"/>
      <c r="KDW116" s="0"/>
      <c r="KDX116" s="0"/>
      <c r="KDY116" s="0"/>
      <c r="KDZ116" s="0"/>
      <c r="KEA116" s="0"/>
      <c r="KEB116" s="0"/>
      <c r="KEC116" s="0"/>
      <c r="KED116" s="0"/>
      <c r="KEE116" s="0"/>
      <c r="KEF116" s="0"/>
      <c r="KEG116" s="0"/>
      <c r="KEH116" s="0"/>
      <c r="KEI116" s="0"/>
      <c r="KEJ116" s="0"/>
      <c r="KEK116" s="0"/>
      <c r="KEL116" s="0"/>
      <c r="KEM116" s="0"/>
      <c r="KEN116" s="0"/>
      <c r="KEO116" s="0"/>
      <c r="KEP116" s="0"/>
      <c r="KEQ116" s="0"/>
      <c r="KER116" s="0"/>
      <c r="KES116" s="0"/>
      <c r="KET116" s="0"/>
      <c r="KEU116" s="0"/>
      <c r="KEV116" s="0"/>
      <c r="KEW116" s="0"/>
      <c r="KEX116" s="0"/>
      <c r="KEY116" s="0"/>
      <c r="KEZ116" s="0"/>
      <c r="KFA116" s="0"/>
      <c r="KFB116" s="0"/>
      <c r="KFC116" s="0"/>
      <c r="KFD116" s="0"/>
      <c r="KFE116" s="0"/>
      <c r="KFF116" s="0"/>
      <c r="KFG116" s="0"/>
      <c r="KFH116" s="0"/>
      <c r="KFI116" s="0"/>
      <c r="KFJ116" s="0"/>
      <c r="KFK116" s="0"/>
      <c r="KFL116" s="0"/>
      <c r="KFM116" s="0"/>
      <c r="KFN116" s="0"/>
      <c r="KFO116" s="0"/>
      <c r="KFP116" s="0"/>
      <c r="KFQ116" s="0"/>
      <c r="KFR116" s="0"/>
      <c r="KFS116" s="0"/>
      <c r="KFT116" s="0"/>
      <c r="KFU116" s="0"/>
      <c r="KFV116" s="0"/>
      <c r="KFW116" s="0"/>
      <c r="KFX116" s="0"/>
      <c r="KFY116" s="0"/>
      <c r="KFZ116" s="0"/>
      <c r="KGA116" s="0"/>
      <c r="KGB116" s="0"/>
      <c r="KGC116" s="0"/>
      <c r="KGD116" s="0"/>
      <c r="KGE116" s="0"/>
      <c r="KGF116" s="0"/>
      <c r="KGG116" s="0"/>
      <c r="KGH116" s="0"/>
      <c r="KGI116" s="0"/>
      <c r="KGJ116" s="0"/>
      <c r="KGK116" s="0"/>
      <c r="KGL116" s="0"/>
      <c r="KGM116" s="0"/>
      <c r="KGN116" s="0"/>
      <c r="KGO116" s="0"/>
      <c r="KGP116" s="0"/>
      <c r="KGQ116" s="0"/>
      <c r="KGR116" s="0"/>
      <c r="KGS116" s="0"/>
      <c r="KGT116" s="0"/>
      <c r="KGU116" s="0"/>
      <c r="KGV116" s="0"/>
      <c r="KGW116" s="0"/>
      <c r="KGX116" s="0"/>
      <c r="KGY116" s="0"/>
      <c r="KGZ116" s="0"/>
      <c r="KHA116" s="0"/>
      <c r="KHB116" s="0"/>
      <c r="KHC116" s="0"/>
      <c r="KHD116" s="0"/>
      <c r="KHE116" s="0"/>
      <c r="KHF116" s="0"/>
      <c r="KHG116" s="0"/>
      <c r="KHH116" s="0"/>
      <c r="KHI116" s="0"/>
      <c r="KHJ116" s="0"/>
      <c r="KHK116" s="0"/>
      <c r="KHL116" s="0"/>
      <c r="KHM116" s="0"/>
      <c r="KHN116" s="0"/>
      <c r="KHO116" s="0"/>
      <c r="KHP116" s="0"/>
      <c r="KHQ116" s="0"/>
      <c r="KHR116" s="0"/>
      <c r="KHS116" s="0"/>
      <c r="KHT116" s="0"/>
      <c r="KHU116" s="0"/>
      <c r="KHV116" s="0"/>
      <c r="KHW116" s="0"/>
      <c r="KHX116" s="0"/>
      <c r="KHY116" s="0"/>
      <c r="KHZ116" s="0"/>
      <c r="KIA116" s="0"/>
      <c r="KIB116" s="0"/>
      <c r="KIC116" s="0"/>
      <c r="KID116" s="0"/>
      <c r="KIE116" s="0"/>
      <c r="KIF116" s="0"/>
      <c r="KIG116" s="0"/>
      <c r="KIH116" s="0"/>
      <c r="KII116" s="0"/>
      <c r="KIJ116" s="0"/>
      <c r="KIK116" s="0"/>
      <c r="KIL116" s="0"/>
      <c r="KIM116" s="0"/>
      <c r="KIN116" s="0"/>
      <c r="KIO116" s="0"/>
      <c r="KIP116" s="0"/>
      <c r="KIQ116" s="0"/>
      <c r="KIR116" s="0"/>
      <c r="KIS116" s="0"/>
      <c r="KIT116" s="0"/>
      <c r="KIU116" s="0"/>
      <c r="KIV116" s="0"/>
      <c r="KIW116" s="0"/>
      <c r="KIX116" s="0"/>
      <c r="KIY116" s="0"/>
      <c r="KIZ116" s="0"/>
      <c r="KJA116" s="0"/>
      <c r="KJB116" s="0"/>
      <c r="KJC116" s="0"/>
      <c r="KJD116" s="0"/>
      <c r="KJE116" s="0"/>
      <c r="KJF116" s="0"/>
      <c r="KJG116" s="0"/>
      <c r="KJH116" s="0"/>
      <c r="KJI116" s="0"/>
      <c r="KJJ116" s="0"/>
      <c r="KJK116" s="0"/>
      <c r="KJL116" s="0"/>
      <c r="KJM116" s="0"/>
      <c r="KJN116" s="0"/>
      <c r="KJO116" s="0"/>
      <c r="KJP116" s="0"/>
      <c r="KJQ116" s="0"/>
      <c r="KJR116" s="0"/>
      <c r="KJS116" s="0"/>
      <c r="KJT116" s="0"/>
      <c r="KJU116" s="0"/>
      <c r="KJV116" s="0"/>
      <c r="KJW116" s="0"/>
      <c r="KJX116" s="0"/>
      <c r="KJY116" s="0"/>
      <c r="KJZ116" s="0"/>
      <c r="KKA116" s="0"/>
      <c r="KKB116" s="0"/>
      <c r="KKC116" s="0"/>
      <c r="KKD116" s="0"/>
      <c r="KKE116" s="0"/>
      <c r="KKF116" s="0"/>
      <c r="KKG116" s="0"/>
      <c r="KKH116" s="0"/>
      <c r="KKI116" s="0"/>
      <c r="KKJ116" s="0"/>
      <c r="KKK116" s="0"/>
      <c r="KKL116" s="0"/>
      <c r="KKM116" s="0"/>
      <c r="KKN116" s="0"/>
      <c r="KKO116" s="0"/>
      <c r="KKP116" s="0"/>
      <c r="KKQ116" s="0"/>
      <c r="KKR116" s="0"/>
      <c r="KKS116" s="0"/>
      <c r="KKT116" s="0"/>
      <c r="KKU116" s="0"/>
      <c r="KKV116" s="0"/>
      <c r="KKW116" s="0"/>
      <c r="KKX116" s="0"/>
      <c r="KKY116" s="0"/>
      <c r="KKZ116" s="0"/>
      <c r="KLA116" s="0"/>
      <c r="KLB116" s="0"/>
      <c r="KLC116" s="0"/>
      <c r="KLD116" s="0"/>
      <c r="KLE116" s="0"/>
      <c r="KLF116" s="0"/>
      <c r="KLG116" s="0"/>
      <c r="KLH116" s="0"/>
      <c r="KLI116" s="0"/>
      <c r="KLJ116" s="0"/>
      <c r="KLK116" s="0"/>
      <c r="KLL116" s="0"/>
      <c r="KLM116" s="0"/>
      <c r="KLN116" s="0"/>
      <c r="KLO116" s="0"/>
      <c r="KLP116" s="0"/>
      <c r="KLQ116" s="0"/>
      <c r="KLR116" s="0"/>
      <c r="KLS116" s="0"/>
      <c r="KLT116" s="0"/>
      <c r="KLU116" s="0"/>
      <c r="KLV116" s="0"/>
      <c r="KLW116" s="0"/>
      <c r="KLX116" s="0"/>
      <c r="KLY116" s="0"/>
      <c r="KLZ116" s="0"/>
      <c r="KMA116" s="0"/>
      <c r="KMB116" s="0"/>
      <c r="KMC116" s="0"/>
      <c r="KMD116" s="0"/>
      <c r="KME116" s="0"/>
      <c r="KMF116" s="0"/>
      <c r="KMG116" s="0"/>
      <c r="KMH116" s="0"/>
      <c r="KMI116" s="0"/>
      <c r="KMJ116" s="0"/>
      <c r="KMK116" s="0"/>
      <c r="KML116" s="0"/>
      <c r="KMM116" s="0"/>
      <c r="KMN116" s="0"/>
      <c r="KMO116" s="0"/>
      <c r="KMP116" s="0"/>
      <c r="KMQ116" s="0"/>
      <c r="KMR116" s="0"/>
      <c r="KMS116" s="0"/>
      <c r="KMT116" s="0"/>
      <c r="KMU116" s="0"/>
      <c r="KMV116" s="0"/>
      <c r="KMW116" s="0"/>
      <c r="KMX116" s="0"/>
      <c r="KMY116" s="0"/>
      <c r="KMZ116" s="0"/>
      <c r="KNA116" s="0"/>
      <c r="KNB116" s="0"/>
      <c r="KNC116" s="0"/>
      <c r="KND116" s="0"/>
      <c r="KNE116" s="0"/>
      <c r="KNF116" s="0"/>
      <c r="KNG116" s="0"/>
      <c r="KNH116" s="0"/>
      <c r="KNI116" s="0"/>
      <c r="KNJ116" s="0"/>
      <c r="KNK116" s="0"/>
      <c r="KNL116" s="0"/>
      <c r="KNM116" s="0"/>
      <c r="KNN116" s="0"/>
      <c r="KNO116" s="0"/>
      <c r="KNP116" s="0"/>
      <c r="KNQ116" s="0"/>
      <c r="KNR116" s="0"/>
      <c r="KNS116" s="0"/>
      <c r="KNT116" s="0"/>
      <c r="KNU116" s="0"/>
      <c r="KNV116" s="0"/>
      <c r="KNW116" s="0"/>
      <c r="KNX116" s="0"/>
      <c r="KNY116" s="0"/>
      <c r="KNZ116" s="0"/>
      <c r="KOA116" s="0"/>
      <c r="KOB116" s="0"/>
      <c r="KOC116" s="0"/>
      <c r="KOD116" s="0"/>
      <c r="KOE116" s="0"/>
      <c r="KOF116" s="0"/>
      <c r="KOG116" s="0"/>
      <c r="KOH116" s="0"/>
      <c r="KOI116" s="0"/>
      <c r="KOJ116" s="0"/>
      <c r="KOK116" s="0"/>
      <c r="KOL116" s="0"/>
      <c r="KOM116" s="0"/>
      <c r="KON116" s="0"/>
      <c r="KOO116" s="0"/>
      <c r="KOP116" s="0"/>
      <c r="KOQ116" s="0"/>
      <c r="KOR116" s="0"/>
      <c r="KOS116" s="0"/>
      <c r="KOT116" s="0"/>
      <c r="KOU116" s="0"/>
      <c r="KOV116" s="0"/>
      <c r="KOW116" s="0"/>
      <c r="KOX116" s="0"/>
      <c r="KOY116" s="0"/>
      <c r="KOZ116" s="0"/>
      <c r="KPA116" s="0"/>
      <c r="KPB116" s="0"/>
      <c r="KPC116" s="0"/>
      <c r="KPD116" s="0"/>
      <c r="KPE116" s="0"/>
      <c r="KPF116" s="0"/>
      <c r="KPG116" s="0"/>
      <c r="KPH116" s="0"/>
      <c r="KPI116" s="0"/>
      <c r="KPJ116" s="0"/>
      <c r="KPK116" s="0"/>
      <c r="KPL116" s="0"/>
      <c r="KPM116" s="0"/>
      <c r="KPN116" s="0"/>
      <c r="KPO116" s="0"/>
      <c r="KPP116" s="0"/>
      <c r="KPQ116" s="0"/>
      <c r="KPR116" s="0"/>
      <c r="KPS116" s="0"/>
      <c r="KPT116" s="0"/>
      <c r="KPU116" s="0"/>
      <c r="KPV116" s="0"/>
      <c r="KPW116" s="0"/>
      <c r="KPX116" s="0"/>
      <c r="KPY116" s="0"/>
      <c r="KPZ116" s="0"/>
      <c r="KQA116" s="0"/>
      <c r="KQB116" s="0"/>
      <c r="KQC116" s="0"/>
      <c r="KQD116" s="0"/>
      <c r="KQE116" s="0"/>
      <c r="KQF116" s="0"/>
      <c r="KQG116" s="0"/>
      <c r="KQH116" s="0"/>
      <c r="KQI116" s="0"/>
      <c r="KQJ116" s="0"/>
      <c r="KQK116" s="0"/>
      <c r="KQL116" s="0"/>
      <c r="KQM116" s="0"/>
      <c r="KQN116" s="0"/>
      <c r="KQO116" s="0"/>
      <c r="KQP116" s="0"/>
      <c r="KQQ116" s="0"/>
      <c r="KQR116" s="0"/>
      <c r="KQS116" s="0"/>
      <c r="KQT116" s="0"/>
      <c r="KQU116" s="0"/>
      <c r="KQV116" s="0"/>
      <c r="KQW116" s="0"/>
      <c r="KQX116" s="0"/>
      <c r="KQY116" s="0"/>
      <c r="KQZ116" s="0"/>
      <c r="KRA116" s="0"/>
      <c r="KRB116" s="0"/>
      <c r="KRC116" s="0"/>
      <c r="KRD116" s="0"/>
      <c r="KRE116" s="0"/>
      <c r="KRF116" s="0"/>
      <c r="KRG116" s="0"/>
      <c r="KRH116" s="0"/>
      <c r="KRI116" s="0"/>
      <c r="KRJ116" s="0"/>
      <c r="KRK116" s="0"/>
      <c r="KRL116" s="0"/>
      <c r="KRM116" s="0"/>
      <c r="KRN116" s="0"/>
      <c r="KRO116" s="0"/>
      <c r="KRP116" s="0"/>
      <c r="KRQ116" s="0"/>
      <c r="KRR116" s="0"/>
      <c r="KRS116" s="0"/>
      <c r="KRT116" s="0"/>
      <c r="KRU116" s="0"/>
      <c r="KRV116" s="0"/>
      <c r="KRW116" s="0"/>
      <c r="KRX116" s="0"/>
      <c r="KRY116" s="0"/>
      <c r="KRZ116" s="0"/>
      <c r="KSA116" s="0"/>
      <c r="KSB116" s="0"/>
      <c r="KSC116" s="0"/>
      <c r="KSD116" s="0"/>
      <c r="KSE116" s="0"/>
      <c r="KSF116" s="0"/>
      <c r="KSG116" s="0"/>
      <c r="KSH116" s="0"/>
      <c r="KSI116" s="0"/>
      <c r="KSJ116" s="0"/>
      <c r="KSK116" s="0"/>
      <c r="KSL116" s="0"/>
      <c r="KSM116" s="0"/>
      <c r="KSN116" s="0"/>
      <c r="KSO116" s="0"/>
      <c r="KSP116" s="0"/>
      <c r="KSQ116" s="0"/>
      <c r="KSR116" s="0"/>
      <c r="KSS116" s="0"/>
      <c r="KST116" s="0"/>
      <c r="KSU116" s="0"/>
      <c r="KSV116" s="0"/>
      <c r="KSW116" s="0"/>
      <c r="KSX116" s="0"/>
      <c r="KSY116" s="0"/>
      <c r="KSZ116" s="0"/>
      <c r="KTA116" s="0"/>
      <c r="KTB116" s="0"/>
      <c r="KTC116" s="0"/>
      <c r="KTD116" s="0"/>
      <c r="KTE116" s="0"/>
      <c r="KTF116" s="0"/>
      <c r="KTG116" s="0"/>
      <c r="KTH116" s="0"/>
      <c r="KTI116" s="0"/>
      <c r="KTJ116" s="0"/>
      <c r="KTK116" s="0"/>
      <c r="KTL116" s="0"/>
      <c r="KTM116" s="0"/>
      <c r="KTN116" s="0"/>
      <c r="KTO116" s="0"/>
      <c r="KTP116" s="0"/>
      <c r="KTQ116" s="0"/>
      <c r="KTR116" s="0"/>
      <c r="KTS116" s="0"/>
      <c r="KTT116" s="0"/>
      <c r="KTU116" s="0"/>
      <c r="KTV116" s="0"/>
      <c r="KTW116" s="0"/>
      <c r="KTX116" s="0"/>
      <c r="KTY116" s="0"/>
      <c r="KTZ116" s="0"/>
      <c r="KUA116" s="0"/>
      <c r="KUB116" s="0"/>
      <c r="KUC116" s="0"/>
      <c r="KUD116" s="0"/>
      <c r="KUE116" s="0"/>
      <c r="KUF116" s="0"/>
      <c r="KUG116" s="0"/>
      <c r="KUH116" s="0"/>
      <c r="KUI116" s="0"/>
      <c r="KUJ116" s="0"/>
      <c r="KUK116" s="0"/>
      <c r="KUL116" s="0"/>
      <c r="KUM116" s="0"/>
      <c r="KUN116" s="0"/>
      <c r="KUO116" s="0"/>
      <c r="KUP116" s="0"/>
      <c r="KUQ116" s="0"/>
      <c r="KUR116" s="0"/>
      <c r="KUS116" s="0"/>
      <c r="KUT116" s="0"/>
      <c r="KUU116" s="0"/>
      <c r="KUV116" s="0"/>
      <c r="KUW116" s="0"/>
      <c r="KUX116" s="0"/>
      <c r="KUY116" s="0"/>
      <c r="KUZ116" s="0"/>
      <c r="KVA116" s="0"/>
      <c r="KVB116" s="0"/>
      <c r="KVC116" s="0"/>
      <c r="KVD116" s="0"/>
      <c r="KVE116" s="0"/>
      <c r="KVF116" s="0"/>
      <c r="KVG116" s="0"/>
      <c r="KVH116" s="0"/>
      <c r="KVI116" s="0"/>
      <c r="KVJ116" s="0"/>
      <c r="KVK116" s="0"/>
      <c r="KVL116" s="0"/>
      <c r="KVM116" s="0"/>
      <c r="KVN116" s="0"/>
      <c r="KVO116" s="0"/>
      <c r="KVP116" s="0"/>
      <c r="KVQ116" s="0"/>
      <c r="KVR116" s="0"/>
      <c r="KVS116" s="0"/>
      <c r="KVT116" s="0"/>
      <c r="KVU116" s="0"/>
      <c r="KVV116" s="0"/>
      <c r="KVW116" s="0"/>
      <c r="KVX116" s="0"/>
      <c r="KVY116" s="0"/>
      <c r="KVZ116" s="0"/>
      <c r="KWA116" s="0"/>
      <c r="KWB116" s="0"/>
      <c r="KWC116" s="0"/>
      <c r="KWD116" s="0"/>
      <c r="KWE116" s="0"/>
      <c r="KWF116" s="0"/>
      <c r="KWG116" s="0"/>
      <c r="KWH116" s="0"/>
      <c r="KWI116" s="0"/>
      <c r="KWJ116" s="0"/>
      <c r="KWK116" s="0"/>
      <c r="KWL116" s="0"/>
      <c r="KWM116" s="0"/>
      <c r="KWN116" s="0"/>
      <c r="KWO116" s="0"/>
      <c r="KWP116" s="0"/>
      <c r="KWQ116" s="0"/>
      <c r="KWR116" s="0"/>
      <c r="KWS116" s="0"/>
      <c r="KWT116" s="0"/>
      <c r="KWU116" s="0"/>
      <c r="KWV116" s="0"/>
      <c r="KWW116" s="0"/>
      <c r="KWX116" s="0"/>
      <c r="KWY116" s="0"/>
      <c r="KWZ116" s="0"/>
      <c r="KXA116" s="0"/>
      <c r="KXB116" s="0"/>
      <c r="KXC116" s="0"/>
      <c r="KXD116" s="0"/>
      <c r="KXE116" s="0"/>
      <c r="KXF116" s="0"/>
      <c r="KXG116" s="0"/>
      <c r="KXH116" s="0"/>
      <c r="KXI116" s="0"/>
      <c r="KXJ116" s="0"/>
      <c r="KXK116" s="0"/>
      <c r="KXL116" s="0"/>
      <c r="KXM116" s="0"/>
      <c r="KXN116" s="0"/>
      <c r="KXO116" s="0"/>
      <c r="KXP116" s="0"/>
      <c r="KXQ116" s="0"/>
      <c r="KXR116" s="0"/>
      <c r="KXS116" s="0"/>
      <c r="KXT116" s="0"/>
      <c r="KXU116" s="0"/>
      <c r="KXV116" s="0"/>
      <c r="KXW116" s="0"/>
      <c r="KXX116" s="0"/>
      <c r="KXY116" s="0"/>
      <c r="KXZ116" s="0"/>
      <c r="KYA116" s="0"/>
      <c r="KYB116" s="0"/>
      <c r="KYC116" s="0"/>
      <c r="KYD116" s="0"/>
      <c r="KYE116" s="0"/>
      <c r="KYF116" s="0"/>
      <c r="KYG116" s="0"/>
      <c r="KYH116" s="0"/>
      <c r="KYI116" s="0"/>
      <c r="KYJ116" s="0"/>
      <c r="KYK116" s="0"/>
      <c r="KYL116" s="0"/>
      <c r="KYM116" s="0"/>
      <c r="KYN116" s="0"/>
      <c r="KYO116" s="0"/>
      <c r="KYP116" s="0"/>
      <c r="KYQ116" s="0"/>
      <c r="KYR116" s="0"/>
      <c r="KYS116" s="0"/>
      <c r="KYT116" s="0"/>
      <c r="KYU116" s="0"/>
      <c r="KYV116" s="0"/>
      <c r="KYW116" s="0"/>
      <c r="KYX116" s="0"/>
      <c r="KYY116" s="0"/>
      <c r="KYZ116" s="0"/>
      <c r="KZA116" s="0"/>
      <c r="KZB116" s="0"/>
      <c r="KZC116" s="0"/>
      <c r="KZD116" s="0"/>
      <c r="KZE116" s="0"/>
      <c r="KZF116" s="0"/>
      <c r="KZG116" s="0"/>
      <c r="KZH116" s="0"/>
      <c r="KZI116" s="0"/>
      <c r="KZJ116" s="0"/>
      <c r="KZK116" s="0"/>
      <c r="KZL116" s="0"/>
      <c r="KZM116" s="0"/>
      <c r="KZN116" s="0"/>
      <c r="KZO116" s="0"/>
      <c r="KZP116" s="0"/>
      <c r="KZQ116" s="0"/>
      <c r="KZR116" s="0"/>
      <c r="KZS116" s="0"/>
      <c r="KZT116" s="0"/>
      <c r="KZU116" s="0"/>
      <c r="KZV116" s="0"/>
      <c r="KZW116" s="0"/>
      <c r="KZX116" s="0"/>
      <c r="KZY116" s="0"/>
      <c r="KZZ116" s="0"/>
      <c r="LAA116" s="0"/>
      <c r="LAB116" s="0"/>
      <c r="LAC116" s="0"/>
      <c r="LAD116" s="0"/>
      <c r="LAE116" s="0"/>
      <c r="LAF116" s="0"/>
      <c r="LAG116" s="0"/>
      <c r="LAH116" s="0"/>
      <c r="LAI116" s="0"/>
      <c r="LAJ116" s="0"/>
      <c r="LAK116" s="0"/>
      <c r="LAL116" s="0"/>
      <c r="LAM116" s="0"/>
      <c r="LAN116" s="0"/>
      <c r="LAO116" s="0"/>
      <c r="LAP116" s="0"/>
      <c r="LAQ116" s="0"/>
      <c r="LAR116" s="0"/>
      <c r="LAS116" s="0"/>
      <c r="LAT116" s="0"/>
      <c r="LAU116" s="0"/>
      <c r="LAV116" s="0"/>
      <c r="LAW116" s="0"/>
      <c r="LAX116" s="0"/>
      <c r="LAY116" s="0"/>
      <c r="LAZ116" s="0"/>
      <c r="LBA116" s="0"/>
      <c r="LBB116" s="0"/>
      <c r="LBC116" s="0"/>
      <c r="LBD116" s="0"/>
      <c r="LBE116" s="0"/>
      <c r="LBF116" s="0"/>
      <c r="LBG116" s="0"/>
      <c r="LBH116" s="0"/>
      <c r="LBI116" s="0"/>
      <c r="LBJ116" s="0"/>
      <c r="LBK116" s="0"/>
      <c r="LBL116" s="0"/>
      <c r="LBM116" s="0"/>
      <c r="LBN116" s="0"/>
      <c r="LBO116" s="0"/>
      <c r="LBP116" s="0"/>
      <c r="LBQ116" s="0"/>
      <c r="LBR116" s="0"/>
      <c r="LBS116" s="0"/>
      <c r="LBT116" s="0"/>
      <c r="LBU116" s="0"/>
      <c r="LBV116" s="0"/>
      <c r="LBW116" s="0"/>
      <c r="LBX116" s="0"/>
      <c r="LBY116" s="0"/>
      <c r="LBZ116" s="0"/>
      <c r="LCA116" s="0"/>
      <c r="LCB116" s="0"/>
      <c r="LCC116" s="0"/>
      <c r="LCD116" s="0"/>
      <c r="LCE116" s="0"/>
      <c r="LCF116" s="0"/>
      <c r="LCG116" s="0"/>
      <c r="LCH116" s="0"/>
      <c r="LCI116" s="0"/>
      <c r="LCJ116" s="0"/>
      <c r="LCK116" s="0"/>
      <c r="LCL116" s="0"/>
      <c r="LCM116" s="0"/>
      <c r="LCN116" s="0"/>
      <c r="LCO116" s="0"/>
      <c r="LCP116" s="0"/>
      <c r="LCQ116" s="0"/>
      <c r="LCR116" s="0"/>
      <c r="LCS116" s="0"/>
      <c r="LCT116" s="0"/>
      <c r="LCU116" s="0"/>
      <c r="LCV116" s="0"/>
      <c r="LCW116" s="0"/>
      <c r="LCX116" s="0"/>
      <c r="LCY116" s="0"/>
      <c r="LCZ116" s="0"/>
      <c r="LDA116" s="0"/>
      <c r="LDB116" s="0"/>
      <c r="LDC116" s="0"/>
      <c r="LDD116" s="0"/>
      <c r="LDE116" s="0"/>
      <c r="LDF116" s="0"/>
      <c r="LDG116" s="0"/>
      <c r="LDH116" s="0"/>
      <c r="LDI116" s="0"/>
      <c r="LDJ116" s="0"/>
      <c r="LDK116" s="0"/>
      <c r="LDL116" s="0"/>
      <c r="LDM116" s="0"/>
      <c r="LDN116" s="0"/>
      <c r="LDO116" s="0"/>
      <c r="LDP116" s="0"/>
      <c r="LDQ116" s="0"/>
      <c r="LDR116" s="0"/>
      <c r="LDS116" s="0"/>
      <c r="LDT116" s="0"/>
      <c r="LDU116" s="0"/>
      <c r="LDV116" s="0"/>
      <c r="LDW116" s="0"/>
      <c r="LDX116" s="0"/>
      <c r="LDY116" s="0"/>
      <c r="LDZ116" s="0"/>
      <c r="LEA116" s="0"/>
      <c r="LEB116" s="0"/>
      <c r="LEC116" s="0"/>
      <c r="LED116" s="0"/>
      <c r="LEE116" s="0"/>
      <c r="LEF116" s="0"/>
      <c r="LEG116" s="0"/>
      <c r="LEH116" s="0"/>
      <c r="LEI116" s="0"/>
      <c r="LEJ116" s="0"/>
      <c r="LEK116" s="0"/>
      <c r="LEL116" s="0"/>
      <c r="LEM116" s="0"/>
      <c r="LEN116" s="0"/>
      <c r="LEO116" s="0"/>
      <c r="LEP116" s="0"/>
      <c r="LEQ116" s="0"/>
      <c r="LER116" s="0"/>
      <c r="LES116" s="0"/>
      <c r="LET116" s="0"/>
      <c r="LEU116" s="0"/>
      <c r="LEV116" s="0"/>
      <c r="LEW116" s="0"/>
      <c r="LEX116" s="0"/>
      <c r="LEY116" s="0"/>
      <c r="LEZ116" s="0"/>
      <c r="LFA116" s="0"/>
      <c r="LFB116" s="0"/>
      <c r="LFC116" s="0"/>
      <c r="LFD116" s="0"/>
      <c r="LFE116" s="0"/>
      <c r="LFF116" s="0"/>
      <c r="LFG116" s="0"/>
      <c r="LFH116" s="0"/>
      <c r="LFI116" s="0"/>
      <c r="LFJ116" s="0"/>
      <c r="LFK116" s="0"/>
      <c r="LFL116" s="0"/>
      <c r="LFM116" s="0"/>
      <c r="LFN116" s="0"/>
      <c r="LFO116" s="0"/>
      <c r="LFP116" s="0"/>
      <c r="LFQ116" s="0"/>
      <c r="LFR116" s="0"/>
      <c r="LFS116" s="0"/>
      <c r="LFT116" s="0"/>
      <c r="LFU116" s="0"/>
      <c r="LFV116" s="0"/>
      <c r="LFW116" s="0"/>
      <c r="LFX116" s="0"/>
      <c r="LFY116" s="0"/>
      <c r="LFZ116" s="0"/>
      <c r="LGA116" s="0"/>
      <c r="LGB116" s="0"/>
      <c r="LGC116" s="0"/>
      <c r="LGD116" s="0"/>
      <c r="LGE116" s="0"/>
      <c r="LGF116" s="0"/>
      <c r="LGG116" s="0"/>
      <c r="LGH116" s="0"/>
      <c r="LGI116" s="0"/>
      <c r="LGJ116" s="0"/>
      <c r="LGK116" s="0"/>
      <c r="LGL116" s="0"/>
      <c r="LGM116" s="0"/>
      <c r="LGN116" s="0"/>
      <c r="LGO116" s="0"/>
      <c r="LGP116" s="0"/>
      <c r="LGQ116" s="0"/>
      <c r="LGR116" s="0"/>
      <c r="LGS116" s="0"/>
      <c r="LGT116" s="0"/>
      <c r="LGU116" s="0"/>
      <c r="LGV116" s="0"/>
      <c r="LGW116" s="0"/>
      <c r="LGX116" s="0"/>
      <c r="LGY116" s="0"/>
      <c r="LGZ116" s="0"/>
      <c r="LHA116" s="0"/>
      <c r="LHB116" s="0"/>
      <c r="LHC116" s="0"/>
      <c r="LHD116" s="0"/>
      <c r="LHE116" s="0"/>
      <c r="LHF116" s="0"/>
      <c r="LHG116" s="0"/>
      <c r="LHH116" s="0"/>
      <c r="LHI116" s="0"/>
      <c r="LHJ116" s="0"/>
      <c r="LHK116" s="0"/>
      <c r="LHL116" s="0"/>
      <c r="LHM116" s="0"/>
      <c r="LHN116" s="0"/>
      <c r="LHO116" s="0"/>
      <c r="LHP116" s="0"/>
      <c r="LHQ116" s="0"/>
      <c r="LHR116" s="0"/>
      <c r="LHS116" s="0"/>
      <c r="LHT116" s="0"/>
      <c r="LHU116" s="0"/>
      <c r="LHV116" s="0"/>
      <c r="LHW116" s="0"/>
      <c r="LHX116" s="0"/>
      <c r="LHY116" s="0"/>
      <c r="LHZ116" s="0"/>
      <c r="LIA116" s="0"/>
      <c r="LIB116" s="0"/>
      <c r="LIC116" s="0"/>
      <c r="LID116" s="0"/>
      <c r="LIE116" s="0"/>
      <c r="LIF116" s="0"/>
      <c r="LIG116" s="0"/>
      <c r="LIH116" s="0"/>
      <c r="LII116" s="0"/>
      <c r="LIJ116" s="0"/>
      <c r="LIK116" s="0"/>
      <c r="LIL116" s="0"/>
      <c r="LIM116" s="0"/>
      <c r="LIN116" s="0"/>
      <c r="LIO116" s="0"/>
      <c r="LIP116" s="0"/>
      <c r="LIQ116" s="0"/>
      <c r="LIR116" s="0"/>
      <c r="LIS116" s="0"/>
      <c r="LIT116" s="0"/>
      <c r="LIU116" s="0"/>
      <c r="LIV116" s="0"/>
      <c r="LIW116" s="0"/>
      <c r="LIX116" s="0"/>
      <c r="LIY116" s="0"/>
      <c r="LIZ116" s="0"/>
      <c r="LJA116" s="0"/>
      <c r="LJB116" s="0"/>
      <c r="LJC116" s="0"/>
      <c r="LJD116" s="0"/>
      <c r="LJE116" s="0"/>
      <c r="LJF116" s="0"/>
      <c r="LJG116" s="0"/>
      <c r="LJH116" s="0"/>
      <c r="LJI116" s="0"/>
      <c r="LJJ116" s="0"/>
      <c r="LJK116" s="0"/>
      <c r="LJL116" s="0"/>
      <c r="LJM116" s="0"/>
      <c r="LJN116" s="0"/>
      <c r="LJO116" s="0"/>
      <c r="LJP116" s="0"/>
      <c r="LJQ116" s="0"/>
      <c r="LJR116" s="0"/>
      <c r="LJS116" s="0"/>
      <c r="LJT116" s="0"/>
      <c r="LJU116" s="0"/>
      <c r="LJV116" s="0"/>
      <c r="LJW116" s="0"/>
      <c r="LJX116" s="0"/>
      <c r="LJY116" s="0"/>
      <c r="LJZ116" s="0"/>
      <c r="LKA116" s="0"/>
      <c r="LKB116" s="0"/>
      <c r="LKC116" s="0"/>
      <c r="LKD116" s="0"/>
      <c r="LKE116" s="0"/>
      <c r="LKF116" s="0"/>
      <c r="LKG116" s="0"/>
      <c r="LKH116" s="0"/>
      <c r="LKI116" s="0"/>
      <c r="LKJ116" s="0"/>
      <c r="LKK116" s="0"/>
      <c r="LKL116" s="0"/>
      <c r="LKM116" s="0"/>
      <c r="LKN116" s="0"/>
      <c r="LKO116" s="0"/>
      <c r="LKP116" s="0"/>
      <c r="LKQ116" s="0"/>
      <c r="LKR116" s="0"/>
      <c r="LKS116" s="0"/>
      <c r="LKT116" s="0"/>
      <c r="LKU116" s="0"/>
      <c r="LKV116" s="0"/>
      <c r="LKW116" s="0"/>
      <c r="LKX116" s="0"/>
      <c r="LKY116" s="0"/>
      <c r="LKZ116" s="0"/>
      <c r="LLA116" s="0"/>
      <c r="LLB116" s="0"/>
      <c r="LLC116" s="0"/>
      <c r="LLD116" s="0"/>
      <c r="LLE116" s="0"/>
      <c r="LLF116" s="0"/>
      <c r="LLG116" s="0"/>
      <c r="LLH116" s="0"/>
      <c r="LLI116" s="0"/>
      <c r="LLJ116" s="0"/>
      <c r="LLK116" s="0"/>
      <c r="LLL116" s="0"/>
      <c r="LLM116" s="0"/>
      <c r="LLN116" s="0"/>
      <c r="LLO116" s="0"/>
      <c r="LLP116" s="0"/>
      <c r="LLQ116" s="0"/>
      <c r="LLR116" s="0"/>
      <c r="LLS116" s="0"/>
      <c r="LLT116" s="0"/>
      <c r="LLU116" s="0"/>
      <c r="LLV116" s="0"/>
      <c r="LLW116" s="0"/>
      <c r="LLX116" s="0"/>
      <c r="LLY116" s="0"/>
      <c r="LLZ116" s="0"/>
      <c r="LMA116" s="0"/>
      <c r="LMB116" s="0"/>
      <c r="LMC116" s="0"/>
      <c r="LMD116" s="0"/>
      <c r="LME116" s="0"/>
      <c r="LMF116" s="0"/>
      <c r="LMG116" s="0"/>
      <c r="LMH116" s="0"/>
      <c r="LMI116" s="0"/>
      <c r="LMJ116" s="0"/>
      <c r="LMK116" s="0"/>
      <c r="LML116" s="0"/>
      <c r="LMM116" s="0"/>
      <c r="LMN116" s="0"/>
      <c r="LMO116" s="0"/>
      <c r="LMP116" s="0"/>
      <c r="LMQ116" s="0"/>
      <c r="LMR116" s="0"/>
      <c r="LMS116" s="0"/>
      <c r="LMT116" s="0"/>
      <c r="LMU116" s="0"/>
      <c r="LMV116" s="0"/>
      <c r="LMW116" s="0"/>
      <c r="LMX116" s="0"/>
      <c r="LMY116" s="0"/>
      <c r="LMZ116" s="0"/>
      <c r="LNA116" s="0"/>
      <c r="LNB116" s="0"/>
      <c r="LNC116" s="0"/>
      <c r="LND116" s="0"/>
      <c r="LNE116" s="0"/>
      <c r="LNF116" s="0"/>
      <c r="LNG116" s="0"/>
      <c r="LNH116" s="0"/>
      <c r="LNI116" s="0"/>
      <c r="LNJ116" s="0"/>
      <c r="LNK116" s="0"/>
      <c r="LNL116" s="0"/>
      <c r="LNM116" s="0"/>
      <c r="LNN116" s="0"/>
      <c r="LNO116" s="0"/>
      <c r="LNP116" s="0"/>
      <c r="LNQ116" s="0"/>
      <c r="LNR116" s="0"/>
      <c r="LNS116" s="0"/>
      <c r="LNT116" s="0"/>
      <c r="LNU116" s="0"/>
      <c r="LNV116" s="0"/>
      <c r="LNW116" s="0"/>
      <c r="LNX116" s="0"/>
      <c r="LNY116" s="0"/>
      <c r="LNZ116" s="0"/>
      <c r="LOA116" s="0"/>
      <c r="LOB116" s="0"/>
      <c r="LOC116" s="0"/>
      <c r="LOD116" s="0"/>
      <c r="LOE116" s="0"/>
      <c r="LOF116" s="0"/>
      <c r="LOG116" s="0"/>
      <c r="LOH116" s="0"/>
      <c r="LOI116" s="0"/>
      <c r="LOJ116" s="0"/>
      <c r="LOK116" s="0"/>
      <c r="LOL116" s="0"/>
      <c r="LOM116" s="0"/>
      <c r="LON116" s="0"/>
      <c r="LOO116" s="0"/>
      <c r="LOP116" s="0"/>
      <c r="LOQ116" s="0"/>
      <c r="LOR116" s="0"/>
      <c r="LOS116" s="0"/>
      <c r="LOT116" s="0"/>
      <c r="LOU116" s="0"/>
      <c r="LOV116" s="0"/>
      <c r="LOW116" s="0"/>
      <c r="LOX116" s="0"/>
      <c r="LOY116" s="0"/>
      <c r="LOZ116" s="0"/>
      <c r="LPA116" s="0"/>
      <c r="LPB116" s="0"/>
      <c r="LPC116" s="0"/>
      <c r="LPD116" s="0"/>
      <c r="LPE116" s="0"/>
      <c r="LPF116" s="0"/>
      <c r="LPG116" s="0"/>
      <c r="LPH116" s="0"/>
      <c r="LPI116" s="0"/>
      <c r="LPJ116" s="0"/>
      <c r="LPK116" s="0"/>
      <c r="LPL116" s="0"/>
      <c r="LPM116" s="0"/>
      <c r="LPN116" s="0"/>
      <c r="LPO116" s="0"/>
      <c r="LPP116" s="0"/>
      <c r="LPQ116" s="0"/>
      <c r="LPR116" s="0"/>
      <c r="LPS116" s="0"/>
      <c r="LPT116" s="0"/>
      <c r="LPU116" s="0"/>
      <c r="LPV116" s="0"/>
      <c r="LPW116" s="0"/>
      <c r="LPX116" s="0"/>
      <c r="LPY116" s="0"/>
      <c r="LPZ116" s="0"/>
      <c r="LQA116" s="0"/>
      <c r="LQB116" s="0"/>
      <c r="LQC116" s="0"/>
      <c r="LQD116" s="0"/>
      <c r="LQE116" s="0"/>
      <c r="LQF116" s="0"/>
      <c r="LQG116" s="0"/>
      <c r="LQH116" s="0"/>
      <c r="LQI116" s="0"/>
      <c r="LQJ116" s="0"/>
      <c r="LQK116" s="0"/>
      <c r="LQL116" s="0"/>
      <c r="LQM116" s="0"/>
      <c r="LQN116" s="0"/>
      <c r="LQO116" s="0"/>
      <c r="LQP116" s="0"/>
      <c r="LQQ116" s="0"/>
      <c r="LQR116" s="0"/>
      <c r="LQS116" s="0"/>
      <c r="LQT116" s="0"/>
      <c r="LQU116" s="0"/>
      <c r="LQV116" s="0"/>
      <c r="LQW116" s="0"/>
      <c r="LQX116" s="0"/>
      <c r="LQY116" s="0"/>
      <c r="LQZ116" s="0"/>
      <c r="LRA116" s="0"/>
      <c r="LRB116" s="0"/>
      <c r="LRC116" s="0"/>
      <c r="LRD116" s="0"/>
      <c r="LRE116" s="0"/>
      <c r="LRF116" s="0"/>
      <c r="LRG116" s="0"/>
      <c r="LRH116" s="0"/>
      <c r="LRI116" s="0"/>
      <c r="LRJ116" s="0"/>
      <c r="LRK116" s="0"/>
      <c r="LRL116" s="0"/>
      <c r="LRM116" s="0"/>
      <c r="LRN116" s="0"/>
      <c r="LRO116" s="0"/>
      <c r="LRP116" s="0"/>
      <c r="LRQ116" s="0"/>
      <c r="LRR116" s="0"/>
      <c r="LRS116" s="0"/>
      <c r="LRT116" s="0"/>
      <c r="LRU116" s="0"/>
      <c r="LRV116" s="0"/>
      <c r="LRW116" s="0"/>
      <c r="LRX116" s="0"/>
      <c r="LRY116" s="0"/>
      <c r="LRZ116" s="0"/>
      <c r="LSA116" s="0"/>
      <c r="LSB116" s="0"/>
      <c r="LSC116" s="0"/>
      <c r="LSD116" s="0"/>
      <c r="LSE116" s="0"/>
      <c r="LSF116" s="0"/>
      <c r="LSG116" s="0"/>
      <c r="LSH116" s="0"/>
      <c r="LSI116" s="0"/>
      <c r="LSJ116" s="0"/>
      <c r="LSK116" s="0"/>
      <c r="LSL116" s="0"/>
      <c r="LSM116" s="0"/>
      <c r="LSN116" s="0"/>
      <c r="LSO116" s="0"/>
      <c r="LSP116" s="0"/>
      <c r="LSQ116" s="0"/>
      <c r="LSR116" s="0"/>
      <c r="LSS116" s="0"/>
      <c r="LST116" s="0"/>
      <c r="LSU116" s="0"/>
      <c r="LSV116" s="0"/>
      <c r="LSW116" s="0"/>
      <c r="LSX116" s="0"/>
      <c r="LSY116" s="0"/>
      <c r="LSZ116" s="0"/>
      <c r="LTA116" s="0"/>
      <c r="LTB116" s="0"/>
      <c r="LTC116" s="0"/>
      <c r="LTD116" s="0"/>
      <c r="LTE116" s="0"/>
      <c r="LTF116" s="0"/>
      <c r="LTG116" s="0"/>
      <c r="LTH116" s="0"/>
      <c r="LTI116" s="0"/>
      <c r="LTJ116" s="0"/>
      <c r="LTK116" s="0"/>
      <c r="LTL116" s="0"/>
      <c r="LTM116" s="0"/>
      <c r="LTN116" s="0"/>
      <c r="LTO116" s="0"/>
      <c r="LTP116" s="0"/>
      <c r="LTQ116" s="0"/>
      <c r="LTR116" s="0"/>
      <c r="LTS116" s="0"/>
      <c r="LTT116" s="0"/>
      <c r="LTU116" s="0"/>
      <c r="LTV116" s="0"/>
      <c r="LTW116" s="0"/>
      <c r="LTX116" s="0"/>
      <c r="LTY116" s="0"/>
      <c r="LTZ116" s="0"/>
      <c r="LUA116" s="0"/>
      <c r="LUB116" s="0"/>
      <c r="LUC116" s="0"/>
      <c r="LUD116" s="0"/>
      <c r="LUE116" s="0"/>
      <c r="LUF116" s="0"/>
      <c r="LUG116" s="0"/>
      <c r="LUH116" s="0"/>
      <c r="LUI116" s="0"/>
      <c r="LUJ116" s="0"/>
      <c r="LUK116" s="0"/>
      <c r="LUL116" s="0"/>
      <c r="LUM116" s="0"/>
      <c r="LUN116" s="0"/>
      <c r="LUO116" s="0"/>
      <c r="LUP116" s="0"/>
      <c r="LUQ116" s="0"/>
      <c r="LUR116" s="0"/>
      <c r="LUS116" s="0"/>
      <c r="LUT116" s="0"/>
      <c r="LUU116" s="0"/>
      <c r="LUV116" s="0"/>
      <c r="LUW116" s="0"/>
      <c r="LUX116" s="0"/>
      <c r="LUY116" s="0"/>
      <c r="LUZ116" s="0"/>
      <c r="LVA116" s="0"/>
      <c r="LVB116" s="0"/>
      <c r="LVC116" s="0"/>
      <c r="LVD116" s="0"/>
      <c r="LVE116" s="0"/>
      <c r="LVF116" s="0"/>
      <c r="LVG116" s="0"/>
      <c r="LVH116" s="0"/>
      <c r="LVI116" s="0"/>
      <c r="LVJ116" s="0"/>
      <c r="LVK116" s="0"/>
      <c r="LVL116" s="0"/>
      <c r="LVM116" s="0"/>
      <c r="LVN116" s="0"/>
      <c r="LVO116" s="0"/>
      <c r="LVP116" s="0"/>
      <c r="LVQ116" s="0"/>
      <c r="LVR116" s="0"/>
      <c r="LVS116" s="0"/>
      <c r="LVT116" s="0"/>
      <c r="LVU116" s="0"/>
      <c r="LVV116" s="0"/>
      <c r="LVW116" s="0"/>
      <c r="LVX116" s="0"/>
      <c r="LVY116" s="0"/>
      <c r="LVZ116" s="0"/>
      <c r="LWA116" s="0"/>
      <c r="LWB116" s="0"/>
      <c r="LWC116" s="0"/>
      <c r="LWD116" s="0"/>
      <c r="LWE116" s="0"/>
      <c r="LWF116" s="0"/>
      <c r="LWG116" s="0"/>
      <c r="LWH116" s="0"/>
      <c r="LWI116" s="0"/>
      <c r="LWJ116" s="0"/>
      <c r="LWK116" s="0"/>
      <c r="LWL116" s="0"/>
      <c r="LWM116" s="0"/>
      <c r="LWN116" s="0"/>
      <c r="LWO116" s="0"/>
      <c r="LWP116" s="0"/>
      <c r="LWQ116" s="0"/>
      <c r="LWR116" s="0"/>
      <c r="LWS116" s="0"/>
      <c r="LWT116" s="0"/>
      <c r="LWU116" s="0"/>
      <c r="LWV116" s="0"/>
      <c r="LWW116" s="0"/>
      <c r="LWX116" s="0"/>
      <c r="LWY116" s="0"/>
      <c r="LWZ116" s="0"/>
      <c r="LXA116" s="0"/>
      <c r="LXB116" s="0"/>
      <c r="LXC116" s="0"/>
      <c r="LXD116" s="0"/>
      <c r="LXE116" s="0"/>
      <c r="LXF116" s="0"/>
      <c r="LXG116" s="0"/>
      <c r="LXH116" s="0"/>
      <c r="LXI116" s="0"/>
      <c r="LXJ116" s="0"/>
      <c r="LXK116" s="0"/>
      <c r="LXL116" s="0"/>
      <c r="LXM116" s="0"/>
      <c r="LXN116" s="0"/>
      <c r="LXO116" s="0"/>
      <c r="LXP116" s="0"/>
      <c r="LXQ116" s="0"/>
      <c r="LXR116" s="0"/>
      <c r="LXS116" s="0"/>
      <c r="LXT116" s="0"/>
      <c r="LXU116" s="0"/>
      <c r="LXV116" s="0"/>
      <c r="LXW116" s="0"/>
      <c r="LXX116" s="0"/>
      <c r="LXY116" s="0"/>
      <c r="LXZ116" s="0"/>
      <c r="LYA116" s="0"/>
      <c r="LYB116" s="0"/>
      <c r="LYC116" s="0"/>
      <c r="LYD116" s="0"/>
      <c r="LYE116" s="0"/>
      <c r="LYF116" s="0"/>
      <c r="LYG116" s="0"/>
      <c r="LYH116" s="0"/>
      <c r="LYI116" s="0"/>
      <c r="LYJ116" s="0"/>
      <c r="LYK116" s="0"/>
      <c r="LYL116" s="0"/>
      <c r="LYM116" s="0"/>
      <c r="LYN116" s="0"/>
      <c r="LYO116" s="0"/>
      <c r="LYP116" s="0"/>
      <c r="LYQ116" s="0"/>
      <c r="LYR116" s="0"/>
      <c r="LYS116" s="0"/>
      <c r="LYT116" s="0"/>
      <c r="LYU116" s="0"/>
      <c r="LYV116" s="0"/>
      <c r="LYW116" s="0"/>
      <c r="LYX116" s="0"/>
      <c r="LYY116" s="0"/>
      <c r="LYZ116" s="0"/>
      <c r="LZA116" s="0"/>
      <c r="LZB116" s="0"/>
      <c r="LZC116" s="0"/>
      <c r="LZD116" s="0"/>
      <c r="LZE116" s="0"/>
      <c r="LZF116" s="0"/>
      <c r="LZG116" s="0"/>
      <c r="LZH116" s="0"/>
      <c r="LZI116" s="0"/>
      <c r="LZJ116" s="0"/>
      <c r="LZK116" s="0"/>
      <c r="LZL116" s="0"/>
      <c r="LZM116" s="0"/>
      <c r="LZN116" s="0"/>
      <c r="LZO116" s="0"/>
      <c r="LZP116" s="0"/>
      <c r="LZQ116" s="0"/>
      <c r="LZR116" s="0"/>
      <c r="LZS116" s="0"/>
      <c r="LZT116" s="0"/>
      <c r="LZU116" s="0"/>
      <c r="LZV116" s="0"/>
      <c r="LZW116" s="0"/>
      <c r="LZX116" s="0"/>
      <c r="LZY116" s="0"/>
      <c r="LZZ116" s="0"/>
      <c r="MAA116" s="0"/>
      <c r="MAB116" s="0"/>
      <c r="MAC116" s="0"/>
      <c r="MAD116" s="0"/>
      <c r="MAE116" s="0"/>
      <c r="MAF116" s="0"/>
      <c r="MAG116" s="0"/>
      <c r="MAH116" s="0"/>
      <c r="MAI116" s="0"/>
      <c r="MAJ116" s="0"/>
      <c r="MAK116" s="0"/>
      <c r="MAL116" s="0"/>
      <c r="MAM116" s="0"/>
      <c r="MAN116" s="0"/>
      <c r="MAO116" s="0"/>
      <c r="MAP116" s="0"/>
      <c r="MAQ116" s="0"/>
      <c r="MAR116" s="0"/>
      <c r="MAS116" s="0"/>
      <c r="MAT116" s="0"/>
      <c r="MAU116" s="0"/>
      <c r="MAV116" s="0"/>
      <c r="MAW116" s="0"/>
      <c r="MAX116" s="0"/>
      <c r="MAY116" s="0"/>
      <c r="MAZ116" s="0"/>
      <c r="MBA116" s="0"/>
      <c r="MBB116" s="0"/>
      <c r="MBC116" s="0"/>
      <c r="MBD116" s="0"/>
      <c r="MBE116" s="0"/>
      <c r="MBF116" s="0"/>
      <c r="MBG116" s="0"/>
      <c r="MBH116" s="0"/>
      <c r="MBI116" s="0"/>
      <c r="MBJ116" s="0"/>
      <c r="MBK116" s="0"/>
      <c r="MBL116" s="0"/>
      <c r="MBM116" s="0"/>
      <c r="MBN116" s="0"/>
      <c r="MBO116" s="0"/>
      <c r="MBP116" s="0"/>
      <c r="MBQ116" s="0"/>
      <c r="MBR116" s="0"/>
      <c r="MBS116" s="0"/>
      <c r="MBT116" s="0"/>
      <c r="MBU116" s="0"/>
      <c r="MBV116" s="0"/>
      <c r="MBW116" s="0"/>
      <c r="MBX116" s="0"/>
      <c r="MBY116" s="0"/>
      <c r="MBZ116" s="0"/>
      <c r="MCA116" s="0"/>
      <c r="MCB116" s="0"/>
      <c r="MCC116" s="0"/>
      <c r="MCD116" s="0"/>
      <c r="MCE116" s="0"/>
      <c r="MCF116" s="0"/>
      <c r="MCG116" s="0"/>
      <c r="MCH116" s="0"/>
      <c r="MCI116" s="0"/>
      <c r="MCJ116" s="0"/>
      <c r="MCK116" s="0"/>
      <c r="MCL116" s="0"/>
      <c r="MCM116" s="0"/>
      <c r="MCN116" s="0"/>
      <c r="MCO116" s="0"/>
      <c r="MCP116" s="0"/>
      <c r="MCQ116" s="0"/>
      <c r="MCR116" s="0"/>
      <c r="MCS116" s="0"/>
      <c r="MCT116" s="0"/>
      <c r="MCU116" s="0"/>
      <c r="MCV116" s="0"/>
      <c r="MCW116" s="0"/>
      <c r="MCX116" s="0"/>
      <c r="MCY116" s="0"/>
      <c r="MCZ116" s="0"/>
      <c r="MDA116" s="0"/>
      <c r="MDB116" s="0"/>
      <c r="MDC116" s="0"/>
      <c r="MDD116" s="0"/>
      <c r="MDE116" s="0"/>
      <c r="MDF116" s="0"/>
      <c r="MDG116" s="0"/>
      <c r="MDH116" s="0"/>
      <c r="MDI116" s="0"/>
      <c r="MDJ116" s="0"/>
      <c r="MDK116" s="0"/>
      <c r="MDL116" s="0"/>
      <c r="MDM116" s="0"/>
      <c r="MDN116" s="0"/>
      <c r="MDO116" s="0"/>
      <c r="MDP116" s="0"/>
      <c r="MDQ116" s="0"/>
      <c r="MDR116" s="0"/>
      <c r="MDS116" s="0"/>
      <c r="MDT116" s="0"/>
      <c r="MDU116" s="0"/>
      <c r="MDV116" s="0"/>
      <c r="MDW116" s="0"/>
      <c r="MDX116" s="0"/>
      <c r="MDY116" s="0"/>
      <c r="MDZ116" s="0"/>
      <c r="MEA116" s="0"/>
      <c r="MEB116" s="0"/>
      <c r="MEC116" s="0"/>
      <c r="MED116" s="0"/>
      <c r="MEE116" s="0"/>
      <c r="MEF116" s="0"/>
      <c r="MEG116" s="0"/>
      <c r="MEH116" s="0"/>
      <c r="MEI116" s="0"/>
      <c r="MEJ116" s="0"/>
      <c r="MEK116" s="0"/>
      <c r="MEL116" s="0"/>
      <c r="MEM116" s="0"/>
      <c r="MEN116" s="0"/>
      <c r="MEO116" s="0"/>
      <c r="MEP116" s="0"/>
      <c r="MEQ116" s="0"/>
      <c r="MER116" s="0"/>
      <c r="MES116" s="0"/>
      <c r="MET116" s="0"/>
      <c r="MEU116" s="0"/>
      <c r="MEV116" s="0"/>
      <c r="MEW116" s="0"/>
      <c r="MEX116" s="0"/>
      <c r="MEY116" s="0"/>
      <c r="MEZ116" s="0"/>
      <c r="MFA116" s="0"/>
      <c r="MFB116" s="0"/>
      <c r="MFC116" s="0"/>
      <c r="MFD116" s="0"/>
      <c r="MFE116" s="0"/>
      <c r="MFF116" s="0"/>
      <c r="MFG116" s="0"/>
      <c r="MFH116" s="0"/>
      <c r="MFI116" s="0"/>
      <c r="MFJ116" s="0"/>
      <c r="MFK116" s="0"/>
      <c r="MFL116" s="0"/>
      <c r="MFM116" s="0"/>
      <c r="MFN116" s="0"/>
      <c r="MFO116" s="0"/>
      <c r="MFP116" s="0"/>
      <c r="MFQ116" s="0"/>
      <c r="MFR116" s="0"/>
      <c r="MFS116" s="0"/>
      <c r="MFT116" s="0"/>
      <c r="MFU116" s="0"/>
      <c r="MFV116" s="0"/>
      <c r="MFW116" s="0"/>
      <c r="MFX116" s="0"/>
      <c r="MFY116" s="0"/>
      <c r="MFZ116" s="0"/>
      <c r="MGA116" s="0"/>
      <c r="MGB116" s="0"/>
      <c r="MGC116" s="0"/>
      <c r="MGD116" s="0"/>
      <c r="MGE116" s="0"/>
      <c r="MGF116" s="0"/>
      <c r="MGG116" s="0"/>
      <c r="MGH116" s="0"/>
      <c r="MGI116" s="0"/>
      <c r="MGJ116" s="0"/>
      <c r="MGK116" s="0"/>
      <c r="MGL116" s="0"/>
      <c r="MGM116" s="0"/>
      <c r="MGN116" s="0"/>
      <c r="MGO116" s="0"/>
      <c r="MGP116" s="0"/>
      <c r="MGQ116" s="0"/>
      <c r="MGR116" s="0"/>
      <c r="MGS116" s="0"/>
      <c r="MGT116" s="0"/>
      <c r="MGU116" s="0"/>
      <c r="MGV116" s="0"/>
      <c r="MGW116" s="0"/>
      <c r="MGX116" s="0"/>
      <c r="MGY116" s="0"/>
      <c r="MGZ116" s="0"/>
      <c r="MHA116" s="0"/>
      <c r="MHB116" s="0"/>
      <c r="MHC116" s="0"/>
      <c r="MHD116" s="0"/>
      <c r="MHE116" s="0"/>
      <c r="MHF116" s="0"/>
      <c r="MHG116" s="0"/>
      <c r="MHH116" s="0"/>
      <c r="MHI116" s="0"/>
      <c r="MHJ116" s="0"/>
      <c r="MHK116" s="0"/>
      <c r="MHL116" s="0"/>
      <c r="MHM116" s="0"/>
      <c r="MHN116" s="0"/>
      <c r="MHO116" s="0"/>
      <c r="MHP116" s="0"/>
      <c r="MHQ116" s="0"/>
      <c r="MHR116" s="0"/>
      <c r="MHS116" s="0"/>
      <c r="MHT116" s="0"/>
      <c r="MHU116" s="0"/>
      <c r="MHV116" s="0"/>
      <c r="MHW116" s="0"/>
      <c r="MHX116" s="0"/>
      <c r="MHY116" s="0"/>
      <c r="MHZ116" s="0"/>
      <c r="MIA116" s="0"/>
      <c r="MIB116" s="0"/>
      <c r="MIC116" s="0"/>
      <c r="MID116" s="0"/>
      <c r="MIE116" s="0"/>
      <c r="MIF116" s="0"/>
      <c r="MIG116" s="0"/>
      <c r="MIH116" s="0"/>
      <c r="MII116" s="0"/>
      <c r="MIJ116" s="0"/>
      <c r="MIK116" s="0"/>
      <c r="MIL116" s="0"/>
      <c r="MIM116" s="0"/>
      <c r="MIN116" s="0"/>
      <c r="MIO116" s="0"/>
      <c r="MIP116" s="0"/>
      <c r="MIQ116" s="0"/>
      <c r="MIR116" s="0"/>
      <c r="MIS116" s="0"/>
      <c r="MIT116" s="0"/>
      <c r="MIU116" s="0"/>
      <c r="MIV116" s="0"/>
      <c r="MIW116" s="0"/>
      <c r="MIX116" s="0"/>
      <c r="MIY116" s="0"/>
      <c r="MIZ116" s="0"/>
      <c r="MJA116" s="0"/>
      <c r="MJB116" s="0"/>
      <c r="MJC116" s="0"/>
      <c r="MJD116" s="0"/>
      <c r="MJE116" s="0"/>
      <c r="MJF116" s="0"/>
      <c r="MJG116" s="0"/>
      <c r="MJH116" s="0"/>
      <c r="MJI116" s="0"/>
      <c r="MJJ116" s="0"/>
      <c r="MJK116" s="0"/>
      <c r="MJL116" s="0"/>
      <c r="MJM116" s="0"/>
      <c r="MJN116" s="0"/>
      <c r="MJO116" s="0"/>
      <c r="MJP116" s="0"/>
      <c r="MJQ116" s="0"/>
      <c r="MJR116" s="0"/>
      <c r="MJS116" s="0"/>
      <c r="MJT116" s="0"/>
      <c r="MJU116" s="0"/>
      <c r="MJV116" s="0"/>
      <c r="MJW116" s="0"/>
      <c r="MJX116" s="0"/>
      <c r="MJY116" s="0"/>
      <c r="MJZ116" s="0"/>
      <c r="MKA116" s="0"/>
      <c r="MKB116" s="0"/>
      <c r="MKC116" s="0"/>
      <c r="MKD116" s="0"/>
      <c r="MKE116" s="0"/>
      <c r="MKF116" s="0"/>
      <c r="MKG116" s="0"/>
      <c r="MKH116" s="0"/>
      <c r="MKI116" s="0"/>
      <c r="MKJ116" s="0"/>
      <c r="MKK116" s="0"/>
      <c r="MKL116" s="0"/>
      <c r="MKM116" s="0"/>
      <c r="MKN116" s="0"/>
      <c r="MKO116" s="0"/>
      <c r="MKP116" s="0"/>
      <c r="MKQ116" s="0"/>
      <c r="MKR116" s="0"/>
      <c r="MKS116" s="0"/>
      <c r="MKT116" s="0"/>
      <c r="MKU116" s="0"/>
      <c r="MKV116" s="0"/>
      <c r="MKW116" s="0"/>
      <c r="MKX116" s="0"/>
      <c r="MKY116" s="0"/>
      <c r="MKZ116" s="0"/>
      <c r="MLA116" s="0"/>
      <c r="MLB116" s="0"/>
      <c r="MLC116" s="0"/>
      <c r="MLD116" s="0"/>
      <c r="MLE116" s="0"/>
      <c r="MLF116" s="0"/>
      <c r="MLG116" s="0"/>
      <c r="MLH116" s="0"/>
      <c r="MLI116" s="0"/>
      <c r="MLJ116" s="0"/>
      <c r="MLK116" s="0"/>
      <c r="MLL116" s="0"/>
      <c r="MLM116" s="0"/>
      <c r="MLN116" s="0"/>
      <c r="MLO116" s="0"/>
      <c r="MLP116" s="0"/>
      <c r="MLQ116" s="0"/>
      <c r="MLR116" s="0"/>
      <c r="MLS116" s="0"/>
      <c r="MLT116" s="0"/>
      <c r="MLU116" s="0"/>
      <c r="MLV116" s="0"/>
      <c r="MLW116" s="0"/>
      <c r="MLX116" s="0"/>
      <c r="MLY116" s="0"/>
      <c r="MLZ116" s="0"/>
      <c r="MMA116" s="0"/>
      <c r="MMB116" s="0"/>
      <c r="MMC116" s="0"/>
      <c r="MMD116" s="0"/>
      <c r="MME116" s="0"/>
      <c r="MMF116" s="0"/>
      <c r="MMG116" s="0"/>
      <c r="MMH116" s="0"/>
      <c r="MMI116" s="0"/>
      <c r="MMJ116" s="0"/>
      <c r="MMK116" s="0"/>
      <c r="MML116" s="0"/>
      <c r="MMM116" s="0"/>
      <c r="MMN116" s="0"/>
      <c r="MMO116" s="0"/>
      <c r="MMP116" s="0"/>
      <c r="MMQ116" s="0"/>
      <c r="MMR116" s="0"/>
      <c r="MMS116" s="0"/>
      <c r="MMT116" s="0"/>
      <c r="MMU116" s="0"/>
      <c r="MMV116" s="0"/>
      <c r="MMW116" s="0"/>
      <c r="MMX116" s="0"/>
      <c r="MMY116" s="0"/>
      <c r="MMZ116" s="0"/>
      <c r="MNA116" s="0"/>
      <c r="MNB116" s="0"/>
      <c r="MNC116" s="0"/>
      <c r="MND116" s="0"/>
      <c r="MNE116" s="0"/>
      <c r="MNF116" s="0"/>
      <c r="MNG116" s="0"/>
      <c r="MNH116" s="0"/>
      <c r="MNI116" s="0"/>
      <c r="MNJ116" s="0"/>
      <c r="MNK116" s="0"/>
      <c r="MNL116" s="0"/>
      <c r="MNM116" s="0"/>
      <c r="MNN116" s="0"/>
      <c r="MNO116" s="0"/>
      <c r="MNP116" s="0"/>
      <c r="MNQ116" s="0"/>
      <c r="MNR116" s="0"/>
      <c r="MNS116" s="0"/>
      <c r="MNT116" s="0"/>
      <c r="MNU116" s="0"/>
      <c r="MNV116" s="0"/>
      <c r="MNW116" s="0"/>
      <c r="MNX116" s="0"/>
      <c r="MNY116" s="0"/>
      <c r="MNZ116" s="0"/>
      <c r="MOA116" s="0"/>
      <c r="MOB116" s="0"/>
      <c r="MOC116" s="0"/>
      <c r="MOD116" s="0"/>
      <c r="MOE116" s="0"/>
      <c r="MOF116" s="0"/>
      <c r="MOG116" s="0"/>
      <c r="MOH116" s="0"/>
      <c r="MOI116" s="0"/>
      <c r="MOJ116" s="0"/>
      <c r="MOK116" s="0"/>
      <c r="MOL116" s="0"/>
      <c r="MOM116" s="0"/>
      <c r="MON116" s="0"/>
      <c r="MOO116" s="0"/>
      <c r="MOP116" s="0"/>
      <c r="MOQ116" s="0"/>
      <c r="MOR116" s="0"/>
      <c r="MOS116" s="0"/>
      <c r="MOT116" s="0"/>
      <c r="MOU116" s="0"/>
      <c r="MOV116" s="0"/>
      <c r="MOW116" s="0"/>
      <c r="MOX116" s="0"/>
      <c r="MOY116" s="0"/>
      <c r="MOZ116" s="0"/>
      <c r="MPA116" s="0"/>
      <c r="MPB116" s="0"/>
      <c r="MPC116" s="0"/>
      <c r="MPD116" s="0"/>
      <c r="MPE116" s="0"/>
      <c r="MPF116" s="0"/>
      <c r="MPG116" s="0"/>
      <c r="MPH116" s="0"/>
      <c r="MPI116" s="0"/>
      <c r="MPJ116" s="0"/>
      <c r="MPK116" s="0"/>
      <c r="MPL116" s="0"/>
      <c r="MPM116" s="0"/>
      <c r="MPN116" s="0"/>
      <c r="MPO116" s="0"/>
      <c r="MPP116" s="0"/>
      <c r="MPQ116" s="0"/>
      <c r="MPR116" s="0"/>
      <c r="MPS116" s="0"/>
      <c r="MPT116" s="0"/>
      <c r="MPU116" s="0"/>
      <c r="MPV116" s="0"/>
      <c r="MPW116" s="0"/>
      <c r="MPX116" s="0"/>
      <c r="MPY116" s="0"/>
      <c r="MPZ116" s="0"/>
      <c r="MQA116" s="0"/>
      <c r="MQB116" s="0"/>
      <c r="MQC116" s="0"/>
      <c r="MQD116" s="0"/>
      <c r="MQE116" s="0"/>
      <c r="MQF116" s="0"/>
      <c r="MQG116" s="0"/>
      <c r="MQH116" s="0"/>
      <c r="MQI116" s="0"/>
      <c r="MQJ116" s="0"/>
      <c r="MQK116" s="0"/>
      <c r="MQL116" s="0"/>
      <c r="MQM116" s="0"/>
      <c r="MQN116" s="0"/>
      <c r="MQO116" s="0"/>
      <c r="MQP116" s="0"/>
      <c r="MQQ116" s="0"/>
      <c r="MQR116" s="0"/>
      <c r="MQS116" s="0"/>
      <c r="MQT116" s="0"/>
      <c r="MQU116" s="0"/>
      <c r="MQV116" s="0"/>
      <c r="MQW116" s="0"/>
      <c r="MQX116" s="0"/>
      <c r="MQY116" s="0"/>
      <c r="MQZ116" s="0"/>
      <c r="MRA116" s="0"/>
      <c r="MRB116" s="0"/>
      <c r="MRC116" s="0"/>
      <c r="MRD116" s="0"/>
      <c r="MRE116" s="0"/>
      <c r="MRF116" s="0"/>
      <c r="MRG116" s="0"/>
      <c r="MRH116" s="0"/>
      <c r="MRI116" s="0"/>
      <c r="MRJ116" s="0"/>
      <c r="MRK116" s="0"/>
      <c r="MRL116" s="0"/>
      <c r="MRM116" s="0"/>
      <c r="MRN116" s="0"/>
      <c r="MRO116" s="0"/>
      <c r="MRP116" s="0"/>
      <c r="MRQ116" s="0"/>
      <c r="MRR116" s="0"/>
      <c r="MRS116" s="0"/>
      <c r="MRT116" s="0"/>
      <c r="MRU116" s="0"/>
      <c r="MRV116" s="0"/>
      <c r="MRW116" s="0"/>
      <c r="MRX116" s="0"/>
      <c r="MRY116" s="0"/>
      <c r="MRZ116" s="0"/>
      <c r="MSA116" s="0"/>
      <c r="MSB116" s="0"/>
      <c r="MSC116" s="0"/>
      <c r="MSD116" s="0"/>
      <c r="MSE116" s="0"/>
      <c r="MSF116" s="0"/>
      <c r="MSG116" s="0"/>
      <c r="MSH116" s="0"/>
      <c r="MSI116" s="0"/>
      <c r="MSJ116" s="0"/>
      <c r="MSK116" s="0"/>
      <c r="MSL116" s="0"/>
      <c r="MSM116" s="0"/>
      <c r="MSN116" s="0"/>
      <c r="MSO116" s="0"/>
      <c r="MSP116" s="0"/>
      <c r="MSQ116" s="0"/>
      <c r="MSR116" s="0"/>
      <c r="MSS116" s="0"/>
      <c r="MST116" s="0"/>
      <c r="MSU116" s="0"/>
      <c r="MSV116" s="0"/>
      <c r="MSW116" s="0"/>
      <c r="MSX116" s="0"/>
      <c r="MSY116" s="0"/>
      <c r="MSZ116" s="0"/>
      <c r="MTA116" s="0"/>
      <c r="MTB116" s="0"/>
      <c r="MTC116" s="0"/>
      <c r="MTD116" s="0"/>
      <c r="MTE116" s="0"/>
      <c r="MTF116" s="0"/>
      <c r="MTG116" s="0"/>
      <c r="MTH116" s="0"/>
      <c r="MTI116" s="0"/>
      <c r="MTJ116" s="0"/>
      <c r="MTK116" s="0"/>
      <c r="MTL116" s="0"/>
      <c r="MTM116" s="0"/>
      <c r="MTN116" s="0"/>
      <c r="MTO116" s="0"/>
      <c r="MTP116" s="0"/>
      <c r="MTQ116" s="0"/>
      <c r="MTR116" s="0"/>
      <c r="MTS116" s="0"/>
      <c r="MTT116" s="0"/>
      <c r="MTU116" s="0"/>
      <c r="MTV116" s="0"/>
      <c r="MTW116" s="0"/>
      <c r="MTX116" s="0"/>
      <c r="MTY116" s="0"/>
      <c r="MTZ116" s="0"/>
      <c r="MUA116" s="0"/>
      <c r="MUB116" s="0"/>
      <c r="MUC116" s="0"/>
      <c r="MUD116" s="0"/>
      <c r="MUE116" s="0"/>
      <c r="MUF116" s="0"/>
      <c r="MUG116" s="0"/>
      <c r="MUH116" s="0"/>
      <c r="MUI116" s="0"/>
      <c r="MUJ116" s="0"/>
      <c r="MUK116" s="0"/>
      <c r="MUL116" s="0"/>
      <c r="MUM116" s="0"/>
      <c r="MUN116" s="0"/>
      <c r="MUO116" s="0"/>
      <c r="MUP116" s="0"/>
      <c r="MUQ116" s="0"/>
      <c r="MUR116" s="0"/>
      <c r="MUS116" s="0"/>
      <c r="MUT116" s="0"/>
      <c r="MUU116" s="0"/>
      <c r="MUV116" s="0"/>
      <c r="MUW116" s="0"/>
      <c r="MUX116" s="0"/>
      <c r="MUY116" s="0"/>
      <c r="MUZ116" s="0"/>
      <c r="MVA116" s="0"/>
      <c r="MVB116" s="0"/>
      <c r="MVC116" s="0"/>
      <c r="MVD116" s="0"/>
      <c r="MVE116" s="0"/>
      <c r="MVF116" s="0"/>
      <c r="MVG116" s="0"/>
      <c r="MVH116" s="0"/>
      <c r="MVI116" s="0"/>
      <c r="MVJ116" s="0"/>
      <c r="MVK116" s="0"/>
      <c r="MVL116" s="0"/>
      <c r="MVM116" s="0"/>
      <c r="MVN116" s="0"/>
      <c r="MVO116" s="0"/>
      <c r="MVP116" s="0"/>
      <c r="MVQ116" s="0"/>
      <c r="MVR116" s="0"/>
      <c r="MVS116" s="0"/>
      <c r="MVT116" s="0"/>
      <c r="MVU116" s="0"/>
      <c r="MVV116" s="0"/>
      <c r="MVW116" s="0"/>
      <c r="MVX116" s="0"/>
      <c r="MVY116" s="0"/>
      <c r="MVZ116" s="0"/>
      <c r="MWA116" s="0"/>
      <c r="MWB116" s="0"/>
      <c r="MWC116" s="0"/>
      <c r="MWD116" s="0"/>
      <c r="MWE116" s="0"/>
      <c r="MWF116" s="0"/>
      <c r="MWG116" s="0"/>
      <c r="MWH116" s="0"/>
      <c r="MWI116" s="0"/>
      <c r="MWJ116" s="0"/>
      <c r="MWK116" s="0"/>
      <c r="MWL116" s="0"/>
      <c r="MWM116" s="0"/>
      <c r="MWN116" s="0"/>
      <c r="MWO116" s="0"/>
      <c r="MWP116" s="0"/>
      <c r="MWQ116" s="0"/>
      <c r="MWR116" s="0"/>
      <c r="MWS116" s="0"/>
      <c r="MWT116" s="0"/>
      <c r="MWU116" s="0"/>
      <c r="MWV116" s="0"/>
      <c r="MWW116" s="0"/>
      <c r="MWX116" s="0"/>
      <c r="MWY116" s="0"/>
      <c r="MWZ116" s="0"/>
      <c r="MXA116" s="0"/>
      <c r="MXB116" s="0"/>
      <c r="MXC116" s="0"/>
      <c r="MXD116" s="0"/>
      <c r="MXE116" s="0"/>
      <c r="MXF116" s="0"/>
      <c r="MXG116" s="0"/>
      <c r="MXH116" s="0"/>
      <c r="MXI116" s="0"/>
      <c r="MXJ116" s="0"/>
      <c r="MXK116" s="0"/>
      <c r="MXL116" s="0"/>
      <c r="MXM116" s="0"/>
      <c r="MXN116" s="0"/>
      <c r="MXO116" s="0"/>
      <c r="MXP116" s="0"/>
      <c r="MXQ116" s="0"/>
      <c r="MXR116" s="0"/>
      <c r="MXS116" s="0"/>
      <c r="MXT116" s="0"/>
      <c r="MXU116" s="0"/>
      <c r="MXV116" s="0"/>
      <c r="MXW116" s="0"/>
      <c r="MXX116" s="0"/>
      <c r="MXY116" s="0"/>
      <c r="MXZ116" s="0"/>
      <c r="MYA116" s="0"/>
      <c r="MYB116" s="0"/>
      <c r="MYC116" s="0"/>
      <c r="MYD116" s="0"/>
      <c r="MYE116" s="0"/>
      <c r="MYF116" s="0"/>
      <c r="MYG116" s="0"/>
      <c r="MYH116" s="0"/>
      <c r="MYI116" s="0"/>
      <c r="MYJ116" s="0"/>
      <c r="MYK116" s="0"/>
      <c r="MYL116" s="0"/>
      <c r="MYM116" s="0"/>
      <c r="MYN116" s="0"/>
      <c r="MYO116" s="0"/>
      <c r="MYP116" s="0"/>
      <c r="MYQ116" s="0"/>
      <c r="MYR116" s="0"/>
      <c r="MYS116" s="0"/>
      <c r="MYT116" s="0"/>
      <c r="MYU116" s="0"/>
      <c r="MYV116" s="0"/>
      <c r="MYW116" s="0"/>
      <c r="MYX116" s="0"/>
      <c r="MYY116" s="0"/>
      <c r="MYZ116" s="0"/>
      <c r="MZA116" s="0"/>
      <c r="MZB116" s="0"/>
      <c r="MZC116" s="0"/>
      <c r="MZD116" s="0"/>
      <c r="MZE116" s="0"/>
      <c r="MZF116" s="0"/>
      <c r="MZG116" s="0"/>
      <c r="MZH116" s="0"/>
      <c r="MZI116" s="0"/>
      <c r="MZJ116" s="0"/>
      <c r="MZK116" s="0"/>
      <c r="MZL116" s="0"/>
      <c r="MZM116" s="0"/>
      <c r="MZN116" s="0"/>
      <c r="MZO116" s="0"/>
      <c r="MZP116" s="0"/>
      <c r="MZQ116" s="0"/>
      <c r="MZR116" s="0"/>
      <c r="MZS116" s="0"/>
      <c r="MZT116" s="0"/>
      <c r="MZU116" s="0"/>
      <c r="MZV116" s="0"/>
      <c r="MZW116" s="0"/>
      <c r="MZX116" s="0"/>
      <c r="MZY116" s="0"/>
      <c r="MZZ116" s="0"/>
      <c r="NAA116" s="0"/>
      <c r="NAB116" s="0"/>
      <c r="NAC116" s="0"/>
      <c r="NAD116" s="0"/>
      <c r="NAE116" s="0"/>
      <c r="NAF116" s="0"/>
      <c r="NAG116" s="0"/>
      <c r="NAH116" s="0"/>
      <c r="NAI116" s="0"/>
      <c r="NAJ116" s="0"/>
      <c r="NAK116" s="0"/>
      <c r="NAL116" s="0"/>
      <c r="NAM116" s="0"/>
      <c r="NAN116" s="0"/>
      <c r="NAO116" s="0"/>
      <c r="NAP116" s="0"/>
      <c r="NAQ116" s="0"/>
      <c r="NAR116" s="0"/>
      <c r="NAS116" s="0"/>
      <c r="NAT116" s="0"/>
      <c r="NAU116" s="0"/>
      <c r="NAV116" s="0"/>
      <c r="NAW116" s="0"/>
      <c r="NAX116" s="0"/>
      <c r="NAY116" s="0"/>
      <c r="NAZ116" s="0"/>
      <c r="NBA116" s="0"/>
      <c r="NBB116" s="0"/>
      <c r="NBC116" s="0"/>
      <c r="NBD116" s="0"/>
      <c r="NBE116" s="0"/>
      <c r="NBF116" s="0"/>
      <c r="NBG116" s="0"/>
      <c r="NBH116" s="0"/>
      <c r="NBI116" s="0"/>
      <c r="NBJ116" s="0"/>
      <c r="NBK116" s="0"/>
      <c r="NBL116" s="0"/>
      <c r="NBM116" s="0"/>
      <c r="NBN116" s="0"/>
      <c r="NBO116" s="0"/>
      <c r="NBP116" s="0"/>
      <c r="NBQ116" s="0"/>
      <c r="NBR116" s="0"/>
      <c r="NBS116" s="0"/>
      <c r="NBT116" s="0"/>
      <c r="NBU116" s="0"/>
      <c r="NBV116" s="0"/>
      <c r="NBW116" s="0"/>
      <c r="NBX116" s="0"/>
      <c r="NBY116" s="0"/>
      <c r="NBZ116" s="0"/>
      <c r="NCA116" s="0"/>
      <c r="NCB116" s="0"/>
      <c r="NCC116" s="0"/>
      <c r="NCD116" s="0"/>
      <c r="NCE116" s="0"/>
      <c r="NCF116" s="0"/>
      <c r="NCG116" s="0"/>
      <c r="NCH116" s="0"/>
      <c r="NCI116" s="0"/>
      <c r="NCJ116" s="0"/>
      <c r="NCK116" s="0"/>
      <c r="NCL116" s="0"/>
      <c r="NCM116" s="0"/>
      <c r="NCN116" s="0"/>
      <c r="NCO116" s="0"/>
      <c r="NCP116" s="0"/>
      <c r="NCQ116" s="0"/>
      <c r="NCR116" s="0"/>
      <c r="NCS116" s="0"/>
      <c r="NCT116" s="0"/>
      <c r="NCU116" s="0"/>
      <c r="NCV116" s="0"/>
      <c r="NCW116" s="0"/>
      <c r="NCX116" s="0"/>
      <c r="NCY116" s="0"/>
      <c r="NCZ116" s="0"/>
      <c r="NDA116" s="0"/>
      <c r="NDB116" s="0"/>
      <c r="NDC116" s="0"/>
      <c r="NDD116" s="0"/>
      <c r="NDE116" s="0"/>
      <c r="NDF116" s="0"/>
      <c r="NDG116" s="0"/>
      <c r="NDH116" s="0"/>
      <c r="NDI116" s="0"/>
      <c r="NDJ116" s="0"/>
      <c r="NDK116" s="0"/>
      <c r="NDL116" s="0"/>
      <c r="NDM116" s="0"/>
      <c r="NDN116" s="0"/>
      <c r="NDO116" s="0"/>
      <c r="NDP116" s="0"/>
      <c r="NDQ116" s="0"/>
      <c r="NDR116" s="0"/>
      <c r="NDS116" s="0"/>
      <c r="NDT116" s="0"/>
      <c r="NDU116" s="0"/>
      <c r="NDV116" s="0"/>
      <c r="NDW116" s="0"/>
      <c r="NDX116" s="0"/>
      <c r="NDY116" s="0"/>
      <c r="NDZ116" s="0"/>
      <c r="NEA116" s="0"/>
      <c r="NEB116" s="0"/>
      <c r="NEC116" s="0"/>
      <c r="NED116" s="0"/>
      <c r="NEE116" s="0"/>
      <c r="NEF116" s="0"/>
      <c r="NEG116" s="0"/>
      <c r="NEH116" s="0"/>
      <c r="NEI116" s="0"/>
      <c r="NEJ116" s="0"/>
      <c r="NEK116" s="0"/>
      <c r="NEL116" s="0"/>
      <c r="NEM116" s="0"/>
      <c r="NEN116" s="0"/>
      <c r="NEO116" s="0"/>
      <c r="NEP116" s="0"/>
      <c r="NEQ116" s="0"/>
      <c r="NER116" s="0"/>
      <c r="NES116" s="0"/>
      <c r="NET116" s="0"/>
      <c r="NEU116" s="0"/>
      <c r="NEV116" s="0"/>
      <c r="NEW116" s="0"/>
      <c r="NEX116" s="0"/>
      <c r="NEY116" s="0"/>
      <c r="NEZ116" s="0"/>
      <c r="NFA116" s="0"/>
      <c r="NFB116" s="0"/>
      <c r="NFC116" s="0"/>
      <c r="NFD116" s="0"/>
      <c r="NFE116" s="0"/>
      <c r="NFF116" s="0"/>
      <c r="NFG116" s="0"/>
      <c r="NFH116" s="0"/>
      <c r="NFI116" s="0"/>
      <c r="NFJ116" s="0"/>
      <c r="NFK116" s="0"/>
      <c r="NFL116" s="0"/>
      <c r="NFM116" s="0"/>
      <c r="NFN116" s="0"/>
      <c r="NFO116" s="0"/>
      <c r="NFP116" s="0"/>
      <c r="NFQ116" s="0"/>
      <c r="NFR116" s="0"/>
      <c r="NFS116" s="0"/>
      <c r="NFT116" s="0"/>
      <c r="NFU116" s="0"/>
      <c r="NFV116" s="0"/>
      <c r="NFW116" s="0"/>
      <c r="NFX116" s="0"/>
      <c r="NFY116" s="0"/>
      <c r="NFZ116" s="0"/>
      <c r="NGA116" s="0"/>
      <c r="NGB116" s="0"/>
      <c r="NGC116" s="0"/>
      <c r="NGD116" s="0"/>
      <c r="NGE116" s="0"/>
      <c r="NGF116" s="0"/>
      <c r="NGG116" s="0"/>
      <c r="NGH116" s="0"/>
      <c r="NGI116" s="0"/>
      <c r="NGJ116" s="0"/>
      <c r="NGK116" s="0"/>
      <c r="NGL116" s="0"/>
      <c r="NGM116" s="0"/>
      <c r="NGN116" s="0"/>
      <c r="NGO116" s="0"/>
      <c r="NGP116" s="0"/>
      <c r="NGQ116" s="0"/>
      <c r="NGR116" s="0"/>
      <c r="NGS116" s="0"/>
      <c r="NGT116" s="0"/>
      <c r="NGU116" s="0"/>
      <c r="NGV116" s="0"/>
      <c r="NGW116" s="0"/>
      <c r="NGX116" s="0"/>
      <c r="NGY116" s="0"/>
      <c r="NGZ116" s="0"/>
      <c r="NHA116" s="0"/>
      <c r="NHB116" s="0"/>
      <c r="NHC116" s="0"/>
      <c r="NHD116" s="0"/>
      <c r="NHE116" s="0"/>
      <c r="NHF116" s="0"/>
      <c r="NHG116" s="0"/>
      <c r="NHH116" s="0"/>
      <c r="NHI116" s="0"/>
      <c r="NHJ116" s="0"/>
      <c r="NHK116" s="0"/>
      <c r="NHL116" s="0"/>
      <c r="NHM116" s="0"/>
      <c r="NHN116" s="0"/>
      <c r="NHO116" s="0"/>
      <c r="NHP116" s="0"/>
      <c r="NHQ116" s="0"/>
      <c r="NHR116" s="0"/>
      <c r="NHS116" s="0"/>
      <c r="NHT116" s="0"/>
      <c r="NHU116" s="0"/>
      <c r="NHV116" s="0"/>
      <c r="NHW116" s="0"/>
      <c r="NHX116" s="0"/>
      <c r="NHY116" s="0"/>
      <c r="NHZ116" s="0"/>
      <c r="NIA116" s="0"/>
      <c r="NIB116" s="0"/>
      <c r="NIC116" s="0"/>
      <c r="NID116" s="0"/>
      <c r="NIE116" s="0"/>
      <c r="NIF116" s="0"/>
      <c r="NIG116" s="0"/>
      <c r="NIH116" s="0"/>
      <c r="NII116" s="0"/>
      <c r="NIJ116" s="0"/>
      <c r="NIK116" s="0"/>
      <c r="NIL116" s="0"/>
      <c r="NIM116" s="0"/>
      <c r="NIN116" s="0"/>
      <c r="NIO116" s="0"/>
      <c r="NIP116" s="0"/>
      <c r="NIQ116" s="0"/>
      <c r="NIR116" s="0"/>
      <c r="NIS116" s="0"/>
      <c r="NIT116" s="0"/>
      <c r="NIU116" s="0"/>
      <c r="NIV116" s="0"/>
      <c r="NIW116" s="0"/>
      <c r="NIX116" s="0"/>
      <c r="NIY116" s="0"/>
      <c r="NIZ116" s="0"/>
      <c r="NJA116" s="0"/>
      <c r="NJB116" s="0"/>
      <c r="NJC116" s="0"/>
      <c r="NJD116" s="0"/>
      <c r="NJE116" s="0"/>
      <c r="NJF116" s="0"/>
      <c r="NJG116" s="0"/>
      <c r="NJH116" s="0"/>
      <c r="NJI116" s="0"/>
      <c r="NJJ116" s="0"/>
      <c r="NJK116" s="0"/>
      <c r="NJL116" s="0"/>
      <c r="NJM116" s="0"/>
      <c r="NJN116" s="0"/>
      <c r="NJO116" s="0"/>
      <c r="NJP116" s="0"/>
      <c r="NJQ116" s="0"/>
      <c r="NJR116" s="0"/>
      <c r="NJS116" s="0"/>
      <c r="NJT116" s="0"/>
      <c r="NJU116" s="0"/>
      <c r="NJV116" s="0"/>
      <c r="NJW116" s="0"/>
      <c r="NJX116" s="0"/>
      <c r="NJY116" s="0"/>
      <c r="NJZ116" s="0"/>
      <c r="NKA116" s="0"/>
      <c r="NKB116" s="0"/>
      <c r="NKC116" s="0"/>
      <c r="NKD116" s="0"/>
      <c r="NKE116" s="0"/>
      <c r="NKF116" s="0"/>
      <c r="NKG116" s="0"/>
      <c r="NKH116" s="0"/>
      <c r="NKI116" s="0"/>
      <c r="NKJ116" s="0"/>
      <c r="NKK116" s="0"/>
      <c r="NKL116" s="0"/>
      <c r="NKM116" s="0"/>
      <c r="NKN116" s="0"/>
      <c r="NKO116" s="0"/>
      <c r="NKP116" s="0"/>
      <c r="NKQ116" s="0"/>
      <c r="NKR116" s="0"/>
      <c r="NKS116" s="0"/>
      <c r="NKT116" s="0"/>
      <c r="NKU116" s="0"/>
      <c r="NKV116" s="0"/>
      <c r="NKW116" s="0"/>
      <c r="NKX116" s="0"/>
      <c r="NKY116" s="0"/>
      <c r="NKZ116" s="0"/>
      <c r="NLA116" s="0"/>
      <c r="NLB116" s="0"/>
      <c r="NLC116" s="0"/>
      <c r="NLD116" s="0"/>
      <c r="NLE116" s="0"/>
      <c r="NLF116" s="0"/>
      <c r="NLG116" s="0"/>
      <c r="NLH116" s="0"/>
      <c r="NLI116" s="0"/>
      <c r="NLJ116" s="0"/>
      <c r="NLK116" s="0"/>
      <c r="NLL116" s="0"/>
      <c r="NLM116" s="0"/>
      <c r="NLN116" s="0"/>
      <c r="NLO116" s="0"/>
      <c r="NLP116" s="0"/>
      <c r="NLQ116" s="0"/>
      <c r="NLR116" s="0"/>
      <c r="NLS116" s="0"/>
      <c r="NLT116" s="0"/>
      <c r="NLU116" s="0"/>
      <c r="NLV116" s="0"/>
      <c r="NLW116" s="0"/>
      <c r="NLX116" s="0"/>
      <c r="NLY116" s="0"/>
      <c r="NLZ116" s="0"/>
      <c r="NMA116" s="0"/>
      <c r="NMB116" s="0"/>
      <c r="NMC116" s="0"/>
      <c r="NMD116" s="0"/>
      <c r="NME116" s="0"/>
      <c r="NMF116" s="0"/>
      <c r="NMG116" s="0"/>
      <c r="NMH116" s="0"/>
      <c r="NMI116" s="0"/>
      <c r="NMJ116" s="0"/>
      <c r="NMK116" s="0"/>
      <c r="NML116" s="0"/>
      <c r="NMM116" s="0"/>
      <c r="NMN116" s="0"/>
      <c r="NMO116" s="0"/>
      <c r="NMP116" s="0"/>
      <c r="NMQ116" s="0"/>
      <c r="NMR116" s="0"/>
      <c r="NMS116" s="0"/>
      <c r="NMT116" s="0"/>
      <c r="NMU116" s="0"/>
      <c r="NMV116" s="0"/>
      <c r="NMW116" s="0"/>
      <c r="NMX116" s="0"/>
      <c r="NMY116" s="0"/>
      <c r="NMZ116" s="0"/>
      <c r="NNA116" s="0"/>
      <c r="NNB116" s="0"/>
      <c r="NNC116" s="0"/>
      <c r="NND116" s="0"/>
      <c r="NNE116" s="0"/>
      <c r="NNF116" s="0"/>
      <c r="NNG116" s="0"/>
      <c r="NNH116" s="0"/>
      <c r="NNI116" s="0"/>
      <c r="NNJ116" s="0"/>
      <c r="NNK116" s="0"/>
      <c r="NNL116" s="0"/>
      <c r="NNM116" s="0"/>
      <c r="NNN116" s="0"/>
      <c r="NNO116" s="0"/>
      <c r="NNP116" s="0"/>
      <c r="NNQ116" s="0"/>
      <c r="NNR116" s="0"/>
      <c r="NNS116" s="0"/>
      <c r="NNT116" s="0"/>
      <c r="NNU116" s="0"/>
      <c r="NNV116" s="0"/>
      <c r="NNW116" s="0"/>
      <c r="NNX116" s="0"/>
      <c r="NNY116" s="0"/>
      <c r="NNZ116" s="0"/>
      <c r="NOA116" s="0"/>
      <c r="NOB116" s="0"/>
      <c r="NOC116" s="0"/>
      <c r="NOD116" s="0"/>
      <c r="NOE116" s="0"/>
      <c r="NOF116" s="0"/>
      <c r="NOG116" s="0"/>
      <c r="NOH116" s="0"/>
      <c r="NOI116" s="0"/>
      <c r="NOJ116" s="0"/>
      <c r="NOK116" s="0"/>
      <c r="NOL116" s="0"/>
      <c r="NOM116" s="0"/>
      <c r="NON116" s="0"/>
      <c r="NOO116" s="0"/>
      <c r="NOP116" s="0"/>
      <c r="NOQ116" s="0"/>
      <c r="NOR116" s="0"/>
      <c r="NOS116" s="0"/>
      <c r="NOT116" s="0"/>
      <c r="NOU116" s="0"/>
      <c r="NOV116" s="0"/>
      <c r="NOW116" s="0"/>
      <c r="NOX116" s="0"/>
      <c r="NOY116" s="0"/>
      <c r="NOZ116" s="0"/>
      <c r="NPA116" s="0"/>
      <c r="NPB116" s="0"/>
      <c r="NPC116" s="0"/>
      <c r="NPD116" s="0"/>
      <c r="NPE116" s="0"/>
      <c r="NPF116" s="0"/>
      <c r="NPG116" s="0"/>
      <c r="NPH116" s="0"/>
      <c r="NPI116" s="0"/>
      <c r="NPJ116" s="0"/>
      <c r="NPK116" s="0"/>
      <c r="NPL116" s="0"/>
      <c r="NPM116" s="0"/>
      <c r="NPN116" s="0"/>
      <c r="NPO116" s="0"/>
      <c r="NPP116" s="0"/>
      <c r="NPQ116" s="0"/>
      <c r="NPR116" s="0"/>
      <c r="NPS116" s="0"/>
      <c r="NPT116" s="0"/>
      <c r="NPU116" s="0"/>
      <c r="NPV116" s="0"/>
      <c r="NPW116" s="0"/>
      <c r="NPX116" s="0"/>
      <c r="NPY116" s="0"/>
      <c r="NPZ116" s="0"/>
      <c r="NQA116" s="0"/>
      <c r="NQB116" s="0"/>
      <c r="NQC116" s="0"/>
      <c r="NQD116" s="0"/>
      <c r="NQE116" s="0"/>
      <c r="NQF116" s="0"/>
      <c r="NQG116" s="0"/>
      <c r="NQH116" s="0"/>
      <c r="NQI116" s="0"/>
      <c r="NQJ116" s="0"/>
      <c r="NQK116" s="0"/>
      <c r="NQL116" s="0"/>
      <c r="NQM116" s="0"/>
      <c r="NQN116" s="0"/>
      <c r="NQO116" s="0"/>
      <c r="NQP116" s="0"/>
      <c r="NQQ116" s="0"/>
      <c r="NQR116" s="0"/>
      <c r="NQS116" s="0"/>
      <c r="NQT116" s="0"/>
      <c r="NQU116" s="0"/>
      <c r="NQV116" s="0"/>
      <c r="NQW116" s="0"/>
      <c r="NQX116" s="0"/>
      <c r="NQY116" s="0"/>
      <c r="NQZ116" s="0"/>
      <c r="NRA116" s="0"/>
      <c r="NRB116" s="0"/>
      <c r="NRC116" s="0"/>
      <c r="NRD116" s="0"/>
      <c r="NRE116" s="0"/>
      <c r="NRF116" s="0"/>
      <c r="NRG116" s="0"/>
      <c r="NRH116" s="0"/>
      <c r="NRI116" s="0"/>
      <c r="NRJ116" s="0"/>
      <c r="NRK116" s="0"/>
      <c r="NRL116" s="0"/>
      <c r="NRM116" s="0"/>
      <c r="NRN116" s="0"/>
      <c r="NRO116" s="0"/>
      <c r="NRP116" s="0"/>
      <c r="NRQ116" s="0"/>
      <c r="NRR116" s="0"/>
      <c r="NRS116" s="0"/>
      <c r="NRT116" s="0"/>
      <c r="NRU116" s="0"/>
      <c r="NRV116" s="0"/>
      <c r="NRW116" s="0"/>
      <c r="NRX116" s="0"/>
      <c r="NRY116" s="0"/>
      <c r="NRZ116" s="0"/>
      <c r="NSA116" s="0"/>
      <c r="NSB116" s="0"/>
      <c r="NSC116" s="0"/>
      <c r="NSD116" s="0"/>
      <c r="NSE116" s="0"/>
      <c r="NSF116" s="0"/>
      <c r="NSG116" s="0"/>
      <c r="NSH116" s="0"/>
      <c r="NSI116" s="0"/>
      <c r="NSJ116" s="0"/>
      <c r="NSK116" s="0"/>
      <c r="NSL116" s="0"/>
      <c r="NSM116" s="0"/>
      <c r="NSN116" s="0"/>
      <c r="NSO116" s="0"/>
      <c r="NSP116" s="0"/>
      <c r="NSQ116" s="0"/>
      <c r="NSR116" s="0"/>
      <c r="NSS116" s="0"/>
      <c r="NST116" s="0"/>
      <c r="NSU116" s="0"/>
      <c r="NSV116" s="0"/>
      <c r="NSW116" s="0"/>
      <c r="NSX116" s="0"/>
      <c r="NSY116" s="0"/>
      <c r="NSZ116" s="0"/>
      <c r="NTA116" s="0"/>
      <c r="NTB116" s="0"/>
      <c r="NTC116" s="0"/>
      <c r="NTD116" s="0"/>
      <c r="NTE116" s="0"/>
      <c r="NTF116" s="0"/>
      <c r="NTG116" s="0"/>
      <c r="NTH116" s="0"/>
      <c r="NTI116" s="0"/>
      <c r="NTJ116" s="0"/>
      <c r="NTK116" s="0"/>
      <c r="NTL116" s="0"/>
      <c r="NTM116" s="0"/>
      <c r="NTN116" s="0"/>
      <c r="NTO116" s="0"/>
      <c r="NTP116" s="0"/>
      <c r="NTQ116" s="0"/>
      <c r="NTR116" s="0"/>
      <c r="NTS116" s="0"/>
      <c r="NTT116" s="0"/>
      <c r="NTU116" s="0"/>
      <c r="NTV116" s="0"/>
      <c r="NTW116" s="0"/>
      <c r="NTX116" s="0"/>
      <c r="NTY116" s="0"/>
      <c r="NTZ116" s="0"/>
      <c r="NUA116" s="0"/>
      <c r="NUB116" s="0"/>
      <c r="NUC116" s="0"/>
      <c r="NUD116" s="0"/>
      <c r="NUE116" s="0"/>
      <c r="NUF116" s="0"/>
      <c r="NUG116" s="0"/>
      <c r="NUH116" s="0"/>
      <c r="NUI116" s="0"/>
      <c r="NUJ116" s="0"/>
      <c r="NUK116" s="0"/>
      <c r="NUL116" s="0"/>
      <c r="NUM116" s="0"/>
      <c r="NUN116" s="0"/>
      <c r="NUO116" s="0"/>
      <c r="NUP116" s="0"/>
      <c r="NUQ116" s="0"/>
      <c r="NUR116" s="0"/>
      <c r="NUS116" s="0"/>
      <c r="NUT116" s="0"/>
      <c r="NUU116" s="0"/>
      <c r="NUV116" s="0"/>
      <c r="NUW116" s="0"/>
      <c r="NUX116" s="0"/>
      <c r="NUY116" s="0"/>
      <c r="NUZ116" s="0"/>
      <c r="NVA116" s="0"/>
      <c r="NVB116" s="0"/>
      <c r="NVC116" s="0"/>
      <c r="NVD116" s="0"/>
      <c r="NVE116" s="0"/>
      <c r="NVF116" s="0"/>
      <c r="NVG116" s="0"/>
      <c r="NVH116" s="0"/>
      <c r="NVI116" s="0"/>
      <c r="NVJ116" s="0"/>
      <c r="NVK116" s="0"/>
      <c r="NVL116" s="0"/>
      <c r="NVM116" s="0"/>
      <c r="NVN116" s="0"/>
      <c r="NVO116" s="0"/>
      <c r="NVP116" s="0"/>
      <c r="NVQ116" s="0"/>
      <c r="NVR116" s="0"/>
      <c r="NVS116" s="0"/>
      <c r="NVT116" s="0"/>
      <c r="NVU116" s="0"/>
      <c r="NVV116" s="0"/>
      <c r="NVW116" s="0"/>
      <c r="NVX116" s="0"/>
      <c r="NVY116" s="0"/>
      <c r="NVZ116" s="0"/>
      <c r="NWA116" s="0"/>
      <c r="NWB116" s="0"/>
      <c r="NWC116" s="0"/>
      <c r="NWD116" s="0"/>
      <c r="NWE116" s="0"/>
      <c r="NWF116" s="0"/>
      <c r="NWG116" s="0"/>
      <c r="NWH116" s="0"/>
      <c r="NWI116" s="0"/>
      <c r="NWJ116" s="0"/>
      <c r="NWK116" s="0"/>
      <c r="NWL116" s="0"/>
      <c r="NWM116" s="0"/>
      <c r="NWN116" s="0"/>
      <c r="NWO116" s="0"/>
      <c r="NWP116" s="0"/>
      <c r="NWQ116" s="0"/>
      <c r="NWR116" s="0"/>
      <c r="NWS116" s="0"/>
      <c r="NWT116" s="0"/>
      <c r="NWU116" s="0"/>
      <c r="NWV116" s="0"/>
      <c r="NWW116" s="0"/>
      <c r="NWX116" s="0"/>
      <c r="NWY116" s="0"/>
      <c r="NWZ116" s="0"/>
      <c r="NXA116" s="0"/>
      <c r="NXB116" s="0"/>
      <c r="NXC116" s="0"/>
      <c r="NXD116" s="0"/>
      <c r="NXE116" s="0"/>
      <c r="NXF116" s="0"/>
      <c r="NXG116" s="0"/>
      <c r="NXH116" s="0"/>
      <c r="NXI116" s="0"/>
      <c r="NXJ116" s="0"/>
      <c r="NXK116" s="0"/>
      <c r="NXL116" s="0"/>
      <c r="NXM116" s="0"/>
      <c r="NXN116" s="0"/>
      <c r="NXO116" s="0"/>
      <c r="NXP116" s="0"/>
      <c r="NXQ116" s="0"/>
      <c r="NXR116" s="0"/>
      <c r="NXS116" s="0"/>
      <c r="NXT116" s="0"/>
      <c r="NXU116" s="0"/>
      <c r="NXV116" s="0"/>
      <c r="NXW116" s="0"/>
      <c r="NXX116" s="0"/>
      <c r="NXY116" s="0"/>
      <c r="NXZ116" s="0"/>
      <c r="NYA116" s="0"/>
      <c r="NYB116" s="0"/>
      <c r="NYC116" s="0"/>
      <c r="NYD116" s="0"/>
      <c r="NYE116" s="0"/>
      <c r="NYF116" s="0"/>
      <c r="NYG116" s="0"/>
      <c r="NYH116" s="0"/>
      <c r="NYI116" s="0"/>
      <c r="NYJ116" s="0"/>
      <c r="NYK116" s="0"/>
      <c r="NYL116" s="0"/>
      <c r="NYM116" s="0"/>
      <c r="NYN116" s="0"/>
      <c r="NYO116" s="0"/>
      <c r="NYP116" s="0"/>
      <c r="NYQ116" s="0"/>
      <c r="NYR116" s="0"/>
      <c r="NYS116" s="0"/>
      <c r="NYT116" s="0"/>
      <c r="NYU116" s="0"/>
      <c r="NYV116" s="0"/>
      <c r="NYW116" s="0"/>
      <c r="NYX116" s="0"/>
      <c r="NYY116" s="0"/>
      <c r="NYZ116" s="0"/>
      <c r="NZA116" s="0"/>
      <c r="NZB116" s="0"/>
      <c r="NZC116" s="0"/>
      <c r="NZD116" s="0"/>
      <c r="NZE116" s="0"/>
      <c r="NZF116" s="0"/>
      <c r="NZG116" s="0"/>
      <c r="NZH116" s="0"/>
      <c r="NZI116" s="0"/>
      <c r="NZJ116" s="0"/>
      <c r="NZK116" s="0"/>
      <c r="NZL116" s="0"/>
      <c r="NZM116" s="0"/>
      <c r="NZN116" s="0"/>
      <c r="NZO116" s="0"/>
      <c r="NZP116" s="0"/>
      <c r="NZQ116" s="0"/>
      <c r="NZR116" s="0"/>
      <c r="NZS116" s="0"/>
      <c r="NZT116" s="0"/>
      <c r="NZU116" s="0"/>
      <c r="NZV116" s="0"/>
      <c r="NZW116" s="0"/>
      <c r="NZX116" s="0"/>
      <c r="NZY116" s="0"/>
      <c r="NZZ116" s="0"/>
      <c r="OAA116" s="0"/>
      <c r="OAB116" s="0"/>
      <c r="OAC116" s="0"/>
      <c r="OAD116" s="0"/>
      <c r="OAE116" s="0"/>
      <c r="OAF116" s="0"/>
      <c r="OAG116" s="0"/>
      <c r="OAH116" s="0"/>
      <c r="OAI116" s="0"/>
      <c r="OAJ116" s="0"/>
      <c r="OAK116" s="0"/>
      <c r="OAL116" s="0"/>
      <c r="OAM116" s="0"/>
      <c r="OAN116" s="0"/>
      <c r="OAO116" s="0"/>
      <c r="OAP116" s="0"/>
      <c r="OAQ116" s="0"/>
      <c r="OAR116" s="0"/>
      <c r="OAS116" s="0"/>
      <c r="OAT116" s="0"/>
      <c r="OAU116" s="0"/>
      <c r="OAV116" s="0"/>
      <c r="OAW116" s="0"/>
      <c r="OAX116" s="0"/>
      <c r="OAY116" s="0"/>
      <c r="OAZ116" s="0"/>
      <c r="OBA116" s="0"/>
      <c r="OBB116" s="0"/>
      <c r="OBC116" s="0"/>
      <c r="OBD116" s="0"/>
      <c r="OBE116" s="0"/>
      <c r="OBF116" s="0"/>
      <c r="OBG116" s="0"/>
      <c r="OBH116" s="0"/>
      <c r="OBI116" s="0"/>
      <c r="OBJ116" s="0"/>
      <c r="OBK116" s="0"/>
      <c r="OBL116" s="0"/>
      <c r="OBM116" s="0"/>
      <c r="OBN116" s="0"/>
      <c r="OBO116" s="0"/>
      <c r="OBP116" s="0"/>
      <c r="OBQ116" s="0"/>
      <c r="OBR116" s="0"/>
      <c r="OBS116" s="0"/>
      <c r="OBT116" s="0"/>
      <c r="OBU116" s="0"/>
      <c r="OBV116" s="0"/>
      <c r="OBW116" s="0"/>
      <c r="OBX116" s="0"/>
      <c r="OBY116" s="0"/>
      <c r="OBZ116" s="0"/>
      <c r="OCA116" s="0"/>
      <c r="OCB116" s="0"/>
      <c r="OCC116" s="0"/>
      <c r="OCD116" s="0"/>
      <c r="OCE116" s="0"/>
      <c r="OCF116" s="0"/>
      <c r="OCG116" s="0"/>
      <c r="OCH116" s="0"/>
      <c r="OCI116" s="0"/>
      <c r="OCJ116" s="0"/>
      <c r="OCK116" s="0"/>
      <c r="OCL116" s="0"/>
      <c r="OCM116" s="0"/>
      <c r="OCN116" s="0"/>
      <c r="OCO116" s="0"/>
      <c r="OCP116" s="0"/>
      <c r="OCQ116" s="0"/>
      <c r="OCR116" s="0"/>
      <c r="OCS116" s="0"/>
      <c r="OCT116" s="0"/>
      <c r="OCU116" s="0"/>
      <c r="OCV116" s="0"/>
      <c r="OCW116" s="0"/>
      <c r="OCX116" s="0"/>
      <c r="OCY116" s="0"/>
      <c r="OCZ116" s="0"/>
      <c r="ODA116" s="0"/>
      <c r="ODB116" s="0"/>
      <c r="ODC116" s="0"/>
      <c r="ODD116" s="0"/>
      <c r="ODE116" s="0"/>
      <c r="ODF116" s="0"/>
      <c r="ODG116" s="0"/>
      <c r="ODH116" s="0"/>
      <c r="ODI116" s="0"/>
      <c r="ODJ116" s="0"/>
      <c r="ODK116" s="0"/>
      <c r="ODL116" s="0"/>
      <c r="ODM116" s="0"/>
      <c r="ODN116" s="0"/>
      <c r="ODO116" s="0"/>
      <c r="ODP116" s="0"/>
      <c r="ODQ116" s="0"/>
      <c r="ODR116" s="0"/>
      <c r="ODS116" s="0"/>
      <c r="ODT116" s="0"/>
      <c r="ODU116" s="0"/>
      <c r="ODV116" s="0"/>
      <c r="ODW116" s="0"/>
      <c r="ODX116" s="0"/>
      <c r="ODY116" s="0"/>
      <c r="ODZ116" s="0"/>
      <c r="OEA116" s="0"/>
      <c r="OEB116" s="0"/>
      <c r="OEC116" s="0"/>
      <c r="OED116" s="0"/>
      <c r="OEE116" s="0"/>
      <c r="OEF116" s="0"/>
      <c r="OEG116" s="0"/>
      <c r="OEH116" s="0"/>
      <c r="OEI116" s="0"/>
      <c r="OEJ116" s="0"/>
      <c r="OEK116" s="0"/>
      <c r="OEL116" s="0"/>
      <c r="OEM116" s="0"/>
      <c r="OEN116" s="0"/>
      <c r="OEO116" s="0"/>
      <c r="OEP116" s="0"/>
      <c r="OEQ116" s="0"/>
      <c r="OER116" s="0"/>
      <c r="OES116" s="0"/>
      <c r="OET116" s="0"/>
      <c r="OEU116" s="0"/>
      <c r="OEV116" s="0"/>
      <c r="OEW116" s="0"/>
      <c r="OEX116" s="0"/>
      <c r="OEY116" s="0"/>
      <c r="OEZ116" s="0"/>
      <c r="OFA116" s="0"/>
      <c r="OFB116" s="0"/>
      <c r="OFC116" s="0"/>
      <c r="OFD116" s="0"/>
      <c r="OFE116" s="0"/>
      <c r="OFF116" s="0"/>
      <c r="OFG116" s="0"/>
      <c r="OFH116" s="0"/>
      <c r="OFI116" s="0"/>
      <c r="OFJ116" s="0"/>
      <c r="OFK116" s="0"/>
      <c r="OFL116" s="0"/>
      <c r="OFM116" s="0"/>
      <c r="OFN116" s="0"/>
      <c r="OFO116" s="0"/>
      <c r="OFP116" s="0"/>
      <c r="OFQ116" s="0"/>
      <c r="OFR116" s="0"/>
      <c r="OFS116" s="0"/>
      <c r="OFT116" s="0"/>
      <c r="OFU116" s="0"/>
      <c r="OFV116" s="0"/>
      <c r="OFW116" s="0"/>
      <c r="OFX116" s="0"/>
      <c r="OFY116" s="0"/>
      <c r="OFZ116" s="0"/>
      <c r="OGA116" s="0"/>
      <c r="OGB116" s="0"/>
      <c r="OGC116" s="0"/>
      <c r="OGD116" s="0"/>
      <c r="OGE116" s="0"/>
      <c r="OGF116" s="0"/>
      <c r="OGG116" s="0"/>
      <c r="OGH116" s="0"/>
      <c r="OGI116" s="0"/>
      <c r="OGJ116" s="0"/>
      <c r="OGK116" s="0"/>
      <c r="OGL116" s="0"/>
      <c r="OGM116" s="0"/>
      <c r="OGN116" s="0"/>
      <c r="OGO116" s="0"/>
      <c r="OGP116" s="0"/>
      <c r="OGQ116" s="0"/>
      <c r="OGR116" s="0"/>
      <c r="OGS116" s="0"/>
      <c r="OGT116" s="0"/>
      <c r="OGU116" s="0"/>
      <c r="OGV116" s="0"/>
      <c r="OGW116" s="0"/>
      <c r="OGX116" s="0"/>
      <c r="OGY116" s="0"/>
      <c r="OGZ116" s="0"/>
      <c r="OHA116" s="0"/>
      <c r="OHB116" s="0"/>
      <c r="OHC116" s="0"/>
      <c r="OHD116" s="0"/>
      <c r="OHE116" s="0"/>
      <c r="OHF116" s="0"/>
      <c r="OHG116" s="0"/>
      <c r="OHH116" s="0"/>
      <c r="OHI116" s="0"/>
      <c r="OHJ116" s="0"/>
      <c r="OHK116" s="0"/>
      <c r="OHL116" s="0"/>
      <c r="OHM116" s="0"/>
      <c r="OHN116" s="0"/>
      <c r="OHO116" s="0"/>
      <c r="OHP116" s="0"/>
      <c r="OHQ116" s="0"/>
      <c r="OHR116" s="0"/>
      <c r="OHS116" s="0"/>
      <c r="OHT116" s="0"/>
      <c r="OHU116" s="0"/>
      <c r="OHV116" s="0"/>
      <c r="OHW116" s="0"/>
      <c r="OHX116" s="0"/>
      <c r="OHY116" s="0"/>
      <c r="OHZ116" s="0"/>
      <c r="OIA116" s="0"/>
      <c r="OIB116" s="0"/>
      <c r="OIC116" s="0"/>
      <c r="OID116" s="0"/>
      <c r="OIE116" s="0"/>
      <c r="OIF116" s="0"/>
      <c r="OIG116" s="0"/>
      <c r="OIH116" s="0"/>
      <c r="OII116" s="0"/>
      <c r="OIJ116" s="0"/>
      <c r="OIK116" s="0"/>
      <c r="OIL116" s="0"/>
      <c r="OIM116" s="0"/>
      <c r="OIN116" s="0"/>
      <c r="OIO116" s="0"/>
      <c r="OIP116" s="0"/>
      <c r="OIQ116" s="0"/>
      <c r="OIR116" s="0"/>
      <c r="OIS116" s="0"/>
      <c r="OIT116" s="0"/>
      <c r="OIU116" s="0"/>
      <c r="OIV116" s="0"/>
      <c r="OIW116" s="0"/>
      <c r="OIX116" s="0"/>
      <c r="OIY116" s="0"/>
      <c r="OIZ116" s="0"/>
      <c r="OJA116" s="0"/>
      <c r="OJB116" s="0"/>
      <c r="OJC116" s="0"/>
      <c r="OJD116" s="0"/>
      <c r="OJE116" s="0"/>
      <c r="OJF116" s="0"/>
      <c r="OJG116" s="0"/>
      <c r="OJH116" s="0"/>
      <c r="OJI116" s="0"/>
      <c r="OJJ116" s="0"/>
      <c r="OJK116" s="0"/>
      <c r="OJL116" s="0"/>
      <c r="OJM116" s="0"/>
      <c r="OJN116" s="0"/>
      <c r="OJO116" s="0"/>
      <c r="OJP116" s="0"/>
      <c r="OJQ116" s="0"/>
      <c r="OJR116" s="0"/>
      <c r="OJS116" s="0"/>
      <c r="OJT116" s="0"/>
      <c r="OJU116" s="0"/>
      <c r="OJV116" s="0"/>
      <c r="OJW116" s="0"/>
      <c r="OJX116" s="0"/>
      <c r="OJY116" s="0"/>
      <c r="OJZ116" s="0"/>
      <c r="OKA116" s="0"/>
      <c r="OKB116" s="0"/>
      <c r="OKC116" s="0"/>
      <c r="OKD116" s="0"/>
      <c r="OKE116" s="0"/>
      <c r="OKF116" s="0"/>
      <c r="OKG116" s="0"/>
      <c r="OKH116" s="0"/>
      <c r="OKI116" s="0"/>
      <c r="OKJ116" s="0"/>
      <c r="OKK116" s="0"/>
      <c r="OKL116" s="0"/>
      <c r="OKM116" s="0"/>
      <c r="OKN116" s="0"/>
      <c r="OKO116" s="0"/>
      <c r="OKP116" s="0"/>
      <c r="OKQ116" s="0"/>
      <c r="OKR116" s="0"/>
      <c r="OKS116" s="0"/>
      <c r="OKT116" s="0"/>
      <c r="OKU116" s="0"/>
      <c r="OKV116" s="0"/>
      <c r="OKW116" s="0"/>
      <c r="OKX116" s="0"/>
      <c r="OKY116" s="0"/>
      <c r="OKZ116" s="0"/>
      <c r="OLA116" s="0"/>
      <c r="OLB116" s="0"/>
      <c r="OLC116" s="0"/>
      <c r="OLD116" s="0"/>
      <c r="OLE116" s="0"/>
      <c r="OLF116" s="0"/>
      <c r="OLG116" s="0"/>
      <c r="OLH116" s="0"/>
      <c r="OLI116" s="0"/>
      <c r="OLJ116" s="0"/>
      <c r="OLK116" s="0"/>
      <c r="OLL116" s="0"/>
      <c r="OLM116" s="0"/>
      <c r="OLN116" s="0"/>
      <c r="OLO116" s="0"/>
      <c r="OLP116" s="0"/>
      <c r="OLQ116" s="0"/>
      <c r="OLR116" s="0"/>
      <c r="OLS116" s="0"/>
      <c r="OLT116" s="0"/>
      <c r="OLU116" s="0"/>
      <c r="OLV116" s="0"/>
      <c r="OLW116" s="0"/>
      <c r="OLX116" s="0"/>
      <c r="OLY116" s="0"/>
      <c r="OLZ116" s="0"/>
      <c r="OMA116" s="0"/>
      <c r="OMB116" s="0"/>
      <c r="OMC116" s="0"/>
      <c r="OMD116" s="0"/>
      <c r="OME116" s="0"/>
      <c r="OMF116" s="0"/>
      <c r="OMG116" s="0"/>
      <c r="OMH116" s="0"/>
      <c r="OMI116" s="0"/>
      <c r="OMJ116" s="0"/>
      <c r="OMK116" s="0"/>
      <c r="OML116" s="0"/>
      <c r="OMM116" s="0"/>
      <c r="OMN116" s="0"/>
      <c r="OMO116" s="0"/>
      <c r="OMP116" s="0"/>
      <c r="OMQ116" s="0"/>
      <c r="OMR116" s="0"/>
      <c r="OMS116" s="0"/>
      <c r="OMT116" s="0"/>
      <c r="OMU116" s="0"/>
      <c r="OMV116" s="0"/>
      <c r="OMW116" s="0"/>
      <c r="OMX116" s="0"/>
      <c r="OMY116" s="0"/>
      <c r="OMZ116" s="0"/>
      <c r="ONA116" s="0"/>
      <c r="ONB116" s="0"/>
      <c r="ONC116" s="0"/>
      <c r="OND116" s="0"/>
      <c r="ONE116" s="0"/>
      <c r="ONF116" s="0"/>
      <c r="ONG116" s="0"/>
      <c r="ONH116" s="0"/>
      <c r="ONI116" s="0"/>
      <c r="ONJ116" s="0"/>
      <c r="ONK116" s="0"/>
      <c r="ONL116" s="0"/>
      <c r="ONM116" s="0"/>
      <c r="ONN116" s="0"/>
      <c r="ONO116" s="0"/>
      <c r="ONP116" s="0"/>
      <c r="ONQ116" s="0"/>
      <c r="ONR116" s="0"/>
      <c r="ONS116" s="0"/>
      <c r="ONT116" s="0"/>
      <c r="ONU116" s="0"/>
      <c r="ONV116" s="0"/>
      <c r="ONW116" s="0"/>
      <c r="ONX116" s="0"/>
      <c r="ONY116" s="0"/>
      <c r="ONZ116" s="0"/>
      <c r="OOA116" s="0"/>
      <c r="OOB116" s="0"/>
      <c r="OOC116" s="0"/>
      <c r="OOD116" s="0"/>
      <c r="OOE116" s="0"/>
      <c r="OOF116" s="0"/>
      <c r="OOG116" s="0"/>
      <c r="OOH116" s="0"/>
      <c r="OOI116" s="0"/>
      <c r="OOJ116" s="0"/>
      <c r="OOK116" s="0"/>
      <c r="OOL116" s="0"/>
      <c r="OOM116" s="0"/>
      <c r="OON116" s="0"/>
      <c r="OOO116" s="0"/>
      <c r="OOP116" s="0"/>
      <c r="OOQ116" s="0"/>
      <c r="OOR116" s="0"/>
      <c r="OOS116" s="0"/>
      <c r="OOT116" s="0"/>
      <c r="OOU116" s="0"/>
      <c r="OOV116" s="0"/>
      <c r="OOW116" s="0"/>
      <c r="OOX116" s="0"/>
      <c r="OOY116" s="0"/>
      <c r="OOZ116" s="0"/>
      <c r="OPA116" s="0"/>
      <c r="OPB116" s="0"/>
      <c r="OPC116" s="0"/>
      <c r="OPD116" s="0"/>
      <c r="OPE116" s="0"/>
      <c r="OPF116" s="0"/>
      <c r="OPG116" s="0"/>
      <c r="OPH116" s="0"/>
      <c r="OPI116" s="0"/>
      <c r="OPJ116" s="0"/>
      <c r="OPK116" s="0"/>
      <c r="OPL116" s="0"/>
      <c r="OPM116" s="0"/>
      <c r="OPN116" s="0"/>
      <c r="OPO116" s="0"/>
      <c r="OPP116" s="0"/>
      <c r="OPQ116" s="0"/>
      <c r="OPR116" s="0"/>
      <c r="OPS116" s="0"/>
      <c r="OPT116" s="0"/>
      <c r="OPU116" s="0"/>
      <c r="OPV116" s="0"/>
      <c r="OPW116" s="0"/>
      <c r="OPX116" s="0"/>
      <c r="OPY116" s="0"/>
      <c r="OPZ116" s="0"/>
      <c r="OQA116" s="0"/>
      <c r="OQB116" s="0"/>
      <c r="OQC116" s="0"/>
      <c r="OQD116" s="0"/>
      <c r="OQE116" s="0"/>
      <c r="OQF116" s="0"/>
      <c r="OQG116" s="0"/>
      <c r="OQH116" s="0"/>
      <c r="OQI116" s="0"/>
      <c r="OQJ116" s="0"/>
      <c r="OQK116" s="0"/>
      <c r="OQL116" s="0"/>
      <c r="OQM116" s="0"/>
      <c r="OQN116" s="0"/>
      <c r="OQO116" s="0"/>
      <c r="OQP116" s="0"/>
      <c r="OQQ116" s="0"/>
      <c r="OQR116" s="0"/>
      <c r="OQS116" s="0"/>
      <c r="OQT116" s="0"/>
      <c r="OQU116" s="0"/>
      <c r="OQV116" s="0"/>
      <c r="OQW116" s="0"/>
      <c r="OQX116" s="0"/>
      <c r="OQY116" s="0"/>
      <c r="OQZ116" s="0"/>
      <c r="ORA116" s="0"/>
      <c r="ORB116" s="0"/>
      <c r="ORC116" s="0"/>
      <c r="ORD116" s="0"/>
      <c r="ORE116" s="0"/>
      <c r="ORF116" s="0"/>
      <c r="ORG116" s="0"/>
      <c r="ORH116" s="0"/>
      <c r="ORI116" s="0"/>
      <c r="ORJ116" s="0"/>
      <c r="ORK116" s="0"/>
      <c r="ORL116" s="0"/>
      <c r="ORM116" s="0"/>
      <c r="ORN116" s="0"/>
      <c r="ORO116" s="0"/>
      <c r="ORP116" s="0"/>
      <c r="ORQ116" s="0"/>
      <c r="ORR116" s="0"/>
      <c r="ORS116" s="0"/>
      <c r="ORT116" s="0"/>
      <c r="ORU116" s="0"/>
      <c r="ORV116" s="0"/>
      <c r="ORW116" s="0"/>
      <c r="ORX116" s="0"/>
      <c r="ORY116" s="0"/>
      <c r="ORZ116" s="0"/>
      <c r="OSA116" s="0"/>
      <c r="OSB116" s="0"/>
      <c r="OSC116" s="0"/>
      <c r="OSD116" s="0"/>
      <c r="OSE116" s="0"/>
      <c r="OSF116" s="0"/>
      <c r="OSG116" s="0"/>
      <c r="OSH116" s="0"/>
      <c r="OSI116" s="0"/>
      <c r="OSJ116" s="0"/>
      <c r="OSK116" s="0"/>
      <c r="OSL116" s="0"/>
      <c r="OSM116" s="0"/>
      <c r="OSN116" s="0"/>
      <c r="OSO116" s="0"/>
      <c r="OSP116" s="0"/>
      <c r="OSQ116" s="0"/>
      <c r="OSR116" s="0"/>
      <c r="OSS116" s="0"/>
      <c r="OST116" s="0"/>
      <c r="OSU116" s="0"/>
      <c r="OSV116" s="0"/>
      <c r="OSW116" s="0"/>
      <c r="OSX116" s="0"/>
      <c r="OSY116" s="0"/>
      <c r="OSZ116" s="0"/>
      <c r="OTA116" s="0"/>
      <c r="OTB116" s="0"/>
      <c r="OTC116" s="0"/>
      <c r="OTD116" s="0"/>
      <c r="OTE116" s="0"/>
      <c r="OTF116" s="0"/>
      <c r="OTG116" s="0"/>
      <c r="OTH116" s="0"/>
      <c r="OTI116" s="0"/>
      <c r="OTJ116" s="0"/>
      <c r="OTK116" s="0"/>
      <c r="OTL116" s="0"/>
      <c r="OTM116" s="0"/>
      <c r="OTN116" s="0"/>
      <c r="OTO116" s="0"/>
      <c r="OTP116" s="0"/>
      <c r="OTQ116" s="0"/>
      <c r="OTR116" s="0"/>
      <c r="OTS116" s="0"/>
      <c r="OTT116" s="0"/>
      <c r="OTU116" s="0"/>
      <c r="OTV116" s="0"/>
      <c r="OTW116" s="0"/>
      <c r="OTX116" s="0"/>
      <c r="OTY116" s="0"/>
      <c r="OTZ116" s="0"/>
      <c r="OUA116" s="0"/>
      <c r="OUB116" s="0"/>
      <c r="OUC116" s="0"/>
      <c r="OUD116" s="0"/>
      <c r="OUE116" s="0"/>
      <c r="OUF116" s="0"/>
      <c r="OUG116" s="0"/>
      <c r="OUH116" s="0"/>
      <c r="OUI116" s="0"/>
      <c r="OUJ116" s="0"/>
      <c r="OUK116" s="0"/>
      <c r="OUL116" s="0"/>
      <c r="OUM116" s="0"/>
      <c r="OUN116" s="0"/>
      <c r="OUO116" s="0"/>
      <c r="OUP116" s="0"/>
      <c r="OUQ116" s="0"/>
      <c r="OUR116" s="0"/>
      <c r="OUS116" s="0"/>
      <c r="OUT116" s="0"/>
      <c r="OUU116" s="0"/>
      <c r="OUV116" s="0"/>
      <c r="OUW116" s="0"/>
      <c r="OUX116" s="0"/>
      <c r="OUY116" s="0"/>
      <c r="OUZ116" s="0"/>
      <c r="OVA116" s="0"/>
      <c r="OVB116" s="0"/>
      <c r="OVC116" s="0"/>
      <c r="OVD116" s="0"/>
      <c r="OVE116" s="0"/>
      <c r="OVF116" s="0"/>
      <c r="OVG116" s="0"/>
      <c r="OVH116" s="0"/>
      <c r="OVI116" s="0"/>
      <c r="OVJ116" s="0"/>
      <c r="OVK116" s="0"/>
      <c r="OVL116" s="0"/>
      <c r="OVM116" s="0"/>
      <c r="OVN116" s="0"/>
      <c r="OVO116" s="0"/>
      <c r="OVP116" s="0"/>
      <c r="OVQ116" s="0"/>
      <c r="OVR116" s="0"/>
      <c r="OVS116" s="0"/>
      <c r="OVT116" s="0"/>
      <c r="OVU116" s="0"/>
      <c r="OVV116" s="0"/>
      <c r="OVW116" s="0"/>
      <c r="OVX116" s="0"/>
      <c r="OVY116" s="0"/>
      <c r="OVZ116" s="0"/>
      <c r="OWA116" s="0"/>
      <c r="OWB116" s="0"/>
      <c r="OWC116" s="0"/>
      <c r="OWD116" s="0"/>
      <c r="OWE116" s="0"/>
      <c r="OWF116" s="0"/>
      <c r="OWG116" s="0"/>
      <c r="OWH116" s="0"/>
      <c r="OWI116" s="0"/>
      <c r="OWJ116" s="0"/>
      <c r="OWK116" s="0"/>
      <c r="OWL116" s="0"/>
      <c r="OWM116" s="0"/>
      <c r="OWN116" s="0"/>
      <c r="OWO116" s="0"/>
      <c r="OWP116" s="0"/>
      <c r="OWQ116" s="0"/>
      <c r="OWR116" s="0"/>
      <c r="OWS116" s="0"/>
      <c r="OWT116" s="0"/>
      <c r="OWU116" s="0"/>
      <c r="OWV116" s="0"/>
      <c r="OWW116" s="0"/>
      <c r="OWX116" s="0"/>
      <c r="OWY116" s="0"/>
      <c r="OWZ116" s="0"/>
      <c r="OXA116" s="0"/>
      <c r="OXB116" s="0"/>
      <c r="OXC116" s="0"/>
      <c r="OXD116" s="0"/>
      <c r="OXE116" s="0"/>
      <c r="OXF116" s="0"/>
      <c r="OXG116" s="0"/>
      <c r="OXH116" s="0"/>
      <c r="OXI116" s="0"/>
      <c r="OXJ116" s="0"/>
      <c r="OXK116" s="0"/>
      <c r="OXL116" s="0"/>
      <c r="OXM116" s="0"/>
      <c r="OXN116" s="0"/>
      <c r="OXO116" s="0"/>
      <c r="OXP116" s="0"/>
      <c r="OXQ116" s="0"/>
      <c r="OXR116" s="0"/>
      <c r="OXS116" s="0"/>
      <c r="OXT116" s="0"/>
      <c r="OXU116" s="0"/>
      <c r="OXV116" s="0"/>
      <c r="OXW116" s="0"/>
      <c r="OXX116" s="0"/>
      <c r="OXY116" s="0"/>
      <c r="OXZ116" s="0"/>
      <c r="OYA116" s="0"/>
      <c r="OYB116" s="0"/>
      <c r="OYC116" s="0"/>
      <c r="OYD116" s="0"/>
      <c r="OYE116" s="0"/>
      <c r="OYF116" s="0"/>
      <c r="OYG116" s="0"/>
      <c r="OYH116" s="0"/>
      <c r="OYI116" s="0"/>
      <c r="OYJ116" s="0"/>
      <c r="OYK116" s="0"/>
      <c r="OYL116" s="0"/>
      <c r="OYM116" s="0"/>
      <c r="OYN116" s="0"/>
      <c r="OYO116" s="0"/>
      <c r="OYP116" s="0"/>
      <c r="OYQ116" s="0"/>
      <c r="OYR116" s="0"/>
      <c r="OYS116" s="0"/>
      <c r="OYT116" s="0"/>
      <c r="OYU116" s="0"/>
      <c r="OYV116" s="0"/>
      <c r="OYW116" s="0"/>
      <c r="OYX116" s="0"/>
      <c r="OYY116" s="0"/>
      <c r="OYZ116" s="0"/>
      <c r="OZA116" s="0"/>
      <c r="OZB116" s="0"/>
      <c r="OZC116" s="0"/>
      <c r="OZD116" s="0"/>
      <c r="OZE116" s="0"/>
      <c r="OZF116" s="0"/>
      <c r="OZG116" s="0"/>
      <c r="OZH116" s="0"/>
      <c r="OZI116" s="0"/>
      <c r="OZJ116" s="0"/>
      <c r="OZK116" s="0"/>
      <c r="OZL116" s="0"/>
      <c r="OZM116" s="0"/>
      <c r="OZN116" s="0"/>
      <c r="OZO116" s="0"/>
      <c r="OZP116" s="0"/>
      <c r="OZQ116" s="0"/>
      <c r="OZR116" s="0"/>
      <c r="OZS116" s="0"/>
      <c r="OZT116" s="0"/>
      <c r="OZU116" s="0"/>
      <c r="OZV116" s="0"/>
      <c r="OZW116" s="0"/>
      <c r="OZX116" s="0"/>
      <c r="OZY116" s="0"/>
      <c r="OZZ116" s="0"/>
      <c r="PAA116" s="0"/>
      <c r="PAB116" s="0"/>
      <c r="PAC116" s="0"/>
      <c r="PAD116" s="0"/>
      <c r="PAE116" s="0"/>
      <c r="PAF116" s="0"/>
      <c r="PAG116" s="0"/>
      <c r="PAH116" s="0"/>
      <c r="PAI116" s="0"/>
      <c r="PAJ116" s="0"/>
      <c r="PAK116" s="0"/>
      <c r="PAL116" s="0"/>
      <c r="PAM116" s="0"/>
      <c r="PAN116" s="0"/>
      <c r="PAO116" s="0"/>
      <c r="PAP116" s="0"/>
      <c r="PAQ116" s="0"/>
      <c r="PAR116" s="0"/>
      <c r="PAS116" s="0"/>
      <c r="PAT116" s="0"/>
      <c r="PAU116" s="0"/>
      <c r="PAV116" s="0"/>
      <c r="PAW116" s="0"/>
      <c r="PAX116" s="0"/>
      <c r="PAY116" s="0"/>
      <c r="PAZ116" s="0"/>
      <c r="PBA116" s="0"/>
      <c r="PBB116" s="0"/>
      <c r="PBC116" s="0"/>
      <c r="PBD116" s="0"/>
      <c r="PBE116" s="0"/>
      <c r="PBF116" s="0"/>
      <c r="PBG116" s="0"/>
      <c r="PBH116" s="0"/>
      <c r="PBI116" s="0"/>
      <c r="PBJ116" s="0"/>
      <c r="PBK116" s="0"/>
      <c r="PBL116" s="0"/>
      <c r="PBM116" s="0"/>
      <c r="PBN116" s="0"/>
      <c r="PBO116" s="0"/>
      <c r="PBP116" s="0"/>
      <c r="PBQ116" s="0"/>
      <c r="PBR116" s="0"/>
      <c r="PBS116" s="0"/>
      <c r="PBT116" s="0"/>
      <c r="PBU116" s="0"/>
      <c r="PBV116" s="0"/>
      <c r="PBW116" s="0"/>
      <c r="PBX116" s="0"/>
      <c r="PBY116" s="0"/>
      <c r="PBZ116" s="0"/>
      <c r="PCA116" s="0"/>
      <c r="PCB116" s="0"/>
      <c r="PCC116" s="0"/>
      <c r="PCD116" s="0"/>
      <c r="PCE116" s="0"/>
      <c r="PCF116" s="0"/>
      <c r="PCG116" s="0"/>
      <c r="PCH116" s="0"/>
      <c r="PCI116" s="0"/>
      <c r="PCJ116" s="0"/>
      <c r="PCK116" s="0"/>
      <c r="PCL116" s="0"/>
      <c r="PCM116" s="0"/>
      <c r="PCN116" s="0"/>
      <c r="PCO116" s="0"/>
      <c r="PCP116" s="0"/>
      <c r="PCQ116" s="0"/>
      <c r="PCR116" s="0"/>
      <c r="PCS116" s="0"/>
      <c r="PCT116" s="0"/>
      <c r="PCU116" s="0"/>
      <c r="PCV116" s="0"/>
      <c r="PCW116" s="0"/>
      <c r="PCX116" s="0"/>
      <c r="PCY116" s="0"/>
      <c r="PCZ116" s="0"/>
      <c r="PDA116" s="0"/>
      <c r="PDB116" s="0"/>
      <c r="PDC116" s="0"/>
      <c r="PDD116" s="0"/>
      <c r="PDE116" s="0"/>
      <c r="PDF116" s="0"/>
      <c r="PDG116" s="0"/>
      <c r="PDH116" s="0"/>
      <c r="PDI116" s="0"/>
      <c r="PDJ116" s="0"/>
      <c r="PDK116" s="0"/>
      <c r="PDL116" s="0"/>
      <c r="PDM116" s="0"/>
      <c r="PDN116" s="0"/>
      <c r="PDO116" s="0"/>
      <c r="PDP116" s="0"/>
      <c r="PDQ116" s="0"/>
      <c r="PDR116" s="0"/>
      <c r="PDS116" s="0"/>
      <c r="PDT116" s="0"/>
      <c r="PDU116" s="0"/>
      <c r="PDV116" s="0"/>
      <c r="PDW116" s="0"/>
      <c r="PDX116" s="0"/>
      <c r="PDY116" s="0"/>
      <c r="PDZ116" s="0"/>
      <c r="PEA116" s="0"/>
      <c r="PEB116" s="0"/>
      <c r="PEC116" s="0"/>
      <c r="PED116" s="0"/>
      <c r="PEE116" s="0"/>
      <c r="PEF116" s="0"/>
      <c r="PEG116" s="0"/>
      <c r="PEH116" s="0"/>
      <c r="PEI116" s="0"/>
      <c r="PEJ116" s="0"/>
      <c r="PEK116" s="0"/>
      <c r="PEL116" s="0"/>
      <c r="PEM116" s="0"/>
      <c r="PEN116" s="0"/>
      <c r="PEO116" s="0"/>
      <c r="PEP116" s="0"/>
      <c r="PEQ116" s="0"/>
      <c r="PER116" s="0"/>
      <c r="PES116" s="0"/>
      <c r="PET116" s="0"/>
      <c r="PEU116" s="0"/>
      <c r="PEV116" s="0"/>
      <c r="PEW116" s="0"/>
      <c r="PEX116" s="0"/>
      <c r="PEY116" s="0"/>
      <c r="PEZ116" s="0"/>
      <c r="PFA116" s="0"/>
      <c r="PFB116" s="0"/>
      <c r="PFC116" s="0"/>
      <c r="PFD116" s="0"/>
      <c r="PFE116" s="0"/>
      <c r="PFF116" s="0"/>
      <c r="PFG116" s="0"/>
      <c r="PFH116" s="0"/>
      <c r="PFI116" s="0"/>
      <c r="PFJ116" s="0"/>
      <c r="PFK116" s="0"/>
      <c r="PFL116" s="0"/>
      <c r="PFM116" s="0"/>
      <c r="PFN116" s="0"/>
      <c r="PFO116" s="0"/>
      <c r="PFP116" s="0"/>
      <c r="PFQ116" s="0"/>
      <c r="PFR116" s="0"/>
      <c r="PFS116" s="0"/>
      <c r="PFT116" s="0"/>
      <c r="PFU116" s="0"/>
      <c r="PFV116" s="0"/>
      <c r="PFW116" s="0"/>
      <c r="PFX116" s="0"/>
      <c r="PFY116" s="0"/>
      <c r="PFZ116" s="0"/>
      <c r="PGA116" s="0"/>
      <c r="PGB116" s="0"/>
      <c r="PGC116" s="0"/>
      <c r="PGD116" s="0"/>
      <c r="PGE116" s="0"/>
      <c r="PGF116" s="0"/>
      <c r="PGG116" s="0"/>
      <c r="PGH116" s="0"/>
      <c r="PGI116" s="0"/>
      <c r="PGJ116" s="0"/>
      <c r="PGK116" s="0"/>
      <c r="PGL116" s="0"/>
      <c r="PGM116" s="0"/>
      <c r="PGN116" s="0"/>
      <c r="PGO116" s="0"/>
      <c r="PGP116" s="0"/>
      <c r="PGQ116" s="0"/>
      <c r="PGR116" s="0"/>
      <c r="PGS116" s="0"/>
      <c r="PGT116" s="0"/>
      <c r="PGU116" s="0"/>
      <c r="PGV116" s="0"/>
      <c r="PGW116" s="0"/>
      <c r="PGX116" s="0"/>
      <c r="PGY116" s="0"/>
      <c r="PGZ116" s="0"/>
      <c r="PHA116" s="0"/>
      <c r="PHB116" s="0"/>
      <c r="PHC116" s="0"/>
      <c r="PHD116" s="0"/>
      <c r="PHE116" s="0"/>
      <c r="PHF116" s="0"/>
      <c r="PHG116" s="0"/>
      <c r="PHH116" s="0"/>
      <c r="PHI116" s="0"/>
      <c r="PHJ116" s="0"/>
      <c r="PHK116" s="0"/>
      <c r="PHL116" s="0"/>
      <c r="PHM116" s="0"/>
      <c r="PHN116" s="0"/>
      <c r="PHO116" s="0"/>
      <c r="PHP116" s="0"/>
      <c r="PHQ116" s="0"/>
      <c r="PHR116" s="0"/>
      <c r="PHS116" s="0"/>
      <c r="PHT116" s="0"/>
      <c r="PHU116" s="0"/>
      <c r="PHV116" s="0"/>
      <c r="PHW116" s="0"/>
      <c r="PHX116" s="0"/>
      <c r="PHY116" s="0"/>
      <c r="PHZ116" s="0"/>
      <c r="PIA116" s="0"/>
      <c r="PIB116" s="0"/>
      <c r="PIC116" s="0"/>
      <c r="PID116" s="0"/>
      <c r="PIE116" s="0"/>
      <c r="PIF116" s="0"/>
      <c r="PIG116" s="0"/>
      <c r="PIH116" s="0"/>
      <c r="PII116" s="0"/>
      <c r="PIJ116" s="0"/>
      <c r="PIK116" s="0"/>
      <c r="PIL116" s="0"/>
      <c r="PIM116" s="0"/>
      <c r="PIN116" s="0"/>
      <c r="PIO116" s="0"/>
      <c r="PIP116" s="0"/>
      <c r="PIQ116" s="0"/>
      <c r="PIR116" s="0"/>
      <c r="PIS116" s="0"/>
      <c r="PIT116" s="0"/>
      <c r="PIU116" s="0"/>
      <c r="PIV116" s="0"/>
      <c r="PIW116" s="0"/>
      <c r="PIX116" s="0"/>
      <c r="PIY116" s="0"/>
      <c r="PIZ116" s="0"/>
      <c r="PJA116" s="0"/>
      <c r="PJB116" s="0"/>
      <c r="PJC116" s="0"/>
      <c r="PJD116" s="0"/>
      <c r="PJE116" s="0"/>
      <c r="PJF116" s="0"/>
      <c r="PJG116" s="0"/>
      <c r="PJH116" s="0"/>
      <c r="PJI116" s="0"/>
      <c r="PJJ116" s="0"/>
      <c r="PJK116" s="0"/>
      <c r="PJL116" s="0"/>
      <c r="PJM116" s="0"/>
      <c r="PJN116" s="0"/>
      <c r="PJO116" s="0"/>
      <c r="PJP116" s="0"/>
      <c r="PJQ116" s="0"/>
      <c r="PJR116" s="0"/>
      <c r="PJS116" s="0"/>
      <c r="PJT116" s="0"/>
      <c r="PJU116" s="0"/>
      <c r="PJV116" s="0"/>
      <c r="PJW116" s="0"/>
      <c r="PJX116" s="0"/>
      <c r="PJY116" s="0"/>
      <c r="PJZ116" s="0"/>
      <c r="PKA116" s="0"/>
      <c r="PKB116" s="0"/>
      <c r="PKC116" s="0"/>
      <c r="PKD116" s="0"/>
      <c r="PKE116" s="0"/>
      <c r="PKF116" s="0"/>
      <c r="PKG116" s="0"/>
      <c r="PKH116" s="0"/>
      <c r="PKI116" s="0"/>
      <c r="PKJ116" s="0"/>
      <c r="PKK116" s="0"/>
      <c r="PKL116" s="0"/>
      <c r="PKM116" s="0"/>
      <c r="PKN116" s="0"/>
      <c r="PKO116" s="0"/>
      <c r="PKP116" s="0"/>
      <c r="PKQ116" s="0"/>
      <c r="PKR116" s="0"/>
      <c r="PKS116" s="0"/>
      <c r="PKT116" s="0"/>
      <c r="PKU116" s="0"/>
      <c r="PKV116" s="0"/>
      <c r="PKW116" s="0"/>
      <c r="PKX116" s="0"/>
      <c r="PKY116" s="0"/>
      <c r="PKZ116" s="0"/>
      <c r="PLA116" s="0"/>
      <c r="PLB116" s="0"/>
      <c r="PLC116" s="0"/>
      <c r="PLD116" s="0"/>
      <c r="PLE116" s="0"/>
      <c r="PLF116" s="0"/>
      <c r="PLG116" s="0"/>
      <c r="PLH116" s="0"/>
      <c r="PLI116" s="0"/>
      <c r="PLJ116" s="0"/>
      <c r="PLK116" s="0"/>
      <c r="PLL116" s="0"/>
      <c r="PLM116" s="0"/>
      <c r="PLN116" s="0"/>
      <c r="PLO116" s="0"/>
      <c r="PLP116" s="0"/>
      <c r="PLQ116" s="0"/>
      <c r="PLR116" s="0"/>
      <c r="PLS116" s="0"/>
      <c r="PLT116" s="0"/>
      <c r="PLU116" s="0"/>
      <c r="PLV116" s="0"/>
      <c r="PLW116" s="0"/>
      <c r="PLX116" s="0"/>
      <c r="PLY116" s="0"/>
      <c r="PLZ116" s="0"/>
      <c r="PMA116" s="0"/>
      <c r="PMB116" s="0"/>
      <c r="PMC116" s="0"/>
      <c r="PMD116" s="0"/>
      <c r="PME116" s="0"/>
      <c r="PMF116" s="0"/>
      <c r="PMG116" s="0"/>
      <c r="PMH116" s="0"/>
      <c r="PMI116" s="0"/>
      <c r="PMJ116" s="0"/>
      <c r="PMK116" s="0"/>
      <c r="PML116" s="0"/>
      <c r="PMM116" s="0"/>
      <c r="PMN116" s="0"/>
      <c r="PMO116" s="0"/>
      <c r="PMP116" s="0"/>
      <c r="PMQ116" s="0"/>
      <c r="PMR116" s="0"/>
      <c r="PMS116" s="0"/>
      <c r="PMT116" s="0"/>
      <c r="PMU116" s="0"/>
      <c r="PMV116" s="0"/>
      <c r="PMW116" s="0"/>
      <c r="PMX116" s="0"/>
      <c r="PMY116" s="0"/>
      <c r="PMZ116" s="0"/>
      <c r="PNA116" s="0"/>
      <c r="PNB116" s="0"/>
      <c r="PNC116" s="0"/>
      <c r="PND116" s="0"/>
      <c r="PNE116" s="0"/>
      <c r="PNF116" s="0"/>
      <c r="PNG116" s="0"/>
      <c r="PNH116" s="0"/>
      <c r="PNI116" s="0"/>
      <c r="PNJ116" s="0"/>
      <c r="PNK116" s="0"/>
      <c r="PNL116" s="0"/>
      <c r="PNM116" s="0"/>
      <c r="PNN116" s="0"/>
      <c r="PNO116" s="0"/>
      <c r="PNP116" s="0"/>
      <c r="PNQ116" s="0"/>
      <c r="PNR116" s="0"/>
      <c r="PNS116" s="0"/>
      <c r="PNT116" s="0"/>
      <c r="PNU116" s="0"/>
      <c r="PNV116" s="0"/>
      <c r="PNW116" s="0"/>
      <c r="PNX116" s="0"/>
      <c r="PNY116" s="0"/>
      <c r="PNZ116" s="0"/>
      <c r="POA116" s="0"/>
      <c r="POB116" s="0"/>
      <c r="POC116" s="0"/>
      <c r="POD116" s="0"/>
      <c r="POE116" s="0"/>
      <c r="POF116" s="0"/>
      <c r="POG116" s="0"/>
      <c r="POH116" s="0"/>
      <c r="POI116" s="0"/>
      <c r="POJ116" s="0"/>
      <c r="POK116" s="0"/>
      <c r="POL116" s="0"/>
      <c r="POM116" s="0"/>
      <c r="PON116" s="0"/>
      <c r="POO116" s="0"/>
      <c r="POP116" s="0"/>
      <c r="POQ116" s="0"/>
      <c r="POR116" s="0"/>
      <c r="POS116" s="0"/>
      <c r="POT116" s="0"/>
      <c r="POU116" s="0"/>
      <c r="POV116" s="0"/>
      <c r="POW116" s="0"/>
      <c r="POX116" s="0"/>
      <c r="POY116" s="0"/>
      <c r="POZ116" s="0"/>
      <c r="PPA116" s="0"/>
      <c r="PPB116" s="0"/>
      <c r="PPC116" s="0"/>
      <c r="PPD116" s="0"/>
      <c r="PPE116" s="0"/>
      <c r="PPF116" s="0"/>
      <c r="PPG116" s="0"/>
      <c r="PPH116" s="0"/>
      <c r="PPI116" s="0"/>
      <c r="PPJ116" s="0"/>
      <c r="PPK116" s="0"/>
      <c r="PPL116" s="0"/>
      <c r="PPM116" s="0"/>
      <c r="PPN116" s="0"/>
      <c r="PPO116" s="0"/>
      <c r="PPP116" s="0"/>
      <c r="PPQ116" s="0"/>
      <c r="PPR116" s="0"/>
      <c r="PPS116" s="0"/>
      <c r="PPT116" s="0"/>
      <c r="PPU116" s="0"/>
      <c r="PPV116" s="0"/>
      <c r="PPW116" s="0"/>
      <c r="PPX116" s="0"/>
      <c r="PPY116" s="0"/>
      <c r="PPZ116" s="0"/>
      <c r="PQA116" s="0"/>
      <c r="PQB116" s="0"/>
      <c r="PQC116" s="0"/>
      <c r="PQD116" s="0"/>
      <c r="PQE116" s="0"/>
      <c r="PQF116" s="0"/>
      <c r="PQG116" s="0"/>
      <c r="PQH116" s="0"/>
      <c r="PQI116" s="0"/>
      <c r="PQJ116" s="0"/>
      <c r="PQK116" s="0"/>
      <c r="PQL116" s="0"/>
      <c r="PQM116" s="0"/>
      <c r="PQN116" s="0"/>
      <c r="PQO116" s="0"/>
      <c r="PQP116" s="0"/>
      <c r="PQQ116" s="0"/>
      <c r="PQR116" s="0"/>
      <c r="PQS116" s="0"/>
      <c r="PQT116" s="0"/>
      <c r="PQU116" s="0"/>
      <c r="PQV116" s="0"/>
      <c r="PQW116" s="0"/>
      <c r="PQX116" s="0"/>
      <c r="PQY116" s="0"/>
      <c r="PQZ116" s="0"/>
      <c r="PRA116" s="0"/>
      <c r="PRB116" s="0"/>
      <c r="PRC116" s="0"/>
      <c r="PRD116" s="0"/>
      <c r="PRE116" s="0"/>
      <c r="PRF116" s="0"/>
      <c r="PRG116" s="0"/>
      <c r="PRH116" s="0"/>
      <c r="PRI116" s="0"/>
      <c r="PRJ116" s="0"/>
      <c r="PRK116" s="0"/>
      <c r="PRL116" s="0"/>
      <c r="PRM116" s="0"/>
      <c r="PRN116" s="0"/>
      <c r="PRO116" s="0"/>
      <c r="PRP116" s="0"/>
      <c r="PRQ116" s="0"/>
      <c r="PRR116" s="0"/>
      <c r="PRS116" s="0"/>
      <c r="PRT116" s="0"/>
      <c r="PRU116" s="0"/>
      <c r="PRV116" s="0"/>
      <c r="PRW116" s="0"/>
      <c r="PRX116" s="0"/>
      <c r="PRY116" s="0"/>
      <c r="PRZ116" s="0"/>
      <c r="PSA116" s="0"/>
      <c r="PSB116" s="0"/>
      <c r="PSC116" s="0"/>
      <c r="PSD116" s="0"/>
      <c r="PSE116" s="0"/>
      <c r="PSF116" s="0"/>
      <c r="PSG116" s="0"/>
      <c r="PSH116" s="0"/>
      <c r="PSI116" s="0"/>
      <c r="PSJ116" s="0"/>
      <c r="PSK116" s="0"/>
      <c r="PSL116" s="0"/>
      <c r="PSM116" s="0"/>
      <c r="PSN116" s="0"/>
      <c r="PSO116" s="0"/>
      <c r="PSP116" s="0"/>
      <c r="PSQ116" s="0"/>
      <c r="PSR116" s="0"/>
      <c r="PSS116" s="0"/>
      <c r="PST116" s="0"/>
      <c r="PSU116" s="0"/>
      <c r="PSV116" s="0"/>
      <c r="PSW116" s="0"/>
      <c r="PSX116" s="0"/>
      <c r="PSY116" s="0"/>
      <c r="PSZ116" s="0"/>
      <c r="PTA116" s="0"/>
      <c r="PTB116" s="0"/>
      <c r="PTC116" s="0"/>
      <c r="PTD116" s="0"/>
      <c r="PTE116" s="0"/>
      <c r="PTF116" s="0"/>
      <c r="PTG116" s="0"/>
      <c r="PTH116" s="0"/>
      <c r="PTI116" s="0"/>
      <c r="PTJ116" s="0"/>
      <c r="PTK116" s="0"/>
      <c r="PTL116" s="0"/>
      <c r="PTM116" s="0"/>
      <c r="PTN116" s="0"/>
      <c r="PTO116" s="0"/>
      <c r="PTP116" s="0"/>
      <c r="PTQ116" s="0"/>
      <c r="PTR116" s="0"/>
      <c r="PTS116" s="0"/>
      <c r="PTT116" s="0"/>
      <c r="PTU116" s="0"/>
      <c r="PTV116" s="0"/>
      <c r="PTW116" s="0"/>
      <c r="PTX116" s="0"/>
      <c r="PTY116" s="0"/>
      <c r="PTZ116" s="0"/>
      <c r="PUA116" s="0"/>
      <c r="PUB116" s="0"/>
      <c r="PUC116" s="0"/>
      <c r="PUD116" s="0"/>
      <c r="PUE116" s="0"/>
      <c r="PUF116" s="0"/>
      <c r="PUG116" s="0"/>
      <c r="PUH116" s="0"/>
      <c r="PUI116" s="0"/>
      <c r="PUJ116" s="0"/>
      <c r="PUK116" s="0"/>
      <c r="PUL116" s="0"/>
      <c r="PUM116" s="0"/>
      <c r="PUN116" s="0"/>
      <c r="PUO116" s="0"/>
      <c r="PUP116" s="0"/>
      <c r="PUQ116" s="0"/>
      <c r="PUR116" s="0"/>
      <c r="PUS116" s="0"/>
      <c r="PUT116" s="0"/>
      <c r="PUU116" s="0"/>
      <c r="PUV116" s="0"/>
      <c r="PUW116" s="0"/>
      <c r="PUX116" s="0"/>
      <c r="PUY116" s="0"/>
      <c r="PUZ116" s="0"/>
      <c r="PVA116" s="0"/>
      <c r="PVB116" s="0"/>
      <c r="PVC116" s="0"/>
      <c r="PVD116" s="0"/>
      <c r="PVE116" s="0"/>
      <c r="PVF116" s="0"/>
      <c r="PVG116" s="0"/>
      <c r="PVH116" s="0"/>
      <c r="PVI116" s="0"/>
      <c r="PVJ116" s="0"/>
      <c r="PVK116" s="0"/>
      <c r="PVL116" s="0"/>
      <c r="PVM116" s="0"/>
      <c r="PVN116" s="0"/>
      <c r="PVO116" s="0"/>
      <c r="PVP116" s="0"/>
      <c r="PVQ116" s="0"/>
      <c r="PVR116" s="0"/>
      <c r="PVS116" s="0"/>
      <c r="PVT116" s="0"/>
      <c r="PVU116" s="0"/>
      <c r="PVV116" s="0"/>
      <c r="PVW116" s="0"/>
      <c r="PVX116" s="0"/>
      <c r="PVY116" s="0"/>
      <c r="PVZ116" s="0"/>
      <c r="PWA116" s="0"/>
      <c r="PWB116" s="0"/>
      <c r="PWC116" s="0"/>
      <c r="PWD116" s="0"/>
      <c r="PWE116" s="0"/>
      <c r="PWF116" s="0"/>
      <c r="PWG116" s="0"/>
      <c r="PWH116" s="0"/>
      <c r="PWI116" s="0"/>
      <c r="PWJ116" s="0"/>
      <c r="PWK116" s="0"/>
      <c r="PWL116" s="0"/>
      <c r="PWM116" s="0"/>
      <c r="PWN116" s="0"/>
      <c r="PWO116" s="0"/>
      <c r="PWP116" s="0"/>
      <c r="PWQ116" s="0"/>
      <c r="PWR116" s="0"/>
      <c r="PWS116" s="0"/>
      <c r="PWT116" s="0"/>
      <c r="PWU116" s="0"/>
      <c r="PWV116" s="0"/>
      <c r="PWW116" s="0"/>
      <c r="PWX116" s="0"/>
      <c r="PWY116" s="0"/>
      <c r="PWZ116" s="0"/>
      <c r="PXA116" s="0"/>
      <c r="PXB116" s="0"/>
      <c r="PXC116" s="0"/>
      <c r="PXD116" s="0"/>
      <c r="PXE116" s="0"/>
      <c r="PXF116" s="0"/>
      <c r="PXG116" s="0"/>
      <c r="PXH116" s="0"/>
      <c r="PXI116" s="0"/>
      <c r="PXJ116" s="0"/>
      <c r="PXK116" s="0"/>
      <c r="PXL116" s="0"/>
      <c r="PXM116" s="0"/>
      <c r="PXN116" s="0"/>
      <c r="PXO116" s="0"/>
      <c r="PXP116" s="0"/>
      <c r="PXQ116" s="0"/>
      <c r="PXR116" s="0"/>
      <c r="PXS116" s="0"/>
      <c r="PXT116" s="0"/>
      <c r="PXU116" s="0"/>
      <c r="PXV116" s="0"/>
      <c r="PXW116" s="0"/>
      <c r="PXX116" s="0"/>
      <c r="PXY116" s="0"/>
      <c r="PXZ116" s="0"/>
      <c r="PYA116" s="0"/>
      <c r="PYB116" s="0"/>
      <c r="PYC116" s="0"/>
      <c r="PYD116" s="0"/>
      <c r="PYE116" s="0"/>
      <c r="PYF116" s="0"/>
      <c r="PYG116" s="0"/>
      <c r="PYH116" s="0"/>
      <c r="PYI116" s="0"/>
      <c r="PYJ116" s="0"/>
      <c r="PYK116" s="0"/>
      <c r="PYL116" s="0"/>
      <c r="PYM116" s="0"/>
      <c r="PYN116" s="0"/>
      <c r="PYO116" s="0"/>
      <c r="PYP116" s="0"/>
      <c r="PYQ116" s="0"/>
      <c r="PYR116" s="0"/>
      <c r="PYS116" s="0"/>
      <c r="PYT116" s="0"/>
      <c r="PYU116" s="0"/>
      <c r="PYV116" s="0"/>
      <c r="PYW116" s="0"/>
      <c r="PYX116" s="0"/>
      <c r="PYY116" s="0"/>
      <c r="PYZ116" s="0"/>
      <c r="PZA116" s="0"/>
      <c r="PZB116" s="0"/>
      <c r="PZC116" s="0"/>
      <c r="PZD116" s="0"/>
      <c r="PZE116" s="0"/>
      <c r="PZF116" s="0"/>
      <c r="PZG116" s="0"/>
      <c r="PZH116" s="0"/>
      <c r="PZI116" s="0"/>
      <c r="PZJ116" s="0"/>
      <c r="PZK116" s="0"/>
      <c r="PZL116" s="0"/>
      <c r="PZM116" s="0"/>
      <c r="PZN116" s="0"/>
      <c r="PZO116" s="0"/>
      <c r="PZP116" s="0"/>
      <c r="PZQ116" s="0"/>
      <c r="PZR116" s="0"/>
      <c r="PZS116" s="0"/>
      <c r="PZT116" s="0"/>
      <c r="PZU116" s="0"/>
      <c r="PZV116" s="0"/>
      <c r="PZW116" s="0"/>
      <c r="PZX116" s="0"/>
      <c r="PZY116" s="0"/>
      <c r="PZZ116" s="0"/>
      <c r="QAA116" s="0"/>
      <c r="QAB116" s="0"/>
      <c r="QAC116" s="0"/>
      <c r="QAD116" s="0"/>
      <c r="QAE116" s="0"/>
      <c r="QAF116" s="0"/>
      <c r="QAG116" s="0"/>
      <c r="QAH116" s="0"/>
      <c r="QAI116" s="0"/>
      <c r="QAJ116" s="0"/>
      <c r="QAK116" s="0"/>
      <c r="QAL116" s="0"/>
      <c r="QAM116" s="0"/>
      <c r="QAN116" s="0"/>
      <c r="QAO116" s="0"/>
      <c r="QAP116" s="0"/>
      <c r="QAQ116" s="0"/>
      <c r="QAR116" s="0"/>
      <c r="QAS116" s="0"/>
      <c r="QAT116" s="0"/>
      <c r="QAU116" s="0"/>
      <c r="QAV116" s="0"/>
      <c r="QAW116" s="0"/>
      <c r="QAX116" s="0"/>
      <c r="QAY116" s="0"/>
      <c r="QAZ116" s="0"/>
      <c r="QBA116" s="0"/>
      <c r="QBB116" s="0"/>
      <c r="QBC116" s="0"/>
      <c r="QBD116" s="0"/>
      <c r="QBE116" s="0"/>
      <c r="QBF116" s="0"/>
      <c r="QBG116" s="0"/>
      <c r="QBH116" s="0"/>
      <c r="QBI116" s="0"/>
      <c r="QBJ116" s="0"/>
      <c r="QBK116" s="0"/>
      <c r="QBL116" s="0"/>
      <c r="QBM116" s="0"/>
      <c r="QBN116" s="0"/>
      <c r="QBO116" s="0"/>
      <c r="QBP116" s="0"/>
      <c r="QBQ116" s="0"/>
      <c r="QBR116" s="0"/>
      <c r="QBS116" s="0"/>
      <c r="QBT116" s="0"/>
      <c r="QBU116" s="0"/>
      <c r="QBV116" s="0"/>
      <c r="QBW116" s="0"/>
      <c r="QBX116" s="0"/>
      <c r="QBY116" s="0"/>
      <c r="QBZ116" s="0"/>
      <c r="QCA116" s="0"/>
      <c r="QCB116" s="0"/>
      <c r="QCC116" s="0"/>
      <c r="QCD116" s="0"/>
      <c r="QCE116" s="0"/>
      <c r="QCF116" s="0"/>
      <c r="QCG116" s="0"/>
      <c r="QCH116" s="0"/>
      <c r="QCI116" s="0"/>
      <c r="QCJ116" s="0"/>
      <c r="QCK116" s="0"/>
      <c r="QCL116" s="0"/>
      <c r="QCM116" s="0"/>
      <c r="QCN116" s="0"/>
      <c r="QCO116" s="0"/>
      <c r="QCP116" s="0"/>
      <c r="QCQ116" s="0"/>
      <c r="QCR116" s="0"/>
      <c r="QCS116" s="0"/>
      <c r="QCT116" s="0"/>
      <c r="QCU116" s="0"/>
      <c r="QCV116" s="0"/>
      <c r="QCW116" s="0"/>
      <c r="QCX116" s="0"/>
      <c r="QCY116" s="0"/>
      <c r="QCZ116" s="0"/>
      <c r="QDA116" s="0"/>
      <c r="QDB116" s="0"/>
      <c r="QDC116" s="0"/>
      <c r="QDD116" s="0"/>
      <c r="QDE116" s="0"/>
      <c r="QDF116" s="0"/>
      <c r="QDG116" s="0"/>
      <c r="QDH116" s="0"/>
      <c r="QDI116" s="0"/>
      <c r="QDJ116" s="0"/>
      <c r="QDK116" s="0"/>
      <c r="QDL116" s="0"/>
      <c r="QDM116" s="0"/>
      <c r="QDN116" s="0"/>
      <c r="QDO116" s="0"/>
      <c r="QDP116" s="0"/>
      <c r="QDQ116" s="0"/>
      <c r="QDR116" s="0"/>
      <c r="QDS116" s="0"/>
      <c r="QDT116" s="0"/>
      <c r="QDU116" s="0"/>
      <c r="QDV116" s="0"/>
      <c r="QDW116" s="0"/>
      <c r="QDX116" s="0"/>
      <c r="QDY116" s="0"/>
      <c r="QDZ116" s="0"/>
      <c r="QEA116" s="0"/>
      <c r="QEB116" s="0"/>
      <c r="QEC116" s="0"/>
      <c r="QED116" s="0"/>
      <c r="QEE116" s="0"/>
      <c r="QEF116" s="0"/>
      <c r="QEG116" s="0"/>
      <c r="QEH116" s="0"/>
      <c r="QEI116" s="0"/>
      <c r="QEJ116" s="0"/>
      <c r="QEK116" s="0"/>
      <c r="QEL116" s="0"/>
      <c r="QEM116" s="0"/>
      <c r="QEN116" s="0"/>
      <c r="QEO116" s="0"/>
      <c r="QEP116" s="0"/>
      <c r="QEQ116" s="0"/>
      <c r="QER116" s="0"/>
      <c r="QES116" s="0"/>
      <c r="QET116" s="0"/>
      <c r="QEU116" s="0"/>
      <c r="QEV116" s="0"/>
      <c r="QEW116" s="0"/>
      <c r="QEX116" s="0"/>
      <c r="QEY116" s="0"/>
      <c r="QEZ116" s="0"/>
      <c r="QFA116" s="0"/>
      <c r="QFB116" s="0"/>
      <c r="QFC116" s="0"/>
      <c r="QFD116" s="0"/>
      <c r="QFE116" s="0"/>
      <c r="QFF116" s="0"/>
      <c r="QFG116" s="0"/>
      <c r="QFH116" s="0"/>
      <c r="QFI116" s="0"/>
      <c r="QFJ116" s="0"/>
      <c r="QFK116" s="0"/>
      <c r="QFL116" s="0"/>
      <c r="QFM116" s="0"/>
      <c r="QFN116" s="0"/>
      <c r="QFO116" s="0"/>
      <c r="QFP116" s="0"/>
      <c r="QFQ116" s="0"/>
      <c r="QFR116" s="0"/>
      <c r="QFS116" s="0"/>
      <c r="QFT116" s="0"/>
      <c r="QFU116" s="0"/>
      <c r="QFV116" s="0"/>
      <c r="QFW116" s="0"/>
      <c r="QFX116" s="0"/>
      <c r="QFY116" s="0"/>
      <c r="QFZ116" s="0"/>
      <c r="QGA116" s="0"/>
      <c r="QGB116" s="0"/>
      <c r="QGC116" s="0"/>
      <c r="QGD116" s="0"/>
      <c r="QGE116" s="0"/>
      <c r="QGF116" s="0"/>
      <c r="QGG116" s="0"/>
      <c r="QGH116" s="0"/>
      <c r="QGI116" s="0"/>
      <c r="QGJ116" s="0"/>
      <c r="QGK116" s="0"/>
      <c r="QGL116" s="0"/>
      <c r="QGM116" s="0"/>
      <c r="QGN116" s="0"/>
      <c r="QGO116" s="0"/>
      <c r="QGP116" s="0"/>
      <c r="QGQ116" s="0"/>
      <c r="QGR116" s="0"/>
      <c r="QGS116" s="0"/>
      <c r="QGT116" s="0"/>
      <c r="QGU116" s="0"/>
      <c r="QGV116" s="0"/>
      <c r="QGW116" s="0"/>
      <c r="QGX116" s="0"/>
      <c r="QGY116" s="0"/>
      <c r="QGZ116" s="0"/>
      <c r="QHA116" s="0"/>
      <c r="QHB116" s="0"/>
      <c r="QHC116" s="0"/>
      <c r="QHD116" s="0"/>
      <c r="QHE116" s="0"/>
      <c r="QHF116" s="0"/>
      <c r="QHG116" s="0"/>
      <c r="QHH116" s="0"/>
      <c r="QHI116" s="0"/>
      <c r="QHJ116" s="0"/>
      <c r="QHK116" s="0"/>
      <c r="QHL116" s="0"/>
      <c r="QHM116" s="0"/>
      <c r="QHN116" s="0"/>
      <c r="QHO116" s="0"/>
      <c r="QHP116" s="0"/>
      <c r="QHQ116" s="0"/>
      <c r="QHR116" s="0"/>
      <c r="QHS116" s="0"/>
      <c r="QHT116" s="0"/>
      <c r="QHU116" s="0"/>
      <c r="QHV116" s="0"/>
      <c r="QHW116" s="0"/>
      <c r="QHX116" s="0"/>
      <c r="QHY116" s="0"/>
      <c r="QHZ116" s="0"/>
      <c r="QIA116" s="0"/>
      <c r="QIB116" s="0"/>
      <c r="QIC116" s="0"/>
      <c r="QID116" s="0"/>
      <c r="QIE116" s="0"/>
      <c r="QIF116" s="0"/>
      <c r="QIG116" s="0"/>
      <c r="QIH116" s="0"/>
      <c r="QII116" s="0"/>
      <c r="QIJ116" s="0"/>
      <c r="QIK116" s="0"/>
      <c r="QIL116" s="0"/>
      <c r="QIM116" s="0"/>
      <c r="QIN116" s="0"/>
      <c r="QIO116" s="0"/>
      <c r="QIP116" s="0"/>
      <c r="QIQ116" s="0"/>
      <c r="QIR116" s="0"/>
      <c r="QIS116" s="0"/>
      <c r="QIT116" s="0"/>
      <c r="QIU116" s="0"/>
      <c r="QIV116" s="0"/>
      <c r="QIW116" s="0"/>
      <c r="QIX116" s="0"/>
      <c r="QIY116" s="0"/>
      <c r="QIZ116" s="0"/>
      <c r="QJA116" s="0"/>
      <c r="QJB116" s="0"/>
      <c r="QJC116" s="0"/>
      <c r="QJD116" s="0"/>
      <c r="QJE116" s="0"/>
      <c r="QJF116" s="0"/>
      <c r="QJG116" s="0"/>
      <c r="QJH116" s="0"/>
      <c r="QJI116" s="0"/>
      <c r="QJJ116" s="0"/>
      <c r="QJK116" s="0"/>
      <c r="QJL116" s="0"/>
      <c r="QJM116" s="0"/>
      <c r="QJN116" s="0"/>
      <c r="QJO116" s="0"/>
      <c r="QJP116" s="0"/>
      <c r="QJQ116" s="0"/>
      <c r="QJR116" s="0"/>
      <c r="QJS116" s="0"/>
      <c r="QJT116" s="0"/>
      <c r="QJU116" s="0"/>
      <c r="QJV116" s="0"/>
      <c r="QJW116" s="0"/>
      <c r="QJX116" s="0"/>
      <c r="QJY116" s="0"/>
      <c r="QJZ116" s="0"/>
      <c r="QKA116" s="0"/>
      <c r="QKB116" s="0"/>
      <c r="QKC116" s="0"/>
      <c r="QKD116" s="0"/>
      <c r="QKE116" s="0"/>
      <c r="QKF116" s="0"/>
      <c r="QKG116" s="0"/>
      <c r="QKH116" s="0"/>
      <c r="QKI116" s="0"/>
      <c r="QKJ116" s="0"/>
      <c r="QKK116" s="0"/>
      <c r="QKL116" s="0"/>
      <c r="QKM116" s="0"/>
      <c r="QKN116" s="0"/>
      <c r="QKO116" s="0"/>
      <c r="QKP116" s="0"/>
      <c r="QKQ116" s="0"/>
      <c r="QKR116" s="0"/>
      <c r="QKS116" s="0"/>
      <c r="QKT116" s="0"/>
      <c r="QKU116" s="0"/>
      <c r="QKV116" s="0"/>
      <c r="QKW116" s="0"/>
      <c r="QKX116" s="0"/>
      <c r="QKY116" s="0"/>
      <c r="QKZ116" s="0"/>
      <c r="QLA116" s="0"/>
      <c r="QLB116" s="0"/>
      <c r="QLC116" s="0"/>
      <c r="QLD116" s="0"/>
      <c r="QLE116" s="0"/>
      <c r="QLF116" s="0"/>
      <c r="QLG116" s="0"/>
      <c r="QLH116" s="0"/>
      <c r="QLI116" s="0"/>
      <c r="QLJ116" s="0"/>
      <c r="QLK116" s="0"/>
      <c r="QLL116" s="0"/>
      <c r="QLM116" s="0"/>
      <c r="QLN116" s="0"/>
      <c r="QLO116" s="0"/>
      <c r="QLP116" s="0"/>
      <c r="QLQ116" s="0"/>
      <c r="QLR116" s="0"/>
      <c r="QLS116" s="0"/>
      <c r="QLT116" s="0"/>
      <c r="QLU116" s="0"/>
      <c r="QLV116" s="0"/>
      <c r="QLW116" s="0"/>
      <c r="QLX116" s="0"/>
      <c r="QLY116" s="0"/>
      <c r="QLZ116" s="0"/>
      <c r="QMA116" s="0"/>
      <c r="QMB116" s="0"/>
      <c r="QMC116" s="0"/>
      <c r="QMD116" s="0"/>
      <c r="QME116" s="0"/>
      <c r="QMF116" s="0"/>
      <c r="QMG116" s="0"/>
      <c r="QMH116" s="0"/>
      <c r="QMI116" s="0"/>
      <c r="QMJ116" s="0"/>
      <c r="QMK116" s="0"/>
      <c r="QML116" s="0"/>
      <c r="QMM116" s="0"/>
      <c r="QMN116" s="0"/>
      <c r="QMO116" s="0"/>
      <c r="QMP116" s="0"/>
      <c r="QMQ116" s="0"/>
      <c r="QMR116" s="0"/>
      <c r="QMS116" s="0"/>
      <c r="QMT116" s="0"/>
      <c r="QMU116" s="0"/>
      <c r="QMV116" s="0"/>
      <c r="QMW116" s="0"/>
      <c r="QMX116" s="0"/>
      <c r="QMY116" s="0"/>
      <c r="QMZ116" s="0"/>
      <c r="QNA116" s="0"/>
      <c r="QNB116" s="0"/>
      <c r="QNC116" s="0"/>
      <c r="QND116" s="0"/>
      <c r="QNE116" s="0"/>
      <c r="QNF116" s="0"/>
      <c r="QNG116" s="0"/>
      <c r="QNH116" s="0"/>
      <c r="QNI116" s="0"/>
      <c r="QNJ116" s="0"/>
      <c r="QNK116" s="0"/>
      <c r="QNL116" s="0"/>
      <c r="QNM116" s="0"/>
      <c r="QNN116" s="0"/>
      <c r="QNO116" s="0"/>
      <c r="QNP116" s="0"/>
      <c r="QNQ116" s="0"/>
      <c r="QNR116" s="0"/>
      <c r="QNS116" s="0"/>
      <c r="QNT116" s="0"/>
      <c r="QNU116" s="0"/>
      <c r="QNV116" s="0"/>
      <c r="QNW116" s="0"/>
      <c r="QNX116" s="0"/>
      <c r="QNY116" s="0"/>
      <c r="QNZ116" s="0"/>
      <c r="QOA116" s="0"/>
      <c r="QOB116" s="0"/>
      <c r="QOC116" s="0"/>
      <c r="QOD116" s="0"/>
      <c r="QOE116" s="0"/>
      <c r="QOF116" s="0"/>
      <c r="QOG116" s="0"/>
      <c r="QOH116" s="0"/>
      <c r="QOI116" s="0"/>
      <c r="QOJ116" s="0"/>
      <c r="QOK116" s="0"/>
      <c r="QOL116" s="0"/>
      <c r="QOM116" s="0"/>
      <c r="QON116" s="0"/>
      <c r="QOO116" s="0"/>
      <c r="QOP116" s="0"/>
      <c r="QOQ116" s="0"/>
      <c r="QOR116" s="0"/>
      <c r="QOS116" s="0"/>
      <c r="QOT116" s="0"/>
      <c r="QOU116" s="0"/>
      <c r="QOV116" s="0"/>
      <c r="QOW116" s="0"/>
      <c r="QOX116" s="0"/>
      <c r="QOY116" s="0"/>
      <c r="QOZ116" s="0"/>
      <c r="QPA116" s="0"/>
      <c r="QPB116" s="0"/>
      <c r="QPC116" s="0"/>
      <c r="QPD116" s="0"/>
      <c r="QPE116" s="0"/>
      <c r="QPF116" s="0"/>
      <c r="QPG116" s="0"/>
      <c r="QPH116" s="0"/>
      <c r="QPI116" s="0"/>
      <c r="QPJ116" s="0"/>
      <c r="QPK116" s="0"/>
      <c r="QPL116" s="0"/>
      <c r="QPM116" s="0"/>
      <c r="QPN116" s="0"/>
      <c r="QPO116" s="0"/>
      <c r="QPP116" s="0"/>
      <c r="QPQ116" s="0"/>
      <c r="QPR116" s="0"/>
      <c r="QPS116" s="0"/>
      <c r="QPT116" s="0"/>
      <c r="QPU116" s="0"/>
      <c r="QPV116" s="0"/>
      <c r="QPW116" s="0"/>
      <c r="QPX116" s="0"/>
      <c r="QPY116" s="0"/>
      <c r="QPZ116" s="0"/>
      <c r="QQA116" s="0"/>
      <c r="QQB116" s="0"/>
      <c r="QQC116" s="0"/>
      <c r="QQD116" s="0"/>
      <c r="QQE116" s="0"/>
      <c r="QQF116" s="0"/>
      <c r="QQG116" s="0"/>
      <c r="QQH116" s="0"/>
      <c r="QQI116" s="0"/>
      <c r="QQJ116" s="0"/>
      <c r="QQK116" s="0"/>
      <c r="QQL116" s="0"/>
      <c r="QQM116" s="0"/>
      <c r="QQN116" s="0"/>
      <c r="QQO116" s="0"/>
      <c r="QQP116" s="0"/>
      <c r="QQQ116" s="0"/>
      <c r="QQR116" s="0"/>
      <c r="QQS116" s="0"/>
      <c r="QQT116" s="0"/>
      <c r="QQU116" s="0"/>
      <c r="QQV116" s="0"/>
      <c r="QQW116" s="0"/>
      <c r="QQX116" s="0"/>
      <c r="QQY116" s="0"/>
      <c r="QQZ116" s="0"/>
      <c r="QRA116" s="0"/>
      <c r="QRB116" s="0"/>
      <c r="QRC116" s="0"/>
      <c r="QRD116" s="0"/>
      <c r="QRE116" s="0"/>
      <c r="QRF116" s="0"/>
      <c r="QRG116" s="0"/>
      <c r="QRH116" s="0"/>
      <c r="QRI116" s="0"/>
      <c r="QRJ116" s="0"/>
      <c r="QRK116" s="0"/>
      <c r="QRL116" s="0"/>
      <c r="QRM116" s="0"/>
      <c r="QRN116" s="0"/>
      <c r="QRO116" s="0"/>
      <c r="QRP116" s="0"/>
      <c r="QRQ116" s="0"/>
      <c r="QRR116" s="0"/>
      <c r="QRS116" s="0"/>
      <c r="QRT116" s="0"/>
      <c r="QRU116" s="0"/>
      <c r="QRV116" s="0"/>
      <c r="QRW116" s="0"/>
      <c r="QRX116" s="0"/>
      <c r="QRY116" s="0"/>
      <c r="QRZ116" s="0"/>
      <c r="QSA116" s="0"/>
      <c r="QSB116" s="0"/>
      <c r="QSC116" s="0"/>
      <c r="QSD116" s="0"/>
      <c r="QSE116" s="0"/>
      <c r="QSF116" s="0"/>
      <c r="QSG116" s="0"/>
      <c r="QSH116" s="0"/>
      <c r="QSI116" s="0"/>
      <c r="QSJ116" s="0"/>
      <c r="QSK116" s="0"/>
      <c r="QSL116" s="0"/>
      <c r="QSM116" s="0"/>
      <c r="QSN116" s="0"/>
      <c r="QSO116" s="0"/>
      <c r="QSP116" s="0"/>
      <c r="QSQ116" s="0"/>
      <c r="QSR116" s="0"/>
      <c r="QSS116" s="0"/>
      <c r="QST116" s="0"/>
      <c r="QSU116" s="0"/>
      <c r="QSV116" s="0"/>
      <c r="QSW116" s="0"/>
      <c r="QSX116" s="0"/>
      <c r="QSY116" s="0"/>
      <c r="QSZ116" s="0"/>
      <c r="QTA116" s="0"/>
      <c r="QTB116" s="0"/>
      <c r="QTC116" s="0"/>
      <c r="QTD116" s="0"/>
      <c r="QTE116" s="0"/>
      <c r="QTF116" s="0"/>
      <c r="QTG116" s="0"/>
      <c r="QTH116" s="0"/>
      <c r="QTI116" s="0"/>
      <c r="QTJ116" s="0"/>
      <c r="QTK116" s="0"/>
      <c r="QTL116" s="0"/>
      <c r="QTM116" s="0"/>
      <c r="QTN116" s="0"/>
      <c r="QTO116" s="0"/>
      <c r="QTP116" s="0"/>
      <c r="QTQ116" s="0"/>
      <c r="QTR116" s="0"/>
      <c r="QTS116" s="0"/>
      <c r="QTT116" s="0"/>
      <c r="QTU116" s="0"/>
      <c r="QTV116" s="0"/>
      <c r="QTW116" s="0"/>
      <c r="QTX116" s="0"/>
      <c r="QTY116" s="0"/>
      <c r="QTZ116" s="0"/>
      <c r="QUA116" s="0"/>
      <c r="QUB116" s="0"/>
      <c r="QUC116" s="0"/>
      <c r="QUD116" s="0"/>
      <c r="QUE116" s="0"/>
      <c r="QUF116" s="0"/>
      <c r="QUG116" s="0"/>
      <c r="QUH116" s="0"/>
      <c r="QUI116" s="0"/>
      <c r="QUJ116" s="0"/>
      <c r="QUK116" s="0"/>
      <c r="QUL116" s="0"/>
      <c r="QUM116" s="0"/>
      <c r="QUN116" s="0"/>
      <c r="QUO116" s="0"/>
      <c r="QUP116" s="0"/>
      <c r="QUQ116" s="0"/>
      <c r="QUR116" s="0"/>
      <c r="QUS116" s="0"/>
      <c r="QUT116" s="0"/>
      <c r="QUU116" s="0"/>
      <c r="QUV116" s="0"/>
      <c r="QUW116" s="0"/>
      <c r="QUX116" s="0"/>
      <c r="QUY116" s="0"/>
      <c r="QUZ116" s="0"/>
      <c r="QVA116" s="0"/>
      <c r="QVB116" s="0"/>
      <c r="QVC116" s="0"/>
      <c r="QVD116" s="0"/>
      <c r="QVE116" s="0"/>
      <c r="QVF116" s="0"/>
      <c r="QVG116" s="0"/>
      <c r="QVH116" s="0"/>
      <c r="QVI116" s="0"/>
      <c r="QVJ116" s="0"/>
      <c r="QVK116" s="0"/>
      <c r="QVL116" s="0"/>
      <c r="QVM116" s="0"/>
      <c r="QVN116" s="0"/>
      <c r="QVO116" s="0"/>
      <c r="QVP116" s="0"/>
      <c r="QVQ116" s="0"/>
      <c r="QVR116" s="0"/>
      <c r="QVS116" s="0"/>
      <c r="QVT116" s="0"/>
      <c r="QVU116" s="0"/>
      <c r="QVV116" s="0"/>
      <c r="QVW116" s="0"/>
      <c r="QVX116" s="0"/>
      <c r="QVY116" s="0"/>
      <c r="QVZ116" s="0"/>
      <c r="QWA116" s="0"/>
      <c r="QWB116" s="0"/>
      <c r="QWC116" s="0"/>
      <c r="QWD116" s="0"/>
      <c r="QWE116" s="0"/>
      <c r="QWF116" s="0"/>
      <c r="QWG116" s="0"/>
      <c r="QWH116" s="0"/>
      <c r="QWI116" s="0"/>
      <c r="QWJ116" s="0"/>
      <c r="QWK116" s="0"/>
      <c r="QWL116" s="0"/>
      <c r="QWM116" s="0"/>
      <c r="QWN116" s="0"/>
      <c r="QWO116" s="0"/>
      <c r="QWP116" s="0"/>
      <c r="QWQ116" s="0"/>
      <c r="QWR116" s="0"/>
      <c r="QWS116" s="0"/>
      <c r="QWT116" s="0"/>
      <c r="QWU116" s="0"/>
      <c r="QWV116" s="0"/>
      <c r="QWW116" s="0"/>
      <c r="QWX116" s="0"/>
      <c r="QWY116" s="0"/>
      <c r="QWZ116" s="0"/>
      <c r="QXA116" s="0"/>
      <c r="QXB116" s="0"/>
      <c r="QXC116" s="0"/>
      <c r="QXD116" s="0"/>
      <c r="QXE116" s="0"/>
      <c r="QXF116" s="0"/>
      <c r="QXG116" s="0"/>
      <c r="QXH116" s="0"/>
      <c r="QXI116" s="0"/>
      <c r="QXJ116" s="0"/>
      <c r="QXK116" s="0"/>
      <c r="QXL116" s="0"/>
      <c r="QXM116" s="0"/>
      <c r="QXN116" s="0"/>
      <c r="QXO116" s="0"/>
      <c r="QXP116" s="0"/>
      <c r="QXQ116" s="0"/>
      <c r="QXR116" s="0"/>
      <c r="QXS116" s="0"/>
      <c r="QXT116" s="0"/>
      <c r="QXU116" s="0"/>
      <c r="QXV116" s="0"/>
      <c r="QXW116" s="0"/>
      <c r="QXX116" s="0"/>
      <c r="QXY116" s="0"/>
      <c r="QXZ116" s="0"/>
      <c r="QYA116" s="0"/>
      <c r="QYB116" s="0"/>
      <c r="QYC116" s="0"/>
      <c r="QYD116" s="0"/>
      <c r="QYE116" s="0"/>
      <c r="QYF116" s="0"/>
      <c r="QYG116" s="0"/>
      <c r="QYH116" s="0"/>
      <c r="QYI116" s="0"/>
      <c r="QYJ116" s="0"/>
      <c r="QYK116" s="0"/>
      <c r="QYL116" s="0"/>
      <c r="QYM116" s="0"/>
      <c r="QYN116" s="0"/>
      <c r="QYO116" s="0"/>
      <c r="QYP116" s="0"/>
      <c r="QYQ116" s="0"/>
      <c r="QYR116" s="0"/>
      <c r="QYS116" s="0"/>
      <c r="QYT116" s="0"/>
      <c r="QYU116" s="0"/>
      <c r="QYV116" s="0"/>
      <c r="QYW116" s="0"/>
      <c r="QYX116" s="0"/>
      <c r="QYY116" s="0"/>
      <c r="QYZ116" s="0"/>
      <c r="QZA116" s="0"/>
      <c r="QZB116" s="0"/>
      <c r="QZC116" s="0"/>
      <c r="QZD116" s="0"/>
      <c r="QZE116" s="0"/>
      <c r="QZF116" s="0"/>
      <c r="QZG116" s="0"/>
      <c r="QZH116" s="0"/>
      <c r="QZI116" s="0"/>
      <c r="QZJ116" s="0"/>
      <c r="QZK116" s="0"/>
      <c r="QZL116" s="0"/>
      <c r="QZM116" s="0"/>
      <c r="QZN116" s="0"/>
      <c r="QZO116" s="0"/>
      <c r="QZP116" s="0"/>
      <c r="QZQ116" s="0"/>
      <c r="QZR116" s="0"/>
      <c r="QZS116" s="0"/>
      <c r="QZT116" s="0"/>
      <c r="QZU116" s="0"/>
      <c r="QZV116" s="0"/>
      <c r="QZW116" s="0"/>
      <c r="QZX116" s="0"/>
      <c r="QZY116" s="0"/>
      <c r="QZZ116" s="0"/>
      <c r="RAA116" s="0"/>
      <c r="RAB116" s="0"/>
      <c r="RAC116" s="0"/>
      <c r="RAD116" s="0"/>
      <c r="RAE116" s="0"/>
      <c r="RAF116" s="0"/>
      <c r="RAG116" s="0"/>
      <c r="RAH116" s="0"/>
      <c r="RAI116" s="0"/>
      <c r="RAJ116" s="0"/>
      <c r="RAK116" s="0"/>
      <c r="RAL116" s="0"/>
      <c r="RAM116" s="0"/>
      <c r="RAN116" s="0"/>
      <c r="RAO116" s="0"/>
      <c r="RAP116" s="0"/>
      <c r="RAQ116" s="0"/>
      <c r="RAR116" s="0"/>
      <c r="RAS116" s="0"/>
      <c r="RAT116" s="0"/>
      <c r="RAU116" s="0"/>
      <c r="RAV116" s="0"/>
      <c r="RAW116" s="0"/>
      <c r="RAX116" s="0"/>
      <c r="RAY116" s="0"/>
      <c r="RAZ116" s="0"/>
      <c r="RBA116" s="0"/>
      <c r="RBB116" s="0"/>
      <c r="RBC116" s="0"/>
      <c r="RBD116" s="0"/>
      <c r="RBE116" s="0"/>
      <c r="RBF116" s="0"/>
      <c r="RBG116" s="0"/>
      <c r="RBH116" s="0"/>
      <c r="RBI116" s="0"/>
      <c r="RBJ116" s="0"/>
      <c r="RBK116" s="0"/>
      <c r="RBL116" s="0"/>
      <c r="RBM116" s="0"/>
      <c r="RBN116" s="0"/>
      <c r="RBO116" s="0"/>
      <c r="RBP116" s="0"/>
      <c r="RBQ116" s="0"/>
      <c r="RBR116" s="0"/>
      <c r="RBS116" s="0"/>
      <c r="RBT116" s="0"/>
      <c r="RBU116" s="0"/>
      <c r="RBV116" s="0"/>
      <c r="RBW116" s="0"/>
      <c r="RBX116" s="0"/>
      <c r="RBY116" s="0"/>
      <c r="RBZ116" s="0"/>
      <c r="RCA116" s="0"/>
      <c r="RCB116" s="0"/>
      <c r="RCC116" s="0"/>
      <c r="RCD116" s="0"/>
      <c r="RCE116" s="0"/>
      <c r="RCF116" s="0"/>
      <c r="RCG116" s="0"/>
      <c r="RCH116" s="0"/>
      <c r="RCI116" s="0"/>
      <c r="RCJ116" s="0"/>
      <c r="RCK116" s="0"/>
      <c r="RCL116" s="0"/>
      <c r="RCM116" s="0"/>
      <c r="RCN116" s="0"/>
      <c r="RCO116" s="0"/>
      <c r="RCP116" s="0"/>
      <c r="RCQ116" s="0"/>
      <c r="RCR116" s="0"/>
      <c r="RCS116" s="0"/>
      <c r="RCT116" s="0"/>
      <c r="RCU116" s="0"/>
      <c r="RCV116" s="0"/>
      <c r="RCW116" s="0"/>
      <c r="RCX116" s="0"/>
      <c r="RCY116" s="0"/>
      <c r="RCZ116" s="0"/>
      <c r="RDA116" s="0"/>
      <c r="RDB116" s="0"/>
      <c r="RDC116" s="0"/>
      <c r="RDD116" s="0"/>
      <c r="RDE116" s="0"/>
      <c r="RDF116" s="0"/>
      <c r="RDG116" s="0"/>
      <c r="RDH116" s="0"/>
      <c r="RDI116" s="0"/>
      <c r="RDJ116" s="0"/>
      <c r="RDK116" s="0"/>
      <c r="RDL116" s="0"/>
      <c r="RDM116" s="0"/>
      <c r="RDN116" s="0"/>
      <c r="RDO116" s="0"/>
      <c r="RDP116" s="0"/>
      <c r="RDQ116" s="0"/>
      <c r="RDR116" s="0"/>
      <c r="RDS116" s="0"/>
      <c r="RDT116" s="0"/>
      <c r="RDU116" s="0"/>
      <c r="RDV116" s="0"/>
      <c r="RDW116" s="0"/>
      <c r="RDX116" s="0"/>
      <c r="RDY116" s="0"/>
      <c r="RDZ116" s="0"/>
      <c r="REA116" s="0"/>
      <c r="REB116" s="0"/>
      <c r="REC116" s="0"/>
      <c r="RED116" s="0"/>
      <c r="REE116" s="0"/>
      <c r="REF116" s="0"/>
      <c r="REG116" s="0"/>
      <c r="REH116" s="0"/>
      <c r="REI116" s="0"/>
      <c r="REJ116" s="0"/>
      <c r="REK116" s="0"/>
      <c r="REL116" s="0"/>
      <c r="REM116" s="0"/>
      <c r="REN116" s="0"/>
      <c r="REO116" s="0"/>
      <c r="REP116" s="0"/>
      <c r="REQ116" s="0"/>
      <c r="RER116" s="0"/>
      <c r="RES116" s="0"/>
      <c r="RET116" s="0"/>
      <c r="REU116" s="0"/>
      <c r="REV116" s="0"/>
      <c r="REW116" s="0"/>
      <c r="REX116" s="0"/>
      <c r="REY116" s="0"/>
      <c r="REZ116" s="0"/>
      <c r="RFA116" s="0"/>
      <c r="RFB116" s="0"/>
      <c r="RFC116" s="0"/>
      <c r="RFD116" s="0"/>
      <c r="RFE116" s="0"/>
      <c r="RFF116" s="0"/>
      <c r="RFG116" s="0"/>
      <c r="RFH116" s="0"/>
      <c r="RFI116" s="0"/>
      <c r="RFJ116" s="0"/>
      <c r="RFK116" s="0"/>
      <c r="RFL116" s="0"/>
      <c r="RFM116" s="0"/>
      <c r="RFN116" s="0"/>
      <c r="RFO116" s="0"/>
      <c r="RFP116" s="0"/>
      <c r="RFQ116" s="0"/>
      <c r="RFR116" s="0"/>
      <c r="RFS116" s="0"/>
      <c r="RFT116" s="0"/>
      <c r="RFU116" s="0"/>
      <c r="RFV116" s="0"/>
      <c r="RFW116" s="0"/>
      <c r="RFX116" s="0"/>
      <c r="RFY116" s="0"/>
      <c r="RFZ116" s="0"/>
      <c r="RGA116" s="0"/>
      <c r="RGB116" s="0"/>
      <c r="RGC116" s="0"/>
      <c r="RGD116" s="0"/>
      <c r="RGE116" s="0"/>
      <c r="RGF116" s="0"/>
      <c r="RGG116" s="0"/>
      <c r="RGH116" s="0"/>
      <c r="RGI116" s="0"/>
      <c r="RGJ116" s="0"/>
      <c r="RGK116" s="0"/>
      <c r="RGL116" s="0"/>
      <c r="RGM116" s="0"/>
      <c r="RGN116" s="0"/>
      <c r="RGO116" s="0"/>
      <c r="RGP116" s="0"/>
      <c r="RGQ116" s="0"/>
      <c r="RGR116" s="0"/>
      <c r="RGS116" s="0"/>
      <c r="RGT116" s="0"/>
      <c r="RGU116" s="0"/>
      <c r="RGV116" s="0"/>
      <c r="RGW116" s="0"/>
      <c r="RGX116" s="0"/>
      <c r="RGY116" s="0"/>
      <c r="RGZ116" s="0"/>
      <c r="RHA116" s="0"/>
      <c r="RHB116" s="0"/>
      <c r="RHC116" s="0"/>
      <c r="RHD116" s="0"/>
      <c r="RHE116" s="0"/>
      <c r="RHF116" s="0"/>
      <c r="RHG116" s="0"/>
      <c r="RHH116" s="0"/>
      <c r="RHI116" s="0"/>
      <c r="RHJ116" s="0"/>
      <c r="RHK116" s="0"/>
      <c r="RHL116" s="0"/>
      <c r="RHM116" s="0"/>
      <c r="RHN116" s="0"/>
      <c r="RHO116" s="0"/>
      <c r="RHP116" s="0"/>
      <c r="RHQ116" s="0"/>
      <c r="RHR116" s="0"/>
      <c r="RHS116" s="0"/>
      <c r="RHT116" s="0"/>
      <c r="RHU116" s="0"/>
      <c r="RHV116" s="0"/>
      <c r="RHW116" s="0"/>
      <c r="RHX116" s="0"/>
      <c r="RHY116" s="0"/>
      <c r="RHZ116" s="0"/>
      <c r="RIA116" s="0"/>
      <c r="RIB116" s="0"/>
      <c r="RIC116" s="0"/>
      <c r="RID116" s="0"/>
      <c r="RIE116" s="0"/>
      <c r="RIF116" s="0"/>
      <c r="RIG116" s="0"/>
      <c r="RIH116" s="0"/>
      <c r="RII116" s="0"/>
      <c r="RIJ116" s="0"/>
      <c r="RIK116" s="0"/>
      <c r="RIL116" s="0"/>
      <c r="RIM116" s="0"/>
      <c r="RIN116" s="0"/>
      <c r="RIO116" s="0"/>
      <c r="RIP116" s="0"/>
      <c r="RIQ116" s="0"/>
      <c r="RIR116" s="0"/>
      <c r="RIS116" s="0"/>
      <c r="RIT116" s="0"/>
      <c r="RIU116" s="0"/>
      <c r="RIV116" s="0"/>
      <c r="RIW116" s="0"/>
      <c r="RIX116" s="0"/>
      <c r="RIY116" s="0"/>
      <c r="RIZ116" s="0"/>
      <c r="RJA116" s="0"/>
      <c r="RJB116" s="0"/>
      <c r="RJC116" s="0"/>
      <c r="RJD116" s="0"/>
      <c r="RJE116" s="0"/>
      <c r="RJF116" s="0"/>
      <c r="RJG116" s="0"/>
      <c r="RJH116" s="0"/>
      <c r="RJI116" s="0"/>
      <c r="RJJ116" s="0"/>
      <c r="RJK116" s="0"/>
      <c r="RJL116" s="0"/>
      <c r="RJM116" s="0"/>
      <c r="RJN116" s="0"/>
      <c r="RJO116" s="0"/>
      <c r="RJP116" s="0"/>
      <c r="RJQ116" s="0"/>
      <c r="RJR116" s="0"/>
      <c r="RJS116" s="0"/>
      <c r="RJT116" s="0"/>
      <c r="RJU116" s="0"/>
      <c r="RJV116" s="0"/>
      <c r="RJW116" s="0"/>
      <c r="RJX116" s="0"/>
      <c r="RJY116" s="0"/>
      <c r="RJZ116" s="0"/>
      <c r="RKA116" s="0"/>
      <c r="RKB116" s="0"/>
      <c r="RKC116" s="0"/>
      <c r="RKD116" s="0"/>
      <c r="RKE116" s="0"/>
      <c r="RKF116" s="0"/>
      <c r="RKG116" s="0"/>
      <c r="RKH116" s="0"/>
      <c r="RKI116" s="0"/>
      <c r="RKJ116" s="0"/>
      <c r="RKK116" s="0"/>
      <c r="RKL116" s="0"/>
      <c r="RKM116" s="0"/>
      <c r="RKN116" s="0"/>
      <c r="RKO116" s="0"/>
      <c r="RKP116" s="0"/>
      <c r="RKQ116" s="0"/>
      <c r="RKR116" s="0"/>
      <c r="RKS116" s="0"/>
      <c r="RKT116" s="0"/>
      <c r="RKU116" s="0"/>
      <c r="RKV116" s="0"/>
      <c r="RKW116" s="0"/>
      <c r="RKX116" s="0"/>
      <c r="RKY116" s="0"/>
      <c r="RKZ116" s="0"/>
      <c r="RLA116" s="0"/>
      <c r="RLB116" s="0"/>
      <c r="RLC116" s="0"/>
      <c r="RLD116" s="0"/>
      <c r="RLE116" s="0"/>
      <c r="RLF116" s="0"/>
      <c r="RLG116" s="0"/>
      <c r="RLH116" s="0"/>
      <c r="RLI116" s="0"/>
      <c r="RLJ116" s="0"/>
      <c r="RLK116" s="0"/>
      <c r="RLL116" s="0"/>
      <c r="RLM116" s="0"/>
      <c r="RLN116" s="0"/>
      <c r="RLO116" s="0"/>
      <c r="RLP116" s="0"/>
      <c r="RLQ116" s="0"/>
      <c r="RLR116" s="0"/>
      <c r="RLS116" s="0"/>
      <c r="RLT116" s="0"/>
      <c r="RLU116" s="0"/>
      <c r="RLV116" s="0"/>
      <c r="RLW116" s="0"/>
      <c r="RLX116" s="0"/>
      <c r="RLY116" s="0"/>
      <c r="RLZ116" s="0"/>
      <c r="RMA116" s="0"/>
      <c r="RMB116" s="0"/>
      <c r="RMC116" s="0"/>
      <c r="RMD116" s="0"/>
      <c r="RME116" s="0"/>
      <c r="RMF116" s="0"/>
      <c r="RMG116" s="0"/>
      <c r="RMH116" s="0"/>
      <c r="RMI116" s="0"/>
      <c r="RMJ116" s="0"/>
      <c r="RMK116" s="0"/>
      <c r="RML116" s="0"/>
      <c r="RMM116" s="0"/>
      <c r="RMN116" s="0"/>
      <c r="RMO116" s="0"/>
      <c r="RMP116" s="0"/>
      <c r="RMQ116" s="0"/>
      <c r="RMR116" s="0"/>
      <c r="RMS116" s="0"/>
      <c r="RMT116" s="0"/>
      <c r="RMU116" s="0"/>
      <c r="RMV116" s="0"/>
      <c r="RMW116" s="0"/>
      <c r="RMX116" s="0"/>
      <c r="RMY116" s="0"/>
      <c r="RMZ116" s="0"/>
      <c r="RNA116" s="0"/>
      <c r="RNB116" s="0"/>
      <c r="RNC116" s="0"/>
      <c r="RND116" s="0"/>
      <c r="RNE116" s="0"/>
      <c r="RNF116" s="0"/>
      <c r="RNG116" s="0"/>
      <c r="RNH116" s="0"/>
      <c r="RNI116" s="0"/>
      <c r="RNJ116" s="0"/>
      <c r="RNK116" s="0"/>
      <c r="RNL116" s="0"/>
      <c r="RNM116" s="0"/>
      <c r="RNN116" s="0"/>
      <c r="RNO116" s="0"/>
      <c r="RNP116" s="0"/>
      <c r="RNQ116" s="0"/>
      <c r="RNR116" s="0"/>
      <c r="RNS116" s="0"/>
      <c r="RNT116" s="0"/>
      <c r="RNU116" s="0"/>
      <c r="RNV116" s="0"/>
      <c r="RNW116" s="0"/>
      <c r="RNX116" s="0"/>
      <c r="RNY116" s="0"/>
      <c r="RNZ116" s="0"/>
      <c r="ROA116" s="0"/>
      <c r="ROB116" s="0"/>
      <c r="ROC116" s="0"/>
      <c r="ROD116" s="0"/>
      <c r="ROE116" s="0"/>
      <c r="ROF116" s="0"/>
      <c r="ROG116" s="0"/>
      <c r="ROH116" s="0"/>
      <c r="ROI116" s="0"/>
      <c r="ROJ116" s="0"/>
      <c r="ROK116" s="0"/>
      <c r="ROL116" s="0"/>
      <c r="ROM116" s="0"/>
      <c r="RON116" s="0"/>
      <c r="ROO116" s="0"/>
      <c r="ROP116" s="0"/>
      <c r="ROQ116" s="0"/>
      <c r="ROR116" s="0"/>
      <c r="ROS116" s="0"/>
      <c r="ROT116" s="0"/>
      <c r="ROU116" s="0"/>
      <c r="ROV116" s="0"/>
      <c r="ROW116" s="0"/>
      <c r="ROX116" s="0"/>
      <c r="ROY116" s="0"/>
      <c r="ROZ116" s="0"/>
      <c r="RPA116" s="0"/>
      <c r="RPB116" s="0"/>
      <c r="RPC116" s="0"/>
      <c r="RPD116" s="0"/>
      <c r="RPE116" s="0"/>
      <c r="RPF116" s="0"/>
      <c r="RPG116" s="0"/>
      <c r="RPH116" s="0"/>
      <c r="RPI116" s="0"/>
      <c r="RPJ116" s="0"/>
      <c r="RPK116" s="0"/>
      <c r="RPL116" s="0"/>
      <c r="RPM116" s="0"/>
      <c r="RPN116" s="0"/>
      <c r="RPO116" s="0"/>
      <c r="RPP116" s="0"/>
      <c r="RPQ116" s="0"/>
      <c r="RPR116" s="0"/>
      <c r="RPS116" s="0"/>
      <c r="RPT116" s="0"/>
      <c r="RPU116" s="0"/>
      <c r="RPV116" s="0"/>
      <c r="RPW116" s="0"/>
      <c r="RPX116" s="0"/>
      <c r="RPY116" s="0"/>
      <c r="RPZ116" s="0"/>
      <c r="RQA116" s="0"/>
      <c r="RQB116" s="0"/>
      <c r="RQC116" s="0"/>
      <c r="RQD116" s="0"/>
      <c r="RQE116" s="0"/>
      <c r="RQF116" s="0"/>
      <c r="RQG116" s="0"/>
      <c r="RQH116" s="0"/>
      <c r="RQI116" s="0"/>
      <c r="RQJ116" s="0"/>
      <c r="RQK116" s="0"/>
      <c r="RQL116" s="0"/>
      <c r="RQM116" s="0"/>
      <c r="RQN116" s="0"/>
      <c r="RQO116" s="0"/>
      <c r="RQP116" s="0"/>
      <c r="RQQ116" s="0"/>
      <c r="RQR116" s="0"/>
      <c r="RQS116" s="0"/>
      <c r="RQT116" s="0"/>
      <c r="RQU116" s="0"/>
      <c r="RQV116" s="0"/>
      <c r="RQW116" s="0"/>
      <c r="RQX116" s="0"/>
      <c r="RQY116" s="0"/>
      <c r="RQZ116" s="0"/>
      <c r="RRA116" s="0"/>
      <c r="RRB116" s="0"/>
      <c r="RRC116" s="0"/>
      <c r="RRD116" s="0"/>
      <c r="RRE116" s="0"/>
      <c r="RRF116" s="0"/>
      <c r="RRG116" s="0"/>
      <c r="RRH116" s="0"/>
      <c r="RRI116" s="0"/>
      <c r="RRJ116" s="0"/>
      <c r="RRK116" s="0"/>
      <c r="RRL116" s="0"/>
      <c r="RRM116" s="0"/>
      <c r="RRN116" s="0"/>
      <c r="RRO116" s="0"/>
      <c r="RRP116" s="0"/>
      <c r="RRQ116" s="0"/>
      <c r="RRR116" s="0"/>
      <c r="RRS116" s="0"/>
      <c r="RRT116" s="0"/>
      <c r="RRU116" s="0"/>
      <c r="RRV116" s="0"/>
      <c r="RRW116" s="0"/>
      <c r="RRX116" s="0"/>
      <c r="RRY116" s="0"/>
      <c r="RRZ116" s="0"/>
      <c r="RSA116" s="0"/>
      <c r="RSB116" s="0"/>
      <c r="RSC116" s="0"/>
      <c r="RSD116" s="0"/>
      <c r="RSE116" s="0"/>
      <c r="RSF116" s="0"/>
      <c r="RSG116" s="0"/>
      <c r="RSH116" s="0"/>
      <c r="RSI116" s="0"/>
      <c r="RSJ116" s="0"/>
      <c r="RSK116" s="0"/>
      <c r="RSL116" s="0"/>
      <c r="RSM116" s="0"/>
      <c r="RSN116" s="0"/>
      <c r="RSO116" s="0"/>
      <c r="RSP116" s="0"/>
      <c r="RSQ116" s="0"/>
      <c r="RSR116" s="0"/>
      <c r="RSS116" s="0"/>
      <c r="RST116" s="0"/>
      <c r="RSU116" s="0"/>
      <c r="RSV116" s="0"/>
      <c r="RSW116" s="0"/>
      <c r="RSX116" s="0"/>
      <c r="RSY116" s="0"/>
      <c r="RSZ116" s="0"/>
      <c r="RTA116" s="0"/>
      <c r="RTB116" s="0"/>
      <c r="RTC116" s="0"/>
      <c r="RTD116" s="0"/>
      <c r="RTE116" s="0"/>
      <c r="RTF116" s="0"/>
      <c r="RTG116" s="0"/>
      <c r="RTH116" s="0"/>
      <c r="RTI116" s="0"/>
      <c r="RTJ116" s="0"/>
      <c r="RTK116" s="0"/>
      <c r="RTL116" s="0"/>
      <c r="RTM116" s="0"/>
      <c r="RTN116" s="0"/>
      <c r="RTO116" s="0"/>
      <c r="RTP116" s="0"/>
      <c r="RTQ116" s="0"/>
      <c r="RTR116" s="0"/>
      <c r="RTS116" s="0"/>
      <c r="RTT116" s="0"/>
      <c r="RTU116" s="0"/>
      <c r="RTV116" s="0"/>
      <c r="RTW116" s="0"/>
      <c r="RTX116" s="0"/>
      <c r="RTY116" s="0"/>
      <c r="RTZ116" s="0"/>
      <c r="RUA116" s="0"/>
      <c r="RUB116" s="0"/>
      <c r="RUC116" s="0"/>
      <c r="RUD116" s="0"/>
      <c r="RUE116" s="0"/>
      <c r="RUF116" s="0"/>
      <c r="RUG116" s="0"/>
      <c r="RUH116" s="0"/>
      <c r="RUI116" s="0"/>
      <c r="RUJ116" s="0"/>
      <c r="RUK116" s="0"/>
      <c r="RUL116" s="0"/>
      <c r="RUM116" s="0"/>
      <c r="RUN116" s="0"/>
      <c r="RUO116" s="0"/>
      <c r="RUP116" s="0"/>
      <c r="RUQ116" s="0"/>
      <c r="RUR116" s="0"/>
      <c r="RUS116" s="0"/>
      <c r="RUT116" s="0"/>
      <c r="RUU116" s="0"/>
      <c r="RUV116" s="0"/>
      <c r="RUW116" s="0"/>
      <c r="RUX116" s="0"/>
      <c r="RUY116" s="0"/>
      <c r="RUZ116" s="0"/>
      <c r="RVA116" s="0"/>
      <c r="RVB116" s="0"/>
      <c r="RVC116" s="0"/>
      <c r="RVD116" s="0"/>
      <c r="RVE116" s="0"/>
      <c r="RVF116" s="0"/>
      <c r="RVG116" s="0"/>
      <c r="RVH116" s="0"/>
      <c r="RVI116" s="0"/>
      <c r="RVJ116" s="0"/>
      <c r="RVK116" s="0"/>
      <c r="RVL116" s="0"/>
      <c r="RVM116" s="0"/>
      <c r="RVN116" s="0"/>
      <c r="RVO116" s="0"/>
      <c r="RVP116" s="0"/>
      <c r="RVQ116" s="0"/>
      <c r="RVR116" s="0"/>
      <c r="RVS116" s="0"/>
      <c r="RVT116" s="0"/>
      <c r="RVU116" s="0"/>
      <c r="RVV116" s="0"/>
      <c r="RVW116" s="0"/>
      <c r="RVX116" s="0"/>
      <c r="RVY116" s="0"/>
      <c r="RVZ116" s="0"/>
      <c r="RWA116" s="0"/>
      <c r="RWB116" s="0"/>
      <c r="RWC116" s="0"/>
      <c r="RWD116" s="0"/>
      <c r="RWE116" s="0"/>
      <c r="RWF116" s="0"/>
      <c r="RWG116" s="0"/>
      <c r="RWH116" s="0"/>
      <c r="RWI116" s="0"/>
      <c r="RWJ116" s="0"/>
      <c r="RWK116" s="0"/>
      <c r="RWL116" s="0"/>
      <c r="RWM116" s="0"/>
      <c r="RWN116" s="0"/>
      <c r="RWO116" s="0"/>
      <c r="RWP116" s="0"/>
      <c r="RWQ116" s="0"/>
      <c r="RWR116" s="0"/>
      <c r="RWS116" s="0"/>
      <c r="RWT116" s="0"/>
      <c r="RWU116" s="0"/>
      <c r="RWV116" s="0"/>
      <c r="RWW116" s="0"/>
      <c r="RWX116" s="0"/>
      <c r="RWY116" s="0"/>
      <c r="RWZ116" s="0"/>
      <c r="RXA116" s="0"/>
      <c r="RXB116" s="0"/>
      <c r="RXC116" s="0"/>
      <c r="RXD116" s="0"/>
      <c r="RXE116" s="0"/>
      <c r="RXF116" s="0"/>
      <c r="RXG116" s="0"/>
      <c r="RXH116" s="0"/>
      <c r="RXI116" s="0"/>
      <c r="RXJ116" s="0"/>
      <c r="RXK116" s="0"/>
      <c r="RXL116" s="0"/>
      <c r="RXM116" s="0"/>
      <c r="RXN116" s="0"/>
      <c r="RXO116" s="0"/>
      <c r="RXP116" s="0"/>
      <c r="RXQ116" s="0"/>
      <c r="RXR116" s="0"/>
      <c r="RXS116" s="0"/>
      <c r="RXT116" s="0"/>
      <c r="RXU116" s="0"/>
      <c r="RXV116" s="0"/>
      <c r="RXW116" s="0"/>
      <c r="RXX116" s="0"/>
      <c r="RXY116" s="0"/>
      <c r="RXZ116" s="0"/>
      <c r="RYA116" s="0"/>
      <c r="RYB116" s="0"/>
      <c r="RYC116" s="0"/>
      <c r="RYD116" s="0"/>
      <c r="RYE116" s="0"/>
      <c r="RYF116" s="0"/>
      <c r="RYG116" s="0"/>
      <c r="RYH116" s="0"/>
      <c r="RYI116" s="0"/>
      <c r="RYJ116" s="0"/>
      <c r="RYK116" s="0"/>
      <c r="RYL116" s="0"/>
      <c r="RYM116" s="0"/>
      <c r="RYN116" s="0"/>
      <c r="RYO116" s="0"/>
      <c r="RYP116" s="0"/>
      <c r="RYQ116" s="0"/>
      <c r="RYR116" s="0"/>
      <c r="RYS116" s="0"/>
      <c r="RYT116" s="0"/>
      <c r="RYU116" s="0"/>
      <c r="RYV116" s="0"/>
      <c r="RYW116" s="0"/>
      <c r="RYX116" s="0"/>
      <c r="RYY116" s="0"/>
      <c r="RYZ116" s="0"/>
      <c r="RZA116" s="0"/>
      <c r="RZB116" s="0"/>
      <c r="RZC116" s="0"/>
      <c r="RZD116" s="0"/>
      <c r="RZE116" s="0"/>
      <c r="RZF116" s="0"/>
      <c r="RZG116" s="0"/>
      <c r="RZH116" s="0"/>
      <c r="RZI116" s="0"/>
      <c r="RZJ116" s="0"/>
      <c r="RZK116" s="0"/>
      <c r="RZL116" s="0"/>
      <c r="RZM116" s="0"/>
      <c r="RZN116" s="0"/>
      <c r="RZO116" s="0"/>
      <c r="RZP116" s="0"/>
      <c r="RZQ116" s="0"/>
      <c r="RZR116" s="0"/>
      <c r="RZS116" s="0"/>
      <c r="RZT116" s="0"/>
      <c r="RZU116" s="0"/>
      <c r="RZV116" s="0"/>
      <c r="RZW116" s="0"/>
      <c r="RZX116" s="0"/>
      <c r="RZY116" s="0"/>
      <c r="RZZ116" s="0"/>
      <c r="SAA116" s="0"/>
      <c r="SAB116" s="0"/>
      <c r="SAC116" s="0"/>
      <c r="SAD116" s="0"/>
      <c r="SAE116" s="0"/>
      <c r="SAF116" s="0"/>
      <c r="SAG116" s="0"/>
      <c r="SAH116" s="0"/>
      <c r="SAI116" s="0"/>
      <c r="SAJ116" s="0"/>
      <c r="SAK116" s="0"/>
      <c r="SAL116" s="0"/>
      <c r="SAM116" s="0"/>
      <c r="SAN116" s="0"/>
      <c r="SAO116" s="0"/>
      <c r="SAP116" s="0"/>
      <c r="SAQ116" s="0"/>
      <c r="SAR116" s="0"/>
      <c r="SAS116" s="0"/>
      <c r="SAT116" s="0"/>
      <c r="SAU116" s="0"/>
      <c r="SAV116" s="0"/>
      <c r="SAW116" s="0"/>
      <c r="SAX116" s="0"/>
      <c r="SAY116" s="0"/>
      <c r="SAZ116" s="0"/>
      <c r="SBA116" s="0"/>
      <c r="SBB116" s="0"/>
      <c r="SBC116" s="0"/>
      <c r="SBD116" s="0"/>
      <c r="SBE116" s="0"/>
      <c r="SBF116" s="0"/>
      <c r="SBG116" s="0"/>
      <c r="SBH116" s="0"/>
      <c r="SBI116" s="0"/>
      <c r="SBJ116" s="0"/>
      <c r="SBK116" s="0"/>
      <c r="SBL116" s="0"/>
      <c r="SBM116" s="0"/>
      <c r="SBN116" s="0"/>
      <c r="SBO116" s="0"/>
      <c r="SBP116" s="0"/>
      <c r="SBQ116" s="0"/>
      <c r="SBR116" s="0"/>
      <c r="SBS116" s="0"/>
      <c r="SBT116" s="0"/>
      <c r="SBU116" s="0"/>
      <c r="SBV116" s="0"/>
      <c r="SBW116" s="0"/>
      <c r="SBX116" s="0"/>
      <c r="SBY116" s="0"/>
      <c r="SBZ116" s="0"/>
      <c r="SCA116" s="0"/>
      <c r="SCB116" s="0"/>
      <c r="SCC116" s="0"/>
      <c r="SCD116" s="0"/>
      <c r="SCE116" s="0"/>
      <c r="SCF116" s="0"/>
      <c r="SCG116" s="0"/>
      <c r="SCH116" s="0"/>
      <c r="SCI116" s="0"/>
      <c r="SCJ116" s="0"/>
      <c r="SCK116" s="0"/>
      <c r="SCL116" s="0"/>
      <c r="SCM116" s="0"/>
      <c r="SCN116" s="0"/>
      <c r="SCO116" s="0"/>
      <c r="SCP116" s="0"/>
      <c r="SCQ116" s="0"/>
      <c r="SCR116" s="0"/>
      <c r="SCS116" s="0"/>
      <c r="SCT116" s="0"/>
      <c r="SCU116" s="0"/>
      <c r="SCV116" s="0"/>
      <c r="SCW116" s="0"/>
      <c r="SCX116" s="0"/>
      <c r="SCY116" s="0"/>
      <c r="SCZ116" s="0"/>
      <c r="SDA116" s="0"/>
      <c r="SDB116" s="0"/>
      <c r="SDC116" s="0"/>
      <c r="SDD116" s="0"/>
      <c r="SDE116" s="0"/>
      <c r="SDF116" s="0"/>
      <c r="SDG116" s="0"/>
      <c r="SDH116" s="0"/>
      <c r="SDI116" s="0"/>
      <c r="SDJ116" s="0"/>
      <c r="SDK116" s="0"/>
      <c r="SDL116" s="0"/>
      <c r="SDM116" s="0"/>
      <c r="SDN116" s="0"/>
      <c r="SDO116" s="0"/>
      <c r="SDP116" s="0"/>
      <c r="SDQ116" s="0"/>
      <c r="SDR116" s="0"/>
      <c r="SDS116" s="0"/>
      <c r="SDT116" s="0"/>
      <c r="SDU116" s="0"/>
      <c r="SDV116" s="0"/>
      <c r="SDW116" s="0"/>
      <c r="SDX116" s="0"/>
      <c r="SDY116" s="0"/>
      <c r="SDZ116" s="0"/>
      <c r="SEA116" s="0"/>
      <c r="SEB116" s="0"/>
      <c r="SEC116" s="0"/>
      <c r="SED116" s="0"/>
      <c r="SEE116" s="0"/>
      <c r="SEF116" s="0"/>
      <c r="SEG116" s="0"/>
      <c r="SEH116" s="0"/>
      <c r="SEI116" s="0"/>
      <c r="SEJ116" s="0"/>
      <c r="SEK116" s="0"/>
      <c r="SEL116" s="0"/>
      <c r="SEM116" s="0"/>
      <c r="SEN116" s="0"/>
      <c r="SEO116" s="0"/>
      <c r="SEP116" s="0"/>
      <c r="SEQ116" s="0"/>
      <c r="SER116" s="0"/>
      <c r="SES116" s="0"/>
      <c r="SET116" s="0"/>
      <c r="SEU116" s="0"/>
      <c r="SEV116" s="0"/>
      <c r="SEW116" s="0"/>
      <c r="SEX116" s="0"/>
      <c r="SEY116" s="0"/>
      <c r="SEZ116" s="0"/>
      <c r="SFA116" s="0"/>
      <c r="SFB116" s="0"/>
      <c r="SFC116" s="0"/>
      <c r="SFD116" s="0"/>
      <c r="SFE116" s="0"/>
      <c r="SFF116" s="0"/>
      <c r="SFG116" s="0"/>
      <c r="SFH116" s="0"/>
      <c r="SFI116" s="0"/>
      <c r="SFJ116" s="0"/>
      <c r="SFK116" s="0"/>
      <c r="SFL116" s="0"/>
      <c r="SFM116" s="0"/>
      <c r="SFN116" s="0"/>
      <c r="SFO116" s="0"/>
      <c r="SFP116" s="0"/>
      <c r="SFQ116" s="0"/>
      <c r="SFR116" s="0"/>
      <c r="SFS116" s="0"/>
      <c r="SFT116" s="0"/>
      <c r="SFU116" s="0"/>
      <c r="SFV116" s="0"/>
      <c r="SFW116" s="0"/>
      <c r="SFX116" s="0"/>
      <c r="SFY116" s="0"/>
      <c r="SFZ116" s="0"/>
      <c r="SGA116" s="0"/>
      <c r="SGB116" s="0"/>
      <c r="SGC116" s="0"/>
      <c r="SGD116" s="0"/>
      <c r="SGE116" s="0"/>
      <c r="SGF116" s="0"/>
      <c r="SGG116" s="0"/>
      <c r="SGH116" s="0"/>
      <c r="SGI116" s="0"/>
      <c r="SGJ116" s="0"/>
      <c r="SGK116" s="0"/>
      <c r="SGL116" s="0"/>
      <c r="SGM116" s="0"/>
      <c r="SGN116" s="0"/>
      <c r="SGO116" s="0"/>
      <c r="SGP116" s="0"/>
      <c r="SGQ116" s="0"/>
      <c r="SGR116" s="0"/>
      <c r="SGS116" s="0"/>
      <c r="SGT116" s="0"/>
      <c r="SGU116" s="0"/>
      <c r="SGV116" s="0"/>
      <c r="SGW116" s="0"/>
      <c r="SGX116" s="0"/>
      <c r="SGY116" s="0"/>
      <c r="SGZ116" s="0"/>
      <c r="SHA116" s="0"/>
      <c r="SHB116" s="0"/>
      <c r="SHC116" s="0"/>
      <c r="SHD116" s="0"/>
      <c r="SHE116" s="0"/>
      <c r="SHF116" s="0"/>
      <c r="SHG116" s="0"/>
      <c r="SHH116" s="0"/>
      <c r="SHI116" s="0"/>
      <c r="SHJ116" s="0"/>
      <c r="SHK116" s="0"/>
      <c r="SHL116" s="0"/>
      <c r="SHM116" s="0"/>
      <c r="SHN116" s="0"/>
      <c r="SHO116" s="0"/>
      <c r="SHP116" s="0"/>
      <c r="SHQ116" s="0"/>
      <c r="SHR116" s="0"/>
      <c r="SHS116" s="0"/>
      <c r="SHT116" s="0"/>
      <c r="SHU116" s="0"/>
      <c r="SHV116" s="0"/>
      <c r="SHW116" s="0"/>
      <c r="SHX116" s="0"/>
      <c r="SHY116" s="0"/>
      <c r="SHZ116" s="0"/>
      <c r="SIA116" s="0"/>
      <c r="SIB116" s="0"/>
      <c r="SIC116" s="0"/>
      <c r="SID116" s="0"/>
      <c r="SIE116" s="0"/>
      <c r="SIF116" s="0"/>
      <c r="SIG116" s="0"/>
      <c r="SIH116" s="0"/>
      <c r="SII116" s="0"/>
      <c r="SIJ116" s="0"/>
      <c r="SIK116" s="0"/>
      <c r="SIL116" s="0"/>
      <c r="SIM116" s="0"/>
      <c r="SIN116" s="0"/>
      <c r="SIO116" s="0"/>
      <c r="SIP116" s="0"/>
      <c r="SIQ116" s="0"/>
      <c r="SIR116" s="0"/>
      <c r="SIS116" s="0"/>
      <c r="SIT116" s="0"/>
      <c r="SIU116" s="0"/>
      <c r="SIV116" s="0"/>
      <c r="SIW116" s="0"/>
      <c r="SIX116" s="0"/>
      <c r="SIY116" s="0"/>
      <c r="SIZ116" s="0"/>
      <c r="SJA116" s="0"/>
      <c r="SJB116" s="0"/>
      <c r="SJC116" s="0"/>
      <c r="SJD116" s="0"/>
      <c r="SJE116" s="0"/>
      <c r="SJF116" s="0"/>
      <c r="SJG116" s="0"/>
      <c r="SJH116" s="0"/>
      <c r="SJI116" s="0"/>
      <c r="SJJ116" s="0"/>
      <c r="SJK116" s="0"/>
      <c r="SJL116" s="0"/>
      <c r="SJM116" s="0"/>
      <c r="SJN116" s="0"/>
      <c r="SJO116" s="0"/>
      <c r="SJP116" s="0"/>
      <c r="SJQ116" s="0"/>
      <c r="SJR116" s="0"/>
      <c r="SJS116" s="0"/>
      <c r="SJT116" s="0"/>
      <c r="SJU116" s="0"/>
      <c r="SJV116" s="0"/>
      <c r="SJW116" s="0"/>
      <c r="SJX116" s="0"/>
      <c r="SJY116" s="0"/>
      <c r="SJZ116" s="0"/>
      <c r="SKA116" s="0"/>
      <c r="SKB116" s="0"/>
      <c r="SKC116" s="0"/>
      <c r="SKD116" s="0"/>
      <c r="SKE116" s="0"/>
      <c r="SKF116" s="0"/>
      <c r="SKG116" s="0"/>
      <c r="SKH116" s="0"/>
      <c r="SKI116" s="0"/>
      <c r="SKJ116" s="0"/>
      <c r="SKK116" s="0"/>
      <c r="SKL116" s="0"/>
      <c r="SKM116" s="0"/>
      <c r="SKN116" s="0"/>
      <c r="SKO116" s="0"/>
      <c r="SKP116" s="0"/>
      <c r="SKQ116" s="0"/>
      <c r="SKR116" s="0"/>
      <c r="SKS116" s="0"/>
      <c r="SKT116" s="0"/>
      <c r="SKU116" s="0"/>
      <c r="SKV116" s="0"/>
      <c r="SKW116" s="0"/>
      <c r="SKX116" s="0"/>
      <c r="SKY116" s="0"/>
      <c r="SKZ116" s="0"/>
      <c r="SLA116" s="0"/>
      <c r="SLB116" s="0"/>
      <c r="SLC116" s="0"/>
      <c r="SLD116" s="0"/>
      <c r="SLE116" s="0"/>
      <c r="SLF116" s="0"/>
      <c r="SLG116" s="0"/>
      <c r="SLH116" s="0"/>
      <c r="SLI116" s="0"/>
      <c r="SLJ116" s="0"/>
      <c r="SLK116" s="0"/>
      <c r="SLL116" s="0"/>
      <c r="SLM116" s="0"/>
      <c r="SLN116" s="0"/>
      <c r="SLO116" s="0"/>
      <c r="SLP116" s="0"/>
      <c r="SLQ116" s="0"/>
      <c r="SLR116" s="0"/>
      <c r="SLS116" s="0"/>
      <c r="SLT116" s="0"/>
      <c r="SLU116" s="0"/>
      <c r="SLV116" s="0"/>
      <c r="SLW116" s="0"/>
      <c r="SLX116" s="0"/>
      <c r="SLY116" s="0"/>
      <c r="SLZ116" s="0"/>
      <c r="SMA116" s="0"/>
      <c r="SMB116" s="0"/>
      <c r="SMC116" s="0"/>
      <c r="SMD116" s="0"/>
      <c r="SME116" s="0"/>
      <c r="SMF116" s="0"/>
      <c r="SMG116" s="0"/>
      <c r="SMH116" s="0"/>
      <c r="SMI116" s="0"/>
      <c r="SMJ116" s="0"/>
      <c r="SMK116" s="0"/>
      <c r="SML116" s="0"/>
      <c r="SMM116" s="0"/>
      <c r="SMN116" s="0"/>
      <c r="SMO116" s="0"/>
      <c r="SMP116" s="0"/>
      <c r="SMQ116" s="0"/>
      <c r="SMR116" s="0"/>
      <c r="SMS116" s="0"/>
      <c r="SMT116" s="0"/>
      <c r="SMU116" s="0"/>
      <c r="SMV116" s="0"/>
      <c r="SMW116" s="0"/>
      <c r="SMX116" s="0"/>
      <c r="SMY116" s="0"/>
      <c r="SMZ116" s="0"/>
      <c r="SNA116" s="0"/>
      <c r="SNB116" s="0"/>
      <c r="SNC116" s="0"/>
      <c r="SND116" s="0"/>
      <c r="SNE116" s="0"/>
      <c r="SNF116" s="0"/>
      <c r="SNG116" s="0"/>
      <c r="SNH116" s="0"/>
      <c r="SNI116" s="0"/>
      <c r="SNJ116" s="0"/>
      <c r="SNK116" s="0"/>
      <c r="SNL116" s="0"/>
      <c r="SNM116" s="0"/>
      <c r="SNN116" s="0"/>
      <c r="SNO116" s="0"/>
      <c r="SNP116" s="0"/>
      <c r="SNQ116" s="0"/>
      <c r="SNR116" s="0"/>
      <c r="SNS116" s="0"/>
      <c r="SNT116" s="0"/>
      <c r="SNU116" s="0"/>
      <c r="SNV116" s="0"/>
      <c r="SNW116" s="0"/>
      <c r="SNX116" s="0"/>
      <c r="SNY116" s="0"/>
      <c r="SNZ116" s="0"/>
      <c r="SOA116" s="0"/>
      <c r="SOB116" s="0"/>
      <c r="SOC116" s="0"/>
      <c r="SOD116" s="0"/>
      <c r="SOE116" s="0"/>
      <c r="SOF116" s="0"/>
      <c r="SOG116" s="0"/>
      <c r="SOH116" s="0"/>
      <c r="SOI116" s="0"/>
      <c r="SOJ116" s="0"/>
      <c r="SOK116" s="0"/>
      <c r="SOL116" s="0"/>
      <c r="SOM116" s="0"/>
      <c r="SON116" s="0"/>
      <c r="SOO116" s="0"/>
      <c r="SOP116" s="0"/>
      <c r="SOQ116" s="0"/>
      <c r="SOR116" s="0"/>
      <c r="SOS116" s="0"/>
      <c r="SOT116" s="0"/>
      <c r="SOU116" s="0"/>
      <c r="SOV116" s="0"/>
      <c r="SOW116" s="0"/>
      <c r="SOX116" s="0"/>
      <c r="SOY116" s="0"/>
      <c r="SOZ116" s="0"/>
      <c r="SPA116" s="0"/>
      <c r="SPB116" s="0"/>
      <c r="SPC116" s="0"/>
      <c r="SPD116" s="0"/>
      <c r="SPE116" s="0"/>
      <c r="SPF116" s="0"/>
      <c r="SPG116" s="0"/>
      <c r="SPH116" s="0"/>
      <c r="SPI116" s="0"/>
      <c r="SPJ116" s="0"/>
      <c r="SPK116" s="0"/>
      <c r="SPL116" s="0"/>
      <c r="SPM116" s="0"/>
      <c r="SPN116" s="0"/>
      <c r="SPO116" s="0"/>
      <c r="SPP116" s="0"/>
      <c r="SPQ116" s="0"/>
      <c r="SPR116" s="0"/>
      <c r="SPS116" s="0"/>
      <c r="SPT116" s="0"/>
      <c r="SPU116" s="0"/>
      <c r="SPV116" s="0"/>
      <c r="SPW116" s="0"/>
      <c r="SPX116" s="0"/>
      <c r="SPY116" s="0"/>
      <c r="SPZ116" s="0"/>
      <c r="SQA116" s="0"/>
      <c r="SQB116" s="0"/>
      <c r="SQC116" s="0"/>
      <c r="SQD116" s="0"/>
      <c r="SQE116" s="0"/>
      <c r="SQF116" s="0"/>
      <c r="SQG116" s="0"/>
      <c r="SQH116" s="0"/>
      <c r="SQI116" s="0"/>
      <c r="SQJ116" s="0"/>
      <c r="SQK116" s="0"/>
      <c r="SQL116" s="0"/>
      <c r="SQM116" s="0"/>
      <c r="SQN116" s="0"/>
      <c r="SQO116" s="0"/>
      <c r="SQP116" s="0"/>
      <c r="SQQ116" s="0"/>
      <c r="SQR116" s="0"/>
      <c r="SQS116" s="0"/>
      <c r="SQT116" s="0"/>
      <c r="SQU116" s="0"/>
      <c r="SQV116" s="0"/>
      <c r="SQW116" s="0"/>
      <c r="SQX116" s="0"/>
      <c r="SQY116" s="0"/>
      <c r="SQZ116" s="0"/>
      <c r="SRA116" s="0"/>
      <c r="SRB116" s="0"/>
      <c r="SRC116" s="0"/>
      <c r="SRD116" s="0"/>
      <c r="SRE116" s="0"/>
      <c r="SRF116" s="0"/>
      <c r="SRG116" s="0"/>
      <c r="SRH116" s="0"/>
      <c r="SRI116" s="0"/>
      <c r="SRJ116" s="0"/>
      <c r="SRK116" s="0"/>
      <c r="SRL116" s="0"/>
      <c r="SRM116" s="0"/>
      <c r="SRN116" s="0"/>
      <c r="SRO116" s="0"/>
      <c r="SRP116" s="0"/>
      <c r="SRQ116" s="0"/>
      <c r="SRR116" s="0"/>
      <c r="SRS116" s="0"/>
      <c r="SRT116" s="0"/>
      <c r="SRU116" s="0"/>
      <c r="SRV116" s="0"/>
      <c r="SRW116" s="0"/>
      <c r="SRX116" s="0"/>
      <c r="SRY116" s="0"/>
      <c r="SRZ116" s="0"/>
      <c r="SSA116" s="0"/>
      <c r="SSB116" s="0"/>
      <c r="SSC116" s="0"/>
      <c r="SSD116" s="0"/>
      <c r="SSE116" s="0"/>
      <c r="SSF116" s="0"/>
      <c r="SSG116" s="0"/>
      <c r="SSH116" s="0"/>
      <c r="SSI116" s="0"/>
      <c r="SSJ116" s="0"/>
      <c r="SSK116" s="0"/>
      <c r="SSL116" s="0"/>
      <c r="SSM116" s="0"/>
      <c r="SSN116" s="0"/>
      <c r="SSO116" s="0"/>
      <c r="SSP116" s="0"/>
      <c r="SSQ116" s="0"/>
      <c r="SSR116" s="0"/>
      <c r="SSS116" s="0"/>
      <c r="SST116" s="0"/>
      <c r="SSU116" s="0"/>
      <c r="SSV116" s="0"/>
      <c r="SSW116" s="0"/>
      <c r="SSX116" s="0"/>
      <c r="SSY116" s="0"/>
      <c r="SSZ116" s="0"/>
      <c r="STA116" s="0"/>
      <c r="STB116" s="0"/>
      <c r="STC116" s="0"/>
      <c r="STD116" s="0"/>
      <c r="STE116" s="0"/>
      <c r="STF116" s="0"/>
      <c r="STG116" s="0"/>
      <c r="STH116" s="0"/>
      <c r="STI116" s="0"/>
      <c r="STJ116" s="0"/>
      <c r="STK116" s="0"/>
      <c r="STL116" s="0"/>
      <c r="STM116" s="0"/>
      <c r="STN116" s="0"/>
      <c r="STO116" s="0"/>
      <c r="STP116" s="0"/>
      <c r="STQ116" s="0"/>
      <c r="STR116" s="0"/>
      <c r="STS116" s="0"/>
      <c r="STT116" s="0"/>
      <c r="STU116" s="0"/>
      <c r="STV116" s="0"/>
      <c r="STW116" s="0"/>
      <c r="STX116" s="0"/>
      <c r="STY116" s="0"/>
      <c r="STZ116" s="0"/>
      <c r="SUA116" s="0"/>
      <c r="SUB116" s="0"/>
      <c r="SUC116" s="0"/>
      <c r="SUD116" s="0"/>
      <c r="SUE116" s="0"/>
      <c r="SUF116" s="0"/>
      <c r="SUG116" s="0"/>
      <c r="SUH116" s="0"/>
      <c r="SUI116" s="0"/>
      <c r="SUJ116" s="0"/>
      <c r="SUK116" s="0"/>
      <c r="SUL116" s="0"/>
      <c r="SUM116" s="0"/>
      <c r="SUN116" s="0"/>
      <c r="SUO116" s="0"/>
      <c r="SUP116" s="0"/>
      <c r="SUQ116" s="0"/>
      <c r="SUR116" s="0"/>
      <c r="SUS116" s="0"/>
      <c r="SUT116" s="0"/>
      <c r="SUU116" s="0"/>
      <c r="SUV116" s="0"/>
      <c r="SUW116" s="0"/>
      <c r="SUX116" s="0"/>
      <c r="SUY116" s="0"/>
      <c r="SUZ116" s="0"/>
      <c r="SVA116" s="0"/>
      <c r="SVB116" s="0"/>
      <c r="SVC116" s="0"/>
      <c r="SVD116" s="0"/>
      <c r="SVE116" s="0"/>
      <c r="SVF116" s="0"/>
      <c r="SVG116" s="0"/>
      <c r="SVH116" s="0"/>
      <c r="SVI116" s="0"/>
      <c r="SVJ116" s="0"/>
      <c r="SVK116" s="0"/>
      <c r="SVL116" s="0"/>
      <c r="SVM116" s="0"/>
      <c r="SVN116" s="0"/>
      <c r="SVO116" s="0"/>
      <c r="SVP116" s="0"/>
      <c r="SVQ116" s="0"/>
      <c r="SVR116" s="0"/>
      <c r="SVS116" s="0"/>
      <c r="SVT116" s="0"/>
      <c r="SVU116" s="0"/>
      <c r="SVV116" s="0"/>
      <c r="SVW116" s="0"/>
      <c r="SVX116" s="0"/>
      <c r="SVY116" s="0"/>
      <c r="SVZ116" s="0"/>
      <c r="SWA116" s="0"/>
      <c r="SWB116" s="0"/>
      <c r="SWC116" s="0"/>
      <c r="SWD116" s="0"/>
      <c r="SWE116" s="0"/>
      <c r="SWF116" s="0"/>
      <c r="SWG116" s="0"/>
      <c r="SWH116" s="0"/>
      <c r="SWI116" s="0"/>
      <c r="SWJ116" s="0"/>
      <c r="SWK116" s="0"/>
      <c r="SWL116" s="0"/>
      <c r="SWM116" s="0"/>
      <c r="SWN116" s="0"/>
      <c r="SWO116" s="0"/>
      <c r="SWP116" s="0"/>
      <c r="SWQ116" s="0"/>
      <c r="SWR116" s="0"/>
      <c r="SWS116" s="0"/>
      <c r="SWT116" s="0"/>
      <c r="SWU116" s="0"/>
      <c r="SWV116" s="0"/>
      <c r="SWW116" s="0"/>
      <c r="SWX116" s="0"/>
      <c r="SWY116" s="0"/>
      <c r="SWZ116" s="0"/>
      <c r="SXA116" s="0"/>
      <c r="SXB116" s="0"/>
      <c r="SXC116" s="0"/>
      <c r="SXD116" s="0"/>
      <c r="SXE116" s="0"/>
      <c r="SXF116" s="0"/>
      <c r="SXG116" s="0"/>
      <c r="SXH116" s="0"/>
      <c r="SXI116" s="0"/>
      <c r="SXJ116" s="0"/>
      <c r="SXK116" s="0"/>
      <c r="SXL116" s="0"/>
      <c r="SXM116" s="0"/>
      <c r="SXN116" s="0"/>
      <c r="SXO116" s="0"/>
      <c r="SXP116" s="0"/>
      <c r="SXQ116" s="0"/>
      <c r="SXR116" s="0"/>
      <c r="SXS116" s="0"/>
      <c r="SXT116" s="0"/>
      <c r="SXU116" s="0"/>
      <c r="SXV116" s="0"/>
      <c r="SXW116" s="0"/>
      <c r="SXX116" s="0"/>
      <c r="SXY116" s="0"/>
      <c r="SXZ116" s="0"/>
      <c r="SYA116" s="0"/>
      <c r="SYB116" s="0"/>
      <c r="SYC116" s="0"/>
      <c r="SYD116" s="0"/>
      <c r="SYE116" s="0"/>
      <c r="SYF116" s="0"/>
      <c r="SYG116" s="0"/>
      <c r="SYH116" s="0"/>
      <c r="SYI116" s="0"/>
      <c r="SYJ116" s="0"/>
      <c r="SYK116" s="0"/>
      <c r="SYL116" s="0"/>
      <c r="SYM116" s="0"/>
      <c r="SYN116" s="0"/>
      <c r="SYO116" s="0"/>
      <c r="SYP116" s="0"/>
      <c r="SYQ116" s="0"/>
      <c r="SYR116" s="0"/>
      <c r="SYS116" s="0"/>
      <c r="SYT116" s="0"/>
      <c r="SYU116" s="0"/>
      <c r="SYV116" s="0"/>
      <c r="SYW116" s="0"/>
      <c r="SYX116" s="0"/>
      <c r="SYY116" s="0"/>
      <c r="SYZ116" s="0"/>
      <c r="SZA116" s="0"/>
      <c r="SZB116" s="0"/>
      <c r="SZC116" s="0"/>
      <c r="SZD116" s="0"/>
      <c r="SZE116" s="0"/>
      <c r="SZF116" s="0"/>
      <c r="SZG116" s="0"/>
      <c r="SZH116" s="0"/>
      <c r="SZI116" s="0"/>
      <c r="SZJ116" s="0"/>
      <c r="SZK116" s="0"/>
      <c r="SZL116" s="0"/>
      <c r="SZM116" s="0"/>
      <c r="SZN116" s="0"/>
      <c r="SZO116" s="0"/>
      <c r="SZP116" s="0"/>
      <c r="SZQ116" s="0"/>
      <c r="SZR116" s="0"/>
      <c r="SZS116" s="0"/>
      <c r="SZT116" s="0"/>
      <c r="SZU116" s="0"/>
      <c r="SZV116" s="0"/>
      <c r="SZW116" s="0"/>
      <c r="SZX116" s="0"/>
      <c r="SZY116" s="0"/>
      <c r="SZZ116" s="0"/>
      <c r="TAA116" s="0"/>
      <c r="TAB116" s="0"/>
      <c r="TAC116" s="0"/>
      <c r="TAD116" s="0"/>
      <c r="TAE116" s="0"/>
      <c r="TAF116" s="0"/>
      <c r="TAG116" s="0"/>
      <c r="TAH116" s="0"/>
      <c r="TAI116" s="0"/>
      <c r="TAJ116" s="0"/>
      <c r="TAK116" s="0"/>
      <c r="TAL116" s="0"/>
      <c r="TAM116" s="0"/>
      <c r="TAN116" s="0"/>
      <c r="TAO116" s="0"/>
      <c r="TAP116" s="0"/>
      <c r="TAQ116" s="0"/>
      <c r="TAR116" s="0"/>
      <c r="TAS116" s="0"/>
      <c r="TAT116" s="0"/>
      <c r="TAU116" s="0"/>
      <c r="TAV116" s="0"/>
      <c r="TAW116" s="0"/>
      <c r="TAX116" s="0"/>
      <c r="TAY116" s="0"/>
      <c r="TAZ116" s="0"/>
      <c r="TBA116" s="0"/>
      <c r="TBB116" s="0"/>
      <c r="TBC116" s="0"/>
      <c r="TBD116" s="0"/>
      <c r="TBE116" s="0"/>
      <c r="TBF116" s="0"/>
      <c r="TBG116" s="0"/>
      <c r="TBH116" s="0"/>
      <c r="TBI116" s="0"/>
      <c r="TBJ116" s="0"/>
      <c r="TBK116" s="0"/>
      <c r="TBL116" s="0"/>
      <c r="TBM116" s="0"/>
      <c r="TBN116" s="0"/>
      <c r="TBO116" s="0"/>
      <c r="TBP116" s="0"/>
      <c r="TBQ116" s="0"/>
      <c r="TBR116" s="0"/>
      <c r="TBS116" s="0"/>
      <c r="TBT116" s="0"/>
      <c r="TBU116" s="0"/>
      <c r="TBV116" s="0"/>
      <c r="TBW116" s="0"/>
      <c r="TBX116" s="0"/>
      <c r="TBY116" s="0"/>
      <c r="TBZ116" s="0"/>
      <c r="TCA116" s="0"/>
      <c r="TCB116" s="0"/>
      <c r="TCC116" s="0"/>
      <c r="TCD116" s="0"/>
      <c r="TCE116" s="0"/>
      <c r="TCF116" s="0"/>
      <c r="TCG116" s="0"/>
      <c r="TCH116" s="0"/>
      <c r="TCI116" s="0"/>
      <c r="TCJ116" s="0"/>
      <c r="TCK116" s="0"/>
      <c r="TCL116" s="0"/>
      <c r="TCM116" s="0"/>
      <c r="TCN116" s="0"/>
      <c r="TCO116" s="0"/>
      <c r="TCP116" s="0"/>
      <c r="TCQ116" s="0"/>
      <c r="TCR116" s="0"/>
      <c r="TCS116" s="0"/>
      <c r="TCT116" s="0"/>
      <c r="TCU116" s="0"/>
      <c r="TCV116" s="0"/>
      <c r="TCW116" s="0"/>
      <c r="TCX116" s="0"/>
      <c r="TCY116" s="0"/>
      <c r="TCZ116" s="0"/>
      <c r="TDA116" s="0"/>
      <c r="TDB116" s="0"/>
      <c r="TDC116" s="0"/>
      <c r="TDD116" s="0"/>
      <c r="TDE116" s="0"/>
      <c r="TDF116" s="0"/>
      <c r="TDG116" s="0"/>
      <c r="TDH116" s="0"/>
      <c r="TDI116" s="0"/>
      <c r="TDJ116" s="0"/>
      <c r="TDK116" s="0"/>
      <c r="TDL116" s="0"/>
      <c r="TDM116" s="0"/>
      <c r="TDN116" s="0"/>
      <c r="TDO116" s="0"/>
      <c r="TDP116" s="0"/>
      <c r="TDQ116" s="0"/>
      <c r="TDR116" s="0"/>
      <c r="TDS116" s="0"/>
      <c r="TDT116" s="0"/>
      <c r="TDU116" s="0"/>
      <c r="TDV116" s="0"/>
      <c r="TDW116" s="0"/>
      <c r="TDX116" s="0"/>
      <c r="TDY116" s="0"/>
      <c r="TDZ116" s="0"/>
      <c r="TEA116" s="0"/>
      <c r="TEB116" s="0"/>
      <c r="TEC116" s="0"/>
      <c r="TED116" s="0"/>
      <c r="TEE116" s="0"/>
      <c r="TEF116" s="0"/>
      <c r="TEG116" s="0"/>
      <c r="TEH116" s="0"/>
      <c r="TEI116" s="0"/>
      <c r="TEJ116" s="0"/>
      <c r="TEK116" s="0"/>
      <c r="TEL116" s="0"/>
      <c r="TEM116" s="0"/>
      <c r="TEN116" s="0"/>
      <c r="TEO116" s="0"/>
      <c r="TEP116" s="0"/>
      <c r="TEQ116" s="0"/>
      <c r="TER116" s="0"/>
      <c r="TES116" s="0"/>
      <c r="TET116" s="0"/>
      <c r="TEU116" s="0"/>
      <c r="TEV116" s="0"/>
      <c r="TEW116" s="0"/>
      <c r="TEX116" s="0"/>
      <c r="TEY116" s="0"/>
      <c r="TEZ116" s="0"/>
      <c r="TFA116" s="0"/>
      <c r="TFB116" s="0"/>
      <c r="TFC116" s="0"/>
      <c r="TFD116" s="0"/>
      <c r="TFE116" s="0"/>
      <c r="TFF116" s="0"/>
      <c r="TFG116" s="0"/>
      <c r="TFH116" s="0"/>
      <c r="TFI116" s="0"/>
      <c r="TFJ116" s="0"/>
      <c r="TFK116" s="0"/>
      <c r="TFL116" s="0"/>
      <c r="TFM116" s="0"/>
      <c r="TFN116" s="0"/>
      <c r="TFO116" s="0"/>
      <c r="TFP116" s="0"/>
      <c r="TFQ116" s="0"/>
      <c r="TFR116" s="0"/>
      <c r="TFS116" s="0"/>
      <c r="TFT116" s="0"/>
      <c r="TFU116" s="0"/>
      <c r="TFV116" s="0"/>
      <c r="TFW116" s="0"/>
      <c r="TFX116" s="0"/>
      <c r="TFY116" s="0"/>
      <c r="TFZ116" s="0"/>
      <c r="TGA116" s="0"/>
      <c r="TGB116" s="0"/>
      <c r="TGC116" s="0"/>
      <c r="TGD116" s="0"/>
      <c r="TGE116" s="0"/>
      <c r="TGF116" s="0"/>
      <c r="TGG116" s="0"/>
      <c r="TGH116" s="0"/>
      <c r="TGI116" s="0"/>
      <c r="TGJ116" s="0"/>
      <c r="TGK116" s="0"/>
      <c r="TGL116" s="0"/>
      <c r="TGM116" s="0"/>
      <c r="TGN116" s="0"/>
      <c r="TGO116" s="0"/>
      <c r="TGP116" s="0"/>
      <c r="TGQ116" s="0"/>
      <c r="TGR116" s="0"/>
      <c r="TGS116" s="0"/>
      <c r="TGT116" s="0"/>
      <c r="TGU116" s="0"/>
      <c r="TGV116" s="0"/>
      <c r="TGW116" s="0"/>
      <c r="TGX116" s="0"/>
      <c r="TGY116" s="0"/>
      <c r="TGZ116" s="0"/>
      <c r="THA116" s="0"/>
      <c r="THB116" s="0"/>
      <c r="THC116" s="0"/>
      <c r="THD116" s="0"/>
      <c r="THE116" s="0"/>
      <c r="THF116" s="0"/>
      <c r="THG116" s="0"/>
      <c r="THH116" s="0"/>
      <c r="THI116" s="0"/>
      <c r="THJ116" s="0"/>
      <c r="THK116" s="0"/>
      <c r="THL116" s="0"/>
      <c r="THM116" s="0"/>
      <c r="THN116" s="0"/>
      <c r="THO116" s="0"/>
      <c r="THP116" s="0"/>
      <c r="THQ116" s="0"/>
      <c r="THR116" s="0"/>
      <c r="THS116" s="0"/>
      <c r="THT116" s="0"/>
      <c r="THU116" s="0"/>
      <c r="THV116" s="0"/>
      <c r="THW116" s="0"/>
      <c r="THX116" s="0"/>
      <c r="THY116" s="0"/>
      <c r="THZ116" s="0"/>
      <c r="TIA116" s="0"/>
      <c r="TIB116" s="0"/>
      <c r="TIC116" s="0"/>
      <c r="TID116" s="0"/>
      <c r="TIE116" s="0"/>
      <c r="TIF116" s="0"/>
      <c r="TIG116" s="0"/>
      <c r="TIH116" s="0"/>
      <c r="TII116" s="0"/>
      <c r="TIJ116" s="0"/>
      <c r="TIK116" s="0"/>
      <c r="TIL116" s="0"/>
      <c r="TIM116" s="0"/>
      <c r="TIN116" s="0"/>
      <c r="TIO116" s="0"/>
      <c r="TIP116" s="0"/>
      <c r="TIQ116" s="0"/>
      <c r="TIR116" s="0"/>
      <c r="TIS116" s="0"/>
      <c r="TIT116" s="0"/>
      <c r="TIU116" s="0"/>
      <c r="TIV116" s="0"/>
      <c r="TIW116" s="0"/>
      <c r="TIX116" s="0"/>
      <c r="TIY116" s="0"/>
      <c r="TIZ116" s="0"/>
      <c r="TJA116" s="0"/>
      <c r="TJB116" s="0"/>
      <c r="TJC116" s="0"/>
      <c r="TJD116" s="0"/>
      <c r="TJE116" s="0"/>
      <c r="TJF116" s="0"/>
      <c r="TJG116" s="0"/>
      <c r="TJH116" s="0"/>
      <c r="TJI116" s="0"/>
      <c r="TJJ116" s="0"/>
      <c r="TJK116" s="0"/>
      <c r="TJL116" s="0"/>
      <c r="TJM116" s="0"/>
      <c r="TJN116" s="0"/>
      <c r="TJO116" s="0"/>
      <c r="TJP116" s="0"/>
      <c r="TJQ116" s="0"/>
      <c r="TJR116" s="0"/>
      <c r="TJS116" s="0"/>
      <c r="TJT116" s="0"/>
      <c r="TJU116" s="0"/>
      <c r="TJV116" s="0"/>
      <c r="TJW116" s="0"/>
      <c r="TJX116" s="0"/>
      <c r="TJY116" s="0"/>
      <c r="TJZ116" s="0"/>
      <c r="TKA116" s="0"/>
      <c r="TKB116" s="0"/>
      <c r="TKC116" s="0"/>
      <c r="TKD116" s="0"/>
      <c r="TKE116" s="0"/>
      <c r="TKF116" s="0"/>
      <c r="TKG116" s="0"/>
      <c r="TKH116" s="0"/>
      <c r="TKI116" s="0"/>
      <c r="TKJ116" s="0"/>
      <c r="TKK116" s="0"/>
      <c r="TKL116" s="0"/>
      <c r="TKM116" s="0"/>
      <c r="TKN116" s="0"/>
      <c r="TKO116" s="0"/>
      <c r="TKP116" s="0"/>
      <c r="TKQ116" s="0"/>
      <c r="TKR116" s="0"/>
      <c r="TKS116" s="0"/>
      <c r="TKT116" s="0"/>
      <c r="TKU116" s="0"/>
      <c r="TKV116" s="0"/>
      <c r="TKW116" s="0"/>
      <c r="TKX116" s="0"/>
      <c r="TKY116" s="0"/>
      <c r="TKZ116" s="0"/>
      <c r="TLA116" s="0"/>
      <c r="TLB116" s="0"/>
      <c r="TLC116" s="0"/>
      <c r="TLD116" s="0"/>
      <c r="TLE116" s="0"/>
      <c r="TLF116" s="0"/>
      <c r="TLG116" s="0"/>
      <c r="TLH116" s="0"/>
      <c r="TLI116" s="0"/>
      <c r="TLJ116" s="0"/>
      <c r="TLK116" s="0"/>
      <c r="TLL116" s="0"/>
      <c r="TLM116" s="0"/>
      <c r="TLN116" s="0"/>
      <c r="TLO116" s="0"/>
      <c r="TLP116" s="0"/>
      <c r="TLQ116" s="0"/>
      <c r="TLR116" s="0"/>
      <c r="TLS116" s="0"/>
      <c r="TLT116" s="0"/>
      <c r="TLU116" s="0"/>
      <c r="TLV116" s="0"/>
      <c r="TLW116" s="0"/>
      <c r="TLX116" s="0"/>
      <c r="TLY116" s="0"/>
      <c r="TLZ116" s="0"/>
      <c r="TMA116" s="0"/>
      <c r="TMB116" s="0"/>
      <c r="TMC116" s="0"/>
      <c r="TMD116" s="0"/>
      <c r="TME116" s="0"/>
      <c r="TMF116" s="0"/>
      <c r="TMG116" s="0"/>
      <c r="TMH116" s="0"/>
      <c r="TMI116" s="0"/>
      <c r="TMJ116" s="0"/>
      <c r="TMK116" s="0"/>
      <c r="TML116" s="0"/>
      <c r="TMM116" s="0"/>
      <c r="TMN116" s="0"/>
      <c r="TMO116" s="0"/>
      <c r="TMP116" s="0"/>
      <c r="TMQ116" s="0"/>
      <c r="TMR116" s="0"/>
      <c r="TMS116" s="0"/>
      <c r="TMT116" s="0"/>
      <c r="TMU116" s="0"/>
      <c r="TMV116" s="0"/>
      <c r="TMW116" s="0"/>
      <c r="TMX116" s="0"/>
      <c r="TMY116" s="0"/>
      <c r="TMZ116" s="0"/>
      <c r="TNA116" s="0"/>
      <c r="TNB116" s="0"/>
      <c r="TNC116" s="0"/>
      <c r="TND116" s="0"/>
      <c r="TNE116" s="0"/>
      <c r="TNF116" s="0"/>
      <c r="TNG116" s="0"/>
      <c r="TNH116" s="0"/>
      <c r="TNI116" s="0"/>
      <c r="TNJ116" s="0"/>
      <c r="TNK116" s="0"/>
      <c r="TNL116" s="0"/>
      <c r="TNM116" s="0"/>
      <c r="TNN116" s="0"/>
      <c r="TNO116" s="0"/>
      <c r="TNP116" s="0"/>
      <c r="TNQ116" s="0"/>
      <c r="TNR116" s="0"/>
      <c r="TNS116" s="0"/>
      <c r="TNT116" s="0"/>
      <c r="TNU116" s="0"/>
      <c r="TNV116" s="0"/>
      <c r="TNW116" s="0"/>
      <c r="TNX116" s="0"/>
      <c r="TNY116" s="0"/>
      <c r="TNZ116" s="0"/>
      <c r="TOA116" s="0"/>
      <c r="TOB116" s="0"/>
      <c r="TOC116" s="0"/>
      <c r="TOD116" s="0"/>
      <c r="TOE116" s="0"/>
      <c r="TOF116" s="0"/>
      <c r="TOG116" s="0"/>
      <c r="TOH116" s="0"/>
      <c r="TOI116" s="0"/>
      <c r="TOJ116" s="0"/>
      <c r="TOK116" s="0"/>
      <c r="TOL116" s="0"/>
      <c r="TOM116" s="0"/>
      <c r="TON116" s="0"/>
      <c r="TOO116" s="0"/>
      <c r="TOP116" s="0"/>
      <c r="TOQ116" s="0"/>
      <c r="TOR116" s="0"/>
      <c r="TOS116" s="0"/>
      <c r="TOT116" s="0"/>
      <c r="TOU116" s="0"/>
      <c r="TOV116" s="0"/>
      <c r="TOW116" s="0"/>
      <c r="TOX116" s="0"/>
      <c r="TOY116" s="0"/>
      <c r="TOZ116" s="0"/>
      <c r="TPA116" s="0"/>
      <c r="TPB116" s="0"/>
      <c r="TPC116" s="0"/>
      <c r="TPD116" s="0"/>
      <c r="TPE116" s="0"/>
      <c r="TPF116" s="0"/>
      <c r="TPG116" s="0"/>
      <c r="TPH116" s="0"/>
      <c r="TPI116" s="0"/>
      <c r="TPJ116" s="0"/>
      <c r="TPK116" s="0"/>
      <c r="TPL116" s="0"/>
      <c r="TPM116" s="0"/>
      <c r="TPN116" s="0"/>
      <c r="TPO116" s="0"/>
      <c r="TPP116" s="0"/>
      <c r="TPQ116" s="0"/>
      <c r="TPR116" s="0"/>
      <c r="TPS116" s="0"/>
      <c r="TPT116" s="0"/>
      <c r="TPU116" s="0"/>
      <c r="TPV116" s="0"/>
      <c r="TPW116" s="0"/>
      <c r="TPX116" s="0"/>
      <c r="TPY116" s="0"/>
      <c r="TPZ116" s="0"/>
      <c r="TQA116" s="0"/>
      <c r="TQB116" s="0"/>
      <c r="TQC116" s="0"/>
      <c r="TQD116" s="0"/>
      <c r="TQE116" s="0"/>
      <c r="TQF116" s="0"/>
      <c r="TQG116" s="0"/>
      <c r="TQH116" s="0"/>
      <c r="TQI116" s="0"/>
      <c r="TQJ116" s="0"/>
      <c r="TQK116" s="0"/>
      <c r="TQL116" s="0"/>
      <c r="TQM116" s="0"/>
      <c r="TQN116" s="0"/>
      <c r="TQO116" s="0"/>
      <c r="TQP116" s="0"/>
      <c r="TQQ116" s="0"/>
      <c r="TQR116" s="0"/>
      <c r="TQS116" s="0"/>
      <c r="TQT116" s="0"/>
      <c r="TQU116" s="0"/>
      <c r="TQV116" s="0"/>
      <c r="TQW116" s="0"/>
      <c r="TQX116" s="0"/>
      <c r="TQY116" s="0"/>
      <c r="TQZ116" s="0"/>
      <c r="TRA116" s="0"/>
      <c r="TRB116" s="0"/>
      <c r="TRC116" s="0"/>
      <c r="TRD116" s="0"/>
      <c r="TRE116" s="0"/>
      <c r="TRF116" s="0"/>
      <c r="TRG116" s="0"/>
      <c r="TRH116" s="0"/>
      <c r="TRI116" s="0"/>
      <c r="TRJ116" s="0"/>
      <c r="TRK116" s="0"/>
      <c r="TRL116" s="0"/>
      <c r="TRM116" s="0"/>
      <c r="TRN116" s="0"/>
      <c r="TRO116" s="0"/>
      <c r="TRP116" s="0"/>
      <c r="TRQ116" s="0"/>
      <c r="TRR116" s="0"/>
      <c r="TRS116" s="0"/>
      <c r="TRT116" s="0"/>
      <c r="TRU116" s="0"/>
      <c r="TRV116" s="0"/>
      <c r="TRW116" s="0"/>
      <c r="TRX116" s="0"/>
      <c r="TRY116" s="0"/>
      <c r="TRZ116" s="0"/>
      <c r="TSA116" s="0"/>
      <c r="TSB116" s="0"/>
      <c r="TSC116" s="0"/>
      <c r="TSD116" s="0"/>
      <c r="TSE116" s="0"/>
      <c r="TSF116" s="0"/>
      <c r="TSG116" s="0"/>
      <c r="TSH116" s="0"/>
      <c r="TSI116" s="0"/>
      <c r="TSJ116" s="0"/>
      <c r="TSK116" s="0"/>
      <c r="TSL116" s="0"/>
      <c r="TSM116" s="0"/>
      <c r="TSN116" s="0"/>
      <c r="TSO116" s="0"/>
      <c r="TSP116" s="0"/>
      <c r="TSQ116" s="0"/>
      <c r="TSR116" s="0"/>
      <c r="TSS116" s="0"/>
      <c r="TST116" s="0"/>
      <c r="TSU116" s="0"/>
      <c r="TSV116" s="0"/>
      <c r="TSW116" s="0"/>
      <c r="TSX116" s="0"/>
      <c r="TSY116" s="0"/>
      <c r="TSZ116" s="0"/>
      <c r="TTA116" s="0"/>
      <c r="TTB116" s="0"/>
      <c r="TTC116" s="0"/>
      <c r="TTD116" s="0"/>
      <c r="TTE116" s="0"/>
      <c r="TTF116" s="0"/>
      <c r="TTG116" s="0"/>
      <c r="TTH116" s="0"/>
      <c r="TTI116" s="0"/>
      <c r="TTJ116" s="0"/>
      <c r="TTK116" s="0"/>
      <c r="TTL116" s="0"/>
      <c r="TTM116" s="0"/>
      <c r="TTN116" s="0"/>
      <c r="TTO116" s="0"/>
      <c r="TTP116" s="0"/>
      <c r="TTQ116" s="0"/>
      <c r="TTR116" s="0"/>
      <c r="TTS116" s="0"/>
      <c r="TTT116" s="0"/>
      <c r="TTU116" s="0"/>
      <c r="TTV116" s="0"/>
      <c r="TTW116" s="0"/>
      <c r="TTX116" s="0"/>
      <c r="TTY116" s="0"/>
      <c r="TTZ116" s="0"/>
      <c r="TUA116" s="0"/>
      <c r="TUB116" s="0"/>
      <c r="TUC116" s="0"/>
      <c r="TUD116" s="0"/>
      <c r="TUE116" s="0"/>
      <c r="TUF116" s="0"/>
      <c r="TUG116" s="0"/>
      <c r="TUH116" s="0"/>
      <c r="TUI116" s="0"/>
      <c r="TUJ116" s="0"/>
      <c r="TUK116" s="0"/>
      <c r="TUL116" s="0"/>
      <c r="TUM116" s="0"/>
      <c r="TUN116" s="0"/>
      <c r="TUO116" s="0"/>
      <c r="TUP116" s="0"/>
      <c r="TUQ116" s="0"/>
      <c r="TUR116" s="0"/>
      <c r="TUS116" s="0"/>
      <c r="TUT116" s="0"/>
      <c r="TUU116" s="0"/>
      <c r="TUV116" s="0"/>
      <c r="TUW116" s="0"/>
      <c r="TUX116" s="0"/>
      <c r="TUY116" s="0"/>
      <c r="TUZ116" s="0"/>
      <c r="TVA116" s="0"/>
      <c r="TVB116" s="0"/>
      <c r="TVC116" s="0"/>
      <c r="TVD116" s="0"/>
      <c r="TVE116" s="0"/>
      <c r="TVF116" s="0"/>
      <c r="TVG116" s="0"/>
      <c r="TVH116" s="0"/>
      <c r="TVI116" s="0"/>
      <c r="TVJ116" s="0"/>
      <c r="TVK116" s="0"/>
      <c r="TVL116" s="0"/>
      <c r="TVM116" s="0"/>
      <c r="TVN116" s="0"/>
      <c r="TVO116" s="0"/>
      <c r="TVP116" s="0"/>
      <c r="TVQ116" s="0"/>
      <c r="TVR116" s="0"/>
      <c r="TVS116" s="0"/>
      <c r="TVT116" s="0"/>
      <c r="TVU116" s="0"/>
      <c r="TVV116" s="0"/>
      <c r="TVW116" s="0"/>
      <c r="TVX116" s="0"/>
      <c r="TVY116" s="0"/>
      <c r="TVZ116" s="0"/>
      <c r="TWA116" s="0"/>
      <c r="TWB116" s="0"/>
      <c r="TWC116" s="0"/>
      <c r="TWD116" s="0"/>
      <c r="TWE116" s="0"/>
      <c r="TWF116" s="0"/>
      <c r="TWG116" s="0"/>
      <c r="TWH116" s="0"/>
      <c r="TWI116" s="0"/>
      <c r="TWJ116" s="0"/>
      <c r="TWK116" s="0"/>
      <c r="TWL116" s="0"/>
      <c r="TWM116" s="0"/>
      <c r="TWN116" s="0"/>
      <c r="TWO116" s="0"/>
      <c r="TWP116" s="0"/>
      <c r="TWQ116" s="0"/>
      <c r="TWR116" s="0"/>
      <c r="TWS116" s="0"/>
      <c r="TWT116" s="0"/>
      <c r="TWU116" s="0"/>
      <c r="TWV116" s="0"/>
      <c r="TWW116" s="0"/>
      <c r="TWX116" s="0"/>
      <c r="TWY116" s="0"/>
      <c r="TWZ116" s="0"/>
      <c r="TXA116" s="0"/>
      <c r="TXB116" s="0"/>
      <c r="TXC116" s="0"/>
      <c r="TXD116" s="0"/>
      <c r="TXE116" s="0"/>
      <c r="TXF116" s="0"/>
      <c r="TXG116" s="0"/>
      <c r="TXH116" s="0"/>
      <c r="TXI116" s="0"/>
      <c r="TXJ116" s="0"/>
      <c r="TXK116" s="0"/>
      <c r="TXL116" s="0"/>
      <c r="TXM116" s="0"/>
      <c r="TXN116" s="0"/>
      <c r="TXO116" s="0"/>
      <c r="TXP116" s="0"/>
      <c r="TXQ116" s="0"/>
      <c r="TXR116" s="0"/>
      <c r="TXS116" s="0"/>
      <c r="TXT116" s="0"/>
      <c r="TXU116" s="0"/>
      <c r="TXV116" s="0"/>
      <c r="TXW116" s="0"/>
      <c r="TXX116" s="0"/>
      <c r="TXY116" s="0"/>
      <c r="TXZ116" s="0"/>
      <c r="TYA116" s="0"/>
      <c r="TYB116" s="0"/>
      <c r="TYC116" s="0"/>
      <c r="TYD116" s="0"/>
      <c r="TYE116" s="0"/>
      <c r="TYF116" s="0"/>
      <c r="TYG116" s="0"/>
      <c r="TYH116" s="0"/>
      <c r="TYI116" s="0"/>
      <c r="TYJ116" s="0"/>
      <c r="TYK116" s="0"/>
      <c r="TYL116" s="0"/>
      <c r="TYM116" s="0"/>
      <c r="TYN116" s="0"/>
      <c r="TYO116" s="0"/>
      <c r="TYP116" s="0"/>
      <c r="TYQ116" s="0"/>
      <c r="TYR116" s="0"/>
      <c r="TYS116" s="0"/>
      <c r="TYT116" s="0"/>
      <c r="TYU116" s="0"/>
      <c r="TYV116" s="0"/>
      <c r="TYW116" s="0"/>
      <c r="TYX116" s="0"/>
      <c r="TYY116" s="0"/>
      <c r="TYZ116" s="0"/>
      <c r="TZA116" s="0"/>
      <c r="TZB116" s="0"/>
      <c r="TZC116" s="0"/>
      <c r="TZD116" s="0"/>
      <c r="TZE116" s="0"/>
      <c r="TZF116" s="0"/>
      <c r="TZG116" s="0"/>
      <c r="TZH116" s="0"/>
      <c r="TZI116" s="0"/>
      <c r="TZJ116" s="0"/>
      <c r="TZK116" s="0"/>
      <c r="TZL116" s="0"/>
      <c r="TZM116" s="0"/>
      <c r="TZN116" s="0"/>
      <c r="TZO116" s="0"/>
      <c r="TZP116" s="0"/>
      <c r="TZQ116" s="0"/>
      <c r="TZR116" s="0"/>
      <c r="TZS116" s="0"/>
      <c r="TZT116" s="0"/>
      <c r="TZU116" s="0"/>
      <c r="TZV116" s="0"/>
      <c r="TZW116" s="0"/>
      <c r="TZX116" s="0"/>
      <c r="TZY116" s="0"/>
      <c r="TZZ116" s="0"/>
      <c r="UAA116" s="0"/>
      <c r="UAB116" s="0"/>
      <c r="UAC116" s="0"/>
      <c r="UAD116" s="0"/>
      <c r="UAE116" s="0"/>
      <c r="UAF116" s="0"/>
      <c r="UAG116" s="0"/>
      <c r="UAH116" s="0"/>
      <c r="UAI116" s="0"/>
      <c r="UAJ116" s="0"/>
      <c r="UAK116" s="0"/>
      <c r="UAL116" s="0"/>
      <c r="UAM116" s="0"/>
      <c r="UAN116" s="0"/>
      <c r="UAO116" s="0"/>
      <c r="UAP116" s="0"/>
      <c r="UAQ116" s="0"/>
      <c r="UAR116" s="0"/>
      <c r="UAS116" s="0"/>
      <c r="UAT116" s="0"/>
      <c r="UAU116" s="0"/>
      <c r="UAV116" s="0"/>
      <c r="UAW116" s="0"/>
      <c r="UAX116" s="0"/>
      <c r="UAY116" s="0"/>
      <c r="UAZ116" s="0"/>
      <c r="UBA116" s="0"/>
      <c r="UBB116" s="0"/>
      <c r="UBC116" s="0"/>
      <c r="UBD116" s="0"/>
      <c r="UBE116" s="0"/>
      <c r="UBF116" s="0"/>
      <c r="UBG116" s="0"/>
      <c r="UBH116" s="0"/>
      <c r="UBI116" s="0"/>
      <c r="UBJ116" s="0"/>
      <c r="UBK116" s="0"/>
      <c r="UBL116" s="0"/>
      <c r="UBM116" s="0"/>
      <c r="UBN116" s="0"/>
      <c r="UBO116" s="0"/>
      <c r="UBP116" s="0"/>
      <c r="UBQ116" s="0"/>
      <c r="UBR116" s="0"/>
      <c r="UBS116" s="0"/>
      <c r="UBT116" s="0"/>
      <c r="UBU116" s="0"/>
      <c r="UBV116" s="0"/>
      <c r="UBW116" s="0"/>
      <c r="UBX116" s="0"/>
      <c r="UBY116" s="0"/>
      <c r="UBZ116" s="0"/>
      <c r="UCA116" s="0"/>
      <c r="UCB116" s="0"/>
      <c r="UCC116" s="0"/>
      <c r="UCD116" s="0"/>
      <c r="UCE116" s="0"/>
      <c r="UCF116" s="0"/>
      <c r="UCG116" s="0"/>
      <c r="UCH116" s="0"/>
      <c r="UCI116" s="0"/>
      <c r="UCJ116" s="0"/>
      <c r="UCK116" s="0"/>
      <c r="UCL116" s="0"/>
      <c r="UCM116" s="0"/>
      <c r="UCN116" s="0"/>
      <c r="UCO116" s="0"/>
      <c r="UCP116" s="0"/>
      <c r="UCQ116" s="0"/>
      <c r="UCR116" s="0"/>
      <c r="UCS116" s="0"/>
      <c r="UCT116" s="0"/>
      <c r="UCU116" s="0"/>
      <c r="UCV116" s="0"/>
      <c r="UCW116" s="0"/>
      <c r="UCX116" s="0"/>
      <c r="UCY116" s="0"/>
      <c r="UCZ116" s="0"/>
      <c r="UDA116" s="0"/>
      <c r="UDB116" s="0"/>
      <c r="UDC116" s="0"/>
      <c r="UDD116" s="0"/>
      <c r="UDE116" s="0"/>
      <c r="UDF116" s="0"/>
      <c r="UDG116" s="0"/>
      <c r="UDH116" s="0"/>
      <c r="UDI116" s="0"/>
      <c r="UDJ116" s="0"/>
      <c r="UDK116" s="0"/>
      <c r="UDL116" s="0"/>
      <c r="UDM116" s="0"/>
      <c r="UDN116" s="0"/>
      <c r="UDO116" s="0"/>
      <c r="UDP116" s="0"/>
      <c r="UDQ116" s="0"/>
      <c r="UDR116" s="0"/>
      <c r="UDS116" s="0"/>
      <c r="UDT116" s="0"/>
      <c r="UDU116" s="0"/>
      <c r="UDV116" s="0"/>
      <c r="UDW116" s="0"/>
      <c r="UDX116" s="0"/>
      <c r="UDY116" s="0"/>
      <c r="UDZ116" s="0"/>
      <c r="UEA116" s="0"/>
      <c r="UEB116" s="0"/>
      <c r="UEC116" s="0"/>
      <c r="UED116" s="0"/>
      <c r="UEE116" s="0"/>
      <c r="UEF116" s="0"/>
      <c r="UEG116" s="0"/>
      <c r="UEH116" s="0"/>
      <c r="UEI116" s="0"/>
      <c r="UEJ116" s="0"/>
      <c r="UEK116" s="0"/>
      <c r="UEL116" s="0"/>
      <c r="UEM116" s="0"/>
      <c r="UEN116" s="0"/>
      <c r="UEO116" s="0"/>
      <c r="UEP116" s="0"/>
      <c r="UEQ116" s="0"/>
      <c r="UER116" s="0"/>
      <c r="UES116" s="0"/>
      <c r="UET116" s="0"/>
      <c r="UEU116" s="0"/>
      <c r="UEV116" s="0"/>
      <c r="UEW116" s="0"/>
      <c r="UEX116" s="0"/>
      <c r="UEY116" s="0"/>
      <c r="UEZ116" s="0"/>
      <c r="UFA116" s="0"/>
      <c r="UFB116" s="0"/>
      <c r="UFC116" s="0"/>
      <c r="UFD116" s="0"/>
      <c r="UFE116" s="0"/>
      <c r="UFF116" s="0"/>
      <c r="UFG116" s="0"/>
      <c r="UFH116" s="0"/>
      <c r="UFI116" s="0"/>
      <c r="UFJ116" s="0"/>
      <c r="UFK116" s="0"/>
      <c r="UFL116" s="0"/>
      <c r="UFM116" s="0"/>
      <c r="UFN116" s="0"/>
      <c r="UFO116" s="0"/>
      <c r="UFP116" s="0"/>
      <c r="UFQ116" s="0"/>
      <c r="UFR116" s="0"/>
      <c r="UFS116" s="0"/>
      <c r="UFT116" s="0"/>
      <c r="UFU116" s="0"/>
      <c r="UFV116" s="0"/>
      <c r="UFW116" s="0"/>
      <c r="UFX116" s="0"/>
      <c r="UFY116" s="0"/>
      <c r="UFZ116" s="0"/>
      <c r="UGA116" s="0"/>
      <c r="UGB116" s="0"/>
      <c r="UGC116" s="0"/>
      <c r="UGD116" s="0"/>
      <c r="UGE116" s="0"/>
      <c r="UGF116" s="0"/>
      <c r="UGG116" s="0"/>
      <c r="UGH116" s="0"/>
      <c r="UGI116" s="0"/>
      <c r="UGJ116" s="0"/>
      <c r="UGK116" s="0"/>
      <c r="UGL116" s="0"/>
      <c r="UGM116" s="0"/>
      <c r="UGN116" s="0"/>
      <c r="UGO116" s="0"/>
      <c r="UGP116" s="0"/>
      <c r="UGQ116" s="0"/>
      <c r="UGR116" s="0"/>
      <c r="UGS116" s="0"/>
      <c r="UGT116" s="0"/>
      <c r="UGU116" s="0"/>
      <c r="UGV116" s="0"/>
      <c r="UGW116" s="0"/>
      <c r="UGX116" s="0"/>
      <c r="UGY116" s="0"/>
      <c r="UGZ116" s="0"/>
      <c r="UHA116" s="0"/>
      <c r="UHB116" s="0"/>
      <c r="UHC116" s="0"/>
      <c r="UHD116" s="0"/>
      <c r="UHE116" s="0"/>
      <c r="UHF116" s="0"/>
      <c r="UHG116" s="0"/>
      <c r="UHH116" s="0"/>
      <c r="UHI116" s="0"/>
      <c r="UHJ116" s="0"/>
      <c r="UHK116" s="0"/>
      <c r="UHL116" s="0"/>
      <c r="UHM116" s="0"/>
      <c r="UHN116" s="0"/>
      <c r="UHO116" s="0"/>
      <c r="UHP116" s="0"/>
      <c r="UHQ116" s="0"/>
      <c r="UHR116" s="0"/>
      <c r="UHS116" s="0"/>
      <c r="UHT116" s="0"/>
      <c r="UHU116" s="0"/>
      <c r="UHV116" s="0"/>
      <c r="UHW116" s="0"/>
      <c r="UHX116" s="0"/>
      <c r="UHY116" s="0"/>
      <c r="UHZ116" s="0"/>
      <c r="UIA116" s="0"/>
      <c r="UIB116" s="0"/>
      <c r="UIC116" s="0"/>
      <c r="UID116" s="0"/>
      <c r="UIE116" s="0"/>
      <c r="UIF116" s="0"/>
      <c r="UIG116" s="0"/>
      <c r="UIH116" s="0"/>
      <c r="UII116" s="0"/>
      <c r="UIJ116" s="0"/>
      <c r="UIK116" s="0"/>
      <c r="UIL116" s="0"/>
      <c r="UIM116" s="0"/>
      <c r="UIN116" s="0"/>
      <c r="UIO116" s="0"/>
      <c r="UIP116" s="0"/>
      <c r="UIQ116" s="0"/>
      <c r="UIR116" s="0"/>
      <c r="UIS116" s="0"/>
      <c r="UIT116" s="0"/>
      <c r="UIU116" s="0"/>
      <c r="UIV116" s="0"/>
      <c r="UIW116" s="0"/>
      <c r="UIX116" s="0"/>
      <c r="UIY116" s="0"/>
      <c r="UIZ116" s="0"/>
      <c r="UJA116" s="0"/>
      <c r="UJB116" s="0"/>
      <c r="UJC116" s="0"/>
      <c r="UJD116" s="0"/>
      <c r="UJE116" s="0"/>
      <c r="UJF116" s="0"/>
      <c r="UJG116" s="0"/>
      <c r="UJH116" s="0"/>
      <c r="UJI116" s="0"/>
      <c r="UJJ116" s="0"/>
      <c r="UJK116" s="0"/>
      <c r="UJL116" s="0"/>
      <c r="UJM116" s="0"/>
      <c r="UJN116" s="0"/>
      <c r="UJO116" s="0"/>
      <c r="UJP116" s="0"/>
      <c r="UJQ116" s="0"/>
      <c r="UJR116" s="0"/>
      <c r="UJS116" s="0"/>
      <c r="UJT116" s="0"/>
      <c r="UJU116" s="0"/>
      <c r="UJV116" s="0"/>
      <c r="UJW116" s="0"/>
      <c r="UJX116" s="0"/>
      <c r="UJY116" s="0"/>
      <c r="UJZ116" s="0"/>
      <c r="UKA116" s="0"/>
      <c r="UKB116" s="0"/>
      <c r="UKC116" s="0"/>
      <c r="UKD116" s="0"/>
      <c r="UKE116" s="0"/>
      <c r="UKF116" s="0"/>
      <c r="UKG116" s="0"/>
      <c r="UKH116" s="0"/>
      <c r="UKI116" s="0"/>
      <c r="UKJ116" s="0"/>
      <c r="UKK116" s="0"/>
      <c r="UKL116" s="0"/>
      <c r="UKM116" s="0"/>
      <c r="UKN116" s="0"/>
      <c r="UKO116" s="0"/>
      <c r="UKP116" s="0"/>
      <c r="UKQ116" s="0"/>
      <c r="UKR116" s="0"/>
      <c r="UKS116" s="0"/>
      <c r="UKT116" s="0"/>
      <c r="UKU116" s="0"/>
      <c r="UKV116" s="0"/>
      <c r="UKW116" s="0"/>
      <c r="UKX116" s="0"/>
      <c r="UKY116" s="0"/>
      <c r="UKZ116" s="0"/>
      <c r="ULA116" s="0"/>
      <c r="ULB116" s="0"/>
      <c r="ULC116" s="0"/>
      <c r="ULD116" s="0"/>
      <c r="ULE116" s="0"/>
      <c r="ULF116" s="0"/>
      <c r="ULG116" s="0"/>
      <c r="ULH116" s="0"/>
      <c r="ULI116" s="0"/>
      <c r="ULJ116" s="0"/>
      <c r="ULK116" s="0"/>
      <c r="ULL116" s="0"/>
      <c r="ULM116" s="0"/>
      <c r="ULN116" s="0"/>
      <c r="ULO116" s="0"/>
      <c r="ULP116" s="0"/>
      <c r="ULQ116" s="0"/>
      <c r="ULR116" s="0"/>
      <c r="ULS116" s="0"/>
      <c r="ULT116" s="0"/>
      <c r="ULU116" s="0"/>
      <c r="ULV116" s="0"/>
      <c r="ULW116" s="0"/>
      <c r="ULX116" s="0"/>
      <c r="ULY116" s="0"/>
      <c r="ULZ116" s="0"/>
      <c r="UMA116" s="0"/>
      <c r="UMB116" s="0"/>
      <c r="UMC116" s="0"/>
      <c r="UMD116" s="0"/>
      <c r="UME116" s="0"/>
      <c r="UMF116" s="0"/>
      <c r="UMG116" s="0"/>
      <c r="UMH116" s="0"/>
      <c r="UMI116" s="0"/>
      <c r="UMJ116" s="0"/>
      <c r="UMK116" s="0"/>
      <c r="UML116" s="0"/>
      <c r="UMM116" s="0"/>
      <c r="UMN116" s="0"/>
      <c r="UMO116" s="0"/>
      <c r="UMP116" s="0"/>
      <c r="UMQ116" s="0"/>
      <c r="UMR116" s="0"/>
      <c r="UMS116" s="0"/>
      <c r="UMT116" s="0"/>
      <c r="UMU116" s="0"/>
      <c r="UMV116" s="0"/>
      <c r="UMW116" s="0"/>
      <c r="UMX116" s="0"/>
      <c r="UMY116" s="0"/>
      <c r="UMZ116" s="0"/>
      <c r="UNA116" s="0"/>
      <c r="UNB116" s="0"/>
      <c r="UNC116" s="0"/>
      <c r="UND116" s="0"/>
      <c r="UNE116" s="0"/>
      <c r="UNF116" s="0"/>
      <c r="UNG116" s="0"/>
      <c r="UNH116" s="0"/>
      <c r="UNI116" s="0"/>
      <c r="UNJ116" s="0"/>
      <c r="UNK116" s="0"/>
      <c r="UNL116" s="0"/>
      <c r="UNM116" s="0"/>
      <c r="UNN116" s="0"/>
      <c r="UNO116" s="0"/>
      <c r="UNP116" s="0"/>
      <c r="UNQ116" s="0"/>
      <c r="UNR116" s="0"/>
      <c r="UNS116" s="0"/>
      <c r="UNT116" s="0"/>
      <c r="UNU116" s="0"/>
      <c r="UNV116" s="0"/>
      <c r="UNW116" s="0"/>
      <c r="UNX116" s="0"/>
      <c r="UNY116" s="0"/>
      <c r="UNZ116" s="0"/>
      <c r="UOA116" s="0"/>
      <c r="UOB116" s="0"/>
      <c r="UOC116" s="0"/>
      <c r="UOD116" s="0"/>
      <c r="UOE116" s="0"/>
      <c r="UOF116" s="0"/>
      <c r="UOG116" s="0"/>
      <c r="UOH116" s="0"/>
      <c r="UOI116" s="0"/>
      <c r="UOJ116" s="0"/>
      <c r="UOK116" s="0"/>
      <c r="UOL116" s="0"/>
      <c r="UOM116" s="0"/>
      <c r="UON116" s="0"/>
      <c r="UOO116" s="0"/>
      <c r="UOP116" s="0"/>
      <c r="UOQ116" s="0"/>
      <c r="UOR116" s="0"/>
      <c r="UOS116" s="0"/>
      <c r="UOT116" s="0"/>
      <c r="UOU116" s="0"/>
      <c r="UOV116" s="0"/>
      <c r="UOW116" s="0"/>
      <c r="UOX116" s="0"/>
      <c r="UOY116" s="0"/>
      <c r="UOZ116" s="0"/>
      <c r="UPA116" s="0"/>
      <c r="UPB116" s="0"/>
      <c r="UPC116" s="0"/>
      <c r="UPD116" s="0"/>
      <c r="UPE116" s="0"/>
      <c r="UPF116" s="0"/>
      <c r="UPG116" s="0"/>
      <c r="UPH116" s="0"/>
      <c r="UPI116" s="0"/>
      <c r="UPJ116" s="0"/>
      <c r="UPK116" s="0"/>
      <c r="UPL116" s="0"/>
      <c r="UPM116" s="0"/>
      <c r="UPN116" s="0"/>
      <c r="UPO116" s="0"/>
      <c r="UPP116" s="0"/>
      <c r="UPQ116" s="0"/>
      <c r="UPR116" s="0"/>
      <c r="UPS116" s="0"/>
      <c r="UPT116" s="0"/>
      <c r="UPU116" s="0"/>
      <c r="UPV116" s="0"/>
      <c r="UPW116" s="0"/>
      <c r="UPX116" s="0"/>
      <c r="UPY116" s="0"/>
      <c r="UPZ116" s="0"/>
      <c r="UQA116" s="0"/>
      <c r="UQB116" s="0"/>
      <c r="UQC116" s="0"/>
      <c r="UQD116" s="0"/>
      <c r="UQE116" s="0"/>
      <c r="UQF116" s="0"/>
      <c r="UQG116" s="0"/>
      <c r="UQH116" s="0"/>
      <c r="UQI116" s="0"/>
      <c r="UQJ116" s="0"/>
      <c r="UQK116" s="0"/>
      <c r="UQL116" s="0"/>
      <c r="UQM116" s="0"/>
      <c r="UQN116" s="0"/>
      <c r="UQO116" s="0"/>
      <c r="UQP116" s="0"/>
      <c r="UQQ116" s="0"/>
      <c r="UQR116" s="0"/>
      <c r="UQS116" s="0"/>
      <c r="UQT116" s="0"/>
      <c r="UQU116" s="0"/>
      <c r="UQV116" s="0"/>
      <c r="UQW116" s="0"/>
      <c r="UQX116" s="0"/>
      <c r="UQY116" s="0"/>
      <c r="UQZ116" s="0"/>
      <c r="URA116" s="0"/>
      <c r="URB116" s="0"/>
      <c r="URC116" s="0"/>
      <c r="URD116" s="0"/>
      <c r="URE116" s="0"/>
      <c r="URF116" s="0"/>
      <c r="URG116" s="0"/>
      <c r="URH116" s="0"/>
      <c r="URI116" s="0"/>
      <c r="URJ116" s="0"/>
      <c r="URK116" s="0"/>
      <c r="URL116" s="0"/>
      <c r="URM116" s="0"/>
      <c r="URN116" s="0"/>
      <c r="URO116" s="0"/>
      <c r="URP116" s="0"/>
      <c r="URQ116" s="0"/>
      <c r="URR116" s="0"/>
      <c r="URS116" s="0"/>
      <c r="URT116" s="0"/>
      <c r="URU116" s="0"/>
      <c r="URV116" s="0"/>
      <c r="URW116" s="0"/>
      <c r="URX116" s="0"/>
      <c r="URY116" s="0"/>
      <c r="URZ116" s="0"/>
      <c r="USA116" s="0"/>
      <c r="USB116" s="0"/>
      <c r="USC116" s="0"/>
      <c r="USD116" s="0"/>
      <c r="USE116" s="0"/>
      <c r="USF116" s="0"/>
      <c r="USG116" s="0"/>
      <c r="USH116" s="0"/>
      <c r="USI116" s="0"/>
      <c r="USJ116" s="0"/>
      <c r="USK116" s="0"/>
      <c r="USL116" s="0"/>
      <c r="USM116" s="0"/>
      <c r="USN116" s="0"/>
      <c r="USO116" s="0"/>
      <c r="USP116" s="0"/>
      <c r="USQ116" s="0"/>
      <c r="USR116" s="0"/>
      <c r="USS116" s="0"/>
      <c r="UST116" s="0"/>
      <c r="USU116" s="0"/>
      <c r="USV116" s="0"/>
      <c r="USW116" s="0"/>
      <c r="USX116" s="0"/>
      <c r="USY116" s="0"/>
      <c r="USZ116" s="0"/>
      <c r="UTA116" s="0"/>
      <c r="UTB116" s="0"/>
      <c r="UTC116" s="0"/>
      <c r="UTD116" s="0"/>
      <c r="UTE116" s="0"/>
      <c r="UTF116" s="0"/>
      <c r="UTG116" s="0"/>
      <c r="UTH116" s="0"/>
      <c r="UTI116" s="0"/>
      <c r="UTJ116" s="0"/>
      <c r="UTK116" s="0"/>
      <c r="UTL116" s="0"/>
      <c r="UTM116" s="0"/>
      <c r="UTN116" s="0"/>
      <c r="UTO116" s="0"/>
      <c r="UTP116" s="0"/>
      <c r="UTQ116" s="0"/>
      <c r="UTR116" s="0"/>
      <c r="UTS116" s="0"/>
      <c r="UTT116" s="0"/>
      <c r="UTU116" s="0"/>
      <c r="UTV116" s="0"/>
      <c r="UTW116" s="0"/>
      <c r="UTX116" s="0"/>
      <c r="UTY116" s="0"/>
      <c r="UTZ116" s="0"/>
      <c r="UUA116" s="0"/>
      <c r="UUB116" s="0"/>
      <c r="UUC116" s="0"/>
      <c r="UUD116" s="0"/>
      <c r="UUE116" s="0"/>
      <c r="UUF116" s="0"/>
      <c r="UUG116" s="0"/>
      <c r="UUH116" s="0"/>
      <c r="UUI116" s="0"/>
      <c r="UUJ116" s="0"/>
      <c r="UUK116" s="0"/>
      <c r="UUL116" s="0"/>
      <c r="UUM116" s="0"/>
      <c r="UUN116" s="0"/>
      <c r="UUO116" s="0"/>
      <c r="UUP116" s="0"/>
      <c r="UUQ116" s="0"/>
      <c r="UUR116" s="0"/>
      <c r="UUS116" s="0"/>
      <c r="UUT116" s="0"/>
      <c r="UUU116" s="0"/>
      <c r="UUV116" s="0"/>
      <c r="UUW116" s="0"/>
      <c r="UUX116" s="0"/>
      <c r="UUY116" s="0"/>
      <c r="UUZ116" s="0"/>
      <c r="UVA116" s="0"/>
      <c r="UVB116" s="0"/>
      <c r="UVC116" s="0"/>
      <c r="UVD116" s="0"/>
      <c r="UVE116" s="0"/>
      <c r="UVF116" s="0"/>
      <c r="UVG116" s="0"/>
      <c r="UVH116" s="0"/>
      <c r="UVI116" s="0"/>
      <c r="UVJ116" s="0"/>
      <c r="UVK116" s="0"/>
      <c r="UVL116" s="0"/>
      <c r="UVM116" s="0"/>
      <c r="UVN116" s="0"/>
      <c r="UVO116" s="0"/>
      <c r="UVP116" s="0"/>
      <c r="UVQ116" s="0"/>
      <c r="UVR116" s="0"/>
      <c r="UVS116" s="0"/>
      <c r="UVT116" s="0"/>
      <c r="UVU116" s="0"/>
      <c r="UVV116" s="0"/>
      <c r="UVW116" s="0"/>
      <c r="UVX116" s="0"/>
      <c r="UVY116" s="0"/>
      <c r="UVZ116" s="0"/>
      <c r="UWA116" s="0"/>
      <c r="UWB116" s="0"/>
      <c r="UWC116" s="0"/>
      <c r="UWD116" s="0"/>
      <c r="UWE116" s="0"/>
      <c r="UWF116" s="0"/>
      <c r="UWG116" s="0"/>
      <c r="UWH116" s="0"/>
      <c r="UWI116" s="0"/>
      <c r="UWJ116" s="0"/>
      <c r="UWK116" s="0"/>
      <c r="UWL116" s="0"/>
      <c r="UWM116" s="0"/>
      <c r="UWN116" s="0"/>
      <c r="UWO116" s="0"/>
      <c r="UWP116" s="0"/>
      <c r="UWQ116" s="0"/>
      <c r="UWR116" s="0"/>
      <c r="UWS116" s="0"/>
      <c r="UWT116" s="0"/>
      <c r="UWU116" s="0"/>
      <c r="UWV116" s="0"/>
      <c r="UWW116" s="0"/>
      <c r="UWX116" s="0"/>
      <c r="UWY116" s="0"/>
      <c r="UWZ116" s="0"/>
      <c r="UXA116" s="0"/>
      <c r="UXB116" s="0"/>
      <c r="UXC116" s="0"/>
      <c r="UXD116" s="0"/>
      <c r="UXE116" s="0"/>
      <c r="UXF116" s="0"/>
      <c r="UXG116" s="0"/>
      <c r="UXH116" s="0"/>
      <c r="UXI116" s="0"/>
      <c r="UXJ116" s="0"/>
      <c r="UXK116" s="0"/>
      <c r="UXL116" s="0"/>
      <c r="UXM116" s="0"/>
      <c r="UXN116" s="0"/>
      <c r="UXO116" s="0"/>
      <c r="UXP116" s="0"/>
      <c r="UXQ116" s="0"/>
      <c r="UXR116" s="0"/>
      <c r="UXS116" s="0"/>
      <c r="UXT116" s="0"/>
      <c r="UXU116" s="0"/>
      <c r="UXV116" s="0"/>
      <c r="UXW116" s="0"/>
      <c r="UXX116" s="0"/>
      <c r="UXY116" s="0"/>
      <c r="UXZ116" s="0"/>
      <c r="UYA116" s="0"/>
      <c r="UYB116" s="0"/>
      <c r="UYC116" s="0"/>
      <c r="UYD116" s="0"/>
      <c r="UYE116" s="0"/>
      <c r="UYF116" s="0"/>
      <c r="UYG116" s="0"/>
      <c r="UYH116" s="0"/>
      <c r="UYI116" s="0"/>
      <c r="UYJ116" s="0"/>
      <c r="UYK116" s="0"/>
      <c r="UYL116" s="0"/>
      <c r="UYM116" s="0"/>
      <c r="UYN116" s="0"/>
      <c r="UYO116" s="0"/>
      <c r="UYP116" s="0"/>
      <c r="UYQ116" s="0"/>
      <c r="UYR116" s="0"/>
      <c r="UYS116" s="0"/>
      <c r="UYT116" s="0"/>
      <c r="UYU116" s="0"/>
      <c r="UYV116" s="0"/>
      <c r="UYW116" s="0"/>
      <c r="UYX116" s="0"/>
      <c r="UYY116" s="0"/>
      <c r="UYZ116" s="0"/>
      <c r="UZA116" s="0"/>
      <c r="UZB116" s="0"/>
      <c r="UZC116" s="0"/>
      <c r="UZD116" s="0"/>
      <c r="UZE116" s="0"/>
      <c r="UZF116" s="0"/>
      <c r="UZG116" s="0"/>
      <c r="UZH116" s="0"/>
      <c r="UZI116" s="0"/>
      <c r="UZJ116" s="0"/>
      <c r="UZK116" s="0"/>
      <c r="UZL116" s="0"/>
      <c r="UZM116" s="0"/>
      <c r="UZN116" s="0"/>
      <c r="UZO116" s="0"/>
      <c r="UZP116" s="0"/>
      <c r="UZQ116" s="0"/>
      <c r="UZR116" s="0"/>
      <c r="UZS116" s="0"/>
      <c r="UZT116" s="0"/>
      <c r="UZU116" s="0"/>
      <c r="UZV116" s="0"/>
      <c r="UZW116" s="0"/>
      <c r="UZX116" s="0"/>
      <c r="UZY116" s="0"/>
      <c r="UZZ116" s="0"/>
      <c r="VAA116" s="0"/>
      <c r="VAB116" s="0"/>
      <c r="VAC116" s="0"/>
      <c r="VAD116" s="0"/>
      <c r="VAE116" s="0"/>
      <c r="VAF116" s="0"/>
      <c r="VAG116" s="0"/>
      <c r="VAH116" s="0"/>
      <c r="VAI116" s="0"/>
      <c r="VAJ116" s="0"/>
      <c r="VAK116" s="0"/>
      <c r="VAL116" s="0"/>
      <c r="VAM116" s="0"/>
      <c r="VAN116" s="0"/>
      <c r="VAO116" s="0"/>
      <c r="VAP116" s="0"/>
      <c r="VAQ116" s="0"/>
      <c r="VAR116" s="0"/>
      <c r="VAS116" s="0"/>
      <c r="VAT116" s="0"/>
      <c r="VAU116" s="0"/>
      <c r="VAV116" s="0"/>
      <c r="VAW116" s="0"/>
      <c r="VAX116" s="0"/>
      <c r="VAY116" s="0"/>
      <c r="VAZ116" s="0"/>
      <c r="VBA116" s="0"/>
      <c r="VBB116" s="0"/>
      <c r="VBC116" s="0"/>
      <c r="VBD116" s="0"/>
      <c r="VBE116" s="0"/>
      <c r="VBF116" s="0"/>
      <c r="VBG116" s="0"/>
      <c r="VBH116" s="0"/>
      <c r="VBI116" s="0"/>
      <c r="VBJ116" s="0"/>
      <c r="VBK116" s="0"/>
      <c r="VBL116" s="0"/>
      <c r="VBM116" s="0"/>
      <c r="VBN116" s="0"/>
      <c r="VBO116" s="0"/>
      <c r="VBP116" s="0"/>
      <c r="VBQ116" s="0"/>
      <c r="VBR116" s="0"/>
      <c r="VBS116" s="0"/>
      <c r="VBT116" s="0"/>
      <c r="VBU116" s="0"/>
      <c r="VBV116" s="0"/>
      <c r="VBW116" s="0"/>
      <c r="VBX116" s="0"/>
      <c r="VBY116" s="0"/>
      <c r="VBZ116" s="0"/>
      <c r="VCA116" s="0"/>
      <c r="VCB116" s="0"/>
      <c r="VCC116" s="0"/>
      <c r="VCD116" s="0"/>
      <c r="VCE116" s="0"/>
      <c r="VCF116" s="0"/>
      <c r="VCG116" s="0"/>
      <c r="VCH116" s="0"/>
      <c r="VCI116" s="0"/>
      <c r="VCJ116" s="0"/>
      <c r="VCK116" s="0"/>
      <c r="VCL116" s="0"/>
      <c r="VCM116" s="0"/>
      <c r="VCN116" s="0"/>
      <c r="VCO116" s="0"/>
      <c r="VCP116" s="0"/>
      <c r="VCQ116" s="0"/>
      <c r="VCR116" s="0"/>
      <c r="VCS116" s="0"/>
      <c r="VCT116" s="0"/>
      <c r="VCU116" s="0"/>
      <c r="VCV116" s="0"/>
      <c r="VCW116" s="0"/>
      <c r="VCX116" s="0"/>
      <c r="VCY116" s="0"/>
      <c r="VCZ116" s="0"/>
      <c r="VDA116" s="0"/>
      <c r="VDB116" s="0"/>
      <c r="VDC116" s="0"/>
      <c r="VDD116" s="0"/>
      <c r="VDE116" s="0"/>
      <c r="VDF116" s="0"/>
      <c r="VDG116" s="0"/>
      <c r="VDH116" s="0"/>
      <c r="VDI116" s="0"/>
      <c r="VDJ116" s="0"/>
      <c r="VDK116" s="0"/>
      <c r="VDL116" s="0"/>
      <c r="VDM116" s="0"/>
      <c r="VDN116" s="0"/>
      <c r="VDO116" s="0"/>
      <c r="VDP116" s="0"/>
      <c r="VDQ116" s="0"/>
      <c r="VDR116" s="0"/>
      <c r="VDS116" s="0"/>
      <c r="VDT116" s="0"/>
      <c r="VDU116" s="0"/>
      <c r="VDV116" s="0"/>
      <c r="VDW116" s="0"/>
      <c r="VDX116" s="0"/>
      <c r="VDY116" s="0"/>
      <c r="VDZ116" s="0"/>
      <c r="VEA116" s="0"/>
      <c r="VEB116" s="0"/>
      <c r="VEC116" s="0"/>
      <c r="VED116" s="0"/>
      <c r="VEE116" s="0"/>
      <c r="VEF116" s="0"/>
      <c r="VEG116" s="0"/>
      <c r="VEH116" s="0"/>
      <c r="VEI116" s="0"/>
      <c r="VEJ116" s="0"/>
      <c r="VEK116" s="0"/>
      <c r="VEL116" s="0"/>
      <c r="VEM116" s="0"/>
      <c r="VEN116" s="0"/>
      <c r="VEO116" s="0"/>
      <c r="VEP116" s="0"/>
      <c r="VEQ116" s="0"/>
      <c r="VER116" s="0"/>
      <c r="VES116" s="0"/>
      <c r="VET116" s="0"/>
      <c r="VEU116" s="0"/>
      <c r="VEV116" s="0"/>
      <c r="VEW116" s="0"/>
      <c r="VEX116" s="0"/>
      <c r="VEY116" s="0"/>
      <c r="VEZ116" s="0"/>
      <c r="VFA116" s="0"/>
      <c r="VFB116" s="0"/>
      <c r="VFC116" s="0"/>
      <c r="VFD116" s="0"/>
      <c r="VFE116" s="0"/>
      <c r="VFF116" s="0"/>
      <c r="VFG116" s="0"/>
      <c r="VFH116" s="0"/>
      <c r="VFI116" s="0"/>
      <c r="VFJ116" s="0"/>
      <c r="VFK116" s="0"/>
      <c r="VFL116" s="0"/>
      <c r="VFM116" s="0"/>
      <c r="VFN116" s="0"/>
      <c r="VFO116" s="0"/>
      <c r="VFP116" s="0"/>
      <c r="VFQ116" s="0"/>
      <c r="VFR116" s="0"/>
      <c r="VFS116" s="0"/>
      <c r="VFT116" s="0"/>
      <c r="VFU116" s="0"/>
      <c r="VFV116" s="0"/>
      <c r="VFW116" s="0"/>
      <c r="VFX116" s="0"/>
      <c r="VFY116" s="0"/>
      <c r="VFZ116" s="0"/>
      <c r="VGA116" s="0"/>
      <c r="VGB116" s="0"/>
      <c r="VGC116" s="0"/>
      <c r="VGD116" s="0"/>
      <c r="VGE116" s="0"/>
      <c r="VGF116" s="0"/>
      <c r="VGG116" s="0"/>
      <c r="VGH116" s="0"/>
      <c r="VGI116" s="0"/>
      <c r="VGJ116" s="0"/>
      <c r="VGK116" s="0"/>
      <c r="VGL116" s="0"/>
      <c r="VGM116" s="0"/>
      <c r="VGN116" s="0"/>
      <c r="VGO116" s="0"/>
      <c r="VGP116" s="0"/>
      <c r="VGQ116" s="0"/>
      <c r="VGR116" s="0"/>
      <c r="VGS116" s="0"/>
      <c r="VGT116" s="0"/>
      <c r="VGU116" s="0"/>
      <c r="VGV116" s="0"/>
      <c r="VGW116" s="0"/>
      <c r="VGX116" s="0"/>
      <c r="VGY116" s="0"/>
      <c r="VGZ116" s="0"/>
      <c r="VHA116" s="0"/>
      <c r="VHB116" s="0"/>
      <c r="VHC116" s="0"/>
      <c r="VHD116" s="0"/>
      <c r="VHE116" s="0"/>
      <c r="VHF116" s="0"/>
      <c r="VHG116" s="0"/>
      <c r="VHH116" s="0"/>
      <c r="VHI116" s="0"/>
      <c r="VHJ116" s="0"/>
      <c r="VHK116" s="0"/>
      <c r="VHL116" s="0"/>
      <c r="VHM116" s="0"/>
      <c r="VHN116" s="0"/>
      <c r="VHO116" s="0"/>
      <c r="VHP116" s="0"/>
      <c r="VHQ116" s="0"/>
      <c r="VHR116" s="0"/>
      <c r="VHS116" s="0"/>
      <c r="VHT116" s="0"/>
      <c r="VHU116" s="0"/>
      <c r="VHV116" s="0"/>
      <c r="VHW116" s="0"/>
      <c r="VHX116" s="0"/>
      <c r="VHY116" s="0"/>
      <c r="VHZ116" s="0"/>
      <c r="VIA116" s="0"/>
      <c r="VIB116" s="0"/>
      <c r="VIC116" s="0"/>
      <c r="VID116" s="0"/>
      <c r="VIE116" s="0"/>
      <c r="VIF116" s="0"/>
      <c r="VIG116" s="0"/>
      <c r="VIH116" s="0"/>
      <c r="VII116" s="0"/>
      <c r="VIJ116" s="0"/>
      <c r="VIK116" s="0"/>
      <c r="VIL116" s="0"/>
      <c r="VIM116" s="0"/>
      <c r="VIN116" s="0"/>
      <c r="VIO116" s="0"/>
      <c r="VIP116" s="0"/>
      <c r="VIQ116" s="0"/>
      <c r="VIR116" s="0"/>
      <c r="VIS116" s="0"/>
      <c r="VIT116" s="0"/>
      <c r="VIU116" s="0"/>
      <c r="VIV116" s="0"/>
      <c r="VIW116" s="0"/>
      <c r="VIX116" s="0"/>
      <c r="VIY116" s="0"/>
      <c r="VIZ116" s="0"/>
      <c r="VJA116" s="0"/>
      <c r="VJB116" s="0"/>
      <c r="VJC116" s="0"/>
      <c r="VJD116" s="0"/>
      <c r="VJE116" s="0"/>
      <c r="VJF116" s="0"/>
      <c r="VJG116" s="0"/>
      <c r="VJH116" s="0"/>
      <c r="VJI116" s="0"/>
      <c r="VJJ116" s="0"/>
      <c r="VJK116" s="0"/>
      <c r="VJL116" s="0"/>
      <c r="VJM116" s="0"/>
      <c r="VJN116" s="0"/>
      <c r="VJO116" s="0"/>
      <c r="VJP116" s="0"/>
      <c r="VJQ116" s="0"/>
      <c r="VJR116" s="0"/>
      <c r="VJS116" s="0"/>
      <c r="VJT116" s="0"/>
      <c r="VJU116" s="0"/>
      <c r="VJV116" s="0"/>
      <c r="VJW116" s="0"/>
      <c r="VJX116" s="0"/>
      <c r="VJY116" s="0"/>
      <c r="VJZ116" s="0"/>
      <c r="VKA116" s="0"/>
      <c r="VKB116" s="0"/>
      <c r="VKC116" s="0"/>
      <c r="VKD116" s="0"/>
      <c r="VKE116" s="0"/>
      <c r="VKF116" s="0"/>
      <c r="VKG116" s="0"/>
      <c r="VKH116" s="0"/>
      <c r="VKI116" s="0"/>
      <c r="VKJ116" s="0"/>
      <c r="VKK116" s="0"/>
      <c r="VKL116" s="0"/>
      <c r="VKM116" s="0"/>
      <c r="VKN116" s="0"/>
      <c r="VKO116" s="0"/>
      <c r="VKP116" s="0"/>
      <c r="VKQ116" s="0"/>
      <c r="VKR116" s="0"/>
      <c r="VKS116" s="0"/>
      <c r="VKT116" s="0"/>
      <c r="VKU116" s="0"/>
      <c r="VKV116" s="0"/>
      <c r="VKW116" s="0"/>
      <c r="VKX116" s="0"/>
      <c r="VKY116" s="0"/>
      <c r="VKZ116" s="0"/>
      <c r="VLA116" s="0"/>
      <c r="VLB116" s="0"/>
      <c r="VLC116" s="0"/>
      <c r="VLD116" s="0"/>
      <c r="VLE116" s="0"/>
      <c r="VLF116" s="0"/>
      <c r="VLG116" s="0"/>
      <c r="VLH116" s="0"/>
      <c r="VLI116" s="0"/>
      <c r="VLJ116" s="0"/>
      <c r="VLK116" s="0"/>
      <c r="VLL116" s="0"/>
      <c r="VLM116" s="0"/>
      <c r="VLN116" s="0"/>
      <c r="VLO116" s="0"/>
      <c r="VLP116" s="0"/>
      <c r="VLQ116" s="0"/>
      <c r="VLR116" s="0"/>
      <c r="VLS116" s="0"/>
      <c r="VLT116" s="0"/>
      <c r="VLU116" s="0"/>
      <c r="VLV116" s="0"/>
      <c r="VLW116" s="0"/>
      <c r="VLX116" s="0"/>
      <c r="VLY116" s="0"/>
      <c r="VLZ116" s="0"/>
      <c r="VMA116" s="0"/>
      <c r="VMB116" s="0"/>
      <c r="VMC116" s="0"/>
      <c r="VMD116" s="0"/>
      <c r="VME116" s="0"/>
      <c r="VMF116" s="0"/>
      <c r="VMG116" s="0"/>
      <c r="VMH116" s="0"/>
      <c r="VMI116" s="0"/>
      <c r="VMJ116" s="0"/>
      <c r="VMK116" s="0"/>
      <c r="VML116" s="0"/>
      <c r="VMM116" s="0"/>
      <c r="VMN116" s="0"/>
      <c r="VMO116" s="0"/>
      <c r="VMP116" s="0"/>
      <c r="VMQ116" s="0"/>
      <c r="VMR116" s="0"/>
      <c r="VMS116" s="0"/>
      <c r="VMT116" s="0"/>
      <c r="VMU116" s="0"/>
      <c r="VMV116" s="0"/>
      <c r="VMW116" s="0"/>
      <c r="VMX116" s="0"/>
      <c r="VMY116" s="0"/>
      <c r="VMZ116" s="0"/>
      <c r="VNA116" s="0"/>
      <c r="VNB116" s="0"/>
      <c r="VNC116" s="0"/>
      <c r="VND116" s="0"/>
      <c r="VNE116" s="0"/>
      <c r="VNF116" s="0"/>
      <c r="VNG116" s="0"/>
      <c r="VNH116" s="0"/>
      <c r="VNI116" s="0"/>
      <c r="VNJ116" s="0"/>
      <c r="VNK116" s="0"/>
      <c r="VNL116" s="0"/>
      <c r="VNM116" s="0"/>
      <c r="VNN116" s="0"/>
      <c r="VNO116" s="0"/>
      <c r="VNP116" s="0"/>
      <c r="VNQ116" s="0"/>
      <c r="VNR116" s="0"/>
      <c r="VNS116" s="0"/>
      <c r="VNT116" s="0"/>
      <c r="VNU116" s="0"/>
      <c r="VNV116" s="0"/>
      <c r="VNW116" s="0"/>
      <c r="VNX116" s="0"/>
      <c r="VNY116" s="0"/>
      <c r="VNZ116" s="0"/>
      <c r="VOA116" s="0"/>
      <c r="VOB116" s="0"/>
      <c r="VOC116" s="0"/>
      <c r="VOD116" s="0"/>
      <c r="VOE116" s="0"/>
      <c r="VOF116" s="0"/>
      <c r="VOG116" s="0"/>
      <c r="VOH116" s="0"/>
      <c r="VOI116" s="0"/>
      <c r="VOJ116" s="0"/>
      <c r="VOK116" s="0"/>
      <c r="VOL116" s="0"/>
      <c r="VOM116" s="0"/>
      <c r="VON116" s="0"/>
      <c r="VOO116" s="0"/>
      <c r="VOP116" s="0"/>
      <c r="VOQ116" s="0"/>
      <c r="VOR116" s="0"/>
      <c r="VOS116" s="0"/>
      <c r="VOT116" s="0"/>
      <c r="VOU116" s="0"/>
      <c r="VOV116" s="0"/>
      <c r="VOW116" s="0"/>
      <c r="VOX116" s="0"/>
      <c r="VOY116" s="0"/>
      <c r="VOZ116" s="0"/>
      <c r="VPA116" s="0"/>
      <c r="VPB116" s="0"/>
      <c r="VPC116" s="0"/>
      <c r="VPD116" s="0"/>
      <c r="VPE116" s="0"/>
      <c r="VPF116" s="0"/>
      <c r="VPG116" s="0"/>
      <c r="VPH116" s="0"/>
      <c r="VPI116" s="0"/>
      <c r="VPJ116" s="0"/>
      <c r="VPK116" s="0"/>
      <c r="VPL116" s="0"/>
      <c r="VPM116" s="0"/>
      <c r="VPN116" s="0"/>
      <c r="VPO116" s="0"/>
      <c r="VPP116" s="0"/>
      <c r="VPQ116" s="0"/>
      <c r="VPR116" s="0"/>
      <c r="VPS116" s="0"/>
      <c r="VPT116" s="0"/>
      <c r="VPU116" s="0"/>
      <c r="VPV116" s="0"/>
      <c r="VPW116" s="0"/>
      <c r="VPX116" s="0"/>
      <c r="VPY116" s="0"/>
      <c r="VPZ116" s="0"/>
      <c r="VQA116" s="0"/>
      <c r="VQB116" s="0"/>
      <c r="VQC116" s="0"/>
      <c r="VQD116" s="0"/>
      <c r="VQE116" s="0"/>
      <c r="VQF116" s="0"/>
      <c r="VQG116" s="0"/>
      <c r="VQH116" s="0"/>
      <c r="VQI116" s="0"/>
      <c r="VQJ116" s="0"/>
      <c r="VQK116" s="0"/>
      <c r="VQL116" s="0"/>
      <c r="VQM116" s="0"/>
      <c r="VQN116" s="0"/>
      <c r="VQO116" s="0"/>
      <c r="VQP116" s="0"/>
      <c r="VQQ116" s="0"/>
      <c r="VQR116" s="0"/>
      <c r="VQS116" s="0"/>
      <c r="VQT116" s="0"/>
      <c r="VQU116" s="0"/>
      <c r="VQV116" s="0"/>
      <c r="VQW116" s="0"/>
      <c r="VQX116" s="0"/>
      <c r="VQY116" s="0"/>
      <c r="VQZ116" s="0"/>
      <c r="VRA116" s="0"/>
      <c r="VRB116" s="0"/>
      <c r="VRC116" s="0"/>
      <c r="VRD116" s="0"/>
      <c r="VRE116" s="0"/>
      <c r="VRF116" s="0"/>
      <c r="VRG116" s="0"/>
      <c r="VRH116" s="0"/>
      <c r="VRI116" s="0"/>
      <c r="VRJ116" s="0"/>
      <c r="VRK116" s="0"/>
      <c r="VRL116" s="0"/>
      <c r="VRM116" s="0"/>
      <c r="VRN116" s="0"/>
      <c r="VRO116" s="0"/>
      <c r="VRP116" s="0"/>
      <c r="VRQ116" s="0"/>
      <c r="VRR116" s="0"/>
      <c r="VRS116" s="0"/>
      <c r="VRT116" s="0"/>
      <c r="VRU116" s="0"/>
      <c r="VRV116" s="0"/>
      <c r="VRW116" s="0"/>
      <c r="VRX116" s="0"/>
      <c r="VRY116" s="0"/>
      <c r="VRZ116" s="0"/>
      <c r="VSA116" s="0"/>
      <c r="VSB116" s="0"/>
      <c r="VSC116" s="0"/>
      <c r="VSD116" s="0"/>
      <c r="VSE116" s="0"/>
      <c r="VSF116" s="0"/>
      <c r="VSG116" s="0"/>
      <c r="VSH116" s="0"/>
      <c r="VSI116" s="0"/>
      <c r="VSJ116" s="0"/>
      <c r="VSK116" s="0"/>
      <c r="VSL116" s="0"/>
      <c r="VSM116" s="0"/>
      <c r="VSN116" s="0"/>
      <c r="VSO116" s="0"/>
      <c r="VSP116" s="0"/>
      <c r="VSQ116" s="0"/>
      <c r="VSR116" s="0"/>
      <c r="VSS116" s="0"/>
      <c r="VST116" s="0"/>
      <c r="VSU116" s="0"/>
      <c r="VSV116" s="0"/>
      <c r="VSW116" s="0"/>
      <c r="VSX116" s="0"/>
      <c r="VSY116" s="0"/>
      <c r="VSZ116" s="0"/>
      <c r="VTA116" s="0"/>
      <c r="VTB116" s="0"/>
      <c r="VTC116" s="0"/>
      <c r="VTD116" s="0"/>
      <c r="VTE116" s="0"/>
      <c r="VTF116" s="0"/>
      <c r="VTG116" s="0"/>
      <c r="VTH116" s="0"/>
      <c r="VTI116" s="0"/>
      <c r="VTJ116" s="0"/>
      <c r="VTK116" s="0"/>
      <c r="VTL116" s="0"/>
      <c r="VTM116" s="0"/>
      <c r="VTN116" s="0"/>
      <c r="VTO116" s="0"/>
      <c r="VTP116" s="0"/>
      <c r="VTQ116" s="0"/>
      <c r="VTR116" s="0"/>
      <c r="VTS116" s="0"/>
      <c r="VTT116" s="0"/>
      <c r="VTU116" s="0"/>
      <c r="VTV116" s="0"/>
      <c r="VTW116" s="0"/>
      <c r="VTX116" s="0"/>
      <c r="VTY116" s="0"/>
      <c r="VTZ116" s="0"/>
      <c r="VUA116" s="0"/>
      <c r="VUB116" s="0"/>
      <c r="VUC116" s="0"/>
      <c r="VUD116" s="0"/>
      <c r="VUE116" s="0"/>
      <c r="VUF116" s="0"/>
      <c r="VUG116" s="0"/>
      <c r="VUH116" s="0"/>
      <c r="VUI116" s="0"/>
      <c r="VUJ116" s="0"/>
      <c r="VUK116" s="0"/>
      <c r="VUL116" s="0"/>
      <c r="VUM116" s="0"/>
      <c r="VUN116" s="0"/>
      <c r="VUO116" s="0"/>
      <c r="VUP116" s="0"/>
      <c r="VUQ116" s="0"/>
      <c r="VUR116" s="0"/>
      <c r="VUS116" s="0"/>
      <c r="VUT116" s="0"/>
      <c r="VUU116" s="0"/>
      <c r="VUV116" s="0"/>
      <c r="VUW116" s="0"/>
      <c r="VUX116" s="0"/>
      <c r="VUY116" s="0"/>
      <c r="VUZ116" s="0"/>
      <c r="VVA116" s="0"/>
      <c r="VVB116" s="0"/>
      <c r="VVC116" s="0"/>
      <c r="VVD116" s="0"/>
      <c r="VVE116" s="0"/>
      <c r="VVF116" s="0"/>
      <c r="VVG116" s="0"/>
      <c r="VVH116" s="0"/>
      <c r="VVI116" s="0"/>
      <c r="VVJ116" s="0"/>
      <c r="VVK116" s="0"/>
      <c r="VVL116" s="0"/>
      <c r="VVM116" s="0"/>
      <c r="VVN116" s="0"/>
      <c r="VVO116" s="0"/>
      <c r="VVP116" s="0"/>
      <c r="VVQ116" s="0"/>
      <c r="VVR116" s="0"/>
      <c r="VVS116" s="0"/>
      <c r="VVT116" s="0"/>
      <c r="VVU116" s="0"/>
      <c r="VVV116" s="0"/>
      <c r="VVW116" s="0"/>
      <c r="VVX116" s="0"/>
      <c r="VVY116" s="0"/>
      <c r="VVZ116" s="0"/>
      <c r="VWA116" s="0"/>
      <c r="VWB116" s="0"/>
      <c r="VWC116" s="0"/>
      <c r="VWD116" s="0"/>
      <c r="VWE116" s="0"/>
      <c r="VWF116" s="0"/>
      <c r="VWG116" s="0"/>
      <c r="VWH116" s="0"/>
      <c r="VWI116" s="0"/>
      <c r="VWJ116" s="0"/>
      <c r="VWK116" s="0"/>
      <c r="VWL116" s="0"/>
      <c r="VWM116" s="0"/>
      <c r="VWN116" s="0"/>
      <c r="VWO116" s="0"/>
      <c r="VWP116" s="0"/>
      <c r="VWQ116" s="0"/>
      <c r="VWR116" s="0"/>
      <c r="VWS116" s="0"/>
      <c r="VWT116" s="0"/>
      <c r="VWU116" s="0"/>
      <c r="VWV116" s="0"/>
      <c r="VWW116" s="0"/>
      <c r="VWX116" s="0"/>
      <c r="VWY116" s="0"/>
      <c r="VWZ116" s="0"/>
      <c r="VXA116" s="0"/>
      <c r="VXB116" s="0"/>
      <c r="VXC116" s="0"/>
      <c r="VXD116" s="0"/>
      <c r="VXE116" s="0"/>
      <c r="VXF116" s="0"/>
      <c r="VXG116" s="0"/>
      <c r="VXH116" s="0"/>
      <c r="VXI116" s="0"/>
      <c r="VXJ116" s="0"/>
      <c r="VXK116" s="0"/>
      <c r="VXL116" s="0"/>
      <c r="VXM116" s="0"/>
      <c r="VXN116" s="0"/>
      <c r="VXO116" s="0"/>
      <c r="VXP116" s="0"/>
      <c r="VXQ116" s="0"/>
      <c r="VXR116" s="0"/>
      <c r="VXS116" s="0"/>
      <c r="VXT116" s="0"/>
      <c r="VXU116" s="0"/>
      <c r="VXV116" s="0"/>
      <c r="VXW116" s="0"/>
      <c r="VXX116" s="0"/>
      <c r="VXY116" s="0"/>
      <c r="VXZ116" s="0"/>
      <c r="VYA116" s="0"/>
      <c r="VYB116" s="0"/>
      <c r="VYC116" s="0"/>
      <c r="VYD116" s="0"/>
      <c r="VYE116" s="0"/>
      <c r="VYF116" s="0"/>
      <c r="VYG116" s="0"/>
      <c r="VYH116" s="0"/>
      <c r="VYI116" s="0"/>
      <c r="VYJ116" s="0"/>
      <c r="VYK116" s="0"/>
      <c r="VYL116" s="0"/>
      <c r="VYM116" s="0"/>
      <c r="VYN116" s="0"/>
      <c r="VYO116" s="0"/>
      <c r="VYP116" s="0"/>
      <c r="VYQ116" s="0"/>
      <c r="VYR116" s="0"/>
      <c r="VYS116" s="0"/>
      <c r="VYT116" s="0"/>
      <c r="VYU116" s="0"/>
      <c r="VYV116" s="0"/>
      <c r="VYW116" s="0"/>
      <c r="VYX116" s="0"/>
      <c r="VYY116" s="0"/>
      <c r="VYZ116" s="0"/>
      <c r="VZA116" s="0"/>
      <c r="VZB116" s="0"/>
      <c r="VZC116" s="0"/>
      <c r="VZD116" s="0"/>
      <c r="VZE116" s="0"/>
      <c r="VZF116" s="0"/>
      <c r="VZG116" s="0"/>
      <c r="VZH116" s="0"/>
      <c r="VZI116" s="0"/>
      <c r="VZJ116" s="0"/>
      <c r="VZK116" s="0"/>
      <c r="VZL116" s="0"/>
      <c r="VZM116" s="0"/>
      <c r="VZN116" s="0"/>
      <c r="VZO116" s="0"/>
      <c r="VZP116" s="0"/>
      <c r="VZQ116" s="0"/>
      <c r="VZR116" s="0"/>
      <c r="VZS116" s="0"/>
      <c r="VZT116" s="0"/>
      <c r="VZU116" s="0"/>
      <c r="VZV116" s="0"/>
      <c r="VZW116" s="0"/>
      <c r="VZX116" s="0"/>
      <c r="VZY116" s="0"/>
      <c r="VZZ116" s="0"/>
      <c r="WAA116" s="0"/>
      <c r="WAB116" s="0"/>
      <c r="WAC116" s="0"/>
      <c r="WAD116" s="0"/>
      <c r="WAE116" s="0"/>
      <c r="WAF116" s="0"/>
      <c r="WAG116" s="0"/>
      <c r="WAH116" s="0"/>
      <c r="WAI116" s="0"/>
      <c r="WAJ116" s="0"/>
      <c r="WAK116" s="0"/>
      <c r="WAL116" s="0"/>
      <c r="WAM116" s="0"/>
      <c r="WAN116" s="0"/>
      <c r="WAO116" s="0"/>
      <c r="WAP116" s="0"/>
      <c r="WAQ116" s="0"/>
      <c r="WAR116" s="0"/>
      <c r="WAS116" s="0"/>
      <c r="WAT116" s="0"/>
      <c r="WAU116" s="0"/>
      <c r="WAV116" s="0"/>
      <c r="WAW116" s="0"/>
      <c r="WAX116" s="0"/>
      <c r="WAY116" s="0"/>
      <c r="WAZ116" s="0"/>
      <c r="WBA116" s="0"/>
      <c r="WBB116" s="0"/>
      <c r="WBC116" s="0"/>
      <c r="WBD116" s="0"/>
      <c r="WBE116" s="0"/>
      <c r="WBF116" s="0"/>
      <c r="WBG116" s="0"/>
      <c r="WBH116" s="0"/>
      <c r="WBI116" s="0"/>
      <c r="WBJ116" s="0"/>
      <c r="WBK116" s="0"/>
      <c r="WBL116" s="0"/>
      <c r="WBM116" s="0"/>
      <c r="WBN116" s="0"/>
      <c r="WBO116" s="0"/>
      <c r="WBP116" s="0"/>
      <c r="WBQ116" s="0"/>
      <c r="WBR116" s="0"/>
      <c r="WBS116" s="0"/>
      <c r="WBT116" s="0"/>
      <c r="WBU116" s="0"/>
      <c r="WBV116" s="0"/>
      <c r="WBW116" s="0"/>
      <c r="WBX116" s="0"/>
      <c r="WBY116" s="0"/>
      <c r="WBZ116" s="0"/>
      <c r="WCA116" s="0"/>
      <c r="WCB116" s="0"/>
      <c r="WCC116" s="0"/>
      <c r="WCD116" s="0"/>
      <c r="WCE116" s="0"/>
      <c r="WCF116" s="0"/>
      <c r="WCG116" s="0"/>
      <c r="WCH116" s="0"/>
      <c r="WCI116" s="0"/>
      <c r="WCJ116" s="0"/>
      <c r="WCK116" s="0"/>
      <c r="WCL116" s="0"/>
      <c r="WCM116" s="0"/>
      <c r="WCN116" s="0"/>
      <c r="WCO116" s="0"/>
      <c r="WCP116" s="0"/>
      <c r="WCQ116" s="0"/>
      <c r="WCR116" s="0"/>
      <c r="WCS116" s="0"/>
      <c r="WCT116" s="0"/>
      <c r="WCU116" s="0"/>
      <c r="WCV116" s="0"/>
      <c r="WCW116" s="0"/>
      <c r="WCX116" s="0"/>
      <c r="WCY116" s="0"/>
      <c r="WCZ116" s="0"/>
      <c r="WDA116" s="0"/>
      <c r="WDB116" s="0"/>
      <c r="WDC116" s="0"/>
      <c r="WDD116" s="0"/>
      <c r="WDE116" s="0"/>
      <c r="WDF116" s="0"/>
      <c r="WDG116" s="0"/>
      <c r="WDH116" s="0"/>
      <c r="WDI116" s="0"/>
      <c r="WDJ116" s="0"/>
      <c r="WDK116" s="0"/>
      <c r="WDL116" s="0"/>
      <c r="WDM116" s="0"/>
      <c r="WDN116" s="0"/>
      <c r="WDO116" s="0"/>
      <c r="WDP116" s="0"/>
      <c r="WDQ116" s="0"/>
      <c r="WDR116" s="0"/>
      <c r="WDS116" s="0"/>
      <c r="WDT116" s="0"/>
      <c r="WDU116" s="0"/>
      <c r="WDV116" s="0"/>
      <c r="WDW116" s="0"/>
      <c r="WDX116" s="0"/>
      <c r="WDY116" s="0"/>
      <c r="WDZ116" s="0"/>
      <c r="WEA116" s="0"/>
      <c r="WEB116" s="0"/>
      <c r="WEC116" s="0"/>
      <c r="WED116" s="0"/>
      <c r="WEE116" s="0"/>
      <c r="WEF116" s="0"/>
      <c r="WEG116" s="0"/>
      <c r="WEH116" s="0"/>
      <c r="WEI116" s="0"/>
      <c r="WEJ116" s="0"/>
      <c r="WEK116" s="0"/>
      <c r="WEL116" s="0"/>
      <c r="WEM116" s="0"/>
      <c r="WEN116" s="0"/>
      <c r="WEO116" s="0"/>
      <c r="WEP116" s="0"/>
      <c r="WEQ116" s="0"/>
      <c r="WER116" s="0"/>
      <c r="WES116" s="0"/>
      <c r="WET116" s="0"/>
      <c r="WEU116" s="0"/>
      <c r="WEV116" s="0"/>
      <c r="WEW116" s="0"/>
      <c r="WEX116" s="0"/>
      <c r="WEY116" s="0"/>
      <c r="WEZ116" s="0"/>
      <c r="WFA116" s="0"/>
      <c r="WFB116" s="0"/>
      <c r="WFC116" s="0"/>
      <c r="WFD116" s="0"/>
      <c r="WFE116" s="0"/>
      <c r="WFF116" s="0"/>
      <c r="WFG116" s="0"/>
      <c r="WFH116" s="0"/>
      <c r="WFI116" s="0"/>
      <c r="WFJ116" s="0"/>
      <c r="WFK116" s="0"/>
      <c r="WFL116" s="0"/>
      <c r="WFM116" s="0"/>
      <c r="WFN116" s="0"/>
      <c r="WFO116" s="0"/>
      <c r="WFP116" s="0"/>
      <c r="WFQ116" s="0"/>
      <c r="WFR116" s="0"/>
      <c r="WFS116" s="0"/>
      <c r="WFT116" s="0"/>
      <c r="WFU116" s="0"/>
      <c r="WFV116" s="0"/>
      <c r="WFW116" s="0"/>
      <c r="WFX116" s="0"/>
      <c r="WFY116" s="0"/>
      <c r="WFZ116" s="0"/>
      <c r="WGA116" s="0"/>
      <c r="WGB116" s="0"/>
      <c r="WGC116" s="0"/>
      <c r="WGD116" s="0"/>
      <c r="WGE116" s="0"/>
      <c r="WGF116" s="0"/>
      <c r="WGG116" s="0"/>
      <c r="WGH116" s="0"/>
      <c r="WGI116" s="0"/>
      <c r="WGJ116" s="0"/>
      <c r="WGK116" s="0"/>
      <c r="WGL116" s="0"/>
      <c r="WGM116" s="0"/>
      <c r="WGN116" s="0"/>
      <c r="WGO116" s="0"/>
      <c r="WGP116" s="0"/>
      <c r="WGQ116" s="0"/>
      <c r="WGR116" s="0"/>
      <c r="WGS116" s="0"/>
      <c r="WGT116" s="0"/>
      <c r="WGU116" s="0"/>
      <c r="WGV116" s="0"/>
      <c r="WGW116" s="0"/>
      <c r="WGX116" s="0"/>
      <c r="WGY116" s="0"/>
      <c r="WGZ116" s="0"/>
      <c r="WHA116" s="0"/>
      <c r="WHB116" s="0"/>
      <c r="WHC116" s="0"/>
      <c r="WHD116" s="0"/>
      <c r="WHE116" s="0"/>
      <c r="WHF116" s="0"/>
      <c r="WHG116" s="0"/>
      <c r="WHH116" s="0"/>
      <c r="WHI116" s="0"/>
      <c r="WHJ116" s="0"/>
      <c r="WHK116" s="0"/>
      <c r="WHL116" s="0"/>
      <c r="WHM116" s="0"/>
      <c r="WHN116" s="0"/>
      <c r="WHO116" s="0"/>
      <c r="WHP116" s="0"/>
      <c r="WHQ116" s="0"/>
      <c r="WHR116" s="0"/>
      <c r="WHS116" s="0"/>
      <c r="WHT116" s="0"/>
      <c r="WHU116" s="0"/>
      <c r="WHV116" s="0"/>
      <c r="WHW116" s="0"/>
      <c r="WHX116" s="0"/>
      <c r="WHY116" s="0"/>
      <c r="WHZ116" s="0"/>
      <c r="WIA116" s="0"/>
      <c r="WIB116" s="0"/>
      <c r="WIC116" s="0"/>
      <c r="WID116" s="0"/>
      <c r="WIE116" s="0"/>
      <c r="WIF116" s="0"/>
      <c r="WIG116" s="0"/>
      <c r="WIH116" s="0"/>
      <c r="WII116" s="0"/>
      <c r="WIJ116" s="0"/>
      <c r="WIK116" s="0"/>
      <c r="WIL116" s="0"/>
      <c r="WIM116" s="0"/>
      <c r="WIN116" s="0"/>
      <c r="WIO116" s="0"/>
      <c r="WIP116" s="0"/>
      <c r="WIQ116" s="0"/>
      <c r="WIR116" s="0"/>
      <c r="WIS116" s="0"/>
      <c r="WIT116" s="0"/>
      <c r="WIU116" s="0"/>
      <c r="WIV116" s="0"/>
      <c r="WIW116" s="0"/>
      <c r="WIX116" s="0"/>
      <c r="WIY116" s="0"/>
      <c r="WIZ116" s="0"/>
      <c r="WJA116" s="0"/>
      <c r="WJB116" s="0"/>
      <c r="WJC116" s="0"/>
      <c r="WJD116" s="0"/>
      <c r="WJE116" s="0"/>
      <c r="WJF116" s="0"/>
      <c r="WJG116" s="0"/>
      <c r="WJH116" s="0"/>
      <c r="WJI116" s="0"/>
      <c r="WJJ116" s="0"/>
      <c r="WJK116" s="0"/>
      <c r="WJL116" s="0"/>
      <c r="WJM116" s="0"/>
      <c r="WJN116" s="0"/>
      <c r="WJO116" s="0"/>
      <c r="WJP116" s="0"/>
      <c r="WJQ116" s="0"/>
      <c r="WJR116" s="0"/>
      <c r="WJS116" s="0"/>
      <c r="WJT116" s="0"/>
      <c r="WJU116" s="0"/>
      <c r="WJV116" s="0"/>
      <c r="WJW116" s="0"/>
      <c r="WJX116" s="0"/>
      <c r="WJY116" s="0"/>
      <c r="WJZ116" s="0"/>
      <c r="WKA116" s="0"/>
      <c r="WKB116" s="0"/>
      <c r="WKC116" s="0"/>
      <c r="WKD116" s="0"/>
      <c r="WKE116" s="0"/>
      <c r="WKF116" s="0"/>
      <c r="WKG116" s="0"/>
      <c r="WKH116" s="0"/>
      <c r="WKI116" s="0"/>
      <c r="WKJ116" s="0"/>
      <c r="WKK116" s="0"/>
      <c r="WKL116" s="0"/>
      <c r="WKM116" s="0"/>
      <c r="WKN116" s="0"/>
      <c r="WKO116" s="0"/>
      <c r="WKP116" s="0"/>
      <c r="WKQ116" s="0"/>
      <c r="WKR116" s="0"/>
      <c r="WKS116" s="0"/>
      <c r="WKT116" s="0"/>
      <c r="WKU116" s="0"/>
      <c r="WKV116" s="0"/>
      <c r="WKW116" s="0"/>
      <c r="WKX116" s="0"/>
      <c r="WKY116" s="0"/>
      <c r="WKZ116" s="0"/>
      <c r="WLA116" s="0"/>
      <c r="WLB116" s="0"/>
      <c r="WLC116" s="0"/>
      <c r="WLD116" s="0"/>
      <c r="WLE116" s="0"/>
      <c r="WLF116" s="0"/>
      <c r="WLG116" s="0"/>
      <c r="WLH116" s="0"/>
      <c r="WLI116" s="0"/>
      <c r="WLJ116" s="0"/>
      <c r="WLK116" s="0"/>
      <c r="WLL116" s="0"/>
      <c r="WLM116" s="0"/>
      <c r="WLN116" s="0"/>
      <c r="WLO116" s="0"/>
      <c r="WLP116" s="0"/>
      <c r="WLQ116" s="0"/>
      <c r="WLR116" s="0"/>
      <c r="WLS116" s="0"/>
      <c r="WLT116" s="0"/>
      <c r="WLU116" s="0"/>
      <c r="WLV116" s="0"/>
      <c r="WLW116" s="0"/>
      <c r="WLX116" s="0"/>
      <c r="WLY116" s="0"/>
      <c r="WLZ116" s="0"/>
      <c r="WMA116" s="0"/>
      <c r="WMB116" s="0"/>
      <c r="WMC116" s="0"/>
      <c r="WMD116" s="0"/>
      <c r="WME116" s="0"/>
      <c r="WMF116" s="0"/>
      <c r="WMG116" s="0"/>
      <c r="WMH116" s="0"/>
      <c r="WMI116" s="0"/>
      <c r="WMJ116" s="0"/>
      <c r="WMK116" s="0"/>
      <c r="WML116" s="0"/>
      <c r="WMM116" s="0"/>
      <c r="WMN116" s="0"/>
      <c r="WMO116" s="0"/>
      <c r="WMP116" s="0"/>
      <c r="WMQ116" s="0"/>
      <c r="WMR116" s="0"/>
      <c r="WMS116" s="0"/>
      <c r="WMT116" s="0"/>
      <c r="WMU116" s="0"/>
      <c r="WMV116" s="0"/>
      <c r="WMW116" s="0"/>
      <c r="WMX116" s="0"/>
      <c r="WMY116" s="0"/>
      <c r="WMZ116" s="0"/>
      <c r="WNA116" s="0"/>
      <c r="WNB116" s="0"/>
      <c r="WNC116" s="0"/>
      <c r="WND116" s="0"/>
      <c r="WNE116" s="0"/>
      <c r="WNF116" s="0"/>
      <c r="WNG116" s="0"/>
      <c r="WNH116" s="0"/>
      <c r="WNI116" s="0"/>
      <c r="WNJ116" s="0"/>
      <c r="WNK116" s="0"/>
      <c r="WNL116" s="0"/>
      <c r="WNM116" s="0"/>
      <c r="WNN116" s="0"/>
      <c r="WNO116" s="0"/>
      <c r="WNP116" s="0"/>
      <c r="WNQ116" s="0"/>
      <c r="WNR116" s="0"/>
      <c r="WNS116" s="0"/>
      <c r="WNT116" s="0"/>
      <c r="WNU116" s="0"/>
      <c r="WNV116" s="0"/>
      <c r="WNW116" s="0"/>
      <c r="WNX116" s="0"/>
      <c r="WNY116" s="0"/>
      <c r="WNZ116" s="0"/>
      <c r="WOA116" s="0"/>
      <c r="WOB116" s="0"/>
      <c r="WOC116" s="0"/>
      <c r="WOD116" s="0"/>
      <c r="WOE116" s="0"/>
      <c r="WOF116" s="0"/>
      <c r="WOG116" s="0"/>
      <c r="WOH116" s="0"/>
      <c r="WOI116" s="0"/>
      <c r="WOJ116" s="0"/>
      <c r="WOK116" s="0"/>
      <c r="WOL116" s="0"/>
      <c r="WOM116" s="0"/>
      <c r="WON116" s="0"/>
      <c r="WOO116" s="0"/>
      <c r="WOP116" s="0"/>
      <c r="WOQ116" s="0"/>
      <c r="WOR116" s="0"/>
      <c r="WOS116" s="0"/>
      <c r="WOT116" s="0"/>
      <c r="WOU116" s="0"/>
      <c r="WOV116" s="0"/>
      <c r="WOW116" s="0"/>
      <c r="WOX116" s="0"/>
      <c r="WOY116" s="0"/>
      <c r="WOZ116" s="0"/>
      <c r="WPA116" s="0"/>
      <c r="WPB116" s="0"/>
      <c r="WPC116" s="0"/>
      <c r="WPD116" s="0"/>
      <c r="WPE116" s="0"/>
      <c r="WPF116" s="0"/>
      <c r="WPG116" s="0"/>
      <c r="WPH116" s="0"/>
      <c r="WPI116" s="0"/>
      <c r="WPJ116" s="0"/>
      <c r="WPK116" s="0"/>
      <c r="WPL116" s="0"/>
      <c r="WPM116" s="0"/>
      <c r="WPN116" s="0"/>
      <c r="WPO116" s="0"/>
      <c r="WPP116" s="0"/>
      <c r="WPQ116" s="0"/>
      <c r="WPR116" s="0"/>
      <c r="WPS116" s="0"/>
      <c r="WPT116" s="0"/>
      <c r="WPU116" s="0"/>
      <c r="WPV116" s="0"/>
      <c r="WPW116" s="0"/>
      <c r="WPX116" s="0"/>
      <c r="WPY116" s="0"/>
      <c r="WPZ116" s="0"/>
      <c r="WQA116" s="0"/>
      <c r="WQB116" s="0"/>
      <c r="WQC116" s="0"/>
      <c r="WQD116" s="0"/>
      <c r="WQE116" s="0"/>
      <c r="WQF116" s="0"/>
      <c r="WQG116" s="0"/>
      <c r="WQH116" s="0"/>
      <c r="WQI116" s="0"/>
      <c r="WQJ116" s="0"/>
      <c r="WQK116" s="0"/>
      <c r="WQL116" s="0"/>
      <c r="WQM116" s="0"/>
      <c r="WQN116" s="0"/>
      <c r="WQO116" s="0"/>
      <c r="WQP116" s="0"/>
      <c r="WQQ116" s="0"/>
      <c r="WQR116" s="0"/>
      <c r="WQS116" s="0"/>
      <c r="WQT116" s="0"/>
      <c r="WQU116" s="0"/>
      <c r="WQV116" s="0"/>
      <c r="WQW116" s="0"/>
      <c r="WQX116" s="0"/>
      <c r="WQY116" s="0"/>
      <c r="WQZ116" s="0"/>
      <c r="WRA116" s="0"/>
      <c r="WRB116" s="0"/>
      <c r="WRC116" s="0"/>
      <c r="WRD116" s="0"/>
      <c r="WRE116" s="0"/>
      <c r="WRF116" s="0"/>
      <c r="WRG116" s="0"/>
      <c r="WRH116" s="0"/>
      <c r="WRI116" s="0"/>
      <c r="WRJ116" s="0"/>
      <c r="WRK116" s="0"/>
      <c r="WRL116" s="0"/>
      <c r="WRM116" s="0"/>
      <c r="WRN116" s="0"/>
      <c r="WRO116" s="0"/>
      <c r="WRP116" s="0"/>
      <c r="WRQ116" s="0"/>
      <c r="WRR116" s="0"/>
      <c r="WRS116" s="0"/>
      <c r="WRT116" s="0"/>
      <c r="WRU116" s="0"/>
      <c r="WRV116" s="0"/>
      <c r="WRW116" s="0"/>
      <c r="WRX116" s="0"/>
      <c r="WRY116" s="0"/>
      <c r="WRZ116" s="0"/>
      <c r="WSA116" s="0"/>
      <c r="WSB116" s="0"/>
      <c r="WSC116" s="0"/>
      <c r="WSD116" s="0"/>
      <c r="WSE116" s="0"/>
      <c r="WSF116" s="0"/>
      <c r="WSG116" s="0"/>
      <c r="WSH116" s="0"/>
      <c r="WSI116" s="0"/>
      <c r="WSJ116" s="0"/>
      <c r="WSK116" s="0"/>
      <c r="WSL116" s="0"/>
      <c r="WSM116" s="0"/>
      <c r="WSN116" s="0"/>
      <c r="WSO116" s="0"/>
      <c r="WSP116" s="0"/>
      <c r="WSQ116" s="0"/>
      <c r="WSR116" s="0"/>
      <c r="WSS116" s="0"/>
      <c r="WST116" s="0"/>
      <c r="WSU116" s="0"/>
      <c r="WSV116" s="0"/>
      <c r="WSW116" s="0"/>
      <c r="WSX116" s="0"/>
      <c r="WSY116" s="0"/>
      <c r="WSZ116" s="0"/>
      <c r="WTA116" s="0"/>
      <c r="WTB116" s="0"/>
      <c r="WTC116" s="0"/>
      <c r="WTD116" s="0"/>
      <c r="WTE116" s="0"/>
      <c r="WTF116" s="0"/>
      <c r="WTG116" s="0"/>
      <c r="WTH116" s="0"/>
      <c r="WTI116" s="0"/>
      <c r="WTJ116" s="0"/>
      <c r="WTK116" s="0"/>
      <c r="WTL116" s="0"/>
      <c r="WTM116" s="0"/>
      <c r="WTN116" s="0"/>
      <c r="WTO116" s="0"/>
      <c r="WTP116" s="0"/>
      <c r="WTQ116" s="0"/>
      <c r="WTR116" s="0"/>
      <c r="WTS116" s="0"/>
      <c r="WTT116" s="0"/>
      <c r="WTU116" s="0"/>
      <c r="WTV116" s="0"/>
      <c r="WTW116" s="0"/>
      <c r="WTX116" s="0"/>
      <c r="WTY116" s="0"/>
      <c r="WTZ116" s="0"/>
      <c r="WUA116" s="0"/>
      <c r="WUB116" s="0"/>
      <c r="WUC116" s="0"/>
      <c r="WUD116" s="0"/>
      <c r="WUE116" s="0"/>
      <c r="WUF116" s="0"/>
      <c r="WUG116" s="0"/>
      <c r="WUH116" s="0"/>
      <c r="WUI116" s="0"/>
      <c r="WUJ116" s="0"/>
      <c r="WUK116" s="0"/>
      <c r="WUL116" s="0"/>
      <c r="WUM116" s="0"/>
      <c r="WUN116" s="0"/>
      <c r="WUO116" s="0"/>
      <c r="WUP116" s="0"/>
      <c r="WUQ116" s="0"/>
      <c r="WUR116" s="0"/>
      <c r="WUS116" s="0"/>
      <c r="WUT116" s="0"/>
      <c r="WUU116" s="0"/>
      <c r="WUV116" s="0"/>
      <c r="WUW116" s="0"/>
      <c r="WUX116" s="0"/>
      <c r="WUY116" s="0"/>
      <c r="WUZ116" s="0"/>
      <c r="WVA116" s="0"/>
      <c r="WVB116" s="0"/>
      <c r="WVC116" s="0"/>
      <c r="WVD116" s="0"/>
      <c r="WVE116" s="0"/>
      <c r="WVF116" s="0"/>
      <c r="WVG116" s="0"/>
      <c r="WVH116" s="0"/>
      <c r="WVI116" s="0"/>
      <c r="WVJ116" s="0"/>
      <c r="WVK116" s="0"/>
      <c r="WVL116" s="0"/>
      <c r="WVM116" s="0"/>
      <c r="WVN116" s="0"/>
      <c r="WVO116" s="0"/>
      <c r="WVP116" s="0"/>
      <c r="WVQ116" s="0"/>
      <c r="WVR116" s="0"/>
      <c r="WVS116" s="0"/>
      <c r="WVT116" s="0"/>
      <c r="WVU116" s="0"/>
      <c r="WVV116" s="0"/>
      <c r="WVW116" s="0"/>
      <c r="WVX116" s="0"/>
      <c r="WVY116" s="0"/>
      <c r="WVZ116" s="0"/>
      <c r="WWA116" s="0"/>
      <c r="WWB116" s="0"/>
      <c r="WWC116" s="0"/>
      <c r="WWD116" s="0"/>
      <c r="WWE116" s="0"/>
      <c r="WWF116" s="0"/>
      <c r="WWG116" s="0"/>
      <c r="WWH116" s="0"/>
      <c r="WWI116" s="0"/>
      <c r="WWJ116" s="0"/>
      <c r="WWK116" s="0"/>
      <c r="WWL116" s="0"/>
      <c r="WWM116" s="0"/>
      <c r="WWN116" s="0"/>
      <c r="WWO116" s="0"/>
      <c r="WWP116" s="0"/>
      <c r="WWQ116" s="0"/>
      <c r="WWR116" s="0"/>
      <c r="WWS116" s="0"/>
      <c r="WWT116" s="0"/>
      <c r="WWU116" s="0"/>
      <c r="WWV116" s="0"/>
      <c r="WWW116" s="0"/>
      <c r="WWX116" s="0"/>
      <c r="WWY116" s="0"/>
      <c r="WWZ116" s="0"/>
      <c r="WXA116" s="0"/>
      <c r="WXB116" s="0"/>
      <c r="WXC116" s="0"/>
      <c r="WXD116" s="0"/>
      <c r="WXE116" s="0"/>
      <c r="WXF116" s="0"/>
      <c r="WXG116" s="0"/>
      <c r="WXH116" s="0"/>
      <c r="WXI116" s="0"/>
      <c r="WXJ116" s="0"/>
      <c r="WXK116" s="0"/>
      <c r="WXL116" s="0"/>
      <c r="WXM116" s="0"/>
      <c r="WXN116" s="0"/>
      <c r="WXO116" s="0"/>
      <c r="WXP116" s="0"/>
      <c r="WXQ116" s="0"/>
      <c r="WXR116" s="0"/>
      <c r="WXS116" s="0"/>
      <c r="WXT116" s="0"/>
      <c r="WXU116" s="0"/>
      <c r="WXV116" s="0"/>
      <c r="WXW116" s="0"/>
      <c r="WXX116" s="0"/>
      <c r="WXY116" s="0"/>
      <c r="WXZ116" s="0"/>
      <c r="WYA116" s="0"/>
      <c r="WYB116" s="0"/>
      <c r="WYC116" s="0"/>
      <c r="WYD116" s="0"/>
      <c r="WYE116" s="0"/>
      <c r="WYF116" s="0"/>
      <c r="WYG116" s="0"/>
      <c r="WYH116" s="0"/>
      <c r="WYI116" s="0"/>
      <c r="WYJ116" s="0"/>
      <c r="WYK116" s="0"/>
      <c r="WYL116" s="0"/>
      <c r="WYM116" s="0"/>
      <c r="WYN116" s="0"/>
      <c r="WYO116" s="0"/>
      <c r="WYP116" s="0"/>
      <c r="WYQ116" s="0"/>
      <c r="WYR116" s="0"/>
      <c r="WYS116" s="0"/>
      <c r="WYT116" s="0"/>
      <c r="WYU116" s="0"/>
      <c r="WYV116" s="0"/>
      <c r="WYW116" s="0"/>
      <c r="WYX116" s="0"/>
      <c r="WYY116" s="0"/>
      <c r="WYZ116" s="0"/>
      <c r="WZA116" s="0"/>
      <c r="WZB116" s="0"/>
      <c r="WZC116" s="0"/>
      <c r="WZD116" s="0"/>
      <c r="WZE116" s="0"/>
      <c r="WZF116" s="0"/>
      <c r="WZG116" s="0"/>
      <c r="WZH116" s="0"/>
      <c r="WZI116" s="0"/>
      <c r="WZJ116" s="0"/>
      <c r="WZK116" s="0"/>
      <c r="WZL116" s="0"/>
      <c r="WZM116" s="0"/>
      <c r="WZN116" s="0"/>
      <c r="WZO116" s="0"/>
      <c r="WZP116" s="0"/>
      <c r="WZQ116" s="0"/>
      <c r="WZR116" s="0"/>
      <c r="WZS116" s="0"/>
      <c r="WZT116" s="0"/>
      <c r="WZU116" s="0"/>
      <c r="WZV116" s="0"/>
      <c r="WZW116" s="0"/>
      <c r="WZX116" s="0"/>
      <c r="WZY116" s="0"/>
      <c r="WZZ116" s="0"/>
      <c r="XAA116" s="0"/>
      <c r="XAB116" s="0"/>
      <c r="XAC116" s="0"/>
      <c r="XAD116" s="0"/>
      <c r="XAE116" s="0"/>
      <c r="XAF116" s="0"/>
      <c r="XAG116" s="0"/>
      <c r="XAH116" s="0"/>
      <c r="XAI116" s="0"/>
      <c r="XAJ116" s="0"/>
      <c r="XAK116" s="0"/>
      <c r="XAL116" s="0"/>
      <c r="XAM116" s="0"/>
      <c r="XAN116" s="0"/>
      <c r="XAO116" s="0"/>
      <c r="XAP116" s="0"/>
      <c r="XAQ116" s="0"/>
      <c r="XAR116" s="0"/>
      <c r="XAS116" s="0"/>
      <c r="XAT116" s="0"/>
      <c r="XAU116" s="0"/>
      <c r="XAV116" s="0"/>
      <c r="XAW116" s="0"/>
      <c r="XAX116" s="0"/>
      <c r="XAY116" s="0"/>
      <c r="XAZ116" s="0"/>
      <c r="XBA116" s="0"/>
      <c r="XBB116" s="0"/>
      <c r="XBC116" s="0"/>
      <c r="XBD116" s="0"/>
      <c r="XBE116" s="0"/>
      <c r="XBF116" s="0"/>
      <c r="XBG116" s="0"/>
      <c r="XBH116" s="0"/>
      <c r="XBI116" s="0"/>
      <c r="XBJ116" s="0"/>
      <c r="XBK116" s="0"/>
      <c r="XBL116" s="0"/>
      <c r="XBM116" s="0"/>
      <c r="XBN116" s="0"/>
      <c r="XBO116" s="0"/>
      <c r="XBP116" s="0"/>
      <c r="XBQ116" s="0"/>
      <c r="XBR116" s="0"/>
      <c r="XBS116" s="0"/>
      <c r="XBT116" s="0"/>
      <c r="XBU116" s="0"/>
      <c r="XBV116" s="0"/>
      <c r="XBW116" s="0"/>
      <c r="XBX116" s="0"/>
      <c r="XBY116" s="0"/>
      <c r="XBZ116" s="0"/>
      <c r="XCA116" s="0"/>
      <c r="XCB116" s="0"/>
      <c r="XCC116" s="0"/>
      <c r="XCD116" s="0"/>
      <c r="XCE116" s="0"/>
      <c r="XCF116" s="0"/>
      <c r="XCG116" s="0"/>
      <c r="XCH116" s="0"/>
      <c r="XCI116" s="0"/>
      <c r="XCJ116" s="0"/>
      <c r="XCK116" s="0"/>
      <c r="XCL116" s="0"/>
      <c r="XCM116" s="0"/>
      <c r="XCN116" s="0"/>
      <c r="XCO116" s="0"/>
      <c r="XCP116" s="0"/>
      <c r="XCQ116" s="0"/>
      <c r="XCR116" s="0"/>
      <c r="XCS116" s="0"/>
      <c r="XCT116" s="0"/>
      <c r="XCU116" s="0"/>
      <c r="XCV116" s="0"/>
      <c r="XCW116" s="0"/>
      <c r="XCX116" s="0"/>
      <c r="XCY116" s="0"/>
      <c r="XCZ116" s="0"/>
      <c r="XDA116" s="0"/>
      <c r="XDB116" s="0"/>
      <c r="XDC116" s="0"/>
      <c r="XDD116" s="0"/>
      <c r="XDE116" s="0"/>
      <c r="XDF116" s="0"/>
      <c r="XDG116" s="0"/>
      <c r="XDH116" s="0"/>
      <c r="XDI116" s="0"/>
      <c r="XDJ116" s="0"/>
      <c r="XDK116" s="0"/>
      <c r="XDL116" s="0"/>
      <c r="XDM116" s="0"/>
      <c r="XDN116" s="0"/>
      <c r="XDO116" s="0"/>
      <c r="XDP116" s="0"/>
      <c r="XDQ116" s="0"/>
      <c r="XDR116" s="0"/>
      <c r="XDS116" s="0"/>
      <c r="XDT116" s="0"/>
      <c r="XDU116" s="0"/>
      <c r="XDV116" s="0"/>
      <c r="XDW116" s="0"/>
      <c r="XDX116" s="0"/>
      <c r="XDY116" s="0"/>
      <c r="XDZ116" s="0"/>
      <c r="XEA116" s="0"/>
      <c r="XEB116" s="0"/>
      <c r="XEC116" s="0"/>
      <c r="XED116" s="0"/>
      <c r="XEE116" s="0"/>
      <c r="XEF116" s="0"/>
      <c r="XEG116" s="0"/>
      <c r="XEH116" s="0"/>
      <c r="XEI116" s="0"/>
      <c r="XEJ116" s="0"/>
      <c r="XEK116" s="0"/>
      <c r="XEL116" s="0"/>
      <c r="XEM116" s="0"/>
      <c r="XEN116" s="0"/>
      <c r="XEO116" s="0"/>
      <c r="XEP116" s="0"/>
      <c r="XEQ116" s="0"/>
      <c r="XER116" s="0"/>
      <c r="XES116" s="0"/>
      <c r="XET116" s="0"/>
      <c r="XEU116" s="0"/>
      <c r="XEV116" s="0"/>
      <c r="XEW116" s="0"/>
      <c r="XEX116" s="0"/>
      <c r="XEY116" s="0"/>
      <c r="XEZ116" s="0"/>
      <c r="XFA116" s="0"/>
      <c r="XFB116" s="0"/>
      <c r="XFC116" s="0"/>
      <c r="XFD116" s="0"/>
    </row>
    <row r="117" customFormat="false" ht="15" hidden="false" customHeight="true" outlineLevel="0" collapsed="false">
      <c r="B117" s="717" t="s">
        <v>1654</v>
      </c>
      <c r="C117" s="1403" t="s">
        <v>1655</v>
      </c>
      <c r="D117" s="719"/>
      <c r="E117" s="722" t="n">
        <f aca="false">D118-V113</f>
        <v>0</v>
      </c>
      <c r="G117" s="1835"/>
      <c r="H117" s="1630"/>
      <c r="I117" s="1702"/>
      <c r="J117" s="1630"/>
      <c r="K117" s="1702"/>
      <c r="L117" s="1630"/>
      <c r="M117" s="1702"/>
      <c r="N117" s="1630"/>
      <c r="O117" s="1702"/>
    </row>
    <row r="118" customFormat="false" ht="15" hidden="false" customHeight="true" outlineLevel="0" collapsed="false">
      <c r="B118" s="733" t="str">
        <f aca="false">Summary!BD73</f>
        <v>09</v>
      </c>
      <c r="C118" s="735"/>
      <c r="D118" s="736" t="n">
        <f aca="false">SUM(E119:E175)-E151-E161</f>
        <v>0</v>
      </c>
      <c r="E118" s="736"/>
      <c r="G118" s="1836"/>
      <c r="H118" s="1837" t="s">
        <v>1055</v>
      </c>
      <c r="I118" s="1838" t="s">
        <v>721</v>
      </c>
      <c r="J118" s="1839"/>
      <c r="K118" s="1838" t="s">
        <v>1093</v>
      </c>
      <c r="L118" s="1837" t="s">
        <v>1055</v>
      </c>
      <c r="M118" s="1838" t="s">
        <v>738</v>
      </c>
      <c r="N118" s="1837" t="s">
        <v>1055</v>
      </c>
      <c r="O118" s="1838" t="s">
        <v>1146</v>
      </c>
    </row>
    <row r="119" customFormat="false" ht="15" hidden="false" customHeight="true" outlineLevel="0" collapsed="false">
      <c r="B119" s="1404" t="n">
        <f aca="false">Summary!BD74</f>
        <v>90001</v>
      </c>
      <c r="C119" s="741" t="str">
        <f aca="false">Summary!BE74</f>
        <v>General Requirements</v>
      </c>
      <c r="D119" s="318"/>
      <c r="E119" s="742"/>
      <c r="G119" s="1840" t="n">
        <v>1</v>
      </c>
      <c r="H119" s="1841" t="n">
        <f aca="false">90000+(100*G119)+5</f>
        <v>90105</v>
      </c>
      <c r="I119" s="1842" t="n">
        <f aca="false">CO10</f>
        <v>0</v>
      </c>
      <c r="J119" s="1843" t="n">
        <f aca="false">90000+(100*G119)+7</f>
        <v>90107</v>
      </c>
      <c r="K119" s="1842" t="n">
        <f aca="false">CZ10</f>
        <v>0</v>
      </c>
      <c r="L119" s="1843" t="n">
        <f aca="false">90000+(100*G119)+8</f>
        <v>90108</v>
      </c>
      <c r="M119" s="1842" t="n">
        <f aca="false">CN10</f>
        <v>0</v>
      </c>
      <c r="N119" s="1843" t="n">
        <f aca="false">90000+(100*G119)+40</f>
        <v>90140</v>
      </c>
      <c r="O119" s="1842" t="n">
        <f aca="false">SUM(CP10:CT10)</f>
        <v>0</v>
      </c>
      <c r="S119" s="1844"/>
    </row>
    <row r="120" customFormat="false" ht="15" hidden="false" customHeight="true" outlineLevel="0" collapsed="false">
      <c r="B120" s="1404" t="n">
        <f aca="false">Summary!BD75</f>
        <v>90002</v>
      </c>
      <c r="C120" s="741" t="str">
        <f aca="false">Summary!BE75</f>
        <v>Lumber</v>
      </c>
      <c r="D120" s="318"/>
      <c r="E120" s="751" t="n">
        <f aca="false">SUM(Z66:Z86)</f>
        <v>0</v>
      </c>
      <c r="G120" s="1840" t="n">
        <v>2</v>
      </c>
      <c r="H120" s="1841" t="n">
        <f aca="false">90000+(100*G120)+5</f>
        <v>90205</v>
      </c>
      <c r="I120" s="1845" t="n">
        <f aca="false">CO11</f>
        <v>0</v>
      </c>
      <c r="J120" s="1843" t="n">
        <f aca="false">90000+(100*G120)+7</f>
        <v>90207</v>
      </c>
      <c r="K120" s="1845" t="n">
        <f aca="false">CZ11</f>
        <v>0</v>
      </c>
      <c r="L120" s="1843" t="n">
        <f aca="false">90000+(100*G120)+8</f>
        <v>90208</v>
      </c>
      <c r="M120" s="1845" t="n">
        <f aca="false">CN11</f>
        <v>0</v>
      </c>
      <c r="N120" s="1843" t="n">
        <f aca="false">90000+(100*G120)+40</f>
        <v>90240</v>
      </c>
      <c r="O120" s="1842" t="n">
        <f aca="false">SUM(CP11:CT11)</f>
        <v>0</v>
      </c>
    </row>
    <row r="121" customFormat="false" ht="15" hidden="false" customHeight="true" outlineLevel="0" collapsed="false">
      <c r="B121" s="1404" t="n">
        <f aca="false">Summary!BD76</f>
        <v>90003</v>
      </c>
      <c r="C121" s="741" t="str">
        <f aca="false">Summary!BE76</f>
        <v>Sand Material</v>
      </c>
      <c r="D121" s="318"/>
      <c r="E121" s="751" t="n">
        <f aca="false">O73</f>
        <v>0</v>
      </c>
      <c r="G121" s="1840" t="n">
        <v>3</v>
      </c>
      <c r="H121" s="1841" t="n">
        <f aca="false">90000+(100*G121)+5</f>
        <v>90305</v>
      </c>
      <c r="I121" s="1845" t="n">
        <f aca="false">CO12</f>
        <v>0</v>
      </c>
      <c r="J121" s="1843" t="n">
        <f aca="false">90000+(100*G121)+7</f>
        <v>90307</v>
      </c>
      <c r="K121" s="1845" t="n">
        <f aca="false">CZ12</f>
        <v>0</v>
      </c>
      <c r="L121" s="1843" t="n">
        <f aca="false">90000+(100*G121)+8</f>
        <v>90308</v>
      </c>
      <c r="M121" s="1845" t="n">
        <f aca="false">CN12</f>
        <v>0</v>
      </c>
      <c r="N121" s="1843" t="n">
        <f aca="false">90000+(100*G121)+40</f>
        <v>90340</v>
      </c>
      <c r="O121" s="1842" t="n">
        <f aca="false">SUM(CP12:CT12)</f>
        <v>0</v>
      </c>
    </row>
    <row r="122" customFormat="false" ht="15" hidden="false" customHeight="true" outlineLevel="0" collapsed="false">
      <c r="B122" s="1404" t="n">
        <f aca="false">Summary!BD77</f>
        <v>90004</v>
      </c>
      <c r="C122" s="741" t="str">
        <f aca="false">Summary!BE77</f>
        <v>Rock Material</v>
      </c>
      <c r="D122" s="318"/>
      <c r="E122" s="751"/>
      <c r="G122" s="1840" t="n">
        <v>4</v>
      </c>
      <c r="H122" s="1841" t="n">
        <f aca="false">90000+(100*G122)+5</f>
        <v>90405</v>
      </c>
      <c r="I122" s="1845" t="n">
        <f aca="false">CO13</f>
        <v>0</v>
      </c>
      <c r="J122" s="1843" t="n">
        <f aca="false">90000+(100*G122)+7</f>
        <v>90407</v>
      </c>
      <c r="K122" s="1845" t="n">
        <f aca="false">CZ13</f>
        <v>0</v>
      </c>
      <c r="L122" s="1843" t="n">
        <f aca="false">90000+(100*G122)+8</f>
        <v>90408</v>
      </c>
      <c r="M122" s="1845" t="n">
        <f aca="false">CN13</f>
        <v>0</v>
      </c>
      <c r="N122" s="1843" t="n">
        <f aca="false">90000+(100*G122)+40</f>
        <v>90440</v>
      </c>
      <c r="O122" s="1842" t="n">
        <f aca="false">SUM(CP13:CT13)</f>
        <v>0</v>
      </c>
    </row>
    <row r="123" customFormat="false" ht="15" hidden="false" customHeight="true" outlineLevel="0" collapsed="false">
      <c r="B123" s="1404" t="n">
        <f aca="false">Summary!BD78</f>
        <v>90005</v>
      </c>
      <c r="C123" s="741" t="str">
        <f aca="false">Summary!BE78</f>
        <v>Reinforcement Material</v>
      </c>
      <c r="D123" s="318"/>
      <c r="E123" s="751" t="n">
        <f aca="false">I116+O71</f>
        <v>0</v>
      </c>
      <c r="G123" s="1840" t="n">
        <v>5</v>
      </c>
      <c r="H123" s="1841" t="n">
        <f aca="false">90000+(100*G123)+5</f>
        <v>90505</v>
      </c>
      <c r="I123" s="1845" t="n">
        <f aca="false">CO14</f>
        <v>0</v>
      </c>
      <c r="J123" s="1843" t="n">
        <f aca="false">90000+(100*G123)+7</f>
        <v>90507</v>
      </c>
      <c r="K123" s="1845" t="n">
        <f aca="false">CZ14</f>
        <v>0</v>
      </c>
      <c r="L123" s="1843" t="n">
        <f aca="false">90000+(100*G123)+8</f>
        <v>90508</v>
      </c>
      <c r="M123" s="1845" t="n">
        <f aca="false">CN14</f>
        <v>0</v>
      </c>
      <c r="N123" s="1843" t="n">
        <f aca="false">90000+(100*G123)+40</f>
        <v>90540</v>
      </c>
      <c r="O123" s="1842" t="n">
        <f aca="false">SUM(CP14:CT14)</f>
        <v>0</v>
      </c>
    </row>
    <row r="124" customFormat="false" ht="15" hidden="false" customHeight="true" outlineLevel="0" collapsed="false">
      <c r="B124" s="1404" t="n">
        <f aca="false">Summary!BD79</f>
        <v>90006</v>
      </c>
      <c r="C124" s="741" t="str">
        <f aca="false">Summary!BE79</f>
        <v>Reinforcement Accessories</v>
      </c>
      <c r="D124" s="318"/>
      <c r="E124" s="751" t="n">
        <f aca="false">SUM(Z98:Z100)</f>
        <v>0</v>
      </c>
      <c r="G124" s="1840" t="n">
        <v>6</v>
      </c>
      <c r="H124" s="1841" t="n">
        <f aca="false">90000+(100*G124)+5</f>
        <v>90605</v>
      </c>
      <c r="I124" s="1845" t="n">
        <f aca="false">CO15</f>
        <v>0</v>
      </c>
      <c r="J124" s="1843" t="n">
        <f aca="false">90000+(100*G124)+7</f>
        <v>90607</v>
      </c>
      <c r="K124" s="1845" t="n">
        <f aca="false">CZ15</f>
        <v>0</v>
      </c>
      <c r="L124" s="1843" t="n">
        <f aca="false">90000+(100*G124)+8</f>
        <v>90608</v>
      </c>
      <c r="M124" s="1845" t="n">
        <f aca="false">CN15</f>
        <v>0</v>
      </c>
      <c r="N124" s="1843" t="n">
        <f aca="false">90000+(100*G124)+40</f>
        <v>90640</v>
      </c>
      <c r="O124" s="1842" t="n">
        <f aca="false">SUM(CP15:CT15)</f>
        <v>0</v>
      </c>
    </row>
    <row r="125" customFormat="false" ht="15" hidden="false" customHeight="true" outlineLevel="0" collapsed="false">
      <c r="B125" s="1404" t="n">
        <f aca="false">Summary!BD80</f>
        <v>90007</v>
      </c>
      <c r="C125" s="741" t="str">
        <f aca="false">Summary!BE80</f>
        <v>PT Cables</v>
      </c>
      <c r="D125" s="318"/>
      <c r="E125" s="751" t="n">
        <f aca="false">K116</f>
        <v>0</v>
      </c>
      <c r="G125" s="1840" t="n">
        <v>7</v>
      </c>
      <c r="H125" s="1841" t="n">
        <f aca="false">90000+(100*G125)+5</f>
        <v>90705</v>
      </c>
      <c r="I125" s="1845" t="n">
        <f aca="false">CO16</f>
        <v>0</v>
      </c>
      <c r="J125" s="1843" t="n">
        <f aca="false">90000+(100*G125)+7</f>
        <v>90707</v>
      </c>
      <c r="K125" s="1845" t="n">
        <f aca="false">CZ16</f>
        <v>0</v>
      </c>
      <c r="L125" s="1843" t="n">
        <f aca="false">90000+(100*G125)+8</f>
        <v>90708</v>
      </c>
      <c r="M125" s="1845" t="n">
        <f aca="false">CN16</f>
        <v>0</v>
      </c>
      <c r="N125" s="1843" t="n">
        <f aca="false">90000+(100*G125)+40</f>
        <v>90740</v>
      </c>
      <c r="O125" s="1842" t="n">
        <f aca="false">SUM(CP16:CT16)</f>
        <v>0</v>
      </c>
    </row>
    <row r="126" customFormat="false" ht="15" hidden="false" customHeight="true" outlineLevel="0" collapsed="false">
      <c r="B126" s="1404" t="n">
        <f aca="false">Summary!BD81</f>
        <v>90008</v>
      </c>
      <c r="C126" s="741" t="str">
        <f aca="false">Summary!BE81</f>
        <v>Concrete Material</v>
      </c>
      <c r="D126" s="318"/>
      <c r="E126" s="751" t="n">
        <f aca="false">SUM(O65:P69)</f>
        <v>0</v>
      </c>
      <c r="G126" s="1840" t="n">
        <v>8</v>
      </c>
      <c r="H126" s="1841" t="n">
        <f aca="false">90000+(100*G126)+5</f>
        <v>90805</v>
      </c>
      <c r="I126" s="1845" t="n">
        <f aca="false">CO17</f>
        <v>0</v>
      </c>
      <c r="J126" s="1843" t="n">
        <f aca="false">90000+(100*G126)+7</f>
        <v>90807</v>
      </c>
      <c r="K126" s="1845" t="n">
        <f aca="false">CZ17</f>
        <v>0</v>
      </c>
      <c r="L126" s="1843" t="n">
        <f aca="false">90000+(100*G126)+8</f>
        <v>90808</v>
      </c>
      <c r="M126" s="1845" t="n">
        <f aca="false">CN17</f>
        <v>0</v>
      </c>
      <c r="N126" s="1843" t="n">
        <f aca="false">90000+(100*G126)+40</f>
        <v>90840</v>
      </c>
      <c r="O126" s="1842" t="n">
        <f aca="false">SUM(CP17:CT17)</f>
        <v>0</v>
      </c>
    </row>
    <row r="127" customFormat="false" ht="15" hidden="false" customHeight="true" outlineLevel="0" collapsed="false">
      <c r="B127" s="1404" t="n">
        <f aca="false">Summary!BD82</f>
        <v>90009</v>
      </c>
      <c r="C127" s="741" t="str">
        <f aca="false">Summary!BE82</f>
        <v>Carton Forms</v>
      </c>
      <c r="D127" s="318"/>
      <c r="E127" s="751" t="n">
        <f aca="false">SUM(O74:P76)</f>
        <v>0</v>
      </c>
      <c r="G127" s="1840" t="n">
        <v>9</v>
      </c>
      <c r="H127" s="1841" t="n">
        <f aca="false">90000+(100*G127)+5</f>
        <v>90905</v>
      </c>
      <c r="I127" s="1845" t="n">
        <f aca="false">CO18</f>
        <v>0</v>
      </c>
      <c r="J127" s="1843" t="n">
        <f aca="false">90000+(100*G127)+7</f>
        <v>90907</v>
      </c>
      <c r="K127" s="1845" t="n">
        <f aca="false">CZ18</f>
        <v>0</v>
      </c>
      <c r="L127" s="1843" t="n">
        <f aca="false">90000+(100*G127)+8</f>
        <v>90908</v>
      </c>
      <c r="M127" s="1845" t="n">
        <f aca="false">CN18</f>
        <v>0</v>
      </c>
      <c r="N127" s="1843" t="n">
        <f aca="false">90000+(100*G127)+40</f>
        <v>90940</v>
      </c>
      <c r="O127" s="1842" t="n">
        <f aca="false">SUM(CP18:CT18)</f>
        <v>0</v>
      </c>
    </row>
    <row r="128" customFormat="false" ht="15" hidden="false" customHeight="true" outlineLevel="0" collapsed="false">
      <c r="B128" s="1404" t="n">
        <f aca="false">Summary!BD83</f>
        <v>90010</v>
      </c>
      <c r="C128" s="741" t="str">
        <f aca="false">Summary!BE83</f>
        <v>Cure/Sealers</v>
      </c>
      <c r="D128" s="318"/>
      <c r="E128" s="751" t="n">
        <f aca="false">SUM(Z104:Z106)</f>
        <v>0</v>
      </c>
      <c r="G128" s="1840" t="n">
        <v>10</v>
      </c>
      <c r="H128" s="1841" t="n">
        <f aca="false">90000+(100*G128)+5</f>
        <v>91005</v>
      </c>
      <c r="I128" s="1845" t="n">
        <f aca="false">CO19</f>
        <v>0</v>
      </c>
      <c r="J128" s="1843" t="n">
        <f aca="false">90000+(100*G128)+7</f>
        <v>91007</v>
      </c>
      <c r="K128" s="1845" t="n">
        <f aca="false">CZ19</f>
        <v>0</v>
      </c>
      <c r="L128" s="1843" t="n">
        <f aca="false">90000+(100*G128)+8</f>
        <v>91008</v>
      </c>
      <c r="M128" s="1845" t="n">
        <f aca="false">CN19</f>
        <v>0</v>
      </c>
      <c r="N128" s="1843" t="n">
        <f aca="false">90000+(100*G128)+40</f>
        <v>91040</v>
      </c>
      <c r="O128" s="1842" t="n">
        <f aca="false">SUM(CP19:CT19)</f>
        <v>0</v>
      </c>
    </row>
    <row r="129" customFormat="false" ht="15" hidden="false" customHeight="true" outlineLevel="0" collapsed="false">
      <c r="B129" s="1404" t="n">
        <f aca="false">Summary!BD84</f>
        <v>90011</v>
      </c>
      <c r="C129" s="741" t="str">
        <f aca="false">Summary!BE84</f>
        <v>Patch/Grout</v>
      </c>
      <c r="D129" s="318"/>
      <c r="E129" s="751" t="n">
        <f aca="false">SUM(Z92:Z97)</f>
        <v>0</v>
      </c>
      <c r="G129" s="1840" t="n">
        <v>11</v>
      </c>
      <c r="H129" s="1841" t="n">
        <f aca="false">90000+(100*G129)+5</f>
        <v>91105</v>
      </c>
      <c r="I129" s="1845" t="n">
        <f aca="false">CO20</f>
        <v>0</v>
      </c>
      <c r="J129" s="1843" t="n">
        <f aca="false">90000+(100*G129)+7</f>
        <v>91107</v>
      </c>
      <c r="K129" s="1845" t="n">
        <f aca="false">CZ20</f>
        <v>0</v>
      </c>
      <c r="L129" s="1843" t="n">
        <f aca="false">90000+(100*G129)+8</f>
        <v>91108</v>
      </c>
      <c r="M129" s="1845" t="n">
        <f aca="false">CN20</f>
        <v>0</v>
      </c>
      <c r="N129" s="1843" t="n">
        <f aca="false">90000+(100*G129)+40</f>
        <v>91140</v>
      </c>
      <c r="O129" s="1842" t="n">
        <f aca="false">SUM(CP20:CT20)</f>
        <v>0</v>
      </c>
    </row>
    <row r="130" customFormat="false" ht="15" hidden="false" customHeight="true" outlineLevel="0" collapsed="false">
      <c r="B130" s="1404" t="n">
        <f aca="false">Summary!BD85</f>
        <v>90012</v>
      </c>
      <c r="C130" s="741" t="str">
        <f aca="false">Summary!BE85</f>
        <v>Poly/Vapor Barrier</v>
      </c>
      <c r="D130" s="318"/>
      <c r="E130" s="751" t="n">
        <f aca="false">SUM(Z87:Z91)</f>
        <v>0</v>
      </c>
      <c r="G130" s="1840" t="n">
        <v>12</v>
      </c>
      <c r="H130" s="1841" t="n">
        <f aca="false">90000+(100*G130)+5</f>
        <v>91205</v>
      </c>
      <c r="I130" s="1845" t="n">
        <f aca="false">CO21</f>
        <v>0</v>
      </c>
      <c r="J130" s="1843" t="n">
        <f aca="false">90000+(100*G130)+7</f>
        <v>91207</v>
      </c>
      <c r="K130" s="1845" t="n">
        <f aca="false">CZ21</f>
        <v>0</v>
      </c>
      <c r="L130" s="1843" t="n">
        <f aca="false">90000+(100*G130)+8</f>
        <v>91208</v>
      </c>
      <c r="M130" s="1845" t="n">
        <f aca="false">CN21</f>
        <v>0</v>
      </c>
      <c r="N130" s="1843" t="n">
        <f aca="false">90000+(100*G130)+40</f>
        <v>91240</v>
      </c>
      <c r="O130" s="1842" t="n">
        <f aca="false">SUM(CP21:CT21)</f>
        <v>0</v>
      </c>
    </row>
    <row r="131" customFormat="false" ht="15" hidden="false" customHeight="true" outlineLevel="0" collapsed="false">
      <c r="B131" s="1404" t="n">
        <f aca="false">Summary!BD86</f>
        <v>90013</v>
      </c>
      <c r="C131" s="741" t="str">
        <f aca="false">Summary!BE86</f>
        <v>Special Material</v>
      </c>
      <c r="D131" s="318"/>
      <c r="E131" s="751" t="n">
        <f aca="false">Z101</f>
        <v>0</v>
      </c>
      <c r="G131" s="1840" t="n">
        <v>13</v>
      </c>
      <c r="H131" s="1841" t="n">
        <f aca="false">90000+(100*G131)+5</f>
        <v>91305</v>
      </c>
      <c r="I131" s="1845" t="n">
        <f aca="false">CO22</f>
        <v>0</v>
      </c>
      <c r="J131" s="1843" t="n">
        <f aca="false">90000+(100*G131)+7</f>
        <v>91307</v>
      </c>
      <c r="K131" s="1845" t="n">
        <f aca="false">CZ22</f>
        <v>0</v>
      </c>
      <c r="L131" s="1843" t="n">
        <f aca="false">90000+(100*G131)+8</f>
        <v>91308</v>
      </c>
      <c r="M131" s="1845" t="n">
        <f aca="false">CN22</f>
        <v>0</v>
      </c>
      <c r="N131" s="1843" t="n">
        <f aca="false">90000+(100*G131)+40</f>
        <v>91340</v>
      </c>
      <c r="O131" s="1842" t="n">
        <f aca="false">SUM(CP22:CT22)</f>
        <v>0</v>
      </c>
    </row>
    <row r="132" customFormat="false" ht="15" hidden="false" customHeight="true" outlineLevel="0" collapsed="false">
      <c r="B132" s="1404" t="n">
        <f aca="false">Summary!BD87</f>
        <v>90014</v>
      </c>
      <c r="C132" s="741" t="str">
        <f aca="false">Summary!BE87</f>
        <v>Special Material</v>
      </c>
      <c r="D132" s="318"/>
      <c r="E132" s="751" t="n">
        <f aca="false">Z102</f>
        <v>0</v>
      </c>
      <c r="G132" s="1840" t="n">
        <v>14</v>
      </c>
      <c r="H132" s="1841" t="n">
        <f aca="false">90000+(100*G132)+5</f>
        <v>91405</v>
      </c>
      <c r="I132" s="1845" t="n">
        <f aca="false">CO23</f>
        <v>0</v>
      </c>
      <c r="J132" s="1843" t="n">
        <f aca="false">90000+(100*G132)+7</f>
        <v>91407</v>
      </c>
      <c r="K132" s="1845" t="n">
        <f aca="false">CZ23</f>
        <v>0</v>
      </c>
      <c r="L132" s="1843" t="n">
        <f aca="false">90000+(100*G132)+8</f>
        <v>91408</v>
      </c>
      <c r="M132" s="1845" t="n">
        <f aca="false">CN23</f>
        <v>0</v>
      </c>
      <c r="N132" s="1843" t="n">
        <f aca="false">90000+(100*G132)+40</f>
        <v>91440</v>
      </c>
      <c r="O132" s="1842" t="n">
        <f aca="false">SUM(CP23:CT23)</f>
        <v>0</v>
      </c>
    </row>
    <row r="133" customFormat="false" ht="15" hidden="false" customHeight="true" outlineLevel="0" collapsed="false">
      <c r="B133" s="1404" t="n">
        <f aca="false">Summary!BD88</f>
        <v>90015</v>
      </c>
      <c r="C133" s="741" t="str">
        <f aca="false">Summary!BE88</f>
        <v>PPE/Safety</v>
      </c>
      <c r="D133" s="318"/>
      <c r="E133" s="751" t="n">
        <f aca="false">Z103</f>
        <v>0</v>
      </c>
      <c r="G133" s="1840" t="n">
        <v>15</v>
      </c>
      <c r="H133" s="1841" t="n">
        <f aca="false">90000+(100*G133)+5</f>
        <v>91505</v>
      </c>
      <c r="I133" s="1845" t="n">
        <f aca="false">CO24</f>
        <v>0</v>
      </c>
      <c r="J133" s="1843" t="n">
        <f aca="false">90000+(100*G133)+7</f>
        <v>91507</v>
      </c>
      <c r="K133" s="1845" t="n">
        <f aca="false">CZ24</f>
        <v>0</v>
      </c>
      <c r="L133" s="1843" t="n">
        <f aca="false">90000+(100*G133)+8</f>
        <v>91508</v>
      </c>
      <c r="M133" s="1845" t="n">
        <f aca="false">CN24</f>
        <v>0</v>
      </c>
      <c r="N133" s="1843" t="n">
        <f aca="false">90000+(100*G133)+40</f>
        <v>91540</v>
      </c>
      <c r="O133" s="1842" t="n">
        <f aca="false">SUM(CP24:CT24)</f>
        <v>0</v>
      </c>
    </row>
    <row r="134" customFormat="false" ht="15" hidden="false" customHeight="true" outlineLevel="0" collapsed="false">
      <c r="B134" s="1404" t="n">
        <f aca="false">Summary!BD89</f>
        <v>90020</v>
      </c>
      <c r="C134" s="741" t="str">
        <f aca="false">Summary!BE89</f>
        <v>Supervision</v>
      </c>
      <c r="D134" s="318"/>
      <c r="E134" s="751" t="n">
        <f aca="false">SUM(O91:P92)</f>
        <v>0</v>
      </c>
      <c r="G134" s="1840" t="n">
        <v>16</v>
      </c>
      <c r="H134" s="1841" t="n">
        <f aca="false">90000+(100*G134)+5</f>
        <v>91605</v>
      </c>
      <c r="I134" s="1845" t="n">
        <f aca="false">CO25</f>
        <v>0</v>
      </c>
      <c r="J134" s="1843" t="n">
        <f aca="false">90000+(100*G134)+7</f>
        <v>91607</v>
      </c>
      <c r="K134" s="1845" t="n">
        <f aca="false">CZ25</f>
        <v>0</v>
      </c>
      <c r="L134" s="1843" t="n">
        <f aca="false">90000+(100*G134)+8</f>
        <v>91608</v>
      </c>
      <c r="M134" s="1845" t="n">
        <f aca="false">CN25</f>
        <v>0</v>
      </c>
      <c r="N134" s="1843" t="n">
        <f aca="false">90000+(100*G134)+40</f>
        <v>91640</v>
      </c>
      <c r="O134" s="1842" t="n">
        <f aca="false">SUM(CP25:CT25)</f>
        <v>0</v>
      </c>
    </row>
    <row r="135" customFormat="false" ht="15" hidden="false" customHeight="true" outlineLevel="0" collapsed="false">
      <c r="B135" s="1404" t="n">
        <f aca="false">Summary!BD90</f>
        <v>90021</v>
      </c>
      <c r="C135" s="741" t="str">
        <f aca="false">Summary!BE90</f>
        <v>Supervision Expense</v>
      </c>
      <c r="D135" s="318"/>
      <c r="E135" s="751" t="n">
        <f aca="false">O93</f>
        <v>0</v>
      </c>
      <c r="G135" s="1840" t="n">
        <v>17</v>
      </c>
      <c r="H135" s="1841" t="n">
        <f aca="false">90000+(100*G135)+5</f>
        <v>91705</v>
      </c>
      <c r="I135" s="1845" t="n">
        <f aca="false">CO26</f>
        <v>0</v>
      </c>
      <c r="J135" s="1843" t="n">
        <f aca="false">90000+(100*G135)+7</f>
        <v>91707</v>
      </c>
      <c r="K135" s="1845" t="n">
        <f aca="false">CZ26</f>
        <v>0</v>
      </c>
      <c r="L135" s="1843" t="n">
        <f aca="false">90000+(100*G135)+8</f>
        <v>91708</v>
      </c>
      <c r="M135" s="1845" t="n">
        <f aca="false">CN26</f>
        <v>0</v>
      </c>
      <c r="N135" s="1843" t="n">
        <f aca="false">90000+(100*G135)+40</f>
        <v>91740</v>
      </c>
      <c r="O135" s="1842" t="n">
        <f aca="false">SUM(CP26:CT26)</f>
        <v>0</v>
      </c>
    </row>
    <row r="136" customFormat="false" ht="15" hidden="false" customHeight="true" outlineLevel="0" collapsed="false">
      <c r="B136" s="1404" t="n">
        <f aca="false">Summary!BD91</f>
        <v>90022</v>
      </c>
      <c r="C136" s="741" t="str">
        <f aca="false">Summary!BE91</f>
        <v>Project Management</v>
      </c>
      <c r="D136" s="318"/>
      <c r="E136" s="751" t="n">
        <f aca="false">O94</f>
        <v>0</v>
      </c>
      <c r="G136" s="1840" t="n">
        <v>18</v>
      </c>
      <c r="H136" s="1841" t="n">
        <f aca="false">90000+(100*G136)+5</f>
        <v>91805</v>
      </c>
      <c r="I136" s="1845" t="n">
        <f aca="false">CO27</f>
        <v>0</v>
      </c>
      <c r="J136" s="1843" t="n">
        <f aca="false">90000+(100*G136)+7</f>
        <v>91807</v>
      </c>
      <c r="K136" s="1845" t="n">
        <f aca="false">CZ27</f>
        <v>0</v>
      </c>
      <c r="L136" s="1843" t="n">
        <f aca="false">90000+(100*G136)+8</f>
        <v>91808</v>
      </c>
      <c r="M136" s="1845" t="n">
        <f aca="false">CN27</f>
        <v>0</v>
      </c>
      <c r="N136" s="1843" t="n">
        <f aca="false">90000+(100*G136)+40</f>
        <v>91840</v>
      </c>
      <c r="O136" s="1842" t="n">
        <f aca="false">SUM(CP27:CT27)</f>
        <v>0</v>
      </c>
    </row>
    <row r="137" customFormat="false" ht="15" hidden="false" customHeight="true" outlineLevel="0" collapsed="false">
      <c r="B137" s="1404" t="n">
        <f aca="false">Summary!BD92</f>
        <v>90023</v>
      </c>
      <c r="C137" s="741" t="str">
        <f aca="false">Summary!BE92</f>
        <v>Labor Grade, Poly, Reinf.</v>
      </c>
      <c r="D137" s="318"/>
      <c r="E137" s="751" t="n">
        <f aca="false">L80</f>
        <v>0</v>
      </c>
      <c r="G137" s="1840" t="n">
        <v>19</v>
      </c>
      <c r="H137" s="1841" t="n">
        <f aca="false">90000+(100*G137)+5</f>
        <v>91905</v>
      </c>
      <c r="I137" s="1845" t="n">
        <f aca="false">CO28</f>
        <v>0</v>
      </c>
      <c r="J137" s="1843" t="n">
        <f aca="false">90000+(100*G137)+7</f>
        <v>91907</v>
      </c>
      <c r="K137" s="1845" t="n">
        <f aca="false">CZ28</f>
        <v>0</v>
      </c>
      <c r="L137" s="1843" t="n">
        <f aca="false">90000+(100*G137)+8</f>
        <v>91908</v>
      </c>
      <c r="M137" s="1845" t="n">
        <f aca="false">CN28</f>
        <v>0</v>
      </c>
      <c r="N137" s="1843" t="n">
        <f aca="false">90000+(100*G137)+40</f>
        <v>91940</v>
      </c>
      <c r="O137" s="1842" t="n">
        <f aca="false">SUM(CP28:CT28)</f>
        <v>0</v>
      </c>
    </row>
    <row r="138" customFormat="false" ht="15" hidden="false" customHeight="false" outlineLevel="0" collapsed="false">
      <c r="B138" s="1404" t="n">
        <f aca="false">Summary!BD93</f>
        <v>90024</v>
      </c>
      <c r="C138" s="741" t="str">
        <f aca="false">Summary!BE93</f>
        <v>Labor Place &amp; Finish</v>
      </c>
      <c r="D138" s="318"/>
      <c r="E138" s="751" t="n">
        <f aca="false">L81</f>
        <v>0</v>
      </c>
      <c r="G138" s="1840" t="n">
        <v>20</v>
      </c>
      <c r="H138" s="1841" t="n">
        <f aca="false">90000+(100*G138)+5</f>
        <v>92005</v>
      </c>
      <c r="I138" s="1845" t="n">
        <f aca="false">CO29</f>
        <v>0</v>
      </c>
      <c r="J138" s="1843" t="n">
        <f aca="false">90000+(100*G138)+7</f>
        <v>92007</v>
      </c>
      <c r="K138" s="1845" t="n">
        <f aca="false">CZ29</f>
        <v>0</v>
      </c>
      <c r="L138" s="1843" t="n">
        <f aca="false">90000+(100*G138)+8</f>
        <v>92008</v>
      </c>
      <c r="M138" s="1845" t="n">
        <f aca="false">CN29</f>
        <v>0</v>
      </c>
      <c r="N138" s="1843" t="n">
        <f aca="false">90000+(100*G138)+40</f>
        <v>92040</v>
      </c>
      <c r="O138" s="1842" t="n">
        <f aca="false">SUM(CP29:CT29)</f>
        <v>0</v>
      </c>
    </row>
    <row r="139" customFormat="false" ht="15" hidden="false" customHeight="false" outlineLevel="0" collapsed="false">
      <c r="B139" s="1404" t="n">
        <f aca="false">Summary!BD94</f>
        <v>90025</v>
      </c>
      <c r="C139" s="741" t="str">
        <f aca="false">Summary!BE94</f>
        <v>Labor Drops</v>
      </c>
      <c r="D139" s="318"/>
      <c r="E139" s="751" t="n">
        <f aca="false">L83</f>
        <v>0</v>
      </c>
      <c r="G139" s="1840" t="n">
        <v>21</v>
      </c>
      <c r="H139" s="1841" t="n">
        <f aca="false">90000+(100*G139)+5</f>
        <v>92105</v>
      </c>
      <c r="I139" s="1845" t="n">
        <f aca="false">CO30</f>
        <v>0</v>
      </c>
      <c r="J139" s="1843" t="n">
        <f aca="false">90000+(100*G139)+7</f>
        <v>92107</v>
      </c>
      <c r="K139" s="1845" t="n">
        <f aca="false">CZ30</f>
        <v>0</v>
      </c>
      <c r="L139" s="1843" t="n">
        <f aca="false">90000+(100*G139)+8</f>
        <v>92108</v>
      </c>
      <c r="M139" s="1845" t="n">
        <f aca="false">CN30</f>
        <v>0</v>
      </c>
      <c r="N139" s="1843" t="n">
        <f aca="false">90000+(100*G139)+40</f>
        <v>92140</v>
      </c>
      <c r="O139" s="1842" t="n">
        <f aca="false">SUM(CP30:CT30)</f>
        <v>0</v>
      </c>
    </row>
    <row r="140" customFormat="false" ht="15" hidden="false" customHeight="false" outlineLevel="0" collapsed="false">
      <c r="B140" s="1404" t="n">
        <f aca="false">Summary!BD95</f>
        <v>90026</v>
      </c>
      <c r="C140" s="741" t="str">
        <f aca="false">Summary!BE95</f>
        <v>Labor Strip Forms</v>
      </c>
      <c r="D140" s="318"/>
      <c r="E140" s="751" t="n">
        <f aca="false">L82</f>
        <v>0</v>
      </c>
      <c r="G140" s="1840" t="n">
        <v>22</v>
      </c>
      <c r="H140" s="1841" t="n">
        <f aca="false">90000+(100*G140)+5</f>
        <v>92205</v>
      </c>
      <c r="I140" s="1845" t="n">
        <f aca="false">CO31</f>
        <v>0</v>
      </c>
      <c r="J140" s="1843" t="n">
        <f aca="false">90000+(100*G140)+7</f>
        <v>92207</v>
      </c>
      <c r="K140" s="1845" t="n">
        <f aca="false">CZ31</f>
        <v>0</v>
      </c>
      <c r="L140" s="1843" t="n">
        <f aca="false">90000+(100*G140)+8</f>
        <v>92208</v>
      </c>
      <c r="M140" s="1845" t="n">
        <f aca="false">CN31</f>
        <v>0</v>
      </c>
      <c r="N140" s="1843" t="n">
        <f aca="false">90000+(100*G140)+40</f>
        <v>92240</v>
      </c>
      <c r="O140" s="1842" t="n">
        <f aca="false">SUM(CP31:CT31)</f>
        <v>0</v>
      </c>
    </row>
    <row r="141" customFormat="false" ht="15" hidden="false" customHeight="false" outlineLevel="0" collapsed="false">
      <c r="B141" s="1404" t="n">
        <f aca="false">Summary!BD96</f>
        <v>90027</v>
      </c>
      <c r="C141" s="741" t="str">
        <f aca="false">Summary!BE96</f>
        <v>Labor Burden</v>
      </c>
      <c r="D141" s="318"/>
      <c r="E141" s="751" t="n">
        <f aca="false">L86</f>
        <v>0</v>
      </c>
      <c r="G141" s="1840" t="n">
        <v>23</v>
      </c>
      <c r="H141" s="1841" t="n">
        <f aca="false">90000+(100*G141)+5</f>
        <v>92305</v>
      </c>
      <c r="I141" s="1845" t="n">
        <f aca="false">CO32</f>
        <v>0</v>
      </c>
      <c r="J141" s="1843" t="n">
        <f aca="false">90000+(100*G141)+7</f>
        <v>92307</v>
      </c>
      <c r="K141" s="1845" t="n">
        <f aca="false">CZ32</f>
        <v>0</v>
      </c>
      <c r="L141" s="1843" t="n">
        <f aca="false">90000+(100*G141)+8</f>
        <v>92308</v>
      </c>
      <c r="M141" s="1845" t="n">
        <f aca="false">CN32</f>
        <v>0</v>
      </c>
      <c r="N141" s="1843" t="n">
        <f aca="false">90000+(100*G141)+40</f>
        <v>92340</v>
      </c>
      <c r="O141" s="1842" t="n">
        <f aca="false">SUM(CP32:CT32)</f>
        <v>0</v>
      </c>
    </row>
    <row r="142" customFormat="false" ht="15" hidden="false" customHeight="false" outlineLevel="0" collapsed="false">
      <c r="B142" s="1404" t="n">
        <f aca="false">Summary!BD98</f>
        <v>90030</v>
      </c>
      <c r="C142" s="741" t="str">
        <f aca="false">Summary!BE98</f>
        <v>Pumping</v>
      </c>
      <c r="D142" s="318"/>
      <c r="E142" s="751" t="n">
        <f aca="false">O106</f>
        <v>0</v>
      </c>
      <c r="G142" s="1840" t="n">
        <v>24</v>
      </c>
      <c r="H142" s="1841" t="n">
        <f aca="false">90000+(100*G142)+5</f>
        <v>92405</v>
      </c>
      <c r="I142" s="1845" t="n">
        <f aca="false">CO33</f>
        <v>0</v>
      </c>
      <c r="J142" s="1843" t="n">
        <f aca="false">90000+(100*G142)+7</f>
        <v>92407</v>
      </c>
      <c r="K142" s="1845" t="n">
        <f aca="false">CZ33</f>
        <v>0</v>
      </c>
      <c r="L142" s="1843" t="n">
        <f aca="false">90000+(100*G142)+8</f>
        <v>92408</v>
      </c>
      <c r="M142" s="1845" t="n">
        <f aca="false">CN33</f>
        <v>0</v>
      </c>
      <c r="N142" s="1843" t="n">
        <f aca="false">90000+(100*G142)+40</f>
        <v>92440</v>
      </c>
      <c r="O142" s="1842" t="n">
        <f aca="false">SUM(CP33:CT33)</f>
        <v>0</v>
      </c>
    </row>
    <row r="143" customFormat="false" ht="15" hidden="false" customHeight="false" outlineLevel="0" collapsed="false">
      <c r="B143" s="1404" t="n">
        <f aca="false">Summary!BD99</f>
        <v>90031</v>
      </c>
      <c r="C143" s="741" t="str">
        <f aca="false">Summary!BE99</f>
        <v>Earth Work/Excavation</v>
      </c>
      <c r="D143" s="318"/>
      <c r="E143" s="751"/>
      <c r="G143" s="1840" t="n">
        <v>25</v>
      </c>
      <c r="H143" s="1841" t="n">
        <f aca="false">90000+(100*G143)+5</f>
        <v>92505</v>
      </c>
      <c r="I143" s="1845" t="n">
        <f aca="false">CO34</f>
        <v>0</v>
      </c>
      <c r="J143" s="1843" t="n">
        <f aca="false">90000+(100*G143)+7</f>
        <v>92507</v>
      </c>
      <c r="K143" s="1845" t="n">
        <f aca="false">CZ34</f>
        <v>0</v>
      </c>
      <c r="L143" s="1843" t="n">
        <f aca="false">90000+(100*G143)+8</f>
        <v>92508</v>
      </c>
      <c r="M143" s="1845" t="n">
        <f aca="false">CN34</f>
        <v>0</v>
      </c>
      <c r="N143" s="1843" t="n">
        <f aca="false">90000+(100*G143)+40</f>
        <v>92540</v>
      </c>
      <c r="O143" s="1842" t="n">
        <f aca="false">SUM(CP34:CT34)</f>
        <v>0</v>
      </c>
    </row>
    <row r="144" customFormat="false" ht="15" hidden="false" customHeight="false" outlineLevel="0" collapsed="false">
      <c r="B144" s="1404" t="n">
        <f aca="false">Summary!BD100</f>
        <v>90032</v>
      </c>
      <c r="C144" s="741" t="str">
        <f aca="false">Summary!BE100</f>
        <v>Drilling</v>
      </c>
      <c r="D144" s="318"/>
      <c r="E144" s="751"/>
      <c r="G144" s="1840" t="n">
        <v>26</v>
      </c>
      <c r="H144" s="1841" t="n">
        <f aca="false">90000+(100*G144)+5</f>
        <v>92605</v>
      </c>
      <c r="I144" s="1845" t="n">
        <f aca="false">CO35</f>
        <v>0</v>
      </c>
      <c r="J144" s="1843" t="n">
        <f aca="false">90000+(100*G144)+7</f>
        <v>92607</v>
      </c>
      <c r="K144" s="1845" t="n">
        <f aca="false">CZ35</f>
        <v>0</v>
      </c>
      <c r="L144" s="1843" t="n">
        <f aca="false">90000+(100*G144)+8</f>
        <v>92608</v>
      </c>
      <c r="M144" s="1845" t="n">
        <f aca="false">CN35</f>
        <v>0</v>
      </c>
      <c r="N144" s="1843" t="n">
        <f aca="false">90000+(100*G144)+40</f>
        <v>92640</v>
      </c>
      <c r="O144" s="1842" t="n">
        <f aca="false">SUM(CP35:CT35)</f>
        <v>0</v>
      </c>
    </row>
    <row r="145" customFormat="false" ht="15" hidden="false" customHeight="false" outlineLevel="0" collapsed="false">
      <c r="B145" s="1404" t="n">
        <f aca="false">Summary!BD101</f>
        <v>90033</v>
      </c>
      <c r="C145" s="741" t="str">
        <f aca="false">Summary!BE101</f>
        <v>Haul off</v>
      </c>
      <c r="D145" s="318"/>
      <c r="E145" s="751" t="n">
        <f aca="false">O107</f>
        <v>0</v>
      </c>
      <c r="G145" s="1840" t="n">
        <v>27</v>
      </c>
      <c r="H145" s="1841" t="n">
        <f aca="false">90000+(100*G145)+5</f>
        <v>92705</v>
      </c>
      <c r="I145" s="1845" t="n">
        <f aca="false">CO36</f>
        <v>0</v>
      </c>
      <c r="J145" s="1843" t="n">
        <f aca="false">90000+(100*G145)+7</f>
        <v>92707</v>
      </c>
      <c r="K145" s="1845" t="n">
        <f aca="false">CZ36</f>
        <v>0</v>
      </c>
      <c r="L145" s="1843" t="n">
        <f aca="false">90000+(100*G145)+8</f>
        <v>92708</v>
      </c>
      <c r="M145" s="1845" t="n">
        <f aca="false">CN36</f>
        <v>0</v>
      </c>
      <c r="N145" s="1843" t="n">
        <f aca="false">90000+(100*G145)+40</f>
        <v>92740</v>
      </c>
      <c r="O145" s="1842" t="n">
        <f aca="false">SUM(CP36:CT36)</f>
        <v>0</v>
      </c>
    </row>
    <row r="146" customFormat="false" ht="15" hidden="false" customHeight="false" outlineLevel="0" collapsed="false">
      <c r="B146" s="1404" t="n">
        <f aca="false">Summary!BD102</f>
        <v>90034</v>
      </c>
      <c r="C146" s="741" t="str">
        <f aca="false">Summary!BE102</f>
        <v>Saw Cutting/Sealing</v>
      </c>
      <c r="D146" s="318"/>
      <c r="E146" s="751" t="n">
        <f aca="false">O105+O104</f>
        <v>0</v>
      </c>
      <c r="G146" s="1840" t="n">
        <v>28</v>
      </c>
      <c r="H146" s="1841" t="n">
        <f aca="false">90000+(100*G146)+5</f>
        <v>92805</v>
      </c>
      <c r="I146" s="1845" t="n">
        <f aca="false">CO37</f>
        <v>0</v>
      </c>
      <c r="J146" s="1843" t="n">
        <f aca="false">90000+(100*G146)+7</f>
        <v>92807</v>
      </c>
      <c r="K146" s="1845" t="n">
        <f aca="false">CZ37</f>
        <v>0</v>
      </c>
      <c r="L146" s="1843" t="n">
        <f aca="false">90000+(100*G146)+8</f>
        <v>92808</v>
      </c>
      <c r="M146" s="1845" t="n">
        <f aca="false">CN37</f>
        <v>0</v>
      </c>
      <c r="N146" s="1843" t="n">
        <f aca="false">90000+(100*G146)+40</f>
        <v>92840</v>
      </c>
      <c r="O146" s="1842" t="n">
        <f aca="false">SUM(CP37:CT37)</f>
        <v>0</v>
      </c>
    </row>
    <row r="147" customFormat="false" ht="15" hidden="false" customHeight="false" outlineLevel="0" collapsed="false">
      <c r="B147" s="1404" t="n">
        <f aca="false">Summary!BD103</f>
        <v>90035</v>
      </c>
      <c r="C147" s="741" t="str">
        <f aca="false">Summary!BE103</f>
        <v>Demolition</v>
      </c>
      <c r="D147" s="318"/>
      <c r="E147" s="751" t="n">
        <f aca="false">O103</f>
        <v>0</v>
      </c>
      <c r="G147" s="1840" t="n">
        <v>29</v>
      </c>
      <c r="H147" s="1841" t="n">
        <f aca="false">90000+(100*G147)+5</f>
        <v>92905</v>
      </c>
      <c r="I147" s="1845" t="n">
        <f aca="false">CO38</f>
        <v>0</v>
      </c>
      <c r="J147" s="1843" t="n">
        <f aca="false">90000+(100*G147)+7</f>
        <v>92907</v>
      </c>
      <c r="K147" s="1845" t="n">
        <f aca="false">CZ38</f>
        <v>0</v>
      </c>
      <c r="L147" s="1843" t="n">
        <f aca="false">90000+(100*G147)+8</f>
        <v>92908</v>
      </c>
      <c r="M147" s="1845" t="n">
        <f aca="false">CN38</f>
        <v>0</v>
      </c>
      <c r="N147" s="1843" t="n">
        <f aca="false">90000+(100*G147)+40</f>
        <v>92940</v>
      </c>
      <c r="O147" s="1842" t="n">
        <f aca="false">SUM(CP38:CT38)</f>
        <v>0</v>
      </c>
    </row>
    <row r="148" customFormat="false" ht="15" hidden="false" customHeight="false" outlineLevel="0" collapsed="false">
      <c r="B148" s="1404" t="n">
        <f aca="false">Summary!BD104</f>
        <v>90037</v>
      </c>
      <c r="C148" s="741" t="str">
        <f aca="false">Summary!BE104</f>
        <v>Waterproofing</v>
      </c>
      <c r="D148" s="318"/>
      <c r="E148" s="751"/>
      <c r="G148" s="1840" t="n">
        <v>30</v>
      </c>
      <c r="H148" s="1841" t="n">
        <f aca="false">90000+(100*G148)+5</f>
        <v>93005</v>
      </c>
      <c r="I148" s="1845" t="n">
        <f aca="false">CO39</f>
        <v>0</v>
      </c>
      <c r="J148" s="1843" t="n">
        <f aca="false">90000+(100*G148)+7</f>
        <v>93007</v>
      </c>
      <c r="K148" s="1845" t="n">
        <f aca="false">CZ39</f>
        <v>0</v>
      </c>
      <c r="L148" s="1843" t="n">
        <f aca="false">90000+(100*G148)+8</f>
        <v>93008</v>
      </c>
      <c r="M148" s="1845" t="n">
        <f aca="false">CN39</f>
        <v>0</v>
      </c>
      <c r="N148" s="1843" t="n">
        <f aca="false">90000+(100*G148)+40</f>
        <v>93040</v>
      </c>
      <c r="O148" s="1842" t="n">
        <f aca="false">SUM(CP39:CT39)</f>
        <v>0</v>
      </c>
    </row>
    <row r="149" customFormat="false" ht="15" hidden="false" customHeight="false" outlineLevel="0" collapsed="false">
      <c r="B149" s="1404" t="n">
        <f aca="false">Summary!BD105</f>
        <v>90038</v>
      </c>
      <c r="C149" s="741" t="str">
        <f aca="false">Summary!BE105</f>
        <v>Crain/Hoisting</v>
      </c>
      <c r="D149" s="318"/>
      <c r="E149" s="751"/>
      <c r="G149" s="1840" t="n">
        <v>31</v>
      </c>
      <c r="H149" s="1841" t="n">
        <f aca="false">90000+(100*G149)+5</f>
        <v>93105</v>
      </c>
      <c r="I149" s="1845" t="n">
        <f aca="false">CO40</f>
        <v>0</v>
      </c>
      <c r="J149" s="1843" t="n">
        <f aca="false">90000+(100*G149)+7</f>
        <v>93107</v>
      </c>
      <c r="K149" s="1845" t="n">
        <f aca="false">CZ40</f>
        <v>0</v>
      </c>
      <c r="L149" s="1843" t="n">
        <f aca="false">90000+(100*G149)+8</f>
        <v>93108</v>
      </c>
      <c r="M149" s="1845" t="n">
        <f aca="false">CN40</f>
        <v>0</v>
      </c>
      <c r="N149" s="1843" t="n">
        <f aca="false">90000+(100*G149)+40</f>
        <v>93140</v>
      </c>
      <c r="O149" s="1842" t="n">
        <f aca="false">SUM(CP40:CT40)</f>
        <v>0</v>
      </c>
    </row>
    <row r="150" customFormat="false" ht="15" hidden="false" customHeight="false" outlineLevel="0" collapsed="false">
      <c r="B150" s="2692" t="n">
        <f aca="false">Summary!BD106</f>
        <v>90039</v>
      </c>
      <c r="C150" s="2693" t="str">
        <f aca="false">Summary!BE106</f>
        <v>Forming Systems</v>
      </c>
      <c r="D150" s="800"/>
      <c r="E150" s="756"/>
      <c r="G150" s="1840" t="n">
        <v>32</v>
      </c>
      <c r="H150" s="1841" t="n">
        <f aca="false">90000+(100*G150)+5</f>
        <v>93205</v>
      </c>
      <c r="I150" s="1845" t="n">
        <f aca="false">CO41</f>
        <v>0</v>
      </c>
      <c r="J150" s="1843" t="n">
        <f aca="false">90000+(100*G150)+7</f>
        <v>93207</v>
      </c>
      <c r="K150" s="1845" t="n">
        <f aca="false">CZ41</f>
        <v>0</v>
      </c>
      <c r="L150" s="1843" t="n">
        <f aca="false">90000+(100*G150)+8</f>
        <v>93208</v>
      </c>
      <c r="M150" s="1845" t="n">
        <f aca="false">CN41</f>
        <v>0</v>
      </c>
      <c r="N150" s="1843" t="n">
        <f aca="false">90000+(100*G150)+40</f>
        <v>93240</v>
      </c>
      <c r="O150" s="1842" t="n">
        <f aca="false">SUM(CP41:CT41)</f>
        <v>0</v>
      </c>
    </row>
    <row r="151" customFormat="false" ht="15" hidden="false" customHeight="false" outlineLevel="0" collapsed="false">
      <c r="B151" s="2055" t="n">
        <f aca="false">Summary!BD107</f>
        <v>90040</v>
      </c>
      <c r="C151" s="2056" t="str">
        <f aca="false">Summary!BE107</f>
        <v>Total Sub Labor</v>
      </c>
      <c r="D151" s="2057"/>
      <c r="E151" s="2058" t="n">
        <f aca="false">SUM(E152:E159)</f>
        <v>0</v>
      </c>
    </row>
    <row r="152" customFormat="false" ht="15" hidden="false" customHeight="false" outlineLevel="0" collapsed="false">
      <c r="B152" s="1404" t="n">
        <f aca="false">Summary!BD108</f>
        <v>90041</v>
      </c>
      <c r="C152" s="741" t="str">
        <f aca="false">Summary!BE108</f>
        <v>Labor Forming</v>
      </c>
      <c r="D152" s="318"/>
      <c r="E152" s="742" t="n">
        <f aca="false">O79</f>
        <v>0</v>
      </c>
    </row>
    <row r="153" customFormat="false" ht="15" hidden="false" customHeight="false" outlineLevel="0" collapsed="false">
      <c r="B153" s="1404" t="n">
        <f aca="false">Summary!BD109</f>
        <v>90042</v>
      </c>
      <c r="C153" s="741" t="str">
        <f aca="false">Summary!BE109</f>
        <v>Labor Grade, Poly, Reinf.</v>
      </c>
      <c r="D153" s="318"/>
      <c r="E153" s="751" t="n">
        <f aca="false">O80+O85</f>
        <v>0</v>
      </c>
      <c r="Q153" s="170" t="s">
        <v>1656</v>
      </c>
    </row>
    <row r="154" customFormat="false" ht="15" hidden="false" customHeight="false" outlineLevel="0" collapsed="false">
      <c r="B154" s="1404" t="n">
        <f aca="false">Summary!BD110</f>
        <v>90043</v>
      </c>
      <c r="C154" s="741" t="str">
        <f aca="false">Summary!BE110</f>
        <v>Labor Place &amp; Finish</v>
      </c>
      <c r="D154" s="318"/>
      <c r="E154" s="751" t="n">
        <f aca="false">O81</f>
        <v>0</v>
      </c>
      <c r="G154" s="1847"/>
      <c r="H154" s="1848"/>
      <c r="I154" s="373"/>
      <c r="J154" s="373"/>
      <c r="K154" s="373"/>
      <c r="L154" s="373"/>
    </row>
    <row r="155" customFormat="false" ht="15" hidden="false" customHeight="false" outlineLevel="0" collapsed="false">
      <c r="B155" s="1404" t="n">
        <f aca="false">Summary!BD111</f>
        <v>90044</v>
      </c>
      <c r="C155" s="741" t="str">
        <f aca="false">Summary!BE111</f>
        <v>Labor Drops</v>
      </c>
      <c r="D155" s="749"/>
      <c r="E155" s="742" t="n">
        <f aca="false">O83</f>
        <v>0</v>
      </c>
      <c r="G155" s="1847"/>
      <c r="H155" s="1848"/>
      <c r="I155" s="373"/>
      <c r="J155" s="373"/>
      <c r="K155" s="373"/>
      <c r="L155" s="373"/>
    </row>
    <row r="156" customFormat="false" ht="15" hidden="false" customHeight="false" outlineLevel="0" collapsed="false">
      <c r="B156" s="1404" t="n">
        <f aca="false">Summary!BD112</f>
        <v>90045</v>
      </c>
      <c r="C156" s="741" t="str">
        <f aca="false">Summary!BE112</f>
        <v>Labor Strip Forms</v>
      </c>
      <c r="D156" s="318"/>
      <c r="E156" s="751" t="n">
        <f aca="false">O82</f>
        <v>0</v>
      </c>
      <c r="G156" s="1847"/>
      <c r="H156" s="1848"/>
      <c r="I156" s="373"/>
      <c r="J156" s="373"/>
      <c r="K156" s="373"/>
      <c r="L156" s="373"/>
    </row>
    <row r="157" customFormat="false" ht="15" hidden="false" customHeight="false" outlineLevel="0" collapsed="false">
      <c r="B157" s="1404" t="n">
        <f aca="false">Summary!BD113</f>
        <v>90046</v>
      </c>
      <c r="C157" s="741" t="str">
        <f aca="false">Summary!BE113</f>
        <v>Labor Burden</v>
      </c>
      <c r="D157" s="318"/>
      <c r="E157" s="751" t="n">
        <f aca="false">O84</f>
        <v>0</v>
      </c>
      <c r="G157" s="1847"/>
      <c r="H157" s="1848"/>
      <c r="I157" s="373"/>
      <c r="J157" s="373"/>
      <c r="K157" s="373"/>
      <c r="L157" s="373"/>
    </row>
    <row r="158" customFormat="false" ht="15" hidden="false" customHeight="false" outlineLevel="0" collapsed="false">
      <c r="B158" s="1404" t="n">
        <f aca="false">Summary!BD114</f>
        <v>90047</v>
      </c>
      <c r="C158" s="741" t="str">
        <f aca="false">Summary!BE114</f>
        <v>Rebar</v>
      </c>
      <c r="D158" s="749"/>
      <c r="E158" s="742" t="n">
        <f aca="false">O87</f>
        <v>0</v>
      </c>
      <c r="G158" s="1847"/>
      <c r="H158" s="1848"/>
      <c r="I158" s="373"/>
      <c r="J158" s="373"/>
      <c r="K158" s="373"/>
      <c r="L158" s="373"/>
    </row>
    <row r="159" customFormat="false" ht="15" hidden="false" customHeight="false" outlineLevel="0" collapsed="false">
      <c r="B159" s="2692" t="n">
        <f aca="false">Summary!BD115</f>
        <v>90048</v>
      </c>
      <c r="C159" s="2693" t="str">
        <f aca="false">Summary!BE115</f>
        <v>PT Installation</v>
      </c>
      <c r="D159" s="800"/>
      <c r="E159" s="756" t="n">
        <f aca="false">O86</f>
        <v>0</v>
      </c>
      <c r="G159" s="1847"/>
      <c r="H159" s="1848"/>
      <c r="I159" s="373"/>
      <c r="J159" s="373"/>
      <c r="K159" s="373"/>
      <c r="L159" s="373"/>
    </row>
    <row r="160" customFormat="false" ht="15" hidden="false" customHeight="false" outlineLevel="0" collapsed="false">
      <c r="B160" s="2692" t="n">
        <f aca="false">Summary!BD116</f>
        <v>90049</v>
      </c>
      <c r="C160" s="2693" t="str">
        <f aca="false">Summary!BE116</f>
        <v>Extra Hours</v>
      </c>
      <c r="D160" s="800"/>
      <c r="E160" s="756" t="n">
        <f aca="false">O88</f>
        <v>0</v>
      </c>
      <c r="G160" s="1847"/>
      <c r="H160" s="1848"/>
      <c r="I160" s="373"/>
      <c r="J160" s="373"/>
      <c r="K160" s="373"/>
      <c r="L160" s="373"/>
    </row>
    <row r="161" customFormat="false" ht="15" hidden="false" customHeight="false" outlineLevel="0" collapsed="false">
      <c r="B161" s="2055" t="n">
        <f aca="false">Summary!BD117</f>
        <v>90060</v>
      </c>
      <c r="C161" s="2056" t="str">
        <f aca="false">Summary!BE117</f>
        <v>Total Equipment Rental</v>
      </c>
      <c r="D161" s="2057"/>
      <c r="E161" s="2058" t="n">
        <f aca="false">SUM(E162:E169)</f>
        <v>0</v>
      </c>
    </row>
    <row r="162" customFormat="false" ht="15" hidden="false" customHeight="false" outlineLevel="0" collapsed="false">
      <c r="B162" s="1404" t="n">
        <f aca="false">Summary!BD118</f>
        <v>90061</v>
      </c>
      <c r="C162" s="741" t="str">
        <f aca="false">Summary!BE118</f>
        <v>SkyTrack</v>
      </c>
      <c r="D162" s="318"/>
      <c r="E162" s="742" t="n">
        <f aca="false">O96/(1+$Y$44+J$98)</f>
        <v>0</v>
      </c>
    </row>
    <row r="163" customFormat="false" ht="15" hidden="false" customHeight="false" outlineLevel="0" collapsed="false">
      <c r="B163" s="1404" t="n">
        <f aca="false">Summary!BD119</f>
        <v>90062</v>
      </c>
      <c r="C163" s="741" t="str">
        <f aca="false">Summary!BE119</f>
        <v>Mini Excavator</v>
      </c>
      <c r="D163" s="318"/>
      <c r="E163" s="742" t="n">
        <f aca="false">O97/(1+$Y$44+J$98)</f>
        <v>0</v>
      </c>
    </row>
    <row r="164" customFormat="false" ht="15" hidden="false" customHeight="false" outlineLevel="0" collapsed="false">
      <c r="B164" s="1404" t="n">
        <f aca="false">Summary!BD120</f>
        <v>90063</v>
      </c>
      <c r="C164" s="741" t="str">
        <f aca="false">Summary!BE120</f>
        <v>Trencher</v>
      </c>
      <c r="D164" s="318"/>
      <c r="E164" s="742" t="n">
        <f aca="false">O98/(1+$Y$44+J$98)</f>
        <v>0</v>
      </c>
    </row>
    <row r="165" customFormat="false" ht="15" hidden="false" customHeight="false" outlineLevel="0" collapsed="false">
      <c r="B165" s="1404" t="n">
        <f aca="false">Summary!BD121</f>
        <v>90064</v>
      </c>
      <c r="C165" s="741" t="str">
        <f aca="false">Summary!BE121</f>
        <v>Skid Steer</v>
      </c>
      <c r="D165" s="318"/>
      <c r="E165" s="742" t="n">
        <f aca="false">O99/(1+$Y$44+J$98)</f>
        <v>0</v>
      </c>
    </row>
    <row r="166" customFormat="false" ht="15" hidden="false" customHeight="false" outlineLevel="0" collapsed="false">
      <c r="B166" s="1404" t="n">
        <f aca="false">Summary!BD122</f>
        <v>90065</v>
      </c>
      <c r="C166" s="741" t="str">
        <f aca="false">Summary!BE122</f>
        <v>General Equipment Rental</v>
      </c>
      <c r="D166" s="318"/>
      <c r="E166" s="742" t="n">
        <f aca="false">(O100+O101)/(1+$Y$44+J$98)</f>
        <v>0</v>
      </c>
    </row>
    <row r="167" customFormat="false" ht="15" hidden="false" customHeight="false" outlineLevel="0" collapsed="false">
      <c r="B167" s="1404" t="n">
        <f aca="false">Summary!BD123</f>
        <v>90066</v>
      </c>
      <c r="C167" s="741" t="str">
        <f aca="false">Summary!BE123</f>
        <v>Fuel</v>
      </c>
      <c r="D167" s="318"/>
      <c r="E167" s="742" t="n">
        <f aca="false">M98-SUM(E162:E166)</f>
        <v>0</v>
      </c>
    </row>
    <row r="168" customFormat="false" ht="15" hidden="false" customHeight="false" outlineLevel="0" collapsed="false">
      <c r="B168" s="1404" t="n">
        <f aca="false">Summary!BD124</f>
        <v>90067</v>
      </c>
      <c r="C168" s="741" t="str">
        <f aca="false">Summary!BE124</f>
        <v>Purchased Tools</v>
      </c>
      <c r="D168" s="318"/>
      <c r="E168" s="742"/>
    </row>
    <row r="169" customFormat="false" ht="15" hidden="false" customHeight="false" outlineLevel="0" collapsed="false">
      <c r="B169" s="1404" t="n">
        <f aca="false">Summary!BD125</f>
        <v>90068</v>
      </c>
      <c r="C169" s="741" t="str">
        <f aca="false">Summary!BE125</f>
        <v>Stolen/Damaged</v>
      </c>
      <c r="D169" s="318"/>
      <c r="E169" s="742"/>
    </row>
    <row r="170" customFormat="false" ht="15" hidden="false" customHeight="false" outlineLevel="0" collapsed="false">
      <c r="B170" s="1404" t="n">
        <f aca="false">Summary!BD126</f>
        <v>90070</v>
      </c>
      <c r="C170" s="741" t="str">
        <f aca="false">Summary!BE126</f>
        <v>Out of Town Expense</v>
      </c>
      <c r="D170" s="318"/>
      <c r="E170" s="742" t="n">
        <f aca="false">O108</f>
        <v>0</v>
      </c>
    </row>
    <row r="171" customFormat="false" ht="15" hidden="false" customHeight="false" outlineLevel="0" collapsed="false">
      <c r="B171" s="1404" t="n">
        <f aca="false">Summary!BD127</f>
        <v>90071</v>
      </c>
      <c r="C171" s="741" t="str">
        <f aca="false">Summary!BE127</f>
        <v>Miscellaneous</v>
      </c>
      <c r="D171" s="318"/>
      <c r="E171" s="751" t="n">
        <f aca="false">O109</f>
        <v>0</v>
      </c>
    </row>
    <row r="172" customFormat="false" ht="15" hidden="false" customHeight="false" outlineLevel="0" collapsed="false">
      <c r="B172" s="1404" t="n">
        <f aca="false">Summary!BD128</f>
        <v>90072</v>
      </c>
      <c r="C172" s="741" t="str">
        <f aca="false">Summary!BE128</f>
        <v>Repairs</v>
      </c>
      <c r="D172" s="318"/>
      <c r="E172" s="751"/>
    </row>
    <row r="173" customFormat="false" ht="15" hidden="false" customHeight="false" outlineLevel="0" collapsed="false">
      <c r="B173" s="1404" t="n">
        <f aca="false">Summary!BD129</f>
        <v>90073</v>
      </c>
      <c r="C173" s="741" t="str">
        <f aca="false">Summary!BE129</f>
        <v>Engineering</v>
      </c>
      <c r="D173" s="318"/>
      <c r="E173" s="751"/>
    </row>
    <row r="174" customFormat="false" ht="15" hidden="false" customHeight="false" outlineLevel="0" collapsed="false">
      <c r="B174" s="1404" t="n">
        <f aca="false">Summary!BD130</f>
        <v>90090</v>
      </c>
      <c r="C174" s="741" t="str">
        <f aca="false">Summary!BE130</f>
        <v>Not Used</v>
      </c>
    </row>
    <row r="175" customFormat="false" ht="15" hidden="false" customHeight="false" outlineLevel="0" collapsed="false">
      <c r="B175" s="1404" t="n">
        <f aca="false">Summary!BD131</f>
        <v>90091</v>
      </c>
      <c r="C175" s="741" t="str">
        <f aca="false">Summary!BE131</f>
        <v>Margin Contingency</v>
      </c>
      <c r="E175" s="373" t="n">
        <f aca="false">O110</f>
        <v>0</v>
      </c>
    </row>
  </sheetData>
  <mergeCells count="119">
    <mergeCell ref="AR7:BB7"/>
    <mergeCell ref="BC7:BM7"/>
    <mergeCell ref="CM8:DD8"/>
    <mergeCell ref="T9:V9"/>
    <mergeCell ref="D42:E42"/>
    <mergeCell ref="E43:F43"/>
    <mergeCell ref="B44:D44"/>
    <mergeCell ref="C45:D45"/>
    <mergeCell ref="E45:F45"/>
    <mergeCell ref="H45:I45"/>
    <mergeCell ref="V45:W45"/>
    <mergeCell ref="E46:F46"/>
    <mergeCell ref="G46:H46"/>
    <mergeCell ref="K46:L46"/>
    <mergeCell ref="V46:W46"/>
    <mergeCell ref="U48:V48"/>
    <mergeCell ref="U49:V50"/>
    <mergeCell ref="U51:V51"/>
    <mergeCell ref="U52:V53"/>
    <mergeCell ref="U59:V59"/>
    <mergeCell ref="O60:P60"/>
    <mergeCell ref="L64:M64"/>
    <mergeCell ref="K65:K69"/>
    <mergeCell ref="L65:M65"/>
    <mergeCell ref="O65:P65"/>
    <mergeCell ref="L66:M66"/>
    <mergeCell ref="O66:P66"/>
    <mergeCell ref="L67:M67"/>
    <mergeCell ref="O67:P67"/>
    <mergeCell ref="L68:M68"/>
    <mergeCell ref="O68:P68"/>
    <mergeCell ref="L69:M69"/>
    <mergeCell ref="O69:P69"/>
    <mergeCell ref="L70:M70"/>
    <mergeCell ref="O70:P70"/>
    <mergeCell ref="L71:M71"/>
    <mergeCell ref="O71:P71"/>
    <mergeCell ref="J72:K72"/>
    <mergeCell ref="L72:M72"/>
    <mergeCell ref="O72:P72"/>
    <mergeCell ref="L73:M73"/>
    <mergeCell ref="O73:P73"/>
    <mergeCell ref="E74:E76"/>
    <mergeCell ref="L74:M74"/>
    <mergeCell ref="O74:P74"/>
    <mergeCell ref="L75:M75"/>
    <mergeCell ref="O75:P75"/>
    <mergeCell ref="L76:M76"/>
    <mergeCell ref="O76:P76"/>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83:F83"/>
    <mergeCell ref="I83:J83"/>
    <mergeCell ref="L83:M83"/>
    <mergeCell ref="O83:P83"/>
    <mergeCell ref="O84:P84"/>
    <mergeCell ref="E85:F85"/>
    <mergeCell ref="I85:J85"/>
    <mergeCell ref="L85:M85"/>
    <mergeCell ref="O85:P85"/>
    <mergeCell ref="E86:F86"/>
    <mergeCell ref="I86:J86"/>
    <mergeCell ref="L86:M86"/>
    <mergeCell ref="O86:P86"/>
    <mergeCell ref="E87:F87"/>
    <mergeCell ref="I87:J87"/>
    <mergeCell ref="L87:M87"/>
    <mergeCell ref="O87:P87"/>
    <mergeCell ref="E88:F88"/>
    <mergeCell ref="L88:M88"/>
    <mergeCell ref="O88:P88"/>
    <mergeCell ref="L89:M89"/>
    <mergeCell ref="O89:P89"/>
    <mergeCell ref="M91:N91"/>
    <mergeCell ref="O91:P91"/>
    <mergeCell ref="M92:N92"/>
    <mergeCell ref="O92:P92"/>
    <mergeCell ref="O93:P93"/>
    <mergeCell ref="M94:N94"/>
    <mergeCell ref="O94:P94"/>
    <mergeCell ref="O96:P96"/>
    <mergeCell ref="J97:K97"/>
    <mergeCell ref="M97:N97"/>
    <mergeCell ref="O97:P97"/>
    <mergeCell ref="J98:K99"/>
    <mergeCell ref="M98:N98"/>
    <mergeCell ref="O98:P98"/>
    <mergeCell ref="O99:P99"/>
    <mergeCell ref="O100:P100"/>
    <mergeCell ref="O101:P101"/>
    <mergeCell ref="O103:P103"/>
    <mergeCell ref="O104:P104"/>
    <mergeCell ref="O105:P105"/>
    <mergeCell ref="O106:P106"/>
    <mergeCell ref="O107:P107"/>
    <mergeCell ref="O108:P108"/>
    <mergeCell ref="O109:P109"/>
    <mergeCell ref="B110:D110"/>
    <mergeCell ref="G110:H110"/>
    <mergeCell ref="O110:P110"/>
    <mergeCell ref="B112:D112"/>
    <mergeCell ref="E113:F113"/>
    <mergeCell ref="H113:I113"/>
    <mergeCell ref="V113:W113"/>
    <mergeCell ref="D118:E118"/>
  </mergeCells>
  <conditionalFormatting sqref="L64:M64">
    <cfRule type="containsText" priority="2" operator="containsText" aboveAverage="0" equalAverage="0" bottom="0" percent="0" rank="0" text="Missing" dxfId="18">
      <formula>NOT(ISERROR(SEARCH("Missing",L64)))</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2" manualBreakCount="2">
    <brk id="46" man="true" max="16383" min="0"/>
    <brk id="59" man="true" max="16383" min="0"/>
  </rowBreak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S153"/>
  <sheetViews>
    <sheetView showFormulas="false" showGridLines="true" showRowColHeaders="true" showZeros="true" rightToLeft="false" tabSelected="false" showOutlineSymbols="true" defaultGridColor="true" view="normal" topLeftCell="A41" colorId="64" zoomScale="70" zoomScaleNormal="70" zoomScalePageLayoutView="70" workbookViewId="0">
      <selection pane="topLeft" activeCell="A78" activeCellId="0" sqref="A78"/>
    </sheetView>
  </sheetViews>
  <sheetFormatPr defaultColWidth="0.18359375" defaultRowHeight="15" customHeight="false" zeroHeight="false" outlineLevelRow="0" outlineLevelCol="0"/>
  <cols>
    <col collapsed="false" customWidth="true" hidden="false" outlineLevel="0" max="1" min="1" style="16" width="17.82"/>
    <col collapsed="false" customWidth="true" hidden="false" outlineLevel="0" max="2" min="2" style="16" width="27.18"/>
    <col collapsed="false" customWidth="true" hidden="false" outlineLevel="0" max="3" min="3" style="16" width="12.18"/>
    <col collapsed="false" customWidth="true" hidden="false" outlineLevel="0" max="4" min="4" style="16" width="13"/>
    <col collapsed="false" customWidth="true" hidden="false" outlineLevel="0" max="5" min="5" style="16" width="9.82"/>
    <col collapsed="false" customWidth="true" hidden="false" outlineLevel="0" max="6" min="6" style="16" width="13.18"/>
    <col collapsed="false" customWidth="true" hidden="false" outlineLevel="0" max="7" min="7" style="16" width="11.82"/>
    <col collapsed="false" customWidth="true" hidden="false" outlineLevel="0" max="8" min="8" style="16" width="14.18"/>
    <col collapsed="false" customWidth="true" hidden="false" outlineLevel="0" max="13" min="9" style="16" width="12.82"/>
    <col collapsed="false" customWidth="true" hidden="false" outlineLevel="0" max="14" min="14" style="16" width="16.18"/>
    <col collapsed="false" customWidth="true" hidden="false" outlineLevel="0" max="15" min="15" style="16" width="20.82"/>
    <col collapsed="false" customWidth="true" hidden="false" outlineLevel="0" max="16" min="16" style="16" width="9.54"/>
    <col collapsed="false" customWidth="true" hidden="false" outlineLevel="0" max="20" min="17" style="16" width="15.82"/>
    <col collapsed="false" customWidth="true" hidden="false" outlineLevel="0" max="21" min="21" style="16" width="12"/>
    <col collapsed="false" customWidth="true" hidden="false" outlineLevel="0" max="22" min="22" style="16" width="22.82"/>
    <col collapsed="false" customWidth="true" hidden="false" outlineLevel="0" max="23" min="23" style="0" width="15"/>
    <col collapsed="false" customWidth="true" hidden="false" outlineLevel="0" max="28" min="24" style="0" width="9.18"/>
    <col collapsed="false" customWidth="true" hidden="false" outlineLevel="0" max="29" min="29" style="0" width="10.18"/>
    <col collapsed="false" customWidth="true" hidden="false" outlineLevel="0" max="40" min="30" style="0" width="9.18"/>
    <col collapsed="false" customWidth="true" hidden="false" outlineLevel="0" max="41" min="41" style="0" width="11.45"/>
    <col collapsed="false" customWidth="true" hidden="false" outlineLevel="0" max="44" min="42" style="0" width="9.18"/>
    <col collapsed="false" customWidth="true" hidden="false" outlineLevel="0" max="45" min="45" style="0" width="18.45"/>
    <col collapsed="false" customWidth="true" hidden="false" outlineLevel="0" max="46" min="46" style="0" width="16.45"/>
    <col collapsed="false" customWidth="true" hidden="false" outlineLevel="0" max="47" min="47" style="0" width="22"/>
    <col collapsed="false" customWidth="true" hidden="false" outlineLevel="0" max="48" min="48" style="0" width="15.18"/>
    <col collapsed="false" customWidth="true" hidden="false" outlineLevel="0" max="49" min="49" style="0" width="13.18"/>
    <col collapsed="false" customWidth="true" hidden="false" outlineLevel="0" max="50" min="50" style="0" width="12"/>
    <col collapsed="false" customWidth="true" hidden="false" outlineLevel="0" max="53" min="51" style="0" width="10.18"/>
    <col collapsed="false" customWidth="true" hidden="false" outlineLevel="0" max="54" min="54" style="0" width="12.82"/>
    <col collapsed="false" customWidth="true" hidden="false" outlineLevel="0" max="55" min="55" style="0" width="12"/>
    <col collapsed="false" customWidth="true" hidden="false" outlineLevel="0" max="56" min="56" style="0" width="9.18"/>
    <col collapsed="false" customWidth="true" hidden="false" outlineLevel="0" max="58" min="57" style="0" width="13.18"/>
    <col collapsed="false" customWidth="true" hidden="false" outlineLevel="0" max="59" min="59" style="0" width="18.45"/>
    <col collapsed="false" customWidth="true" hidden="false" outlineLevel="0" max="60" min="60" style="0" width="12.45"/>
    <col collapsed="false" customWidth="true" hidden="false" outlineLevel="0" max="61" min="61" style="0" width="10"/>
    <col collapsed="false" customWidth="true" hidden="false" outlineLevel="0" max="63" min="62" style="0" width="12"/>
    <col collapsed="false" customWidth="true" hidden="false" outlineLevel="0" max="230" min="64" style="0" width="9.18"/>
    <col collapsed="false" customWidth="true" hidden="false" outlineLevel="0" max="263" min="231" style="16" width="9.18"/>
    <col collapsed="false" customWidth="false" hidden="false" outlineLevel="0" max="16384" min="264" style="16" width="0.18"/>
  </cols>
  <sheetData>
    <row r="1" customFormat="false" ht="24" hidden="false" customHeight="true" outlineLevel="0" collapsed="false">
      <c r="A1" s="829" t="s">
        <v>1355</v>
      </c>
      <c r="C1" s="654"/>
      <c r="D1" s="654"/>
      <c r="E1" s="654"/>
      <c r="F1" s="654"/>
      <c r="G1" s="654"/>
      <c r="H1" s="654"/>
      <c r="I1" s="654"/>
      <c r="J1" s="654"/>
      <c r="K1" s="654"/>
      <c r="L1" s="654"/>
      <c r="M1" s="654"/>
      <c r="N1" s="654"/>
      <c r="O1" s="654"/>
      <c r="P1" s="654"/>
      <c r="Q1" s="654"/>
      <c r="R1" s="654"/>
      <c r="S1" s="830" t="s">
        <v>1193</v>
      </c>
      <c r="T1" s="830"/>
      <c r="U1" s="831" t="n">
        <v>37456</v>
      </c>
      <c r="V1" s="831"/>
    </row>
    <row r="2" customFormat="false" ht="24" hidden="false" customHeight="true" outlineLevel="0" collapsed="false">
      <c r="A2" s="1200" t="str">
        <f aca="false">Summary!C1</f>
        <v>Trammell Crow – LBJ</v>
      </c>
      <c r="B2" s="1200"/>
      <c r="C2" s="1200"/>
      <c r="D2" s="1200"/>
      <c r="E2" s="654"/>
      <c r="F2" s="654"/>
      <c r="G2" s="1201" t="s">
        <v>56</v>
      </c>
      <c r="H2" s="406"/>
      <c r="I2" s="1068"/>
      <c r="J2" s="1202" t="s">
        <v>57</v>
      </c>
      <c r="K2" s="614"/>
      <c r="L2" s="614"/>
      <c r="M2" s="614"/>
      <c r="N2" s="1202" t="s">
        <v>1</v>
      </c>
      <c r="O2" s="1202"/>
      <c r="P2" s="865" t="s">
        <v>1194</v>
      </c>
      <c r="Q2" s="865"/>
      <c r="R2" s="654"/>
      <c r="S2" s="836" t="s">
        <v>957</v>
      </c>
      <c r="T2" s="695"/>
      <c r="U2" s="837" t="n">
        <f aca="false">Information!C7</f>
        <v>0</v>
      </c>
      <c r="V2" s="838"/>
    </row>
    <row r="3" customFormat="false" ht="24" hidden="false" customHeight="true" outlineLevel="0" collapsed="false">
      <c r="A3" s="1204" t="n">
        <f aca="false">Summary!C2</f>
        <v>0</v>
      </c>
      <c r="B3" s="1204"/>
      <c r="C3" s="1204"/>
      <c r="D3" s="1204"/>
      <c r="E3" s="654"/>
      <c r="F3" s="654"/>
      <c r="G3" s="2694" t="s">
        <v>955</v>
      </c>
      <c r="H3" s="421"/>
      <c r="I3" s="1876" t="n">
        <f aca="false">Summary!K2</f>
        <v>0</v>
      </c>
      <c r="J3" s="1876"/>
      <c r="K3" s="1876"/>
      <c r="L3" s="1876"/>
      <c r="M3" s="1876"/>
      <c r="N3" s="1878" t="n">
        <f aca="false">Summary!O2</f>
        <v>0</v>
      </c>
      <c r="O3" s="1878"/>
      <c r="P3" s="2144" t="n">
        <f aca="false">Summary!P2</f>
        <v>0</v>
      </c>
      <c r="Q3" s="2144"/>
      <c r="R3" s="654"/>
      <c r="S3" s="599"/>
      <c r="V3" s="843"/>
    </row>
    <row r="4" customFormat="false" ht="24" hidden="false" customHeight="true" outlineLevel="0" collapsed="false">
      <c r="A4" s="1208" t="str">
        <f aca="false">Summary!C3</f>
        <v>Dallas, TX</v>
      </c>
      <c r="B4" s="1208"/>
      <c r="C4" s="1208"/>
      <c r="D4" s="1208"/>
      <c r="E4" s="654"/>
      <c r="F4" s="654"/>
      <c r="G4" s="421"/>
      <c r="H4" s="1004" t="s">
        <v>71</v>
      </c>
      <c r="I4" s="1879" t="n">
        <f aca="false">Summary!K3</f>
        <v>0</v>
      </c>
      <c r="J4" s="1879"/>
      <c r="K4" s="1879"/>
      <c r="L4" s="1879"/>
      <c r="M4" s="1879"/>
      <c r="N4" s="1881" t="n">
        <f aca="false">Summary!O3</f>
        <v>0</v>
      </c>
      <c r="O4" s="1881"/>
      <c r="P4" s="2145" t="n">
        <f aca="false">Summary!P3</f>
        <v>0</v>
      </c>
      <c r="Q4" s="2145"/>
      <c r="R4" s="654"/>
      <c r="S4" s="599" t="s">
        <v>958</v>
      </c>
      <c r="U4" s="848"/>
      <c r="V4" s="849"/>
    </row>
    <row r="5" customFormat="false" ht="24" hidden="false" customHeight="true" outlineLevel="0" collapsed="false">
      <c r="A5" s="405" t="s">
        <v>0</v>
      </c>
      <c r="C5" s="405" t="s">
        <v>1</v>
      </c>
      <c r="E5" s="654"/>
      <c r="F5" s="654"/>
      <c r="G5" s="421"/>
      <c r="H5" s="1004" t="s">
        <v>79</v>
      </c>
      <c r="I5" s="1879" t="n">
        <f aca="false">Summary!K4</f>
        <v>0</v>
      </c>
      <c r="J5" s="1879"/>
      <c r="K5" s="1879"/>
      <c r="L5" s="1879"/>
      <c r="M5" s="1879"/>
      <c r="N5" s="1881" t="n">
        <f aca="false">Summary!O4</f>
        <v>0</v>
      </c>
      <c r="O5" s="1881"/>
      <c r="P5" s="2145" t="n">
        <f aca="false">Summary!P4</f>
        <v>0</v>
      </c>
      <c r="Q5" s="2145"/>
      <c r="R5" s="654"/>
      <c r="S5" s="599"/>
      <c r="V5" s="843"/>
    </row>
    <row r="6" customFormat="false" ht="24" hidden="false" customHeight="true" outlineLevel="0" collapsed="false">
      <c r="A6" s="857" t="n">
        <v>0</v>
      </c>
      <c r="B6" s="654"/>
      <c r="C6" s="851" t="n">
        <v>0</v>
      </c>
      <c r="D6" s="851"/>
      <c r="E6" s="654"/>
      <c r="F6" s="654"/>
      <c r="G6" s="685"/>
      <c r="H6" s="1212" t="s">
        <v>87</v>
      </c>
      <c r="I6" s="2146" t="n">
        <f aca="false">Summary!K5</f>
        <v>0</v>
      </c>
      <c r="J6" s="2146"/>
      <c r="K6" s="2146"/>
      <c r="L6" s="2146"/>
      <c r="M6" s="2146"/>
      <c r="N6" s="2147" t="n">
        <f aca="false">Summary!O5</f>
        <v>0</v>
      </c>
      <c r="O6" s="2147"/>
      <c r="P6" s="2148" t="n">
        <f aca="false">Summary!P5</f>
        <v>0</v>
      </c>
      <c r="Q6" s="2148"/>
      <c r="R6" s="654"/>
      <c r="S6" s="602" t="s">
        <v>958</v>
      </c>
      <c r="T6" s="855"/>
      <c r="U6" s="855"/>
      <c r="V6" s="856"/>
    </row>
    <row r="7" customFormat="false" ht="24" hidden="false" customHeight="true" outlineLevel="0" collapsed="false">
      <c r="A7" s="850" t="n">
        <v>0</v>
      </c>
      <c r="B7" s="654"/>
      <c r="C7" s="1215" t="n">
        <v>0</v>
      </c>
      <c r="D7" s="1215"/>
      <c r="E7" s="654"/>
      <c r="F7" s="1216" t="s">
        <v>1196</v>
      </c>
      <c r="G7" s="1216"/>
      <c r="H7" s="1216"/>
      <c r="I7" s="2695" t="str">
        <f aca="false">Pricing!A3</f>
        <v>SRM</v>
      </c>
      <c r="J7" s="2695"/>
      <c r="K7" s="2695"/>
      <c r="L7" s="2695"/>
      <c r="M7" s="2695"/>
      <c r="N7" s="654"/>
      <c r="O7" s="654"/>
      <c r="P7" s="654"/>
      <c r="Q7" s="654"/>
      <c r="R7" s="654"/>
      <c r="S7" s="654"/>
      <c r="T7" s="654"/>
      <c r="U7" s="654"/>
      <c r="V7" s="654"/>
      <c r="AU7" s="2696" t="s">
        <v>1507</v>
      </c>
      <c r="AV7" s="2697"/>
      <c r="AW7" s="2697"/>
      <c r="AX7" s="2697"/>
      <c r="AY7" s="2697"/>
      <c r="AZ7" s="2697"/>
      <c r="BA7" s="2697"/>
      <c r="BB7" s="2697"/>
      <c r="BC7" s="2697"/>
      <c r="BD7" s="2697"/>
      <c r="BE7" s="2697"/>
      <c r="BF7" s="2697"/>
      <c r="BG7" s="2697"/>
      <c r="BH7" s="2697"/>
      <c r="BI7" s="2697"/>
      <c r="BJ7" s="2697"/>
      <c r="BK7" s="2697"/>
      <c r="BL7" s="2698"/>
    </row>
    <row r="8" customFormat="false" ht="24" hidden="false" customHeight="true" outlineLevel="0" collapsed="false">
      <c r="A8" s="1446" t="s">
        <v>1915</v>
      </c>
      <c r="B8" s="1446"/>
      <c r="C8" s="2699" t="s">
        <v>1754</v>
      </c>
      <c r="D8" s="2699"/>
      <c r="E8" s="1445" t="s">
        <v>1755</v>
      </c>
      <c r="F8" s="1444" t="s">
        <v>1761</v>
      </c>
      <c r="G8" s="2700" t="s">
        <v>1209</v>
      </c>
      <c r="H8" s="1444" t="s">
        <v>1916</v>
      </c>
      <c r="I8" s="1444" t="s">
        <v>1757</v>
      </c>
      <c r="J8" s="1222" t="s">
        <v>1917</v>
      </c>
      <c r="K8" s="1222"/>
      <c r="L8" s="1222"/>
      <c r="M8" s="2701" t="s">
        <v>1918</v>
      </c>
      <c r="N8" s="2701"/>
      <c r="O8" s="2701"/>
      <c r="P8" s="1452" t="s">
        <v>1764</v>
      </c>
      <c r="Q8" s="1452" t="s">
        <v>1919</v>
      </c>
      <c r="R8" s="1452" t="s">
        <v>1483</v>
      </c>
      <c r="S8" s="1672" t="s">
        <v>1219</v>
      </c>
      <c r="T8" s="1452" t="s">
        <v>1766</v>
      </c>
      <c r="U8" s="1673" t="s">
        <v>1767</v>
      </c>
      <c r="V8" s="1673"/>
      <c r="AU8" s="2702"/>
      <c r="AV8" s="2703"/>
      <c r="AW8" s="2704"/>
      <c r="AX8" s="2703"/>
      <c r="AY8" s="2703"/>
      <c r="AZ8" s="2705"/>
      <c r="BA8" s="2703"/>
      <c r="BB8" s="2703"/>
      <c r="BC8" s="2703"/>
      <c r="BD8" s="2703"/>
      <c r="BE8" s="2703"/>
      <c r="BF8" s="2703"/>
      <c r="BG8" s="2703"/>
      <c r="BH8" s="2703"/>
      <c r="BI8" s="2703"/>
      <c r="BJ8" s="2703"/>
      <c r="BK8" s="2703"/>
      <c r="BL8" s="2706"/>
      <c r="BO8" s="2159" t="s">
        <v>1021</v>
      </c>
      <c r="BP8" s="2159"/>
      <c r="BQ8" s="2159"/>
      <c r="BR8" s="2159"/>
      <c r="BS8" s="2159"/>
    </row>
    <row r="9" customFormat="false" ht="32.25" hidden="false" customHeight="true" outlineLevel="0" collapsed="false">
      <c r="A9" s="1446"/>
      <c r="B9" s="1446"/>
      <c r="C9" s="2699"/>
      <c r="D9" s="2699"/>
      <c r="E9" s="1445"/>
      <c r="F9" s="1444"/>
      <c r="G9" s="2700"/>
      <c r="H9" s="1444"/>
      <c r="I9" s="1444"/>
      <c r="J9" s="2707" t="s">
        <v>1259</v>
      </c>
      <c r="K9" s="988" t="s">
        <v>1920</v>
      </c>
      <c r="L9" s="988" t="s">
        <v>1921</v>
      </c>
      <c r="M9" s="2707" t="s">
        <v>1215</v>
      </c>
      <c r="N9" s="2708" t="s">
        <v>1216</v>
      </c>
      <c r="O9" s="2709" t="s">
        <v>558</v>
      </c>
      <c r="P9" s="1452"/>
      <c r="Q9" s="1452"/>
      <c r="R9" s="1452"/>
      <c r="S9" s="1672"/>
      <c r="T9" s="1452"/>
      <c r="U9" s="1452"/>
      <c r="V9" s="1673"/>
      <c r="AD9" s="0" t="s">
        <v>1374</v>
      </c>
      <c r="AE9" s="0" t="s">
        <v>1375</v>
      </c>
      <c r="AF9" s="0" t="s">
        <v>1376</v>
      </c>
      <c r="AG9" s="0" t="s">
        <v>1377</v>
      </c>
      <c r="AH9" s="0" t="s">
        <v>1378</v>
      </c>
      <c r="AI9" s="0" t="s">
        <v>1522</v>
      </c>
      <c r="AJ9" s="0" t="s">
        <v>1523</v>
      </c>
      <c r="AK9" s="0" t="s">
        <v>1524</v>
      </c>
      <c r="AL9" s="0" t="s">
        <v>1525</v>
      </c>
      <c r="AM9" s="0" t="s">
        <v>1526</v>
      </c>
      <c r="AN9" s="0" t="s">
        <v>1527</v>
      </c>
      <c r="AO9" s="0" t="s">
        <v>1768</v>
      </c>
      <c r="AP9" s="0" t="s">
        <v>1769</v>
      </c>
      <c r="AQ9" s="0" t="s">
        <v>1770</v>
      </c>
      <c r="AR9" s="10" t="s">
        <v>1922</v>
      </c>
      <c r="AS9" s="10" t="s">
        <v>1923</v>
      </c>
      <c r="AT9" s="286" t="s">
        <v>1734</v>
      </c>
      <c r="AU9" s="2710" t="s">
        <v>1384</v>
      </c>
      <c r="AV9" s="266" t="s">
        <v>1385</v>
      </c>
      <c r="AW9" s="2711" t="s">
        <v>1771</v>
      </c>
      <c r="AX9" s="266" t="s">
        <v>1924</v>
      </c>
      <c r="AY9" s="266" t="str">
        <f aca="false">A63</f>
        <v>STAIR TREADS</v>
      </c>
      <c r="AZ9" s="2712" t="s">
        <v>1159</v>
      </c>
      <c r="BA9" s="266" t="s">
        <v>1340</v>
      </c>
      <c r="BB9" s="266" t="s">
        <v>1540</v>
      </c>
      <c r="BC9" s="266" t="s">
        <v>1541</v>
      </c>
      <c r="BD9" s="266" t="s">
        <v>976</v>
      </c>
      <c r="BE9" s="266" t="s">
        <v>1542</v>
      </c>
      <c r="BF9" s="266" t="s">
        <v>1513</v>
      </c>
      <c r="BG9" s="495" t="s">
        <v>1925</v>
      </c>
      <c r="BH9" s="266" t="s">
        <v>1775</v>
      </c>
      <c r="BI9" s="266" t="s">
        <v>1431</v>
      </c>
      <c r="BJ9" s="266" t="s">
        <v>598</v>
      </c>
      <c r="BK9" s="495" t="s">
        <v>1039</v>
      </c>
      <c r="BL9" s="2713"/>
      <c r="BO9" s="2165" t="s">
        <v>568</v>
      </c>
      <c r="BP9" s="2167" t="s">
        <v>1926</v>
      </c>
      <c r="BQ9" s="2166" t="s">
        <v>721</v>
      </c>
      <c r="BR9" s="2167" t="s">
        <v>1927</v>
      </c>
      <c r="BS9" s="2168" t="s">
        <v>1418</v>
      </c>
    </row>
    <row r="10" customFormat="false" ht="24" hidden="false" customHeight="true" outlineLevel="0" collapsed="false">
      <c r="A10" s="2714"/>
      <c r="B10" s="2715"/>
      <c r="C10" s="2716"/>
      <c r="D10" s="2717"/>
      <c r="E10" s="2718"/>
      <c r="F10" s="2719"/>
      <c r="G10" s="2720"/>
      <c r="H10" s="2721"/>
      <c r="I10" s="2718"/>
      <c r="J10" s="2722"/>
      <c r="K10" s="2718"/>
      <c r="L10" s="2718"/>
      <c r="M10" s="2723"/>
      <c r="N10" s="2718"/>
      <c r="O10" s="2718"/>
      <c r="P10" s="2724" t="n">
        <f aca="false">C10*F10/324*(1+J$54)</f>
        <v>0</v>
      </c>
      <c r="Q10" s="2724" t="n">
        <f aca="false">IF(O10&gt;0,C10,0)</f>
        <v>0</v>
      </c>
      <c r="R10" s="2725" t="n">
        <f aca="false">IF(N10=0,0,(N10/12+N10/12)/(N10/12*N10/12)*C10*((M10/16*M10/16)*10.6870159)+J10*4)*(1+J$51)</f>
        <v>0</v>
      </c>
      <c r="S10" s="2726" t="n">
        <f aca="false">((C10*E10/324)+IF(J10&gt;0,(J10*K10*(L10+12)/3888),0))*(1+J$44)</f>
        <v>0</v>
      </c>
      <c r="T10" s="2727" t="n">
        <f aca="false">IF(C10=0,0,U10/C10)</f>
        <v>0</v>
      </c>
      <c r="U10" s="2728" t="n">
        <f aca="false">(AT10-BK10)*(1+L$36)</f>
        <v>0</v>
      </c>
      <c r="V10" s="2728"/>
      <c r="W10" s="179"/>
      <c r="AD10" s="2729" t="n">
        <f aca="false">IF($G10=1,$S10,0)</f>
        <v>0</v>
      </c>
      <c r="AE10" s="2730" t="n">
        <f aca="false">IF($G10=2,$S10,0)</f>
        <v>0</v>
      </c>
      <c r="AF10" s="2730" t="n">
        <f aca="false">IF($G10=3,$S10,0)</f>
        <v>0</v>
      </c>
      <c r="AG10" s="2730" t="n">
        <f aca="false">IF($G10=4,$S10,0)</f>
        <v>0</v>
      </c>
      <c r="AH10" s="2730" t="n">
        <f aca="false">IF($G10=5,$S10,0)</f>
        <v>0</v>
      </c>
      <c r="AI10" s="2730" t="n">
        <f aca="false">IF($G10=6,$S10,0)</f>
        <v>0</v>
      </c>
      <c r="AJ10" s="2730" t="n">
        <f aca="false">IF($G10=7,$S10,0)</f>
        <v>0</v>
      </c>
      <c r="AK10" s="2730" t="n">
        <f aca="false">IF($G10=8,$S10,0)</f>
        <v>0</v>
      </c>
      <c r="AL10" s="2730" t="n">
        <f aca="false">IF($G10=9,$S10,0)</f>
        <v>0</v>
      </c>
      <c r="AM10" s="2731" t="n">
        <f aca="false">IF($G10=10,$S10,0)</f>
        <v>0</v>
      </c>
      <c r="AN10" s="2730" t="n">
        <f aca="false">SUM(AD10:AI10)</f>
        <v>0</v>
      </c>
      <c r="AO10" s="2730" t="n">
        <f aca="false">IF(H10="Y",C10,0)</f>
        <v>0</v>
      </c>
      <c r="AP10" s="2730" t="n">
        <f aca="false">IF(C10=0,0,IF(E10&lt;8,C10/K$79,0))</f>
        <v>0</v>
      </c>
      <c r="AQ10" s="2730" t="n">
        <f aca="false">IF(C10=0,0,IF(E10&gt;8,C10/K$79,0))</f>
        <v>0</v>
      </c>
      <c r="AR10" s="2730" t="n">
        <f aca="false">IF(H10&gt;0,C10,0)</f>
        <v>0</v>
      </c>
      <c r="AS10" s="2730" t="n">
        <f aca="false">IF(I10="y",C10,0)</f>
        <v>0</v>
      </c>
      <c r="AT10" s="373" t="n">
        <f aca="false">SUM(AU10:BL10)</f>
        <v>0</v>
      </c>
      <c r="AU10" s="2732" t="n">
        <f aca="false">(AD10*Pricing!F$3+AE10*Pricing!G$3+AF10*Pricing!H$3+AG10*Pricing!I$3+AH10*Pricing!J$3+AI10*Pricing!K$3+AJ10*Pricing!L$3+AK10*Pricing!M$3+AL10*Pricing!N$3+AM10*Pricing!O$3)*IF(T$35="N",(1+V$35),1)</f>
        <v>0</v>
      </c>
      <c r="AV10" s="96" t="n">
        <f aca="false">R10*F$51*IF(T$35="n",1+V$35,1)</f>
        <v>0</v>
      </c>
      <c r="AW10" s="2733" t="str">
        <f aca="false">IF(C10=0,"",C10*G$59)</f>
        <v/>
      </c>
      <c r="AX10" s="96" t="n">
        <f aca="false">IF(N$62=0,0,N$62/H$59*C10)</f>
        <v>0</v>
      </c>
      <c r="AY10" s="96" t="n">
        <f aca="false">J10*D$63</f>
        <v>0</v>
      </c>
      <c r="AZ10" s="587" t="n">
        <f aca="false">IF(N$64=0,0,N$64/H$59*C10)</f>
        <v>0</v>
      </c>
      <c r="BA10" s="96" t="n">
        <f aca="false">IF(C$32=0,0,N$84/C$32*C10)</f>
        <v>0</v>
      </c>
      <c r="BB10" s="96" t="n">
        <f aca="false">IF(C10=0,0,(SUM(N$67:O$70)+N$86)/C$32*C10)</f>
        <v>0</v>
      </c>
      <c r="BC10" s="96" t="n">
        <f aca="false">IF(C10=0,0,SUM(W$44:W$87)/C$32*C10)</f>
        <v>0</v>
      </c>
      <c r="BD10" s="96" t="n">
        <f aca="false">IF(C10=0,0,(SUM(N$72:O$77)-N$77)/C$32*C10)</f>
        <v>0</v>
      </c>
      <c r="BE10" s="96" t="n">
        <f aca="false">IF(C10=0,0,SUM(N$79:N$83)/C$32)*C10</f>
        <v>0</v>
      </c>
      <c r="BF10" s="96" t="n">
        <f aca="false">P10*F$54*IF(T$35="N",1+V$35,1)</f>
        <v>0</v>
      </c>
      <c r="BG10" s="96" t="n">
        <f aca="false">H10*C10</f>
        <v>0</v>
      </c>
      <c r="BH10" s="96" t="n">
        <f aca="false">IF(I10="y",N$77/AS$32*C10,0)</f>
        <v>0</v>
      </c>
      <c r="BI10" s="96" t="n">
        <f aca="false">IF(K$56=0,0,N$56/K$56*K10)</f>
        <v>0</v>
      </c>
      <c r="BJ10" s="96" t="n">
        <f aca="false">IF(O10=6,Pricing!D$28,IF(O10=8,Pricing!D$27,IF(O10=10,Pricing!D$26,0)))*Q10*(1+J$52)*IF(T$35="Y",1,1+V$35)</f>
        <v>0</v>
      </c>
      <c r="BK10" s="96" t="n">
        <f aca="false">IF(N$88=0,0,N$88/H$59*C10)</f>
        <v>0</v>
      </c>
      <c r="BL10" s="2734"/>
      <c r="BO10" s="2735" t="n">
        <f aca="false">A10</f>
        <v>0</v>
      </c>
      <c r="BP10" s="2191" t="n">
        <f aca="false">J10</f>
        <v>0</v>
      </c>
      <c r="BQ10" s="1928" t="n">
        <f aca="false">R10</f>
        <v>0</v>
      </c>
      <c r="BR10" s="1414" t="n">
        <f aca="false">IF(H10=0,0,C10*H10)</f>
        <v>0</v>
      </c>
      <c r="BS10" s="2736" t="n">
        <f aca="false">C10</f>
        <v>0</v>
      </c>
    </row>
    <row r="11" customFormat="false" ht="24" hidden="false" customHeight="true" outlineLevel="0" collapsed="false">
      <c r="A11" s="2737"/>
      <c r="B11" s="2738"/>
      <c r="C11" s="2739"/>
      <c r="D11" s="2740"/>
      <c r="E11" s="2741"/>
      <c r="F11" s="2742"/>
      <c r="G11" s="2743"/>
      <c r="H11" s="2744"/>
      <c r="I11" s="2741"/>
      <c r="J11" s="2745"/>
      <c r="K11" s="2741"/>
      <c r="L11" s="2741"/>
      <c r="M11" s="2746"/>
      <c r="N11" s="2741"/>
      <c r="O11" s="2741"/>
      <c r="P11" s="2182" t="n">
        <f aca="false">C11*F11/324*(1+J$54)</f>
        <v>0</v>
      </c>
      <c r="Q11" s="2182" t="n">
        <f aca="false">IF(O11&gt;0,C11,0)</f>
        <v>0</v>
      </c>
      <c r="R11" s="1515" t="n">
        <f aca="false">IF(N11=0,0,(N11/12+N11/12)/(N11/12*N11/12)*C11*((M11/16*M11/16)*10.6870159)+J11*4)*(1+J$51)</f>
        <v>0</v>
      </c>
      <c r="S11" s="2747" t="n">
        <f aca="false">((C11*E11/324)+IF(J11&gt;0,(J11*K11*(L11+12)/3888),0))*(1+J$44)</f>
        <v>0</v>
      </c>
      <c r="T11" s="2202" t="n">
        <f aca="false">IF(C11=0,0,U11/C11)</f>
        <v>0</v>
      </c>
      <c r="U11" s="2184" t="n">
        <f aca="false">(AT11-BK11)*(1+L$36)</f>
        <v>0</v>
      </c>
      <c r="V11" s="2184"/>
      <c r="W11" s="179"/>
      <c r="AD11" s="2748" t="n">
        <f aca="false">IF($G11=1,$S11,0)</f>
        <v>0</v>
      </c>
      <c r="AE11" s="531" t="n">
        <f aca="false">IF($G11=2,$S11,0)</f>
        <v>0</v>
      </c>
      <c r="AF11" s="531" t="n">
        <f aca="false">IF($G11=3,$S11,0)</f>
        <v>0</v>
      </c>
      <c r="AG11" s="531" t="n">
        <f aca="false">IF($G11=4,$S11,0)</f>
        <v>0</v>
      </c>
      <c r="AH11" s="531" t="n">
        <f aca="false">IF($G11=5,$S11,0)</f>
        <v>0</v>
      </c>
      <c r="AI11" s="531" t="n">
        <f aca="false">IF($G11=6,$S11,0)</f>
        <v>0</v>
      </c>
      <c r="AJ11" s="531" t="n">
        <f aca="false">IF($G11=7,$S11,0)</f>
        <v>0</v>
      </c>
      <c r="AK11" s="531" t="n">
        <f aca="false">IF($G11=8,$S11,0)</f>
        <v>0</v>
      </c>
      <c r="AL11" s="531" t="n">
        <f aca="false">IF($G11=9,$S11,0)</f>
        <v>0</v>
      </c>
      <c r="AM11" s="2749" t="n">
        <f aca="false">IF($G11=10,$S11,0)</f>
        <v>0</v>
      </c>
      <c r="AN11" s="531" t="n">
        <f aca="false">SUM(AD11:AI11)</f>
        <v>0</v>
      </c>
      <c r="AO11" s="531" t="n">
        <f aca="false">IF(H11="Y",C11,0)</f>
        <v>0</v>
      </c>
      <c r="AP11" s="531" t="n">
        <f aca="false">IF(C11=0,0,IF(E11&lt;8,C11/K$79,0))</f>
        <v>0</v>
      </c>
      <c r="AQ11" s="531" t="n">
        <f aca="false">IF(C11=0,0,IF(E11&gt;8,C11/K$79,0))</f>
        <v>0</v>
      </c>
      <c r="AR11" s="531" t="n">
        <f aca="false">IF(H11&gt;0,C11,0)</f>
        <v>0</v>
      </c>
      <c r="AS11" s="531" t="n">
        <f aca="false">IF(I11="y",C11,0)</f>
        <v>0</v>
      </c>
      <c r="AT11" s="373" t="n">
        <f aca="false">SUM(AU11:BL11)</f>
        <v>0</v>
      </c>
      <c r="AU11" s="2732" t="n">
        <f aca="false">(AD11*Pricing!F$3+AE11*Pricing!G$3+AF11*Pricing!H$3+AG11*Pricing!I$3+AH11*Pricing!J$3+AI11*Pricing!K$3+AJ11*Pricing!L$3+AK11*Pricing!M$3+AL11*Pricing!N$3+AM11*Pricing!O$3)*IF(T$35="N",(1+V$35),1)</f>
        <v>0</v>
      </c>
      <c r="AV11" s="96" t="n">
        <f aca="false">R11*F$51*IF(T$35="n",1+V$35,1)</f>
        <v>0</v>
      </c>
      <c r="AW11" s="2733" t="str">
        <f aca="false">IF(C11=0,"",C11*G$59)</f>
        <v/>
      </c>
      <c r="AX11" s="96" t="n">
        <f aca="false">IF(N$62=0,0,N$62/H$59*C11)</f>
        <v>0</v>
      </c>
      <c r="AY11" s="96" t="n">
        <f aca="false">J11*D$63</f>
        <v>0</v>
      </c>
      <c r="AZ11" s="587" t="n">
        <f aca="false">IF(N$64=0,0,N$64/H$59*C11)</f>
        <v>0</v>
      </c>
      <c r="BA11" s="96" t="n">
        <f aca="false">IF(C$32=0,0,N$84/C$32*C11)</f>
        <v>0</v>
      </c>
      <c r="BB11" s="96" t="n">
        <f aca="false">IF(C11=0,0,(SUM(N$67:O$70)+N$86)/C$32*C11)</f>
        <v>0</v>
      </c>
      <c r="BC11" s="96" t="n">
        <f aca="false">IF(C11=0,0,SUM(W$44:W$87)/C$32*C11)</f>
        <v>0</v>
      </c>
      <c r="BD11" s="96" t="n">
        <f aca="false">IF(C11=0,0,(SUM(N$72:O$77)-N$77)/C$32*C11)</f>
        <v>0</v>
      </c>
      <c r="BE11" s="96" t="n">
        <f aca="false">IF(C11=0,0,SUM(N$79:N$83)/C$32)*C11</f>
        <v>0</v>
      </c>
      <c r="BF11" s="96" t="n">
        <f aca="false">P11*F$54*IF(T$35="N",1+V$35,1)</f>
        <v>0</v>
      </c>
      <c r="BG11" s="96" t="n">
        <f aca="false">H11*C11</f>
        <v>0</v>
      </c>
      <c r="BH11" s="96" t="n">
        <f aca="false">IF(I11="y",N$77/AS$32*C11,0)</f>
        <v>0</v>
      </c>
      <c r="BI11" s="96" t="n">
        <f aca="false">IF(K$56=0,0,N$56/K$56*K11)</f>
        <v>0</v>
      </c>
      <c r="BJ11" s="96" t="n">
        <f aca="false">IF(O11=6,Q11*Pricing!D$28,IF(O11=8,Pricing!D$27,IF(O11=10,Pricing!D$26,0)))*Q11*(1+J$52)*IF(T$35="Y",1,1+V$35)</f>
        <v>0</v>
      </c>
      <c r="BK11" s="96" t="n">
        <f aca="false">IF(N$88=0,0,N$88/H$59*C11)</f>
        <v>0</v>
      </c>
      <c r="BL11" s="2734"/>
      <c r="BO11" s="2735" t="n">
        <f aca="false">A11</f>
        <v>0</v>
      </c>
      <c r="BP11" s="2191" t="n">
        <f aca="false">J11</f>
        <v>0</v>
      </c>
      <c r="BQ11" s="1928" t="n">
        <f aca="false">R11</f>
        <v>0</v>
      </c>
      <c r="BR11" s="1414" t="n">
        <f aca="false">IF(H11=0,0,C11*H11)</f>
        <v>0</v>
      </c>
      <c r="BS11" s="2736" t="n">
        <f aca="false">C11</f>
        <v>0</v>
      </c>
    </row>
    <row r="12" customFormat="false" ht="24" hidden="false" customHeight="true" outlineLevel="0" collapsed="false">
      <c r="A12" s="2737"/>
      <c r="B12" s="2738"/>
      <c r="C12" s="2750"/>
      <c r="D12" s="2751"/>
      <c r="E12" s="2741"/>
      <c r="F12" s="2742"/>
      <c r="G12" s="2743"/>
      <c r="H12" s="2744"/>
      <c r="I12" s="2741"/>
      <c r="J12" s="2745"/>
      <c r="K12" s="2741"/>
      <c r="L12" s="2741"/>
      <c r="M12" s="2746"/>
      <c r="N12" s="2741"/>
      <c r="O12" s="2741"/>
      <c r="P12" s="2182" t="n">
        <f aca="false">C12*F12/324*(1+J$54)</f>
        <v>0</v>
      </c>
      <c r="Q12" s="2182" t="n">
        <f aca="false">IF(O12&gt;0,C12,0)</f>
        <v>0</v>
      </c>
      <c r="R12" s="1515" t="n">
        <f aca="false">IF(N12=0,0,(N12/12+N12/12)/(N12/12*N12/12)*C12*((M12/16*M12/16)*10.6870159)+J12*4)*(1+J$51)</f>
        <v>0</v>
      </c>
      <c r="S12" s="2747" t="n">
        <f aca="false">((C12*E12/324)+IF(J12&gt;0,(J12*K12*(L12+12)/3888),0))*(1+J$44)</f>
        <v>0</v>
      </c>
      <c r="T12" s="2202" t="n">
        <f aca="false">IF(C12=0,0,U12/C12)</f>
        <v>0</v>
      </c>
      <c r="U12" s="2184" t="n">
        <f aca="false">(AT12-BK12)*(1+L$36)</f>
        <v>0</v>
      </c>
      <c r="V12" s="2184"/>
      <c r="W12" s="2752"/>
      <c r="X12" s="286"/>
      <c r="Y12" s="286"/>
      <c r="Z12" s="286"/>
      <c r="AA12" s="286"/>
      <c r="AB12" s="286"/>
      <c r="AC12" s="286"/>
      <c r="AD12" s="2748" t="n">
        <f aca="false">IF($G12=1,$S12,0)</f>
        <v>0</v>
      </c>
      <c r="AE12" s="531" t="n">
        <f aca="false">IF($G12=2,$S12,0)</f>
        <v>0</v>
      </c>
      <c r="AF12" s="531" t="n">
        <f aca="false">IF($G12=3,$S12,0)</f>
        <v>0</v>
      </c>
      <c r="AG12" s="531" t="n">
        <f aca="false">IF($G12=4,$S12,0)</f>
        <v>0</v>
      </c>
      <c r="AH12" s="531" t="n">
        <f aca="false">IF($G12=5,$S12,0)</f>
        <v>0</v>
      </c>
      <c r="AI12" s="531" t="n">
        <f aca="false">IF($G12=6,$S12,0)</f>
        <v>0</v>
      </c>
      <c r="AJ12" s="531" t="n">
        <f aca="false">IF($G12=7,$S12,0)</f>
        <v>0</v>
      </c>
      <c r="AK12" s="531" t="n">
        <f aca="false">IF($G12=8,$S12,0)</f>
        <v>0</v>
      </c>
      <c r="AL12" s="531" t="n">
        <f aca="false">IF($G12=9,$S12,0)</f>
        <v>0</v>
      </c>
      <c r="AM12" s="2749" t="n">
        <f aca="false">IF($G12=10,$S12,0)</f>
        <v>0</v>
      </c>
      <c r="AN12" s="531" t="n">
        <f aca="false">SUM(AD12:AI12)</f>
        <v>0</v>
      </c>
      <c r="AO12" s="531" t="n">
        <f aca="false">IF(H12="Y",C12,0)</f>
        <v>0</v>
      </c>
      <c r="AP12" s="531" t="n">
        <f aca="false">IF(C12=0,0,IF(E12&lt;8,C12/K$79,0))</f>
        <v>0</v>
      </c>
      <c r="AQ12" s="531" t="n">
        <f aca="false">IF(C12=0,0,IF(E12&gt;8,C12/K$79,0))</f>
        <v>0</v>
      </c>
      <c r="AR12" s="531" t="n">
        <f aca="false">IF(H12&gt;0,C12,0)</f>
        <v>0</v>
      </c>
      <c r="AS12" s="531" t="n">
        <f aca="false">IF(I12="y",C12,0)</f>
        <v>0</v>
      </c>
      <c r="AT12" s="373" t="n">
        <f aca="false">SUM(AU12:BL12)</f>
        <v>0</v>
      </c>
      <c r="AU12" s="2732" t="n">
        <f aca="false">(AD12*Pricing!F$3+AE12*Pricing!G$3+AF12*Pricing!H$3+AG12*Pricing!I$3+AH12*Pricing!J$3+AI12*Pricing!K$3+AJ12*Pricing!L$3+AK12*Pricing!M$3+AL12*Pricing!N$3+AM12*Pricing!O$3)*IF(T$35="N",(1+V$35),1)</f>
        <v>0</v>
      </c>
      <c r="AV12" s="96" t="n">
        <f aca="false">R12*F$51*IF(T$35="n",1+V$35,1)</f>
        <v>0</v>
      </c>
      <c r="AW12" s="2733" t="str">
        <f aca="false">IF(C12=0,"",C12*G$59)</f>
        <v/>
      </c>
      <c r="AX12" s="96" t="n">
        <f aca="false">IF(N$62=0,0,N$62/H$59*C12)</f>
        <v>0</v>
      </c>
      <c r="AY12" s="96" t="n">
        <f aca="false">J12*D$63</f>
        <v>0</v>
      </c>
      <c r="AZ12" s="587" t="n">
        <f aca="false">IF(N$64=0,0,N$64/H$59*C12)</f>
        <v>0</v>
      </c>
      <c r="BA12" s="96" t="n">
        <f aca="false">IF(C$32=0,0,N$84/C$32*C12)</f>
        <v>0</v>
      </c>
      <c r="BB12" s="96" t="n">
        <f aca="false">IF(C12=0,0,(SUM(N$67:O$70)+N$86)/C$32*C12)</f>
        <v>0</v>
      </c>
      <c r="BC12" s="96" t="n">
        <f aca="false">IF(C12=0,0,SUM(W$44:W$87)/C$32*C12)</f>
        <v>0</v>
      </c>
      <c r="BD12" s="96" t="n">
        <f aca="false">IF(C12=0,0,(SUM(N$72:O$77)-N$77)/C$32*C12)</f>
        <v>0</v>
      </c>
      <c r="BE12" s="96" t="n">
        <f aca="false">IF(C12=0,0,SUM(N$79:N$83)/C$32)*C12</f>
        <v>0</v>
      </c>
      <c r="BF12" s="96" t="n">
        <f aca="false">P12*F$54*IF(T$35="N",1+V$35,1)</f>
        <v>0</v>
      </c>
      <c r="BG12" s="96" t="n">
        <f aca="false">H12*C12</f>
        <v>0</v>
      </c>
      <c r="BH12" s="96" t="n">
        <f aca="false">IF(I12="y",N$77/AS$32*C12,0)</f>
        <v>0</v>
      </c>
      <c r="BI12" s="96" t="n">
        <f aca="false">IF(K$56=0,0,N$56/K$56*K12)</f>
        <v>0</v>
      </c>
      <c r="BJ12" s="96" t="n">
        <f aca="false">IF(O12=6,Q12*Pricing!D$28,IF(O12=8,Pricing!D$27,IF(O12=10,Pricing!D$26,0)))*Q12*(1+J$52)*IF(T$35="Y",1,1+V$35)</f>
        <v>0</v>
      </c>
      <c r="BK12" s="96" t="n">
        <f aca="false">IF(N$88=0,0,N$88/H$59*C12)</f>
        <v>0</v>
      </c>
      <c r="BL12" s="2734"/>
      <c r="BM12" s="286"/>
      <c r="BN12" s="286"/>
      <c r="BO12" s="2735" t="n">
        <f aca="false">A12</f>
        <v>0</v>
      </c>
      <c r="BP12" s="2191" t="n">
        <f aca="false">J12</f>
        <v>0</v>
      </c>
      <c r="BQ12" s="1928" t="n">
        <f aca="false">R12</f>
        <v>0</v>
      </c>
      <c r="BR12" s="1414" t="n">
        <f aca="false">IF(H12=0,0,C12*H12)</f>
        <v>0</v>
      </c>
      <c r="BS12" s="2736" t="n">
        <f aca="false">C12</f>
        <v>0</v>
      </c>
    </row>
    <row r="13" customFormat="false" ht="24" hidden="false" customHeight="true" outlineLevel="0" collapsed="false">
      <c r="A13" s="2737"/>
      <c r="B13" s="2753"/>
      <c r="C13" s="2754"/>
      <c r="D13" s="2755"/>
      <c r="E13" s="2756"/>
      <c r="F13" s="2757"/>
      <c r="G13" s="2758"/>
      <c r="H13" s="2744"/>
      <c r="I13" s="2756"/>
      <c r="J13" s="2759"/>
      <c r="K13" s="2756"/>
      <c r="L13" s="2756"/>
      <c r="M13" s="2760"/>
      <c r="N13" s="2756"/>
      <c r="O13" s="2756"/>
      <c r="P13" s="2182" t="n">
        <f aca="false">C13*F13/324*(1+J$54)</f>
        <v>0</v>
      </c>
      <c r="Q13" s="2182" t="n">
        <f aca="false">IF(O13&gt;0,C13,0)</f>
        <v>0</v>
      </c>
      <c r="R13" s="1515" t="n">
        <f aca="false">IF(N13=0,0,(N13/12+N13/12)/(N13/12*N13/12)*C13*((M13/16*M13/16)*10.6870159)+J13*4)*(1+J$51)</f>
        <v>0</v>
      </c>
      <c r="S13" s="2747" t="n">
        <f aca="false">((C13*E13/324)+IF(J13&gt;0,(J13*K13*(L13+12)/3888),0))*(1+J$44)</f>
        <v>0</v>
      </c>
      <c r="T13" s="2202" t="n">
        <f aca="false">IF(C13=0,0,U13/C13)</f>
        <v>0</v>
      </c>
      <c r="U13" s="2184" t="n">
        <f aca="false">(AT13-BK13)*(1+L$36)</f>
        <v>0</v>
      </c>
      <c r="V13" s="2184"/>
      <c r="W13" s="179"/>
      <c r="AD13" s="2748" t="n">
        <f aca="false">IF($G13=1,$S13,0)</f>
        <v>0</v>
      </c>
      <c r="AE13" s="531" t="n">
        <f aca="false">IF($G13=2,$S13,0)</f>
        <v>0</v>
      </c>
      <c r="AF13" s="531" t="n">
        <f aca="false">IF($G13=3,$S13,0)</f>
        <v>0</v>
      </c>
      <c r="AG13" s="531" t="n">
        <f aca="false">IF($G13=4,$S13,0)</f>
        <v>0</v>
      </c>
      <c r="AH13" s="531" t="n">
        <f aca="false">IF($G13=5,$S13,0)</f>
        <v>0</v>
      </c>
      <c r="AI13" s="531" t="n">
        <f aca="false">IF($G13=6,$S13,0)</f>
        <v>0</v>
      </c>
      <c r="AJ13" s="531" t="n">
        <f aca="false">IF($G13=7,$S13,0)</f>
        <v>0</v>
      </c>
      <c r="AK13" s="531" t="n">
        <f aca="false">IF($G13=8,$S13,0)</f>
        <v>0</v>
      </c>
      <c r="AL13" s="531" t="n">
        <f aca="false">IF($G13=9,$S13,0)</f>
        <v>0</v>
      </c>
      <c r="AM13" s="2749" t="n">
        <f aca="false">IF($G13=10,$S13,0)</f>
        <v>0</v>
      </c>
      <c r="AN13" s="531" t="n">
        <f aca="false">SUM(AD13:AI13)</f>
        <v>0</v>
      </c>
      <c r="AO13" s="531" t="n">
        <f aca="false">IF(H13="Y",C13,0)</f>
        <v>0</v>
      </c>
      <c r="AP13" s="531" t="n">
        <f aca="false">IF(C13=0,0,IF(E13&lt;8,C13/K$79,0))</f>
        <v>0</v>
      </c>
      <c r="AQ13" s="531" t="n">
        <f aca="false">IF(C13=0,0,IF(E13&gt;8,C13/K$79,0))</f>
        <v>0</v>
      </c>
      <c r="AR13" s="531" t="n">
        <f aca="false">IF(H13&gt;0,C13,0)</f>
        <v>0</v>
      </c>
      <c r="AS13" s="531" t="n">
        <f aca="false">IF(I13="y",C13,0)</f>
        <v>0</v>
      </c>
      <c r="AT13" s="373" t="n">
        <f aca="false">SUM(AU13:BL13)</f>
        <v>0</v>
      </c>
      <c r="AU13" s="2732" t="n">
        <f aca="false">(AD13*Pricing!F$3+AE13*Pricing!G$3+AF13*Pricing!H$3+AG13*Pricing!I$3+AH13*Pricing!J$3+AI13*Pricing!K$3+AJ13*Pricing!L$3+AK13*Pricing!M$3+AL13*Pricing!N$3+AM13*Pricing!O$3)*IF(T$35="N",(1+V$35),1)</f>
        <v>0</v>
      </c>
      <c r="AV13" s="96" t="n">
        <f aca="false">R13*F$51*IF(T$35="n",1+V$35,1)</f>
        <v>0</v>
      </c>
      <c r="AW13" s="2733" t="str">
        <f aca="false">IF(C13=0,"",C13*G$59)</f>
        <v/>
      </c>
      <c r="AX13" s="96" t="n">
        <f aca="false">IF(N$62=0,0,N$62/H$59*C13)</f>
        <v>0</v>
      </c>
      <c r="AY13" s="96" t="n">
        <f aca="false">J13*D$63</f>
        <v>0</v>
      </c>
      <c r="AZ13" s="587" t="n">
        <f aca="false">IF(N$64=0,0,N$64/H$59*C13)</f>
        <v>0</v>
      </c>
      <c r="BA13" s="96" t="n">
        <f aca="false">IF(C$32=0,0,N$84/C$32*C13)</f>
        <v>0</v>
      </c>
      <c r="BB13" s="96" t="n">
        <f aca="false">IF(C13=0,0,(SUM(N$67:O$70)+N$86)/C$32*C13)</f>
        <v>0</v>
      </c>
      <c r="BC13" s="96" t="n">
        <f aca="false">IF(C13=0,0,SUM(W$44:W$87)/C$32*C13)</f>
        <v>0</v>
      </c>
      <c r="BD13" s="96" t="n">
        <f aca="false">IF(C13=0,0,(SUM(N$72:O$77)-N$77)/C$32*C13)</f>
        <v>0</v>
      </c>
      <c r="BE13" s="96" t="n">
        <f aca="false">IF(C13=0,0,SUM(N$79:N$83)/C$32)*C13</f>
        <v>0</v>
      </c>
      <c r="BF13" s="96" t="n">
        <f aca="false">P13*F$54*IF(T$35="N",1+V$35,1)</f>
        <v>0</v>
      </c>
      <c r="BG13" s="96" t="n">
        <f aca="false">H13*C13</f>
        <v>0</v>
      </c>
      <c r="BH13" s="96" t="n">
        <f aca="false">IF(I13="y",N$77/AS$32*C13,0)</f>
        <v>0</v>
      </c>
      <c r="BI13" s="96" t="n">
        <f aca="false">IF(K$56=0,0,N$56/K$56*K13)</f>
        <v>0</v>
      </c>
      <c r="BJ13" s="96" t="n">
        <f aca="false">IF(O13=6,Q13*Pricing!D$28,IF(O13=8,Pricing!D$27,IF(O13=10,Pricing!D$26,0)))*Q13*(1+J$52)*IF(T$35="Y",1,1+V$35)</f>
        <v>0</v>
      </c>
      <c r="BK13" s="96" t="n">
        <f aca="false">IF(N$88=0,0,N$88/H$59*C13)</f>
        <v>0</v>
      </c>
      <c r="BL13" s="2734"/>
      <c r="BO13" s="2735" t="n">
        <f aca="false">A13</f>
        <v>0</v>
      </c>
      <c r="BP13" s="2191" t="n">
        <f aca="false">J13</f>
        <v>0</v>
      </c>
      <c r="BQ13" s="1928" t="n">
        <f aca="false">R13</f>
        <v>0</v>
      </c>
      <c r="BR13" s="1414" t="n">
        <f aca="false">IF(H13=0,0,C13*H13)</f>
        <v>0</v>
      </c>
      <c r="BS13" s="2736" t="n">
        <f aca="false">C13</f>
        <v>0</v>
      </c>
    </row>
    <row r="14" customFormat="false" ht="24" hidden="false" customHeight="true" outlineLevel="0" collapsed="false">
      <c r="A14" s="2761"/>
      <c r="B14" s="2753"/>
      <c r="C14" s="2762"/>
      <c r="D14" s="2755"/>
      <c r="E14" s="2756"/>
      <c r="F14" s="2757"/>
      <c r="G14" s="2758"/>
      <c r="H14" s="2744"/>
      <c r="I14" s="2756"/>
      <c r="J14" s="2759"/>
      <c r="K14" s="2756"/>
      <c r="L14" s="2756"/>
      <c r="M14" s="2760"/>
      <c r="N14" s="2756"/>
      <c r="O14" s="2756"/>
      <c r="P14" s="2182" t="n">
        <f aca="false">C14*F14/324*(1+J$54)</f>
        <v>0</v>
      </c>
      <c r="Q14" s="2182" t="n">
        <f aca="false">IF(O14&gt;0,C14,0)</f>
        <v>0</v>
      </c>
      <c r="R14" s="1515" t="n">
        <f aca="false">IF(N14=0,0,(N14/12+N14/12)/(N14/12*N14/12)*C14*((M14/16*M14/16)*10.6870159)+J14*4)*(1+J$51)</f>
        <v>0</v>
      </c>
      <c r="S14" s="2747" t="n">
        <f aca="false">((C14*E14/324)+IF(J14&gt;0,(J14*K14*(L14+12)/3888),0))*(1+J$44)</f>
        <v>0</v>
      </c>
      <c r="T14" s="2202" t="n">
        <f aca="false">IF(C14=0,0,U14/C14)</f>
        <v>0</v>
      </c>
      <c r="U14" s="2184" t="n">
        <f aca="false">(AT14-BK14)*(1+L$36)</f>
        <v>0</v>
      </c>
      <c r="V14" s="2184"/>
      <c r="W14" s="179"/>
      <c r="AD14" s="2748" t="n">
        <f aca="false">IF($G14=1,$S14,0)</f>
        <v>0</v>
      </c>
      <c r="AE14" s="531" t="n">
        <f aca="false">IF($G14=2,$S14,0)</f>
        <v>0</v>
      </c>
      <c r="AF14" s="531" t="n">
        <f aca="false">IF($G14=3,$S14,0)</f>
        <v>0</v>
      </c>
      <c r="AG14" s="531" t="n">
        <f aca="false">IF($G14=4,$S14,0)</f>
        <v>0</v>
      </c>
      <c r="AH14" s="531" t="n">
        <f aca="false">IF($G14=5,$S14,0)</f>
        <v>0</v>
      </c>
      <c r="AI14" s="531" t="n">
        <f aca="false">IF($G14=6,$S14,0)</f>
        <v>0</v>
      </c>
      <c r="AJ14" s="531" t="n">
        <f aca="false">IF($G14=7,$S14,0)</f>
        <v>0</v>
      </c>
      <c r="AK14" s="531" t="n">
        <f aca="false">IF($G14=8,$S14,0)</f>
        <v>0</v>
      </c>
      <c r="AL14" s="531" t="n">
        <f aca="false">IF($G14=9,$S14,0)</f>
        <v>0</v>
      </c>
      <c r="AM14" s="2749" t="n">
        <f aca="false">IF($G14=10,$S14,0)</f>
        <v>0</v>
      </c>
      <c r="AN14" s="531" t="n">
        <f aca="false">SUM(AD14:AI14)</f>
        <v>0</v>
      </c>
      <c r="AO14" s="531" t="n">
        <f aca="false">IF(H14="Y",C14,0)</f>
        <v>0</v>
      </c>
      <c r="AP14" s="531" t="n">
        <f aca="false">IF(C14=0,0,IF(E14&lt;8,C14/K$79,0))</f>
        <v>0</v>
      </c>
      <c r="AQ14" s="531" t="n">
        <f aca="false">IF(C14=0,0,IF(E14&gt;8,C14/K$79,0))</f>
        <v>0</v>
      </c>
      <c r="AR14" s="531" t="n">
        <f aca="false">IF(H14&gt;0,C14,0)</f>
        <v>0</v>
      </c>
      <c r="AS14" s="531" t="n">
        <f aca="false">IF(I14="y",C14,0)</f>
        <v>0</v>
      </c>
      <c r="AT14" s="373" t="n">
        <f aca="false">SUM(AU14:BL14)</f>
        <v>0</v>
      </c>
      <c r="AU14" s="2732" t="n">
        <f aca="false">(AD14*Pricing!F$3+AE14*Pricing!G$3+AF14*Pricing!H$3+AG14*Pricing!I$3+AH14*Pricing!J$3+AI14*Pricing!K$3+AJ14*Pricing!L$3+AK14*Pricing!M$3+AL14*Pricing!N$3+AM14*Pricing!O$3)*IF(T$35="N",(1+V$35),1)</f>
        <v>0</v>
      </c>
      <c r="AV14" s="96" t="n">
        <f aca="false">R14*F$51*IF(T$35="n",1+V$35,1)</f>
        <v>0</v>
      </c>
      <c r="AW14" s="2733" t="str">
        <f aca="false">IF(C14=0,"",C14*G$59)</f>
        <v/>
      </c>
      <c r="AX14" s="96" t="n">
        <f aca="false">IF(N$62=0,0,N$62/H$59*C14)</f>
        <v>0</v>
      </c>
      <c r="AY14" s="96" t="n">
        <f aca="false">J14*D$63</f>
        <v>0</v>
      </c>
      <c r="AZ14" s="587" t="n">
        <f aca="false">IF(N$64=0,0,N$64/H$59*C14)</f>
        <v>0</v>
      </c>
      <c r="BA14" s="96" t="n">
        <f aca="false">IF(C$32=0,0,N$84/C$32*C14)</f>
        <v>0</v>
      </c>
      <c r="BB14" s="96" t="n">
        <f aca="false">IF(C14=0,0,(SUM(N$67:O$70)+N$86)/C$32*C14)</f>
        <v>0</v>
      </c>
      <c r="BC14" s="96" t="n">
        <f aca="false">IF(C14=0,0,SUM(W$44:W$87)/C$32*C14)</f>
        <v>0</v>
      </c>
      <c r="BD14" s="96" t="n">
        <f aca="false">IF(C14=0,0,(SUM(N$72:O$77)-N$77)/C$32*C14)</f>
        <v>0</v>
      </c>
      <c r="BE14" s="96" t="n">
        <f aca="false">IF(C14=0,0,SUM(N$79:N$83)/C$32)*C14</f>
        <v>0</v>
      </c>
      <c r="BF14" s="96" t="n">
        <f aca="false">P14*F$54*IF(T$35="N",1+V$35,1)</f>
        <v>0</v>
      </c>
      <c r="BG14" s="96" t="n">
        <f aca="false">H14*C14</f>
        <v>0</v>
      </c>
      <c r="BH14" s="96" t="n">
        <f aca="false">IF(I14="y",N$77/AS$32*C14,0)</f>
        <v>0</v>
      </c>
      <c r="BI14" s="96" t="n">
        <f aca="false">IF(K$56=0,0,N$56/K$56*K14)</f>
        <v>0</v>
      </c>
      <c r="BJ14" s="96" t="n">
        <f aca="false">IF(O14=6,Q14*Pricing!D$28,IF(O14=8,Pricing!D$27,IF(O14=10,Pricing!D$26,0)))*Q14*(1+J$52)*IF(T$35="Y",1,1+V$35)</f>
        <v>0</v>
      </c>
      <c r="BK14" s="96" t="n">
        <f aca="false">IF(N$88=0,0,N$88/H$59*C14)</f>
        <v>0</v>
      </c>
      <c r="BL14" s="2734"/>
      <c r="BO14" s="2735" t="n">
        <f aca="false">A14</f>
        <v>0</v>
      </c>
      <c r="BP14" s="2191" t="n">
        <f aca="false">J14</f>
        <v>0</v>
      </c>
      <c r="BQ14" s="1928" t="n">
        <f aca="false">R14</f>
        <v>0</v>
      </c>
      <c r="BR14" s="1414" t="n">
        <f aca="false">IF(H14=0,0,C14*H14)</f>
        <v>0</v>
      </c>
      <c r="BS14" s="2736" t="n">
        <f aca="false">C14</f>
        <v>0</v>
      </c>
    </row>
    <row r="15" customFormat="false" ht="24" hidden="false" customHeight="true" outlineLevel="0" collapsed="false">
      <c r="A15" s="2761"/>
      <c r="B15" s="2753"/>
      <c r="C15" s="2754"/>
      <c r="D15" s="2755"/>
      <c r="E15" s="2756"/>
      <c r="F15" s="2757"/>
      <c r="G15" s="2758"/>
      <c r="H15" s="2744"/>
      <c r="I15" s="2756"/>
      <c r="J15" s="2759"/>
      <c r="K15" s="2756"/>
      <c r="L15" s="2756"/>
      <c r="M15" s="2760"/>
      <c r="N15" s="2756"/>
      <c r="O15" s="2756"/>
      <c r="P15" s="2182" t="n">
        <f aca="false">C15*F15/324*(1+J$54)</f>
        <v>0</v>
      </c>
      <c r="Q15" s="2182" t="n">
        <f aca="false">IF(O15&gt;0,C15,0)</f>
        <v>0</v>
      </c>
      <c r="R15" s="1515" t="n">
        <f aca="false">IF(N15=0,0,(N15/12+N15/12)/(N15/12*N15/12)*C15*((M15/16*M15/16)*10.6870159)+J15*4)*(1+J$51)</f>
        <v>0</v>
      </c>
      <c r="S15" s="2747" t="n">
        <f aca="false">((C15*E15/324)+IF(J15&gt;0,(J15*K15*(L15+12)/3888),0))*(1+J$44)</f>
        <v>0</v>
      </c>
      <c r="T15" s="2202" t="n">
        <f aca="false">IF(C15=0,0,U15/C15)</f>
        <v>0</v>
      </c>
      <c r="U15" s="2184" t="n">
        <f aca="false">(AT15-BK15)*(1+L$36)</f>
        <v>0</v>
      </c>
      <c r="V15" s="2184"/>
      <c r="W15" s="179"/>
      <c r="AD15" s="2748" t="n">
        <f aca="false">IF($G15=1,$S15,0)</f>
        <v>0</v>
      </c>
      <c r="AE15" s="531" t="n">
        <f aca="false">IF($G15=2,$S15,0)</f>
        <v>0</v>
      </c>
      <c r="AF15" s="531" t="n">
        <f aca="false">IF($G15=3,$S15,0)</f>
        <v>0</v>
      </c>
      <c r="AG15" s="531" t="n">
        <f aca="false">IF($G15=4,$S15,0)</f>
        <v>0</v>
      </c>
      <c r="AH15" s="531" t="n">
        <f aca="false">IF($G15=5,$S15,0)</f>
        <v>0</v>
      </c>
      <c r="AI15" s="531" t="n">
        <f aca="false">IF($G15=6,$S15,0)</f>
        <v>0</v>
      </c>
      <c r="AJ15" s="531" t="n">
        <f aca="false">IF($G15=7,$S15,0)</f>
        <v>0</v>
      </c>
      <c r="AK15" s="531" t="n">
        <f aca="false">IF($G15=8,$S15,0)</f>
        <v>0</v>
      </c>
      <c r="AL15" s="531" t="n">
        <f aca="false">IF($G15=9,$S15,0)</f>
        <v>0</v>
      </c>
      <c r="AM15" s="2749" t="n">
        <f aca="false">IF($G15=10,$S15,0)</f>
        <v>0</v>
      </c>
      <c r="AN15" s="531" t="n">
        <f aca="false">SUM(AD15:AI15)</f>
        <v>0</v>
      </c>
      <c r="AO15" s="531" t="n">
        <f aca="false">IF(H15="Y",C15,0)</f>
        <v>0</v>
      </c>
      <c r="AP15" s="531" t="n">
        <f aca="false">IF(C15=0,0,IF(E15&lt;8,C15/K$79,0))</f>
        <v>0</v>
      </c>
      <c r="AQ15" s="531" t="n">
        <f aca="false">IF(C15=0,0,IF(E15&gt;8,C15/K$79,0))</f>
        <v>0</v>
      </c>
      <c r="AR15" s="531" t="n">
        <f aca="false">IF(H15&gt;0,C15,0)</f>
        <v>0</v>
      </c>
      <c r="AS15" s="531" t="n">
        <f aca="false">IF(I15="y",C15,0)</f>
        <v>0</v>
      </c>
      <c r="AT15" s="373" t="n">
        <f aca="false">SUM(AU15:BL15)</f>
        <v>0</v>
      </c>
      <c r="AU15" s="2732" t="n">
        <f aca="false">(AD15*Pricing!F$3+AE15*Pricing!G$3+AF15*Pricing!H$3+AG15*Pricing!I$3+AH15*Pricing!J$3+AI15*Pricing!K$3+AJ15*Pricing!L$3+AK15*Pricing!M$3+AL15*Pricing!N$3+AM15*Pricing!O$3)*IF(T$35="N",(1+V$35),1)</f>
        <v>0</v>
      </c>
      <c r="AV15" s="96" t="n">
        <f aca="false">R15*F$51*IF(T$35="n",1+V$35,1)</f>
        <v>0</v>
      </c>
      <c r="AW15" s="2733" t="str">
        <f aca="false">IF(C15=0,"",C15*G$59)</f>
        <v/>
      </c>
      <c r="AX15" s="96" t="n">
        <f aca="false">IF(N$62=0,0,N$62/H$59*C15)</f>
        <v>0</v>
      </c>
      <c r="AY15" s="96" t="n">
        <f aca="false">J15*D$63</f>
        <v>0</v>
      </c>
      <c r="AZ15" s="587" t="n">
        <f aca="false">IF(N$64=0,0,N$64/H$59*C15)</f>
        <v>0</v>
      </c>
      <c r="BA15" s="96" t="n">
        <f aca="false">IF(C$32=0,0,N$84/C$32*C15)</f>
        <v>0</v>
      </c>
      <c r="BB15" s="96" t="n">
        <f aca="false">IF(C15=0,0,(SUM(N$67:O$70)+N$86)/C$32*C15)</f>
        <v>0</v>
      </c>
      <c r="BC15" s="96" t="n">
        <f aca="false">IF(C15=0,0,SUM(W$44:W$87)/C$32*C15)</f>
        <v>0</v>
      </c>
      <c r="BD15" s="96" t="n">
        <f aca="false">IF(C15=0,0,(SUM(N$72:O$77)-N$77)/C$32*C15)</f>
        <v>0</v>
      </c>
      <c r="BE15" s="96" t="n">
        <f aca="false">IF(C15=0,0,SUM(N$79:N$83)/C$32)*C15</f>
        <v>0</v>
      </c>
      <c r="BF15" s="96" t="n">
        <f aca="false">P15*F$54*IF(T$35="N",1+V$35,1)</f>
        <v>0</v>
      </c>
      <c r="BG15" s="96" t="n">
        <f aca="false">H15*C15</f>
        <v>0</v>
      </c>
      <c r="BH15" s="96" t="n">
        <f aca="false">IF(I15="y",N$77/AS$32*C15,0)</f>
        <v>0</v>
      </c>
      <c r="BI15" s="96" t="n">
        <f aca="false">IF(K$56=0,0,N$56/K$56*K15)</f>
        <v>0</v>
      </c>
      <c r="BJ15" s="96" t="n">
        <f aca="false">IF(O15=6,Q15*Pricing!D$28,IF(O15=8,Pricing!D$27,IF(O15=10,Pricing!D$26,0)))*Q15*(1+J$52)*IF(T$35="Y",1,1+V$35)</f>
        <v>0</v>
      </c>
      <c r="BK15" s="96" t="n">
        <f aca="false">IF(N$88=0,0,N$88/H$59*C15)</f>
        <v>0</v>
      </c>
      <c r="BL15" s="2734"/>
      <c r="BO15" s="2735" t="n">
        <f aca="false">A15</f>
        <v>0</v>
      </c>
      <c r="BP15" s="2191" t="n">
        <f aca="false">J15</f>
        <v>0</v>
      </c>
      <c r="BQ15" s="1928" t="n">
        <f aca="false">R15</f>
        <v>0</v>
      </c>
      <c r="BR15" s="1414" t="n">
        <f aca="false">IF(H15=0,0,C15*H15)</f>
        <v>0</v>
      </c>
      <c r="BS15" s="2736" t="n">
        <f aca="false">C15</f>
        <v>0</v>
      </c>
    </row>
    <row r="16" customFormat="false" ht="24" hidden="false" customHeight="true" outlineLevel="0" collapsed="false">
      <c r="A16" s="2761"/>
      <c r="B16" s="2753"/>
      <c r="C16" s="2754"/>
      <c r="D16" s="2755"/>
      <c r="E16" s="2756"/>
      <c r="F16" s="2757"/>
      <c r="G16" s="2758"/>
      <c r="H16" s="2744"/>
      <c r="I16" s="2756"/>
      <c r="J16" s="2759"/>
      <c r="K16" s="2756"/>
      <c r="L16" s="2756"/>
      <c r="M16" s="2760"/>
      <c r="N16" s="2756"/>
      <c r="O16" s="2756"/>
      <c r="P16" s="2182" t="n">
        <f aca="false">C16*F16/324*(1+J$54)</f>
        <v>0</v>
      </c>
      <c r="Q16" s="2182" t="n">
        <f aca="false">IF(O16&gt;0,C16,0)</f>
        <v>0</v>
      </c>
      <c r="R16" s="1515" t="n">
        <f aca="false">IF(N16=0,0,(N16/12+N16/12)/(N16/12*N16/12)*C16*((M16/16*M16/16)*10.6870159)+J16*4)*(1+J$51)</f>
        <v>0</v>
      </c>
      <c r="S16" s="2747" t="n">
        <f aca="false">((C16*E16/324)+IF(J16&gt;0,(J16*K16*(L16+12)/3888),0))*(1+J$44)</f>
        <v>0</v>
      </c>
      <c r="T16" s="2202" t="n">
        <f aca="false">IF(C16=0,0,U16/C16)</f>
        <v>0</v>
      </c>
      <c r="U16" s="2184" t="n">
        <f aca="false">(AT16-BK16)*(1+L$36)</f>
        <v>0</v>
      </c>
      <c r="V16" s="2184"/>
      <c r="W16" s="179"/>
      <c r="AD16" s="2748" t="n">
        <f aca="false">IF($G16=1,$S16,0)</f>
        <v>0</v>
      </c>
      <c r="AE16" s="531" t="n">
        <f aca="false">IF($G16=2,$S16,0)</f>
        <v>0</v>
      </c>
      <c r="AF16" s="531" t="n">
        <f aca="false">IF($G16=3,$S16,0)</f>
        <v>0</v>
      </c>
      <c r="AG16" s="531" t="n">
        <f aca="false">IF($G16=4,$S16,0)</f>
        <v>0</v>
      </c>
      <c r="AH16" s="531" t="n">
        <f aca="false">IF($G16=5,$S16,0)</f>
        <v>0</v>
      </c>
      <c r="AI16" s="531" t="n">
        <f aca="false">IF($G16=6,$S16,0)</f>
        <v>0</v>
      </c>
      <c r="AJ16" s="531" t="n">
        <f aca="false">IF($G16=7,$S16,0)</f>
        <v>0</v>
      </c>
      <c r="AK16" s="531" t="n">
        <f aca="false">IF($G16=8,$S16,0)</f>
        <v>0</v>
      </c>
      <c r="AL16" s="531" t="n">
        <f aca="false">IF($G16=9,$S16,0)</f>
        <v>0</v>
      </c>
      <c r="AM16" s="2749" t="n">
        <f aca="false">IF($G16=10,$S16,0)</f>
        <v>0</v>
      </c>
      <c r="AN16" s="531" t="n">
        <f aca="false">SUM(AD16:AI16)</f>
        <v>0</v>
      </c>
      <c r="AO16" s="531" t="n">
        <f aca="false">IF(H16="Y",C16,0)</f>
        <v>0</v>
      </c>
      <c r="AP16" s="531" t="n">
        <f aca="false">IF(C16=0,0,IF(E16&lt;8,C16/K$79,0))</f>
        <v>0</v>
      </c>
      <c r="AQ16" s="531" t="n">
        <f aca="false">IF(C16=0,0,IF(E16&gt;8,C16/K$79,0))</f>
        <v>0</v>
      </c>
      <c r="AR16" s="531" t="n">
        <f aca="false">IF(H16&gt;0,C16,0)</f>
        <v>0</v>
      </c>
      <c r="AS16" s="531" t="n">
        <f aca="false">IF(I16="y",C16,0)</f>
        <v>0</v>
      </c>
      <c r="AT16" s="373" t="n">
        <f aca="false">SUM(AU16:BL16)</f>
        <v>0</v>
      </c>
      <c r="AU16" s="2732" t="n">
        <f aca="false">(AD16*Pricing!F$3+AE16*Pricing!G$3+AF16*Pricing!H$3+AG16*Pricing!I$3+AH16*Pricing!J$3+AI16*Pricing!K$3+AJ16*Pricing!L$3+AK16*Pricing!M$3+AL16*Pricing!N$3+AM16*Pricing!O$3)*IF(T$35="N",(1+V$35),1)</f>
        <v>0</v>
      </c>
      <c r="AV16" s="96" t="n">
        <f aca="false">R16*F$51*IF(T$35="n",1+V$35,1)</f>
        <v>0</v>
      </c>
      <c r="AW16" s="2733" t="str">
        <f aca="false">IF(C16=0,"",C16*G$59)</f>
        <v/>
      </c>
      <c r="AX16" s="96" t="n">
        <f aca="false">IF(N$62=0,0,N$62/H$59*C16)</f>
        <v>0</v>
      </c>
      <c r="AY16" s="96" t="n">
        <f aca="false">J16*D$63</f>
        <v>0</v>
      </c>
      <c r="AZ16" s="587" t="n">
        <f aca="false">IF(N$64=0,0,N$64/H$59*C16)</f>
        <v>0</v>
      </c>
      <c r="BA16" s="96" t="n">
        <f aca="false">IF(C$32=0,0,N$84/C$32*C16)</f>
        <v>0</v>
      </c>
      <c r="BB16" s="96" t="n">
        <f aca="false">IF(C16=0,0,(SUM(N$67:O$70)+N$86)/C$32*C16)</f>
        <v>0</v>
      </c>
      <c r="BC16" s="96" t="n">
        <f aca="false">IF(C16=0,0,SUM(W$44:W$87)/C$32*C16)</f>
        <v>0</v>
      </c>
      <c r="BD16" s="96" t="n">
        <f aca="false">IF(C16=0,0,(SUM(N$72:O$77)-N$77)/C$32*C16)</f>
        <v>0</v>
      </c>
      <c r="BE16" s="96" t="n">
        <f aca="false">IF(C16=0,0,SUM(N$79:N$83)/C$32)*C16</f>
        <v>0</v>
      </c>
      <c r="BF16" s="96" t="n">
        <f aca="false">P16*F$54*IF(T$35="N",1+V$35,1)</f>
        <v>0</v>
      </c>
      <c r="BG16" s="96" t="n">
        <f aca="false">H16*C16</f>
        <v>0</v>
      </c>
      <c r="BH16" s="96" t="n">
        <f aca="false">IF(I16="y",N$77/AS$32*C16,0)</f>
        <v>0</v>
      </c>
      <c r="BI16" s="96" t="n">
        <f aca="false">IF(K$56=0,0,N$56/K$56*K16)</f>
        <v>0</v>
      </c>
      <c r="BJ16" s="96" t="n">
        <f aca="false">IF(O16=6,Q16*Pricing!D$28,IF(O16=8,Pricing!D$27,IF(O16=10,Pricing!D$26,0)))*Q16*(1+J$52)*IF(T$35="Y",1,1+V$35)</f>
        <v>0</v>
      </c>
      <c r="BK16" s="96" t="n">
        <f aca="false">IF(N$88=0,0,N$88/H$59*C16)</f>
        <v>0</v>
      </c>
      <c r="BL16" s="2734"/>
      <c r="BO16" s="2735" t="n">
        <f aca="false">A16</f>
        <v>0</v>
      </c>
      <c r="BP16" s="2191" t="n">
        <f aca="false">J16</f>
        <v>0</v>
      </c>
      <c r="BQ16" s="1928" t="n">
        <f aca="false">R16</f>
        <v>0</v>
      </c>
      <c r="BR16" s="1414" t="n">
        <f aca="false">IF(H16=0,0,C16*H16)</f>
        <v>0</v>
      </c>
      <c r="BS16" s="2736" t="n">
        <f aca="false">C16</f>
        <v>0</v>
      </c>
    </row>
    <row r="17" customFormat="false" ht="24" hidden="false" customHeight="true" outlineLevel="0" collapsed="false">
      <c r="A17" s="2737"/>
      <c r="B17" s="2738"/>
      <c r="C17" s="2763"/>
      <c r="D17" s="2740"/>
      <c r="E17" s="2741"/>
      <c r="F17" s="2742"/>
      <c r="G17" s="2743"/>
      <c r="H17" s="2744"/>
      <c r="I17" s="2741"/>
      <c r="J17" s="2745"/>
      <c r="K17" s="2741"/>
      <c r="L17" s="2741"/>
      <c r="M17" s="2746"/>
      <c r="N17" s="2741"/>
      <c r="O17" s="2741"/>
      <c r="P17" s="2182" t="n">
        <f aca="false">C17*F17/324*(1+J$54)</f>
        <v>0</v>
      </c>
      <c r="Q17" s="2182" t="n">
        <f aca="false">IF(O17&gt;0,C17,0)</f>
        <v>0</v>
      </c>
      <c r="R17" s="1515" t="n">
        <f aca="false">IF(N17=0,0,(N17/12+N17/12)/(N17/12*N17/12)*C17*((M17/16*M17/16)*10.6870159)+J17*4)*(1+J$51)</f>
        <v>0</v>
      </c>
      <c r="S17" s="2747" t="n">
        <f aca="false">((C17*E17/324)+IF(J17&gt;0,(J17*K17*(L17+12)/3888),0))*(1+J$44)</f>
        <v>0</v>
      </c>
      <c r="T17" s="2202" t="n">
        <f aca="false">IF(C17=0,0,U17/C17)</f>
        <v>0</v>
      </c>
      <c r="U17" s="2184" t="n">
        <f aca="false">(AT17-BK17)*(1+L$36)</f>
        <v>0</v>
      </c>
      <c r="V17" s="2184"/>
      <c r="W17" s="179"/>
      <c r="AD17" s="2748" t="n">
        <f aca="false">IF($G17=1,$S17,0)</f>
        <v>0</v>
      </c>
      <c r="AE17" s="531" t="n">
        <f aca="false">IF($G17=2,$S17,0)</f>
        <v>0</v>
      </c>
      <c r="AF17" s="531" t="n">
        <f aca="false">IF($G17=3,$S17,0)</f>
        <v>0</v>
      </c>
      <c r="AG17" s="531" t="n">
        <f aca="false">IF($G17=4,$S17,0)</f>
        <v>0</v>
      </c>
      <c r="AH17" s="531" t="n">
        <f aca="false">IF($G17=5,$S17,0)</f>
        <v>0</v>
      </c>
      <c r="AI17" s="531" t="n">
        <f aca="false">IF($G17=6,$S17,0)</f>
        <v>0</v>
      </c>
      <c r="AJ17" s="531" t="n">
        <f aca="false">IF($G17=7,$S17,0)</f>
        <v>0</v>
      </c>
      <c r="AK17" s="531" t="n">
        <f aca="false">IF($G17=8,$S17,0)</f>
        <v>0</v>
      </c>
      <c r="AL17" s="531" t="n">
        <f aca="false">IF($G17=9,$S17,0)</f>
        <v>0</v>
      </c>
      <c r="AM17" s="2749" t="n">
        <f aca="false">IF($G17=10,$S17,0)</f>
        <v>0</v>
      </c>
      <c r="AN17" s="531" t="n">
        <f aca="false">SUM(AD17:AI17)</f>
        <v>0</v>
      </c>
      <c r="AO17" s="531" t="n">
        <f aca="false">IF(H17="Y",C17,0)</f>
        <v>0</v>
      </c>
      <c r="AP17" s="531" t="n">
        <f aca="false">IF(C17=0,0,IF(E17&lt;8,C17/K$79,0))</f>
        <v>0</v>
      </c>
      <c r="AQ17" s="531" t="n">
        <f aca="false">IF(C17=0,0,IF(E17&gt;8,C17/K$79,0))</f>
        <v>0</v>
      </c>
      <c r="AR17" s="531" t="n">
        <f aca="false">IF(H17&gt;0,C17,0)</f>
        <v>0</v>
      </c>
      <c r="AS17" s="531" t="n">
        <f aca="false">IF(I17="y",C17,0)</f>
        <v>0</v>
      </c>
      <c r="AT17" s="373" t="n">
        <f aca="false">SUM(AU17:BL17)</f>
        <v>0</v>
      </c>
      <c r="AU17" s="2732" t="n">
        <f aca="false">(AD17*Pricing!F$3+AE17*Pricing!G$3+AF17*Pricing!H$3+AG17*Pricing!I$3+AH17*Pricing!J$3+AI17*Pricing!K$3+AJ17*Pricing!L$3+AK17*Pricing!M$3+AL17*Pricing!N$3+AM17*Pricing!O$3)*IF(T$35="N",(1+V$35),1)</f>
        <v>0</v>
      </c>
      <c r="AV17" s="96" t="n">
        <f aca="false">R17*F$51*IF(T$35="n",1+V$35,1)</f>
        <v>0</v>
      </c>
      <c r="AW17" s="2733" t="str">
        <f aca="false">IF(C17=0,"",C17*G$59)</f>
        <v/>
      </c>
      <c r="AX17" s="96" t="n">
        <f aca="false">IF(N$62=0,0,N$62/H$59*C17)</f>
        <v>0</v>
      </c>
      <c r="AY17" s="96" t="n">
        <f aca="false">J17*D$63</f>
        <v>0</v>
      </c>
      <c r="AZ17" s="587" t="n">
        <f aca="false">IF(N$64=0,0,N$64/H$59*C17)</f>
        <v>0</v>
      </c>
      <c r="BA17" s="96" t="n">
        <f aca="false">IF(C$32=0,0,N$84/C$32*C17)</f>
        <v>0</v>
      </c>
      <c r="BB17" s="96" t="n">
        <f aca="false">IF(C17=0,0,(SUM(N$67:O$70)+N$86)/C$32*C17)</f>
        <v>0</v>
      </c>
      <c r="BC17" s="96" t="n">
        <f aca="false">IF(C17=0,0,SUM(W$44:W$87)/C$32*C17)</f>
        <v>0</v>
      </c>
      <c r="BD17" s="96" t="n">
        <f aca="false">IF(C17=0,0,(SUM(N$72:O$77)-N$77)/C$32*C17)</f>
        <v>0</v>
      </c>
      <c r="BE17" s="96" t="n">
        <f aca="false">IF(C17=0,0,SUM(N$79:N$83)/C$32)*C17</f>
        <v>0</v>
      </c>
      <c r="BF17" s="96" t="n">
        <f aca="false">P17*F$54*IF(T$35="N",1+V$35,1)</f>
        <v>0</v>
      </c>
      <c r="BG17" s="96" t="n">
        <f aca="false">H17*C17</f>
        <v>0</v>
      </c>
      <c r="BH17" s="96" t="n">
        <f aca="false">IF(I17="y",N$77/AS$32*C17,0)</f>
        <v>0</v>
      </c>
      <c r="BI17" s="96" t="n">
        <f aca="false">IF(K$56=0,0,N$56/K$56*K17)</f>
        <v>0</v>
      </c>
      <c r="BJ17" s="96" t="n">
        <f aca="false">IF(O17=6,Q17*Pricing!D$28,IF(O17=8,Pricing!D$27,IF(O17=10,Pricing!D$26,0)))*Q17*(1+J$52)*IF(T$35="Y",1,1+V$35)</f>
        <v>0</v>
      </c>
      <c r="BK17" s="96" t="n">
        <f aca="false">IF(N$88=0,0,N$88/H$59*C17)</f>
        <v>0</v>
      </c>
      <c r="BL17" s="2734"/>
      <c r="BO17" s="2735" t="n">
        <f aca="false">A17</f>
        <v>0</v>
      </c>
      <c r="BP17" s="2191" t="n">
        <f aca="false">J17</f>
        <v>0</v>
      </c>
      <c r="BQ17" s="1928" t="n">
        <f aca="false">R17</f>
        <v>0</v>
      </c>
      <c r="BR17" s="1414" t="n">
        <f aca="false">IF(H17=0,0,C17*H17)</f>
        <v>0</v>
      </c>
      <c r="BS17" s="2736" t="n">
        <f aca="false">C17</f>
        <v>0</v>
      </c>
    </row>
    <row r="18" customFormat="false" ht="24" hidden="false" customHeight="true" outlineLevel="0" collapsed="false">
      <c r="A18" s="2737"/>
      <c r="B18" s="2738"/>
      <c r="C18" s="2764"/>
      <c r="D18" s="2751"/>
      <c r="E18" s="2741"/>
      <c r="F18" s="2742"/>
      <c r="G18" s="2743"/>
      <c r="H18" s="2744"/>
      <c r="I18" s="2741"/>
      <c r="J18" s="2745"/>
      <c r="K18" s="2741"/>
      <c r="L18" s="2741"/>
      <c r="M18" s="2746"/>
      <c r="N18" s="2741"/>
      <c r="O18" s="2741"/>
      <c r="P18" s="2182" t="n">
        <f aca="false">C18*F18/324*(1+J$54)</f>
        <v>0</v>
      </c>
      <c r="Q18" s="2182" t="n">
        <f aca="false">IF(O18&gt;0,C18,0)</f>
        <v>0</v>
      </c>
      <c r="R18" s="1515" t="n">
        <f aca="false">IF(N18=0,0,(N18/12+N18/12)/(N18/12*N18/12)*C18*((M18/16*M18/16)*10.6870159)+J18*4)*(1+J$51)</f>
        <v>0</v>
      </c>
      <c r="S18" s="2747" t="n">
        <f aca="false">((C18*E18/324)+IF(J18&gt;0,(J18*K18*(L18+12)/3888),0))*(1+J$44)</f>
        <v>0</v>
      </c>
      <c r="T18" s="2202" t="n">
        <f aca="false">IF(C18=0,0,U18/C18)</f>
        <v>0</v>
      </c>
      <c r="U18" s="2184" t="n">
        <f aca="false">(AT18-BK18)*(1+L$36)</f>
        <v>0</v>
      </c>
      <c r="V18" s="2184"/>
      <c r="W18" s="179"/>
      <c r="AD18" s="2748" t="n">
        <f aca="false">IF($G18=1,$S18,0)</f>
        <v>0</v>
      </c>
      <c r="AE18" s="531" t="n">
        <f aca="false">IF($G18=2,$S18,0)</f>
        <v>0</v>
      </c>
      <c r="AF18" s="531" t="n">
        <f aca="false">IF($G18=3,$S18,0)</f>
        <v>0</v>
      </c>
      <c r="AG18" s="531" t="n">
        <f aca="false">IF($G18=4,$S18,0)</f>
        <v>0</v>
      </c>
      <c r="AH18" s="531" t="n">
        <f aca="false">IF($G18=5,$S18,0)</f>
        <v>0</v>
      </c>
      <c r="AI18" s="531" t="n">
        <f aca="false">IF($G18=6,$S18,0)</f>
        <v>0</v>
      </c>
      <c r="AJ18" s="531" t="n">
        <f aca="false">IF($G18=7,$S18,0)</f>
        <v>0</v>
      </c>
      <c r="AK18" s="531" t="n">
        <f aca="false">IF($G18=8,$S18,0)</f>
        <v>0</v>
      </c>
      <c r="AL18" s="531" t="n">
        <f aca="false">IF($G18=9,$S18,0)</f>
        <v>0</v>
      </c>
      <c r="AM18" s="2749" t="n">
        <f aca="false">IF($G18=10,$S18,0)</f>
        <v>0</v>
      </c>
      <c r="AN18" s="531" t="n">
        <f aca="false">SUM(AD18:AI18)</f>
        <v>0</v>
      </c>
      <c r="AO18" s="531" t="n">
        <f aca="false">IF(H18="Y",C18,0)</f>
        <v>0</v>
      </c>
      <c r="AP18" s="531" t="n">
        <f aca="false">IF(C18=0,0,IF(E18&lt;8,C18/K$79,0))</f>
        <v>0</v>
      </c>
      <c r="AQ18" s="531" t="n">
        <f aca="false">IF(C18=0,0,IF(E18&gt;8,C18/K$79,0))</f>
        <v>0</v>
      </c>
      <c r="AR18" s="531" t="n">
        <f aca="false">IF(H18&gt;0,C18,0)</f>
        <v>0</v>
      </c>
      <c r="AS18" s="531" t="n">
        <f aca="false">IF(I18="y",C18,0)</f>
        <v>0</v>
      </c>
      <c r="AT18" s="373" t="n">
        <f aca="false">SUM(AU18:BL18)</f>
        <v>0</v>
      </c>
      <c r="AU18" s="2732" t="n">
        <f aca="false">(AD18*Pricing!F$3+AE18*Pricing!G$3+AF18*Pricing!H$3+AG18*Pricing!I$3+AH18*Pricing!J$3+AI18*Pricing!K$3+AJ18*Pricing!L$3+AK18*Pricing!M$3+AL18*Pricing!N$3+AM18*Pricing!O$3)*IF(T$35="N",(1+V$35),1)</f>
        <v>0</v>
      </c>
      <c r="AV18" s="96" t="n">
        <f aca="false">R18*F$51*IF(T$35="n",1+V$35,1)</f>
        <v>0</v>
      </c>
      <c r="AW18" s="2733" t="str">
        <f aca="false">IF(C18=0,"",C18*G$59)</f>
        <v/>
      </c>
      <c r="AX18" s="96" t="n">
        <f aca="false">IF(N$62=0,0,N$62/H$59*C18)</f>
        <v>0</v>
      </c>
      <c r="AY18" s="96" t="n">
        <f aca="false">J18*D$63</f>
        <v>0</v>
      </c>
      <c r="AZ18" s="587" t="n">
        <f aca="false">IF(N$64=0,0,N$64/H$59*C18)</f>
        <v>0</v>
      </c>
      <c r="BA18" s="96" t="n">
        <f aca="false">IF(C$32=0,0,N$84/C$32*C18)</f>
        <v>0</v>
      </c>
      <c r="BB18" s="96" t="n">
        <f aca="false">IF(C18=0,0,(SUM(N$67:O$70)+N$86)/C$32*C18)</f>
        <v>0</v>
      </c>
      <c r="BC18" s="96" t="n">
        <f aca="false">IF(C18=0,0,SUM(W$44:W$87)/C$32*C18)</f>
        <v>0</v>
      </c>
      <c r="BD18" s="96" t="n">
        <f aca="false">IF(C18=0,0,(SUM(N$72:O$77)-N$77)/C$32*C18)</f>
        <v>0</v>
      </c>
      <c r="BE18" s="96" t="n">
        <f aca="false">IF(C18=0,0,SUM(N$79:N$83)/C$32)*C18</f>
        <v>0</v>
      </c>
      <c r="BF18" s="96" t="n">
        <f aca="false">P18*F$54*IF(T$35="N",1+V$35,1)</f>
        <v>0</v>
      </c>
      <c r="BG18" s="96" t="n">
        <f aca="false">H18*C18</f>
        <v>0</v>
      </c>
      <c r="BH18" s="96" t="n">
        <f aca="false">IF(I18="y",N$77/AS$32*C18,0)</f>
        <v>0</v>
      </c>
      <c r="BI18" s="96" t="n">
        <f aca="false">IF(K$56=0,0,N$56/K$56*K18)</f>
        <v>0</v>
      </c>
      <c r="BJ18" s="96" t="n">
        <f aca="false">IF(O18=6,Q18*Pricing!D$28,IF(O18=8,Pricing!D$27,IF(O18=10,Pricing!D$26,0)))*Q18*(1+J$52)*IF(T$35="Y",1,1+V$35)</f>
        <v>0</v>
      </c>
      <c r="BK18" s="96" t="n">
        <f aca="false">IF(N$88=0,0,N$88/H$59*C18)</f>
        <v>0</v>
      </c>
      <c r="BL18" s="2734"/>
      <c r="BO18" s="2735" t="n">
        <f aca="false">A18</f>
        <v>0</v>
      </c>
      <c r="BP18" s="2191" t="n">
        <f aca="false">J18</f>
        <v>0</v>
      </c>
      <c r="BQ18" s="1928" t="n">
        <f aca="false">R18</f>
        <v>0</v>
      </c>
      <c r="BR18" s="1414" t="n">
        <f aca="false">IF(H18=0,0,C18*H18)</f>
        <v>0</v>
      </c>
      <c r="BS18" s="2736" t="n">
        <f aca="false">C18</f>
        <v>0</v>
      </c>
    </row>
    <row r="19" customFormat="false" ht="24" hidden="false" customHeight="true" outlineLevel="0" collapsed="false">
      <c r="A19" s="2737"/>
      <c r="B19" s="2753"/>
      <c r="C19" s="2754"/>
      <c r="D19" s="2755"/>
      <c r="E19" s="2756"/>
      <c r="F19" s="2757"/>
      <c r="G19" s="2758"/>
      <c r="H19" s="2744"/>
      <c r="I19" s="2756"/>
      <c r="J19" s="2759"/>
      <c r="K19" s="2756"/>
      <c r="L19" s="2756"/>
      <c r="M19" s="2760"/>
      <c r="N19" s="2756"/>
      <c r="O19" s="2756"/>
      <c r="P19" s="2182" t="n">
        <f aca="false">C19*F19/324*(1+J$54)</f>
        <v>0</v>
      </c>
      <c r="Q19" s="2182" t="n">
        <f aca="false">IF(O19&gt;0,C19,0)</f>
        <v>0</v>
      </c>
      <c r="R19" s="1515" t="n">
        <f aca="false">IF(N19=0,0,(N19/12+N19/12)/(N19/12*N19/12)*C19*((M19/16*M19/16)*10.6870159)+J19*4)*(1+J$51)</f>
        <v>0</v>
      </c>
      <c r="S19" s="2747" t="n">
        <f aca="false">((C19*E19/324)+IF(J19&gt;0,(J19*K19*(L19+12)/3888),0))*(1+J$44)</f>
        <v>0</v>
      </c>
      <c r="T19" s="2202" t="n">
        <f aca="false">IF(C19=0,0,U19/C19)</f>
        <v>0</v>
      </c>
      <c r="U19" s="2184" t="n">
        <f aca="false">(AT19-BK19)*(1+L$36)</f>
        <v>0</v>
      </c>
      <c r="V19" s="2184"/>
      <c r="W19" s="179"/>
      <c r="AD19" s="2748" t="n">
        <f aca="false">IF($G19=1,$S19,0)</f>
        <v>0</v>
      </c>
      <c r="AE19" s="531" t="n">
        <f aca="false">IF($G19=2,$S19,0)</f>
        <v>0</v>
      </c>
      <c r="AF19" s="531" t="n">
        <f aca="false">IF($G19=3,$S19,0)</f>
        <v>0</v>
      </c>
      <c r="AG19" s="531" t="n">
        <f aca="false">IF($G19=4,$S19,0)</f>
        <v>0</v>
      </c>
      <c r="AH19" s="531" t="n">
        <f aca="false">IF($G19=5,$S19,0)</f>
        <v>0</v>
      </c>
      <c r="AI19" s="531" t="n">
        <f aca="false">IF($G19=6,$S19,0)</f>
        <v>0</v>
      </c>
      <c r="AJ19" s="531" t="n">
        <f aca="false">IF($G19=7,$S19,0)</f>
        <v>0</v>
      </c>
      <c r="AK19" s="531" t="n">
        <f aca="false">IF($G19=8,$S19,0)</f>
        <v>0</v>
      </c>
      <c r="AL19" s="531" t="n">
        <f aca="false">IF($G19=9,$S19,0)</f>
        <v>0</v>
      </c>
      <c r="AM19" s="2749" t="n">
        <f aca="false">IF($G19=10,$S19,0)</f>
        <v>0</v>
      </c>
      <c r="AN19" s="531" t="n">
        <f aca="false">SUM(AD19:AI19)</f>
        <v>0</v>
      </c>
      <c r="AO19" s="531" t="n">
        <f aca="false">IF(H19="Y",C19,0)</f>
        <v>0</v>
      </c>
      <c r="AP19" s="531" t="n">
        <f aca="false">IF(C19=0,0,IF(E19&lt;8,C19/K$79,0))</f>
        <v>0</v>
      </c>
      <c r="AQ19" s="531" t="n">
        <f aca="false">IF(C19=0,0,IF(E19&gt;8,C19/K$79,0))</f>
        <v>0</v>
      </c>
      <c r="AR19" s="531" t="n">
        <f aca="false">IF(H19&gt;0,C19,0)</f>
        <v>0</v>
      </c>
      <c r="AS19" s="531" t="n">
        <f aca="false">IF(I19="y",C19,0)</f>
        <v>0</v>
      </c>
      <c r="AT19" s="373" t="n">
        <f aca="false">SUM(AU19:BL19)</f>
        <v>0</v>
      </c>
      <c r="AU19" s="2732" t="n">
        <f aca="false">(AD19*Pricing!F$3+AE19*Pricing!G$3+AF19*Pricing!H$3+AG19*Pricing!I$3+AH19*Pricing!J$3+AI19*Pricing!K$3+AJ19*Pricing!L$3+AK19*Pricing!M$3+AL19*Pricing!N$3+AM19*Pricing!O$3)*IF(T$35="N",(1+V$35),1)</f>
        <v>0</v>
      </c>
      <c r="AV19" s="96" t="n">
        <f aca="false">R19*F$51*IF(T$35="n",1+V$35,1)</f>
        <v>0</v>
      </c>
      <c r="AW19" s="2733" t="str">
        <f aca="false">IF(C19=0,"",C19*G$59)</f>
        <v/>
      </c>
      <c r="AX19" s="96" t="n">
        <f aca="false">IF(N$62=0,0,N$62/H$59*C19)</f>
        <v>0</v>
      </c>
      <c r="AY19" s="96" t="n">
        <f aca="false">J19*D$63</f>
        <v>0</v>
      </c>
      <c r="AZ19" s="587" t="n">
        <f aca="false">IF(N$64=0,0,N$64/H$59*C19)</f>
        <v>0</v>
      </c>
      <c r="BA19" s="96" t="n">
        <f aca="false">IF(C$32=0,0,N$84/C$32*C19)</f>
        <v>0</v>
      </c>
      <c r="BB19" s="96" t="n">
        <f aca="false">IF(C19=0,0,(SUM(N$67:O$70)+N$86)/C$32*C19)</f>
        <v>0</v>
      </c>
      <c r="BC19" s="96" t="n">
        <f aca="false">IF(C19=0,0,SUM(W$44:W$87)/C$32*C19)</f>
        <v>0</v>
      </c>
      <c r="BD19" s="96" t="n">
        <f aca="false">IF(C19=0,0,(SUM(N$72:O$77)-N$77)/C$32*C19)</f>
        <v>0</v>
      </c>
      <c r="BE19" s="96" t="n">
        <f aca="false">IF(C19=0,0,SUM(N$79:N$83)/C$32)*C19</f>
        <v>0</v>
      </c>
      <c r="BF19" s="96" t="n">
        <f aca="false">P19*F$54*IF(T$35="N",1+V$35,1)</f>
        <v>0</v>
      </c>
      <c r="BG19" s="96" t="n">
        <f aca="false">H19*C19</f>
        <v>0</v>
      </c>
      <c r="BH19" s="96" t="n">
        <f aca="false">IF(I19="y",N$77/AS$32*C19,0)</f>
        <v>0</v>
      </c>
      <c r="BI19" s="96" t="n">
        <f aca="false">IF(K$56=0,0,N$56/K$56*K19)</f>
        <v>0</v>
      </c>
      <c r="BJ19" s="96" t="n">
        <f aca="false">IF(O19=6,Q19*Pricing!D$28,IF(O19=8,Pricing!D$27,IF(O19=10,Pricing!D$26,0)))*Q19*(1+J$52)*IF(T$35="Y",1,1+V$35)</f>
        <v>0</v>
      </c>
      <c r="BK19" s="96" t="n">
        <f aca="false">IF(N$88=0,0,N$88/H$59*C19)</f>
        <v>0</v>
      </c>
      <c r="BL19" s="2734"/>
      <c r="BO19" s="2735" t="n">
        <f aca="false">A19</f>
        <v>0</v>
      </c>
      <c r="BP19" s="2191" t="n">
        <f aca="false">J19</f>
        <v>0</v>
      </c>
      <c r="BQ19" s="1928" t="n">
        <f aca="false">R19</f>
        <v>0</v>
      </c>
      <c r="BR19" s="1414" t="n">
        <f aca="false">IF(H19=0,0,C19*H19)</f>
        <v>0</v>
      </c>
      <c r="BS19" s="2736" t="n">
        <f aca="false">C19</f>
        <v>0</v>
      </c>
    </row>
    <row r="20" customFormat="false" ht="24" hidden="false" customHeight="true" outlineLevel="0" collapsed="false">
      <c r="A20" s="2761"/>
      <c r="B20" s="2753"/>
      <c r="C20" s="2762"/>
      <c r="D20" s="2755"/>
      <c r="E20" s="2756"/>
      <c r="F20" s="2757"/>
      <c r="G20" s="2758"/>
      <c r="H20" s="2744"/>
      <c r="I20" s="2756"/>
      <c r="J20" s="2759"/>
      <c r="K20" s="2756"/>
      <c r="L20" s="2756"/>
      <c r="M20" s="2760"/>
      <c r="N20" s="2756"/>
      <c r="O20" s="2756"/>
      <c r="P20" s="2182" t="n">
        <f aca="false">C20*F20/324*(1+J$54)</f>
        <v>0</v>
      </c>
      <c r="Q20" s="2182" t="n">
        <f aca="false">IF(O20&gt;0,C20,0)</f>
        <v>0</v>
      </c>
      <c r="R20" s="1515" t="n">
        <f aca="false">IF(N20=0,0,(N20/12+N20/12)/(N20/12*N20/12)*C20*((M20/16*M20/16)*10.6870159)+J20*4)*(1+J$51)</f>
        <v>0</v>
      </c>
      <c r="S20" s="2747" t="n">
        <f aca="false">((C20*E20/324)+IF(J20&gt;0,(J20*K20*(L20+12)/3888),0))*(1+J$44)</f>
        <v>0</v>
      </c>
      <c r="T20" s="2202" t="n">
        <f aca="false">IF(C20=0,0,U20/C20)</f>
        <v>0</v>
      </c>
      <c r="U20" s="2184" t="n">
        <f aca="false">(AT20-BK20)*(1+L$36)</f>
        <v>0</v>
      </c>
      <c r="V20" s="2184"/>
      <c r="W20" s="179"/>
      <c r="AD20" s="2748" t="n">
        <f aca="false">IF($G20=1,$S20,0)</f>
        <v>0</v>
      </c>
      <c r="AE20" s="531" t="n">
        <f aca="false">IF($G20=2,$S20,0)</f>
        <v>0</v>
      </c>
      <c r="AF20" s="531" t="n">
        <f aca="false">IF($G20=3,$S20,0)</f>
        <v>0</v>
      </c>
      <c r="AG20" s="531" t="n">
        <f aca="false">IF($G20=4,$S20,0)</f>
        <v>0</v>
      </c>
      <c r="AH20" s="531" t="n">
        <f aca="false">IF($G20=5,$S20,0)</f>
        <v>0</v>
      </c>
      <c r="AI20" s="531" t="n">
        <f aca="false">IF($G20=6,$S20,0)</f>
        <v>0</v>
      </c>
      <c r="AJ20" s="531" t="n">
        <f aca="false">IF($G20=7,$S20,0)</f>
        <v>0</v>
      </c>
      <c r="AK20" s="531" t="n">
        <f aca="false">IF($G20=8,$S20,0)</f>
        <v>0</v>
      </c>
      <c r="AL20" s="531" t="n">
        <f aca="false">IF($G20=9,$S20,0)</f>
        <v>0</v>
      </c>
      <c r="AM20" s="2749" t="n">
        <f aca="false">IF($G20=10,$S20,0)</f>
        <v>0</v>
      </c>
      <c r="AN20" s="531" t="n">
        <f aca="false">SUM(AD20:AI20)</f>
        <v>0</v>
      </c>
      <c r="AO20" s="531" t="n">
        <f aca="false">IF(H20="Y",C20,0)</f>
        <v>0</v>
      </c>
      <c r="AP20" s="531" t="n">
        <f aca="false">IF(C20=0,0,IF(E20&lt;8,C20/K$79,0))</f>
        <v>0</v>
      </c>
      <c r="AQ20" s="531" t="n">
        <f aca="false">IF(C20=0,0,IF(E20&gt;8,C20/K$79,0))</f>
        <v>0</v>
      </c>
      <c r="AR20" s="531" t="n">
        <f aca="false">IF(H20&gt;0,C20,0)</f>
        <v>0</v>
      </c>
      <c r="AS20" s="531" t="n">
        <f aca="false">IF(I20="y",C20,0)</f>
        <v>0</v>
      </c>
      <c r="AT20" s="373" t="n">
        <f aca="false">SUM(AU20:BL20)</f>
        <v>0</v>
      </c>
      <c r="AU20" s="2732" t="n">
        <f aca="false">(AD20*Pricing!F$3+AE20*Pricing!G$3+AF20*Pricing!H$3+AG20*Pricing!I$3+AH20*Pricing!J$3+AI20*Pricing!K$3+AJ20*Pricing!L$3+AK20*Pricing!M$3+AL20*Pricing!N$3+AM20*Pricing!O$3)*IF(T$35="N",(1+V$35),1)</f>
        <v>0</v>
      </c>
      <c r="AV20" s="96" t="n">
        <f aca="false">R20*F$51*IF(T$35="n",1+V$35,1)</f>
        <v>0</v>
      </c>
      <c r="AW20" s="2733" t="str">
        <f aca="false">IF(C20=0,"",C20*G$59)</f>
        <v/>
      </c>
      <c r="AX20" s="96" t="n">
        <f aca="false">IF(N$62=0,0,N$62/H$59*C20)</f>
        <v>0</v>
      </c>
      <c r="AY20" s="96" t="n">
        <f aca="false">J20*D$63</f>
        <v>0</v>
      </c>
      <c r="AZ20" s="587" t="n">
        <f aca="false">IF(N$64=0,0,N$64/H$59*C20)</f>
        <v>0</v>
      </c>
      <c r="BA20" s="96" t="n">
        <f aca="false">IF(C$32=0,0,N$84/C$32*C20)</f>
        <v>0</v>
      </c>
      <c r="BB20" s="96" t="n">
        <f aca="false">IF(C20=0,0,(SUM(N$67:O$70)+N$86)/C$32*C20)</f>
        <v>0</v>
      </c>
      <c r="BC20" s="96" t="n">
        <f aca="false">IF(C20=0,0,SUM(W$44:W$87)/C$32*C20)</f>
        <v>0</v>
      </c>
      <c r="BD20" s="96" t="n">
        <f aca="false">IF(C20=0,0,(SUM(N$72:O$77)-N$77)/C$32*C20)</f>
        <v>0</v>
      </c>
      <c r="BE20" s="96" t="n">
        <f aca="false">IF(C20=0,0,SUM(N$79:N$83)/C$32)*C20</f>
        <v>0</v>
      </c>
      <c r="BF20" s="96" t="n">
        <f aca="false">P20*F$54*IF(T$35="N",1+V$35,1)</f>
        <v>0</v>
      </c>
      <c r="BG20" s="96" t="n">
        <f aca="false">H20*C20</f>
        <v>0</v>
      </c>
      <c r="BH20" s="96" t="n">
        <f aca="false">IF(I20="y",N$77/AS$32*C20,0)</f>
        <v>0</v>
      </c>
      <c r="BI20" s="96" t="n">
        <f aca="false">IF(K$56=0,0,N$56/K$56*K20)</f>
        <v>0</v>
      </c>
      <c r="BJ20" s="96" t="n">
        <f aca="false">IF(O20=6,Q20*Pricing!D$28,IF(O20=8,Pricing!D$27,IF(O20=10,Pricing!D$26,0)))*Q20*(1+J$52)*IF(T$35="Y",1,1+V$35)</f>
        <v>0</v>
      </c>
      <c r="BK20" s="96" t="n">
        <f aca="false">IF(N$88=0,0,N$88/H$59*C20)</f>
        <v>0</v>
      </c>
      <c r="BL20" s="2734"/>
      <c r="BO20" s="2735" t="n">
        <f aca="false">A20</f>
        <v>0</v>
      </c>
      <c r="BP20" s="2191" t="n">
        <f aca="false">J20</f>
        <v>0</v>
      </c>
      <c r="BQ20" s="1928" t="n">
        <f aca="false">R20</f>
        <v>0</v>
      </c>
      <c r="BR20" s="1414" t="n">
        <f aca="false">IF(H20=0,0,C20*H20)</f>
        <v>0</v>
      </c>
      <c r="BS20" s="2736" t="n">
        <f aca="false">C20</f>
        <v>0</v>
      </c>
    </row>
    <row r="21" customFormat="false" ht="24" hidden="false" customHeight="true" outlineLevel="0" collapsed="false">
      <c r="A21" s="2761"/>
      <c r="B21" s="2753"/>
      <c r="C21" s="2754"/>
      <c r="D21" s="2755"/>
      <c r="E21" s="2756"/>
      <c r="F21" s="2757"/>
      <c r="G21" s="2758"/>
      <c r="H21" s="2744"/>
      <c r="I21" s="2756"/>
      <c r="J21" s="2759"/>
      <c r="K21" s="2756"/>
      <c r="L21" s="2756"/>
      <c r="M21" s="2760"/>
      <c r="N21" s="2756"/>
      <c r="O21" s="2756"/>
      <c r="P21" s="2182" t="n">
        <f aca="false">C21*F21/324*(1+J$54)</f>
        <v>0</v>
      </c>
      <c r="Q21" s="2182" t="n">
        <f aca="false">IF(O21&gt;0,C21,0)</f>
        <v>0</v>
      </c>
      <c r="R21" s="1515" t="n">
        <f aca="false">IF(N21=0,0,(N21/12+N21/12)/(N21/12*N21/12)*C21*((M21/16*M21/16)*10.6870159)+J21*4)*(1+J$51)</f>
        <v>0</v>
      </c>
      <c r="S21" s="2747" t="n">
        <f aca="false">((C21*E21/324)+IF(J21&gt;0,(J21*K21*(L21+12)/3888),0))*(1+J$44)</f>
        <v>0</v>
      </c>
      <c r="T21" s="2202" t="n">
        <f aca="false">IF(C21=0,0,U21/C21)</f>
        <v>0</v>
      </c>
      <c r="U21" s="2184" t="n">
        <f aca="false">(AT21-BK21)*(1+L$36)</f>
        <v>0</v>
      </c>
      <c r="V21" s="2184"/>
      <c r="W21" s="179"/>
      <c r="AD21" s="2748" t="n">
        <f aca="false">IF($G21=1,$S21,0)</f>
        <v>0</v>
      </c>
      <c r="AE21" s="531" t="n">
        <f aca="false">IF($G21=2,$S21,0)</f>
        <v>0</v>
      </c>
      <c r="AF21" s="531" t="n">
        <f aca="false">IF($G21=3,$S21,0)</f>
        <v>0</v>
      </c>
      <c r="AG21" s="531" t="n">
        <f aca="false">IF($G21=4,$S21,0)</f>
        <v>0</v>
      </c>
      <c r="AH21" s="531" t="n">
        <f aca="false">IF($G21=5,$S21,0)</f>
        <v>0</v>
      </c>
      <c r="AI21" s="531" t="n">
        <f aca="false">IF($G21=6,$S21,0)</f>
        <v>0</v>
      </c>
      <c r="AJ21" s="531" t="n">
        <f aca="false">IF($G21=7,$S21,0)</f>
        <v>0</v>
      </c>
      <c r="AK21" s="531" t="n">
        <f aca="false">IF($G21=8,$S21,0)</f>
        <v>0</v>
      </c>
      <c r="AL21" s="531" t="n">
        <f aca="false">IF($G21=9,$S21,0)</f>
        <v>0</v>
      </c>
      <c r="AM21" s="2749" t="n">
        <f aca="false">IF($G21=10,$S21,0)</f>
        <v>0</v>
      </c>
      <c r="AN21" s="531" t="n">
        <f aca="false">SUM(AD21:AI21)</f>
        <v>0</v>
      </c>
      <c r="AO21" s="531" t="n">
        <f aca="false">IF(H21="Y",C21,0)</f>
        <v>0</v>
      </c>
      <c r="AP21" s="531" t="n">
        <f aca="false">IF(C21=0,0,IF(E21&lt;8,C21/K$79,0))</f>
        <v>0</v>
      </c>
      <c r="AQ21" s="531" t="n">
        <f aca="false">IF(C21=0,0,IF(E21&gt;8,C21/K$79,0))</f>
        <v>0</v>
      </c>
      <c r="AR21" s="531" t="n">
        <f aca="false">IF(H21&gt;0,C21,0)</f>
        <v>0</v>
      </c>
      <c r="AS21" s="531" t="n">
        <f aca="false">IF(I21="y",C21,0)</f>
        <v>0</v>
      </c>
      <c r="AT21" s="373" t="n">
        <f aca="false">SUM(AU21:BL21)</f>
        <v>0</v>
      </c>
      <c r="AU21" s="2732" t="n">
        <f aca="false">(AD21*Pricing!F$3+AE21*Pricing!G$3+AF21*Pricing!H$3+AG21*Pricing!I$3+AH21*Pricing!J$3+AI21*Pricing!K$3+AJ21*Pricing!L$3+AK21*Pricing!M$3+AL21*Pricing!N$3+AM21*Pricing!O$3)*IF(T$35="N",(1+V$35),1)</f>
        <v>0</v>
      </c>
      <c r="AV21" s="96" t="n">
        <f aca="false">R21*F$51*IF(T$35="n",1+V$35,1)</f>
        <v>0</v>
      </c>
      <c r="AW21" s="2733" t="str">
        <f aca="false">IF(C21=0,"",C21*G$59)</f>
        <v/>
      </c>
      <c r="AX21" s="96" t="n">
        <f aca="false">IF(N$62=0,0,N$62/H$59*C21)</f>
        <v>0</v>
      </c>
      <c r="AY21" s="96" t="n">
        <f aca="false">J21*D$63</f>
        <v>0</v>
      </c>
      <c r="AZ21" s="587" t="n">
        <f aca="false">IF(N$64=0,0,N$64/H$59*C21)</f>
        <v>0</v>
      </c>
      <c r="BA21" s="96" t="n">
        <f aca="false">IF(C$32=0,0,N$84/C$32*C21)</f>
        <v>0</v>
      </c>
      <c r="BB21" s="96" t="n">
        <f aca="false">IF(C21=0,0,(SUM(N$67:O$70)+N$86)/C$32*C21)</f>
        <v>0</v>
      </c>
      <c r="BC21" s="96" t="n">
        <f aca="false">IF(C21=0,0,SUM(W$44:W$87)/C$32*C21)</f>
        <v>0</v>
      </c>
      <c r="BD21" s="96" t="n">
        <f aca="false">IF(C21=0,0,(SUM(N$72:O$77)-N$77)/C$32*C21)</f>
        <v>0</v>
      </c>
      <c r="BE21" s="96" t="n">
        <f aca="false">IF(C21=0,0,SUM(N$79:N$83)/C$32)*C21</f>
        <v>0</v>
      </c>
      <c r="BF21" s="96" t="n">
        <f aca="false">P21*F$54*IF(T$35="N",1+V$35,1)</f>
        <v>0</v>
      </c>
      <c r="BG21" s="96" t="n">
        <f aca="false">H21*C21</f>
        <v>0</v>
      </c>
      <c r="BH21" s="96" t="n">
        <f aca="false">IF(I21="y",N$77/AS$32*C21,0)</f>
        <v>0</v>
      </c>
      <c r="BI21" s="96" t="n">
        <f aca="false">IF(K$56=0,0,N$56/K$56*K21)</f>
        <v>0</v>
      </c>
      <c r="BJ21" s="96" t="n">
        <f aca="false">IF(O21=6,Q21*Pricing!D$28,IF(O21=8,Pricing!D$27,IF(O21=10,Pricing!D$26,0)))*Q21*(1+J$52)*IF(T$35="Y",1,1+V$35)</f>
        <v>0</v>
      </c>
      <c r="BK21" s="96" t="n">
        <f aca="false">IF(N$88=0,0,N$88/H$59*C21)</f>
        <v>0</v>
      </c>
      <c r="BL21" s="2734"/>
      <c r="BO21" s="2735" t="n">
        <f aca="false">A21</f>
        <v>0</v>
      </c>
      <c r="BP21" s="2191" t="n">
        <f aca="false">J21</f>
        <v>0</v>
      </c>
      <c r="BQ21" s="1928" t="n">
        <f aca="false">R21</f>
        <v>0</v>
      </c>
      <c r="BR21" s="1414" t="n">
        <f aca="false">IF(H21=0,0,C21*H21)</f>
        <v>0</v>
      </c>
      <c r="BS21" s="2736" t="n">
        <f aca="false">C21</f>
        <v>0</v>
      </c>
    </row>
    <row r="22" customFormat="false" ht="24" hidden="false" customHeight="true" outlineLevel="0" collapsed="false">
      <c r="A22" s="2761"/>
      <c r="B22" s="2753"/>
      <c r="C22" s="2754"/>
      <c r="D22" s="2755"/>
      <c r="E22" s="2756"/>
      <c r="F22" s="2757"/>
      <c r="G22" s="2758"/>
      <c r="H22" s="2744"/>
      <c r="I22" s="2756"/>
      <c r="J22" s="2759"/>
      <c r="K22" s="2756"/>
      <c r="L22" s="2756"/>
      <c r="M22" s="2760"/>
      <c r="N22" s="2756"/>
      <c r="O22" s="2756"/>
      <c r="P22" s="2182" t="n">
        <f aca="false">C22*F22/324*(1+J$54)</f>
        <v>0</v>
      </c>
      <c r="Q22" s="2182" t="n">
        <f aca="false">IF(O22&gt;0,C22,0)</f>
        <v>0</v>
      </c>
      <c r="R22" s="1515" t="n">
        <f aca="false">IF(N22=0,0,(N22/12+N22/12)/(N22/12*N22/12)*C22*((M22/16*M22/16)*10.6870159)+J22*4)*(1+J$51)</f>
        <v>0</v>
      </c>
      <c r="S22" s="2747" t="n">
        <f aca="false">((C22*E22/324)+IF(J22&gt;0,(J22*K22*(L22+12)/3888),0))*(1+J$44)</f>
        <v>0</v>
      </c>
      <c r="T22" s="2202" t="n">
        <f aca="false">IF(C22=0,0,U22/C22)</f>
        <v>0</v>
      </c>
      <c r="U22" s="2184" t="n">
        <f aca="false">(AT22-BK22)*(1+L$36)</f>
        <v>0</v>
      </c>
      <c r="V22" s="2184"/>
      <c r="W22" s="179"/>
      <c r="AD22" s="2748" t="n">
        <f aca="false">IF($G22=1,$S22,0)</f>
        <v>0</v>
      </c>
      <c r="AE22" s="531" t="n">
        <f aca="false">IF($G22=2,$S22,0)</f>
        <v>0</v>
      </c>
      <c r="AF22" s="531" t="n">
        <f aca="false">IF($G22=3,$S22,0)</f>
        <v>0</v>
      </c>
      <c r="AG22" s="531" t="n">
        <f aca="false">IF($G22=4,$S22,0)</f>
        <v>0</v>
      </c>
      <c r="AH22" s="531" t="n">
        <f aca="false">IF($G22=5,$S22,0)</f>
        <v>0</v>
      </c>
      <c r="AI22" s="531" t="n">
        <f aca="false">IF($G22=6,$S22,0)</f>
        <v>0</v>
      </c>
      <c r="AJ22" s="531" t="n">
        <f aca="false">IF($G22=7,$S22,0)</f>
        <v>0</v>
      </c>
      <c r="AK22" s="531" t="n">
        <f aca="false">IF($G22=8,$S22,0)</f>
        <v>0</v>
      </c>
      <c r="AL22" s="531" t="n">
        <f aca="false">IF($G22=9,$S22,0)</f>
        <v>0</v>
      </c>
      <c r="AM22" s="2749" t="n">
        <f aca="false">IF($G22=10,$S22,0)</f>
        <v>0</v>
      </c>
      <c r="AN22" s="531" t="n">
        <f aca="false">SUM(AD22:AI22)</f>
        <v>0</v>
      </c>
      <c r="AO22" s="531" t="n">
        <f aca="false">IF(H22="Y",C22,0)</f>
        <v>0</v>
      </c>
      <c r="AP22" s="531" t="n">
        <f aca="false">IF(C22=0,0,IF(E22&lt;8,C22/K$79,0))</f>
        <v>0</v>
      </c>
      <c r="AQ22" s="531" t="n">
        <f aca="false">IF(C22=0,0,IF(E22&gt;8,C22/K$79,0))</f>
        <v>0</v>
      </c>
      <c r="AR22" s="531" t="n">
        <f aca="false">IF(H22&gt;0,C22,0)</f>
        <v>0</v>
      </c>
      <c r="AS22" s="531" t="n">
        <f aca="false">IF(I22="y",C22,0)</f>
        <v>0</v>
      </c>
      <c r="AT22" s="373" t="n">
        <f aca="false">SUM(AU22:BL22)</f>
        <v>0</v>
      </c>
      <c r="AU22" s="2732" t="n">
        <f aca="false">(AD22*Pricing!F$3+AE22*Pricing!G$3+AF22*Pricing!H$3+AG22*Pricing!I$3+AH22*Pricing!J$3+AI22*Pricing!K$3+AJ22*Pricing!L$3+AK22*Pricing!M$3+AL22*Pricing!N$3+AM22*Pricing!O$3)*IF(T$35="N",(1+V$35),1)</f>
        <v>0</v>
      </c>
      <c r="AV22" s="96" t="n">
        <f aca="false">R22*F$51*IF(T$35="n",1+V$35,1)</f>
        <v>0</v>
      </c>
      <c r="AW22" s="2733" t="str">
        <f aca="false">IF(C22=0,"",C22*G$59)</f>
        <v/>
      </c>
      <c r="AX22" s="96" t="n">
        <f aca="false">IF(N$62=0,0,N$62/H$59*C22)</f>
        <v>0</v>
      </c>
      <c r="AY22" s="96" t="n">
        <f aca="false">J22*D$63</f>
        <v>0</v>
      </c>
      <c r="AZ22" s="587" t="n">
        <f aca="false">IF(N$64=0,0,N$64/H$59*C22)</f>
        <v>0</v>
      </c>
      <c r="BA22" s="96" t="n">
        <f aca="false">IF(C$32=0,0,N$84/C$32*C22)</f>
        <v>0</v>
      </c>
      <c r="BB22" s="96" t="n">
        <f aca="false">IF(C22=0,0,(SUM(N$67:O$70)+N$86)/C$32*C22)</f>
        <v>0</v>
      </c>
      <c r="BC22" s="96" t="n">
        <f aca="false">IF(C22=0,0,SUM(W$44:W$87)/C$32*C22)</f>
        <v>0</v>
      </c>
      <c r="BD22" s="96" t="n">
        <f aca="false">IF(C22=0,0,(SUM(N$72:O$77)-N$77)/C$32*C22)</f>
        <v>0</v>
      </c>
      <c r="BE22" s="96" t="n">
        <f aca="false">IF(C22=0,0,SUM(N$79:N$83)/C$32)*C22</f>
        <v>0</v>
      </c>
      <c r="BF22" s="96" t="n">
        <f aca="false">P22*F$54*IF(T$35="N",1+V$35,1)</f>
        <v>0</v>
      </c>
      <c r="BG22" s="96" t="n">
        <f aca="false">H22*C22</f>
        <v>0</v>
      </c>
      <c r="BH22" s="96" t="n">
        <f aca="false">IF(I22="y",N$77/AS$32*C22,0)</f>
        <v>0</v>
      </c>
      <c r="BI22" s="96" t="n">
        <f aca="false">IF(K$56=0,0,N$56/K$56*K22)</f>
        <v>0</v>
      </c>
      <c r="BJ22" s="96" t="n">
        <f aca="false">IF(O22=6,Q22*Pricing!D$28,IF(O22=8,Pricing!D$27,IF(O22=10,Pricing!D$26,0)))*Q22*(1+J$52)*IF(T$35="Y",1,1+V$35)</f>
        <v>0</v>
      </c>
      <c r="BK22" s="96" t="n">
        <f aca="false">IF(N$88=0,0,N$88/H$59*C22)</f>
        <v>0</v>
      </c>
      <c r="BL22" s="2734"/>
      <c r="BO22" s="2735" t="n">
        <f aca="false">A22</f>
        <v>0</v>
      </c>
      <c r="BP22" s="2191" t="n">
        <f aca="false">J22</f>
        <v>0</v>
      </c>
      <c r="BQ22" s="1928" t="n">
        <f aca="false">R22</f>
        <v>0</v>
      </c>
      <c r="BR22" s="1414" t="n">
        <f aca="false">IF(H22=0,0,C22*H22)</f>
        <v>0</v>
      </c>
      <c r="BS22" s="2736" t="n">
        <f aca="false">C22</f>
        <v>0</v>
      </c>
    </row>
    <row r="23" customFormat="false" ht="24" hidden="false" customHeight="true" outlineLevel="0" collapsed="false">
      <c r="A23" s="2761"/>
      <c r="B23" s="2753"/>
      <c r="C23" s="2754"/>
      <c r="D23" s="2755"/>
      <c r="E23" s="2756"/>
      <c r="F23" s="2757"/>
      <c r="G23" s="2758"/>
      <c r="H23" s="2744"/>
      <c r="I23" s="2756"/>
      <c r="J23" s="2759"/>
      <c r="K23" s="2756"/>
      <c r="L23" s="2756"/>
      <c r="M23" s="2760"/>
      <c r="N23" s="2756"/>
      <c r="O23" s="2756"/>
      <c r="P23" s="2182" t="n">
        <f aca="false">C23*F23/324*(1+J$54)</f>
        <v>0</v>
      </c>
      <c r="Q23" s="2182" t="n">
        <f aca="false">IF(O23&gt;0,C23,0)</f>
        <v>0</v>
      </c>
      <c r="R23" s="1515" t="n">
        <f aca="false">IF(N23=0,0,(N23/12+N23/12)/(N23/12*N23/12)*C23*((M23/16*M23/16)*10.6870159)+J23*4)*(1+J$51)</f>
        <v>0</v>
      </c>
      <c r="S23" s="2747" t="n">
        <f aca="false">((C23*E23/324)+IF(J23&gt;0,(J23*K23*(L23+12)/3888),0))*(1+J$44)</f>
        <v>0</v>
      </c>
      <c r="T23" s="2202" t="n">
        <f aca="false">IF(C23=0,0,U23/C23)</f>
        <v>0</v>
      </c>
      <c r="U23" s="2184" t="n">
        <f aca="false">(AT23-BK23)*(1+L$36)</f>
        <v>0</v>
      </c>
      <c r="V23" s="2184"/>
      <c r="W23" s="179"/>
      <c r="AD23" s="2748" t="n">
        <f aca="false">IF($G23=1,$S23,0)</f>
        <v>0</v>
      </c>
      <c r="AE23" s="531" t="n">
        <f aca="false">IF($G23=2,$S23,0)</f>
        <v>0</v>
      </c>
      <c r="AF23" s="531" t="n">
        <f aca="false">IF($G23=3,$S23,0)</f>
        <v>0</v>
      </c>
      <c r="AG23" s="531" t="n">
        <f aca="false">IF($G23=4,$S23,0)</f>
        <v>0</v>
      </c>
      <c r="AH23" s="531" t="n">
        <f aca="false">IF($G23=5,$S23,0)</f>
        <v>0</v>
      </c>
      <c r="AI23" s="531" t="n">
        <f aca="false">IF($G23=6,$S23,0)</f>
        <v>0</v>
      </c>
      <c r="AJ23" s="531" t="n">
        <f aca="false">IF($G23=7,$S23,0)</f>
        <v>0</v>
      </c>
      <c r="AK23" s="531" t="n">
        <f aca="false">IF($G23=8,$S23,0)</f>
        <v>0</v>
      </c>
      <c r="AL23" s="531" t="n">
        <f aca="false">IF($G23=9,$S23,0)</f>
        <v>0</v>
      </c>
      <c r="AM23" s="2749" t="n">
        <f aca="false">IF($G23=10,$S23,0)</f>
        <v>0</v>
      </c>
      <c r="AN23" s="531" t="n">
        <f aca="false">SUM(AD23:AI23)</f>
        <v>0</v>
      </c>
      <c r="AO23" s="531" t="n">
        <f aca="false">IF(H23="Y",C23,0)</f>
        <v>0</v>
      </c>
      <c r="AP23" s="531" t="n">
        <f aca="false">IF(C23=0,0,IF(E23&lt;8,C23/K$79,0))</f>
        <v>0</v>
      </c>
      <c r="AQ23" s="531" t="n">
        <f aca="false">IF(C23=0,0,IF(E23&gt;8,C23/K$79,0))</f>
        <v>0</v>
      </c>
      <c r="AR23" s="531" t="n">
        <f aca="false">IF(H23&gt;0,C23,0)</f>
        <v>0</v>
      </c>
      <c r="AS23" s="531" t="n">
        <f aca="false">IF(I23="y",C23,0)</f>
        <v>0</v>
      </c>
      <c r="AT23" s="373" t="n">
        <f aca="false">SUM(AU23:BL23)</f>
        <v>0</v>
      </c>
      <c r="AU23" s="2732" t="n">
        <f aca="false">(AD23*Pricing!F$3+AE23*Pricing!G$3+AF23*Pricing!H$3+AG23*Pricing!I$3+AH23*Pricing!J$3+AI23*Pricing!K$3+AJ23*Pricing!L$3+AK23*Pricing!M$3+AL23*Pricing!N$3+AM23*Pricing!O$3)*IF(T$35="N",(1+V$35),1)</f>
        <v>0</v>
      </c>
      <c r="AV23" s="96" t="n">
        <f aca="false">R23*F$51*IF(T$35="n",1+V$35,1)</f>
        <v>0</v>
      </c>
      <c r="AW23" s="2733" t="str">
        <f aca="false">IF(C23=0,"",C23*G$59)</f>
        <v/>
      </c>
      <c r="AX23" s="96" t="n">
        <f aca="false">IF(N$62=0,0,N$62/H$59*C23)</f>
        <v>0</v>
      </c>
      <c r="AY23" s="96" t="n">
        <f aca="false">J23*D$63</f>
        <v>0</v>
      </c>
      <c r="AZ23" s="587" t="n">
        <f aca="false">IF(N$64=0,0,N$64/H$59*C23)</f>
        <v>0</v>
      </c>
      <c r="BA23" s="96" t="n">
        <f aca="false">IF(C$32=0,0,N$84/C$32*C23)</f>
        <v>0</v>
      </c>
      <c r="BB23" s="96" t="n">
        <f aca="false">IF(C23=0,0,(SUM(N$67:O$70)+N$86)/C$32*C23)</f>
        <v>0</v>
      </c>
      <c r="BC23" s="96" t="n">
        <f aca="false">IF(C23=0,0,SUM(W$44:W$87)/C$32*C23)</f>
        <v>0</v>
      </c>
      <c r="BD23" s="96" t="n">
        <f aca="false">IF(C23=0,0,(SUM(N$72:O$77)-N$77)/C$32*C23)</f>
        <v>0</v>
      </c>
      <c r="BE23" s="96" t="n">
        <f aca="false">IF(C23=0,0,SUM(N$79:N$83)/C$32)*C23</f>
        <v>0</v>
      </c>
      <c r="BF23" s="96" t="n">
        <f aca="false">P23*F$54*IF(T$35="N",1+V$35,1)</f>
        <v>0</v>
      </c>
      <c r="BG23" s="96" t="n">
        <f aca="false">H23*C23</f>
        <v>0</v>
      </c>
      <c r="BH23" s="96" t="n">
        <f aca="false">IF(I23="y",N$77/AS$32*C23,0)</f>
        <v>0</v>
      </c>
      <c r="BI23" s="96" t="n">
        <f aca="false">IF(K$56=0,0,N$56/K$56*K23)</f>
        <v>0</v>
      </c>
      <c r="BJ23" s="96" t="n">
        <f aca="false">IF(O23=6,Q23*Pricing!D$28,IF(O23=8,Pricing!D$27,IF(O23=10,Pricing!D$26,0)))*Q23*(1+J$52)*IF(T$35="Y",1,1+V$35)</f>
        <v>0</v>
      </c>
      <c r="BK23" s="96" t="n">
        <f aca="false">IF(N$88=0,0,N$88/H$59*C23)</f>
        <v>0</v>
      </c>
      <c r="BL23" s="2734"/>
      <c r="BO23" s="2735" t="n">
        <f aca="false">A23</f>
        <v>0</v>
      </c>
      <c r="BP23" s="2191" t="n">
        <f aca="false">J23</f>
        <v>0</v>
      </c>
      <c r="BQ23" s="1928" t="n">
        <f aca="false">R23</f>
        <v>0</v>
      </c>
      <c r="BR23" s="1414" t="n">
        <f aca="false">IF(H23=0,0,C23*H23)</f>
        <v>0</v>
      </c>
      <c r="BS23" s="2736" t="n">
        <f aca="false">C23</f>
        <v>0</v>
      </c>
    </row>
    <row r="24" customFormat="false" ht="24" hidden="false" customHeight="true" outlineLevel="0" collapsed="false">
      <c r="A24" s="2761"/>
      <c r="B24" s="2753"/>
      <c r="C24" s="2762"/>
      <c r="D24" s="2755"/>
      <c r="E24" s="2756"/>
      <c r="F24" s="2757"/>
      <c r="G24" s="2758"/>
      <c r="H24" s="2744"/>
      <c r="I24" s="2756"/>
      <c r="J24" s="2759"/>
      <c r="K24" s="2756"/>
      <c r="L24" s="2756"/>
      <c r="M24" s="2760"/>
      <c r="N24" s="2756"/>
      <c r="O24" s="2756"/>
      <c r="P24" s="2182" t="n">
        <f aca="false">C24*F24/324*(1+J$54)</f>
        <v>0</v>
      </c>
      <c r="Q24" s="2182" t="n">
        <f aca="false">IF(O24&gt;0,C24,0)</f>
        <v>0</v>
      </c>
      <c r="R24" s="1515" t="n">
        <f aca="false">IF(N24=0,0,(N24/12+N24/12)/(N24/12*N24/12)*C24*((M24/16*M24/16)*10.6870159)+J24*4)*(1+J$51)</f>
        <v>0</v>
      </c>
      <c r="S24" s="2747" t="n">
        <f aca="false">((C24*E24/324)+IF(J24&gt;0,(J24*K24*(L24+12)/3888),0))*(1+J$44)</f>
        <v>0</v>
      </c>
      <c r="T24" s="2202" t="n">
        <f aca="false">IF(C24=0,0,U24/C24)</f>
        <v>0</v>
      </c>
      <c r="U24" s="2184" t="n">
        <f aca="false">(AT24-BK24)*(1+L$36)</f>
        <v>0</v>
      </c>
      <c r="V24" s="2184"/>
      <c r="W24" s="179"/>
      <c r="AD24" s="2748" t="n">
        <f aca="false">IF($G24=1,$S24,0)</f>
        <v>0</v>
      </c>
      <c r="AE24" s="531" t="n">
        <f aca="false">IF($G24=2,$S24,0)</f>
        <v>0</v>
      </c>
      <c r="AF24" s="531" t="n">
        <f aca="false">IF($G24=3,$S24,0)</f>
        <v>0</v>
      </c>
      <c r="AG24" s="531" t="n">
        <f aca="false">IF($G24=4,$S24,0)</f>
        <v>0</v>
      </c>
      <c r="AH24" s="531" t="n">
        <f aca="false">IF($G24=5,$S24,0)</f>
        <v>0</v>
      </c>
      <c r="AI24" s="531" t="n">
        <f aca="false">IF($G24=6,$S24,0)</f>
        <v>0</v>
      </c>
      <c r="AJ24" s="531" t="n">
        <f aca="false">IF($G24=7,$S24,0)</f>
        <v>0</v>
      </c>
      <c r="AK24" s="531" t="n">
        <f aca="false">IF($G24=8,$S24,0)</f>
        <v>0</v>
      </c>
      <c r="AL24" s="531" t="n">
        <f aca="false">IF($G24=9,$S24,0)</f>
        <v>0</v>
      </c>
      <c r="AM24" s="2749" t="n">
        <f aca="false">IF($G24=10,$S24,0)</f>
        <v>0</v>
      </c>
      <c r="AN24" s="531" t="n">
        <f aca="false">SUM(AD24:AI24)</f>
        <v>0</v>
      </c>
      <c r="AO24" s="531" t="n">
        <f aca="false">IF(H24="Y",C24,0)</f>
        <v>0</v>
      </c>
      <c r="AP24" s="531" t="n">
        <f aca="false">IF(C24=0,0,IF(E24&lt;8,C24/K$79,0))</f>
        <v>0</v>
      </c>
      <c r="AQ24" s="531" t="n">
        <f aca="false">IF(C24=0,0,IF(E24&gt;8,C24/K$79,0))</f>
        <v>0</v>
      </c>
      <c r="AR24" s="531" t="n">
        <f aca="false">IF(H24&gt;0,C24,0)</f>
        <v>0</v>
      </c>
      <c r="AS24" s="531" t="n">
        <f aca="false">IF(I24="y",C24,0)</f>
        <v>0</v>
      </c>
      <c r="AT24" s="373" t="n">
        <f aca="false">SUM(AU24:BL24)</f>
        <v>0</v>
      </c>
      <c r="AU24" s="2732" t="n">
        <f aca="false">(AD24*Pricing!F$3+AE24*Pricing!G$3+AF24*Pricing!H$3+AG24*Pricing!I$3+AH24*Pricing!J$3+AI24*Pricing!K$3+AJ24*Pricing!L$3+AK24*Pricing!M$3+AL24*Pricing!N$3+AM24*Pricing!O$3)*IF(T$35="N",(1+V$35),1)</f>
        <v>0</v>
      </c>
      <c r="AV24" s="96" t="n">
        <f aca="false">R24*F$51*IF(T$35="n",1+V$35,1)</f>
        <v>0</v>
      </c>
      <c r="AW24" s="2733" t="str">
        <f aca="false">IF(C24=0,"",C24*G$59)</f>
        <v/>
      </c>
      <c r="AX24" s="96" t="n">
        <f aca="false">IF(N$62=0,0,N$62/H$59*C24)</f>
        <v>0</v>
      </c>
      <c r="AY24" s="96" t="n">
        <f aca="false">J24*D$63</f>
        <v>0</v>
      </c>
      <c r="AZ24" s="587" t="n">
        <f aca="false">IF(N$64=0,0,N$64/H$59*C24)</f>
        <v>0</v>
      </c>
      <c r="BA24" s="96" t="n">
        <f aca="false">IF(C$32=0,0,N$84/C$32*C24)</f>
        <v>0</v>
      </c>
      <c r="BB24" s="96" t="n">
        <f aca="false">IF(C24=0,0,(SUM(N$67:O$70)+N$86)/C$32*C24)</f>
        <v>0</v>
      </c>
      <c r="BC24" s="96" t="n">
        <f aca="false">IF(C24=0,0,SUM(W$44:W$87)/C$32*C24)</f>
        <v>0</v>
      </c>
      <c r="BD24" s="96" t="n">
        <f aca="false">IF(C24=0,0,(SUM(N$72:O$77)-N$77)/C$32*C24)</f>
        <v>0</v>
      </c>
      <c r="BE24" s="96" t="n">
        <f aca="false">IF(C24=0,0,SUM(N$79:N$83)/C$32)*C24</f>
        <v>0</v>
      </c>
      <c r="BF24" s="96" t="n">
        <f aca="false">P24*F$54*IF(T$35="N",1+V$35,1)</f>
        <v>0</v>
      </c>
      <c r="BG24" s="96" t="n">
        <f aca="false">H24*C24</f>
        <v>0</v>
      </c>
      <c r="BH24" s="96" t="n">
        <f aca="false">IF(I24="y",N$77/AS$32*C24,0)</f>
        <v>0</v>
      </c>
      <c r="BI24" s="96" t="n">
        <f aca="false">IF(K$56=0,0,N$56/K$56*K24)</f>
        <v>0</v>
      </c>
      <c r="BJ24" s="96" t="n">
        <f aca="false">IF(O24=6,Q24*Pricing!D$28,IF(O24=8,Pricing!D$27,IF(O24=10,Pricing!D$26,0)))*Q24*(1+J$52)*IF(T$35="Y",1,1+V$35)</f>
        <v>0</v>
      </c>
      <c r="BK24" s="96" t="n">
        <f aca="false">IF(N$88=0,0,N$88/H$59*C24)</f>
        <v>0</v>
      </c>
      <c r="BL24" s="2734"/>
      <c r="BO24" s="2735" t="n">
        <f aca="false">A24</f>
        <v>0</v>
      </c>
      <c r="BP24" s="2191" t="n">
        <f aca="false">J24</f>
        <v>0</v>
      </c>
      <c r="BQ24" s="1928" t="n">
        <f aca="false">R24</f>
        <v>0</v>
      </c>
      <c r="BR24" s="1414" t="n">
        <f aca="false">IF(H24=0,0,C24*H24)</f>
        <v>0</v>
      </c>
      <c r="BS24" s="2736" t="n">
        <f aca="false">C24</f>
        <v>0</v>
      </c>
    </row>
    <row r="25" customFormat="false" ht="24" hidden="false" customHeight="true" outlineLevel="0" collapsed="false">
      <c r="A25" s="2761"/>
      <c r="B25" s="2753"/>
      <c r="C25" s="2762"/>
      <c r="D25" s="2755"/>
      <c r="E25" s="2756"/>
      <c r="F25" s="2757"/>
      <c r="G25" s="2758"/>
      <c r="H25" s="2744"/>
      <c r="I25" s="2756"/>
      <c r="J25" s="2759"/>
      <c r="K25" s="2756"/>
      <c r="L25" s="2756"/>
      <c r="M25" s="2760"/>
      <c r="N25" s="2756"/>
      <c r="O25" s="2756"/>
      <c r="P25" s="2182" t="n">
        <f aca="false">C25*F25/324*(1+J$54)</f>
        <v>0</v>
      </c>
      <c r="Q25" s="2182" t="n">
        <f aca="false">IF(O25&gt;0,C25,0)</f>
        <v>0</v>
      </c>
      <c r="R25" s="1515" t="n">
        <f aca="false">IF(N25=0,0,(N25/12+N25/12)/(N25/12*N25/12)*C25*((M25/16*M25/16)*10.6870159)+J25*4)*(1+J$51)</f>
        <v>0</v>
      </c>
      <c r="S25" s="2747" t="n">
        <f aca="false">((C25*E25/324)+IF(J25&gt;0,(J25*K25*(L25+12)/3888),0))*(1+J$44)</f>
        <v>0</v>
      </c>
      <c r="T25" s="2202" t="n">
        <f aca="false">IF(C25=0,0,U25/C25)</f>
        <v>0</v>
      </c>
      <c r="U25" s="2184" t="n">
        <f aca="false">(AT25-BK25)*(1+L$36)</f>
        <v>0</v>
      </c>
      <c r="V25" s="2184"/>
      <c r="W25" s="179"/>
      <c r="AD25" s="2748" t="n">
        <f aca="false">IF($G25=1,$S25,0)</f>
        <v>0</v>
      </c>
      <c r="AE25" s="531" t="n">
        <f aca="false">IF($G25=2,$S25,0)</f>
        <v>0</v>
      </c>
      <c r="AF25" s="531" t="n">
        <f aca="false">IF($G25=3,$S25,0)</f>
        <v>0</v>
      </c>
      <c r="AG25" s="531" t="n">
        <f aca="false">IF($G25=4,$S25,0)</f>
        <v>0</v>
      </c>
      <c r="AH25" s="531" t="n">
        <f aca="false">IF($G25=5,$S25,0)</f>
        <v>0</v>
      </c>
      <c r="AI25" s="531" t="n">
        <f aca="false">IF($G25=6,$S25,0)</f>
        <v>0</v>
      </c>
      <c r="AJ25" s="531" t="n">
        <f aca="false">IF($G25=7,$S25,0)</f>
        <v>0</v>
      </c>
      <c r="AK25" s="531" t="n">
        <f aca="false">IF($G25=8,$S25,0)</f>
        <v>0</v>
      </c>
      <c r="AL25" s="531" t="n">
        <f aca="false">IF($G25=9,$S25,0)</f>
        <v>0</v>
      </c>
      <c r="AM25" s="2749" t="n">
        <f aca="false">IF($G25=10,$S25,0)</f>
        <v>0</v>
      </c>
      <c r="AN25" s="531" t="n">
        <f aca="false">SUM(AD25:AI25)</f>
        <v>0</v>
      </c>
      <c r="AO25" s="531" t="n">
        <f aca="false">IF(H25="Y",C25,0)</f>
        <v>0</v>
      </c>
      <c r="AP25" s="531" t="n">
        <f aca="false">IF(C25=0,0,IF(E25&lt;8,C25/K$79,0))</f>
        <v>0</v>
      </c>
      <c r="AQ25" s="531" t="n">
        <f aca="false">IF(C25=0,0,IF(E25&gt;8,C25/K$79,0))</f>
        <v>0</v>
      </c>
      <c r="AR25" s="531" t="n">
        <f aca="false">IF(H25&gt;0,C25,0)</f>
        <v>0</v>
      </c>
      <c r="AS25" s="531" t="n">
        <f aca="false">IF(I25="y",C25,0)</f>
        <v>0</v>
      </c>
      <c r="AT25" s="373" t="n">
        <f aca="false">SUM(AU25:BL25)</f>
        <v>0</v>
      </c>
      <c r="AU25" s="2732" t="n">
        <f aca="false">(AD25*Pricing!F$3+AE25*Pricing!G$3+AF25*Pricing!H$3+AG25*Pricing!I$3+AH25*Pricing!J$3+AI25*Pricing!K$3+AJ25*Pricing!L$3+AK25*Pricing!M$3+AL25*Pricing!N$3+AM25*Pricing!O$3)*IF(T$35="N",(1+V$35),1)</f>
        <v>0</v>
      </c>
      <c r="AV25" s="96" t="n">
        <f aca="false">R25*F$51*IF(T$35="n",1+V$35,1)</f>
        <v>0</v>
      </c>
      <c r="AW25" s="2733" t="str">
        <f aca="false">IF(C25=0,"",C25*G$59)</f>
        <v/>
      </c>
      <c r="AX25" s="96" t="n">
        <f aca="false">IF(N$62=0,0,N$62/H$59*C25)</f>
        <v>0</v>
      </c>
      <c r="AY25" s="96" t="n">
        <f aca="false">J25*D$63</f>
        <v>0</v>
      </c>
      <c r="AZ25" s="587" t="n">
        <f aca="false">IF(N$64=0,0,N$64/H$59*C25)</f>
        <v>0</v>
      </c>
      <c r="BA25" s="96" t="n">
        <f aca="false">IF(C$32=0,0,N$84/C$32*C25)</f>
        <v>0</v>
      </c>
      <c r="BB25" s="96" t="n">
        <f aca="false">IF(C25=0,0,(SUM(N$67:O$70)+N$86)/C$32*C25)</f>
        <v>0</v>
      </c>
      <c r="BC25" s="96" t="n">
        <f aca="false">IF(C25=0,0,SUM(W$44:W$87)/C$32*C25)</f>
        <v>0</v>
      </c>
      <c r="BD25" s="96" t="n">
        <f aca="false">IF(C25=0,0,(SUM(N$72:O$77)-N$77)/C$32*C25)</f>
        <v>0</v>
      </c>
      <c r="BE25" s="96" t="n">
        <f aca="false">IF(C25=0,0,SUM(N$79:N$83)/C$32)*C25</f>
        <v>0</v>
      </c>
      <c r="BF25" s="96" t="n">
        <f aca="false">P25*F$54*IF(T$35="N",1+V$35,1)</f>
        <v>0</v>
      </c>
      <c r="BG25" s="96" t="n">
        <f aca="false">H25*C25</f>
        <v>0</v>
      </c>
      <c r="BH25" s="96" t="n">
        <f aca="false">IF(I25="y",N$77/AS$32*C25,0)</f>
        <v>0</v>
      </c>
      <c r="BI25" s="96" t="n">
        <f aca="false">IF(K$56=0,0,N$56/K$56*K25)</f>
        <v>0</v>
      </c>
      <c r="BJ25" s="96" t="n">
        <f aca="false">IF(O25=6,Q25*Pricing!D$28,IF(O25=8,Pricing!D$27,IF(O25=10,Pricing!D$26,0)))*Q25*(1+J$52)*IF(T$35="Y",1,1+V$35)</f>
        <v>0</v>
      </c>
      <c r="BK25" s="96" t="n">
        <f aca="false">IF(N$88=0,0,N$88/H$59*C25)</f>
        <v>0</v>
      </c>
      <c r="BL25" s="2734"/>
      <c r="BO25" s="2735" t="n">
        <f aca="false">A25</f>
        <v>0</v>
      </c>
      <c r="BP25" s="2191" t="n">
        <f aca="false">J25</f>
        <v>0</v>
      </c>
      <c r="BQ25" s="1928" t="n">
        <f aca="false">R25</f>
        <v>0</v>
      </c>
      <c r="BR25" s="1414" t="n">
        <f aca="false">IF(H25=0,0,C25*H25)</f>
        <v>0</v>
      </c>
      <c r="BS25" s="2736" t="n">
        <f aca="false">C25</f>
        <v>0</v>
      </c>
    </row>
    <row r="26" customFormat="false" ht="24" hidden="false" customHeight="true" outlineLevel="0" collapsed="false">
      <c r="A26" s="2761"/>
      <c r="B26" s="2753"/>
      <c r="C26" s="2762"/>
      <c r="D26" s="2755"/>
      <c r="E26" s="2756"/>
      <c r="F26" s="2757"/>
      <c r="G26" s="2758"/>
      <c r="H26" s="2744"/>
      <c r="I26" s="2756"/>
      <c r="J26" s="2759"/>
      <c r="K26" s="2756"/>
      <c r="L26" s="2756"/>
      <c r="M26" s="2760"/>
      <c r="N26" s="2756"/>
      <c r="O26" s="2756"/>
      <c r="P26" s="2182" t="n">
        <f aca="false">C26*F26/324*(1+J$54)</f>
        <v>0</v>
      </c>
      <c r="Q26" s="2182" t="n">
        <f aca="false">IF(O26&gt;0,C26,0)</f>
        <v>0</v>
      </c>
      <c r="R26" s="1515" t="n">
        <f aca="false">IF(N26=0,0,(N26/12+N26/12)/(N26/12*N26/12)*C26*((M26/16*M26/16)*10.6870159)+J26*4)*(1+J$51)</f>
        <v>0</v>
      </c>
      <c r="S26" s="2747" t="n">
        <f aca="false">((C26*E26/324)+IF(J26&gt;0,(J26*K26*(L26+12)/3888),0))*(1+J$44)</f>
        <v>0</v>
      </c>
      <c r="T26" s="2202" t="n">
        <f aca="false">IF(C26=0,0,U26/C26)</f>
        <v>0</v>
      </c>
      <c r="U26" s="2184" t="n">
        <f aca="false">(AT26-BK26)*(1+L$36)</f>
        <v>0</v>
      </c>
      <c r="V26" s="2184"/>
      <c r="W26" s="179"/>
      <c r="AD26" s="2748" t="n">
        <f aca="false">IF($G26=1,$S26,0)</f>
        <v>0</v>
      </c>
      <c r="AE26" s="531" t="n">
        <f aca="false">IF($G26=2,$S26,0)</f>
        <v>0</v>
      </c>
      <c r="AF26" s="531" t="n">
        <f aca="false">IF($G26=3,$S26,0)</f>
        <v>0</v>
      </c>
      <c r="AG26" s="531" t="n">
        <f aca="false">IF($G26=4,$S26,0)</f>
        <v>0</v>
      </c>
      <c r="AH26" s="531" t="n">
        <f aca="false">IF($G26=5,$S26,0)</f>
        <v>0</v>
      </c>
      <c r="AI26" s="531" t="n">
        <f aca="false">IF($G26=6,$S26,0)</f>
        <v>0</v>
      </c>
      <c r="AJ26" s="531" t="n">
        <f aca="false">IF($G26=7,$S26,0)</f>
        <v>0</v>
      </c>
      <c r="AK26" s="531" t="n">
        <f aca="false">IF($G26=8,$S26,0)</f>
        <v>0</v>
      </c>
      <c r="AL26" s="531" t="n">
        <f aca="false">IF($G26=9,$S26,0)</f>
        <v>0</v>
      </c>
      <c r="AM26" s="2749" t="n">
        <f aca="false">IF($G26=10,$S26,0)</f>
        <v>0</v>
      </c>
      <c r="AN26" s="531" t="n">
        <f aca="false">SUM(AD26:AI26)</f>
        <v>0</v>
      </c>
      <c r="AO26" s="531" t="n">
        <f aca="false">IF(H26="Y",C26,0)</f>
        <v>0</v>
      </c>
      <c r="AP26" s="531" t="n">
        <f aca="false">IF(C26=0,0,IF(E26&lt;8,C26/K$79,0))</f>
        <v>0</v>
      </c>
      <c r="AQ26" s="531" t="n">
        <f aca="false">IF(C26=0,0,IF(E26&gt;8,C26/K$79,0))</f>
        <v>0</v>
      </c>
      <c r="AR26" s="531" t="n">
        <f aca="false">IF(H26&gt;0,C26,0)</f>
        <v>0</v>
      </c>
      <c r="AS26" s="531" t="n">
        <f aca="false">IF(I26="y",C26,0)</f>
        <v>0</v>
      </c>
      <c r="AT26" s="373" t="n">
        <f aca="false">SUM(AU26:BL26)</f>
        <v>0</v>
      </c>
      <c r="AU26" s="2732" t="n">
        <f aca="false">(AD26*Pricing!F$3+AE26*Pricing!G$3+AF26*Pricing!H$3+AG26*Pricing!I$3+AH26*Pricing!J$3+AI26*Pricing!K$3+AJ26*Pricing!L$3+AK26*Pricing!M$3+AL26*Pricing!N$3+AM26*Pricing!O$3)*IF(T$35="N",(1+V$35),1)</f>
        <v>0</v>
      </c>
      <c r="AV26" s="96" t="n">
        <f aca="false">R26*F$51*IF(T$35="n",1+V$35,1)</f>
        <v>0</v>
      </c>
      <c r="AW26" s="2733" t="str">
        <f aca="false">IF(C26=0,"",C26*G$59)</f>
        <v/>
      </c>
      <c r="AX26" s="96" t="n">
        <f aca="false">IF(N$62=0,0,N$62/H$59*C26)</f>
        <v>0</v>
      </c>
      <c r="AY26" s="96" t="n">
        <f aca="false">J26*D$63</f>
        <v>0</v>
      </c>
      <c r="AZ26" s="587" t="n">
        <f aca="false">IF(N$64=0,0,N$64/H$59*C26)</f>
        <v>0</v>
      </c>
      <c r="BA26" s="96" t="n">
        <f aca="false">IF(C$32=0,0,N$84/C$32*C26)</f>
        <v>0</v>
      </c>
      <c r="BB26" s="96" t="n">
        <f aca="false">IF(C26=0,0,(SUM(N$67:O$70)+N$86)/C$32*C26)</f>
        <v>0</v>
      </c>
      <c r="BC26" s="96" t="n">
        <f aca="false">IF(C26=0,0,SUM(W$44:W$87)/C$32*C26)</f>
        <v>0</v>
      </c>
      <c r="BD26" s="96" t="n">
        <f aca="false">IF(C26=0,0,(SUM(N$72:O$77)-N$77)/C$32*C26)</f>
        <v>0</v>
      </c>
      <c r="BE26" s="96" t="n">
        <f aca="false">IF(C26=0,0,SUM(N$79:N$83)/C$32)*C26</f>
        <v>0</v>
      </c>
      <c r="BF26" s="96" t="n">
        <f aca="false">P26*F$54*IF(T$35="N",1+V$35,1)</f>
        <v>0</v>
      </c>
      <c r="BG26" s="96" t="n">
        <f aca="false">H26*C26</f>
        <v>0</v>
      </c>
      <c r="BH26" s="96" t="n">
        <f aca="false">IF(I26="y",N$77/AS$32*C26,0)</f>
        <v>0</v>
      </c>
      <c r="BI26" s="96" t="n">
        <f aca="false">IF(K$56=0,0,N$56/K$56*K26)</f>
        <v>0</v>
      </c>
      <c r="BJ26" s="96" t="n">
        <f aca="false">IF(O26=6,Q26*Pricing!D$28,IF(O26=8,Pricing!D$27,IF(O26=10,Pricing!D$26,0)))*Q26*(1+J$52)*IF(T$35="Y",1,1+V$35)</f>
        <v>0</v>
      </c>
      <c r="BK26" s="96" t="n">
        <f aca="false">IF(N$88=0,0,N$88/H$59*C26)</f>
        <v>0</v>
      </c>
      <c r="BL26" s="2734"/>
      <c r="BO26" s="2735" t="n">
        <f aca="false">A26</f>
        <v>0</v>
      </c>
      <c r="BP26" s="2191" t="n">
        <f aca="false">J26</f>
        <v>0</v>
      </c>
      <c r="BQ26" s="1928" t="n">
        <f aca="false">R26</f>
        <v>0</v>
      </c>
      <c r="BR26" s="1414" t="n">
        <f aca="false">IF(H26=0,0,C26*H26)</f>
        <v>0</v>
      </c>
      <c r="BS26" s="2736" t="n">
        <f aca="false">C26</f>
        <v>0</v>
      </c>
    </row>
    <row r="27" customFormat="false" ht="24" hidden="false" customHeight="true" outlineLevel="0" collapsed="false">
      <c r="A27" s="2761"/>
      <c r="B27" s="2753"/>
      <c r="C27" s="2762"/>
      <c r="D27" s="2755"/>
      <c r="E27" s="2756"/>
      <c r="F27" s="2757"/>
      <c r="G27" s="2758"/>
      <c r="H27" s="2744"/>
      <c r="I27" s="2756"/>
      <c r="J27" s="2759"/>
      <c r="K27" s="2756"/>
      <c r="L27" s="2756"/>
      <c r="M27" s="2760"/>
      <c r="N27" s="2756"/>
      <c r="O27" s="2756"/>
      <c r="P27" s="2182" t="n">
        <f aca="false">C27*F27/324*(1+J$54)</f>
        <v>0</v>
      </c>
      <c r="Q27" s="2182" t="n">
        <f aca="false">IF(O27&gt;0,C27,0)</f>
        <v>0</v>
      </c>
      <c r="R27" s="1515" t="n">
        <f aca="false">IF(N27=0,0,(N27/12+N27/12)/(N27/12*N27/12)*C27*((M27/16*M27/16)*10.6870159)+J27*4)*(1+J$51)</f>
        <v>0</v>
      </c>
      <c r="S27" s="2747" t="n">
        <f aca="false">((C27*E27/324)+IF(J27&gt;0,(J27*K27*(L27+12)/3888),0))*(1+J$44)</f>
        <v>0</v>
      </c>
      <c r="T27" s="2202" t="n">
        <f aca="false">IF(C27=0,0,U27/C27)</f>
        <v>0</v>
      </c>
      <c r="U27" s="2184" t="n">
        <f aca="false">(AT27-BK27)*(1+L$36)</f>
        <v>0</v>
      </c>
      <c r="V27" s="2184"/>
      <c r="W27" s="179"/>
      <c r="AD27" s="2748" t="n">
        <f aca="false">IF($G27=1,$S27,0)</f>
        <v>0</v>
      </c>
      <c r="AE27" s="531" t="n">
        <f aca="false">IF($G27=2,$S27,0)</f>
        <v>0</v>
      </c>
      <c r="AF27" s="531" t="n">
        <f aca="false">IF($G27=3,$S27,0)</f>
        <v>0</v>
      </c>
      <c r="AG27" s="531" t="n">
        <f aca="false">IF($G27=4,$S27,0)</f>
        <v>0</v>
      </c>
      <c r="AH27" s="531" t="n">
        <f aca="false">IF($G27=5,$S27,0)</f>
        <v>0</v>
      </c>
      <c r="AI27" s="531" t="n">
        <f aca="false">IF($G27=6,$S27,0)</f>
        <v>0</v>
      </c>
      <c r="AJ27" s="531" t="n">
        <f aca="false">IF($G27=7,$S27,0)</f>
        <v>0</v>
      </c>
      <c r="AK27" s="531" t="n">
        <f aca="false">IF($G27=8,$S27,0)</f>
        <v>0</v>
      </c>
      <c r="AL27" s="531" t="n">
        <f aca="false">IF($G27=9,$S27,0)</f>
        <v>0</v>
      </c>
      <c r="AM27" s="2749" t="n">
        <f aca="false">IF($G27=10,$S27,0)</f>
        <v>0</v>
      </c>
      <c r="AN27" s="531" t="n">
        <f aca="false">SUM(AD27:AI27)</f>
        <v>0</v>
      </c>
      <c r="AO27" s="531" t="n">
        <f aca="false">IF(H27="Y",C27,0)</f>
        <v>0</v>
      </c>
      <c r="AP27" s="531" t="n">
        <f aca="false">IF(C27=0,0,IF(E27&lt;8,C27/K$79,0))</f>
        <v>0</v>
      </c>
      <c r="AQ27" s="531" t="n">
        <f aca="false">IF(C27=0,0,IF(E27&gt;8,C27/K$79,0))</f>
        <v>0</v>
      </c>
      <c r="AR27" s="531" t="n">
        <f aca="false">IF(H27&gt;0,C27,0)</f>
        <v>0</v>
      </c>
      <c r="AS27" s="531" t="n">
        <f aca="false">IF(I27="y",C27,0)</f>
        <v>0</v>
      </c>
      <c r="AT27" s="373" t="n">
        <f aca="false">SUM(AU27:BL27)</f>
        <v>0</v>
      </c>
      <c r="AU27" s="2732" t="n">
        <f aca="false">(AD27*Pricing!F$3+AE27*Pricing!G$3+AF27*Pricing!H$3+AG27*Pricing!I$3+AH27*Pricing!J$3+AI27*Pricing!K$3+AJ27*Pricing!L$3+AK27*Pricing!M$3+AL27*Pricing!N$3+AM27*Pricing!O$3)*IF(T$35="N",(1+V$35),1)</f>
        <v>0</v>
      </c>
      <c r="AV27" s="96" t="n">
        <f aca="false">R27*F$51*IF(T$35="n",1+V$35,1)</f>
        <v>0</v>
      </c>
      <c r="AW27" s="2733" t="str">
        <f aca="false">IF(C27=0,"",C27*G$59)</f>
        <v/>
      </c>
      <c r="AX27" s="96" t="n">
        <f aca="false">IF(N$62=0,0,N$62/H$59*C27)</f>
        <v>0</v>
      </c>
      <c r="AY27" s="96" t="n">
        <f aca="false">J27*D$63</f>
        <v>0</v>
      </c>
      <c r="AZ27" s="587" t="n">
        <f aca="false">IF(N$64=0,0,N$64/H$59*C27)</f>
        <v>0</v>
      </c>
      <c r="BA27" s="96" t="n">
        <f aca="false">IF(C$32=0,0,N$84/C$32*C27)</f>
        <v>0</v>
      </c>
      <c r="BB27" s="96" t="n">
        <f aca="false">IF(C27=0,0,(SUM(N$67:O$70)+N$86)/C$32*C27)</f>
        <v>0</v>
      </c>
      <c r="BC27" s="96" t="n">
        <f aca="false">IF(C27=0,0,SUM(W$44:W$87)/C$32*C27)</f>
        <v>0</v>
      </c>
      <c r="BD27" s="96" t="n">
        <f aca="false">IF(C27=0,0,(SUM(N$72:O$77)-N$77)/C$32*C27)</f>
        <v>0</v>
      </c>
      <c r="BE27" s="96" t="n">
        <f aca="false">IF(C27=0,0,SUM(N$79:N$83)/C$32)*C27</f>
        <v>0</v>
      </c>
      <c r="BF27" s="96" t="n">
        <f aca="false">P27*F$54*IF(T$35="N",1+V$35,1)</f>
        <v>0</v>
      </c>
      <c r="BG27" s="96" t="n">
        <f aca="false">H27*C27</f>
        <v>0</v>
      </c>
      <c r="BH27" s="96" t="n">
        <f aca="false">IF(I27="y",N$77/AS$32*C27,0)</f>
        <v>0</v>
      </c>
      <c r="BI27" s="96" t="n">
        <f aca="false">IF(K$56=0,0,N$56/K$56*K27)</f>
        <v>0</v>
      </c>
      <c r="BJ27" s="96" t="n">
        <f aca="false">IF(O27=6,Q27*Pricing!D$28,IF(O27=8,Pricing!D$27,IF(O27=10,Pricing!D$26,0)))*Q27*(1+J$52)*IF(T$35="Y",1,1+V$35)</f>
        <v>0</v>
      </c>
      <c r="BK27" s="96" t="n">
        <f aca="false">IF(N$88=0,0,N$88/H$59*C27)</f>
        <v>0</v>
      </c>
      <c r="BL27" s="2734"/>
      <c r="BO27" s="2735" t="n">
        <f aca="false">A27</f>
        <v>0</v>
      </c>
      <c r="BP27" s="2191" t="n">
        <f aca="false">J27</f>
        <v>0</v>
      </c>
      <c r="BQ27" s="1928" t="n">
        <f aca="false">R27</f>
        <v>0</v>
      </c>
      <c r="BR27" s="1414" t="n">
        <f aca="false">IF(H27=0,0,C27*H27)</f>
        <v>0</v>
      </c>
      <c r="BS27" s="2736" t="n">
        <f aca="false">C27</f>
        <v>0</v>
      </c>
    </row>
    <row r="28" customFormat="false" ht="24" hidden="false" customHeight="true" outlineLevel="0" collapsed="false">
      <c r="A28" s="2761"/>
      <c r="B28" s="2753"/>
      <c r="C28" s="2762"/>
      <c r="D28" s="2755"/>
      <c r="E28" s="2756"/>
      <c r="F28" s="2757"/>
      <c r="G28" s="2758"/>
      <c r="H28" s="2744"/>
      <c r="I28" s="2756"/>
      <c r="J28" s="2759"/>
      <c r="K28" s="2756"/>
      <c r="L28" s="2756"/>
      <c r="M28" s="2760"/>
      <c r="N28" s="2756"/>
      <c r="O28" s="2756"/>
      <c r="P28" s="2182" t="n">
        <f aca="false">C28*F28/324*(1+J$54)</f>
        <v>0</v>
      </c>
      <c r="Q28" s="2182" t="n">
        <f aca="false">IF(O28&gt;0,C28,0)</f>
        <v>0</v>
      </c>
      <c r="R28" s="1515" t="n">
        <f aca="false">IF(N28=0,0,(N28/12+N28/12)/(N28/12*N28/12)*C28*((M28/16*M28/16)*10.6870159)+J28*4)*(1+J$51)</f>
        <v>0</v>
      </c>
      <c r="S28" s="2747" t="n">
        <f aca="false">((C28*E28/324)+IF(J28&gt;0,(J28*K28*(L28+12)/3888),0))*(1+J$44)</f>
        <v>0</v>
      </c>
      <c r="T28" s="2202" t="n">
        <f aca="false">IF(C28=0,0,U28/C28)</f>
        <v>0</v>
      </c>
      <c r="U28" s="2184" t="n">
        <f aca="false">(AT28-BK28)*(1+L$36)</f>
        <v>0</v>
      </c>
      <c r="V28" s="2184"/>
      <c r="W28" s="179"/>
      <c r="AD28" s="2748" t="n">
        <f aca="false">IF($G28=1,$S28,0)</f>
        <v>0</v>
      </c>
      <c r="AE28" s="531" t="n">
        <f aca="false">IF($G28=2,$S28,0)</f>
        <v>0</v>
      </c>
      <c r="AF28" s="531" t="n">
        <f aca="false">IF($G28=3,$S28,0)</f>
        <v>0</v>
      </c>
      <c r="AG28" s="531" t="n">
        <f aca="false">IF($G28=4,$S28,0)</f>
        <v>0</v>
      </c>
      <c r="AH28" s="531" t="n">
        <f aca="false">IF($G28=5,$S28,0)</f>
        <v>0</v>
      </c>
      <c r="AI28" s="531" t="n">
        <f aca="false">IF($G28=6,$S28,0)</f>
        <v>0</v>
      </c>
      <c r="AJ28" s="531" t="n">
        <f aca="false">IF($G28=7,$S28,0)</f>
        <v>0</v>
      </c>
      <c r="AK28" s="531" t="n">
        <f aca="false">IF($G28=8,$S28,0)</f>
        <v>0</v>
      </c>
      <c r="AL28" s="531" t="n">
        <f aca="false">IF($G28=9,$S28,0)</f>
        <v>0</v>
      </c>
      <c r="AM28" s="2749" t="n">
        <f aca="false">IF($G28=10,$S28,0)</f>
        <v>0</v>
      </c>
      <c r="AN28" s="531" t="n">
        <f aca="false">SUM(AD28:AI28)</f>
        <v>0</v>
      </c>
      <c r="AO28" s="531" t="n">
        <f aca="false">IF(H28="Y",C28,0)</f>
        <v>0</v>
      </c>
      <c r="AP28" s="531" t="n">
        <f aca="false">IF(C28=0,0,IF(E28&lt;8,C28/K$79,0))</f>
        <v>0</v>
      </c>
      <c r="AQ28" s="531" t="n">
        <f aca="false">IF(C28=0,0,IF(E28&gt;8,C28/K$79,0))</f>
        <v>0</v>
      </c>
      <c r="AR28" s="531" t="n">
        <f aca="false">IF(H28&gt;0,C28,0)</f>
        <v>0</v>
      </c>
      <c r="AS28" s="531" t="n">
        <f aca="false">IF(I28="y",C28,0)</f>
        <v>0</v>
      </c>
      <c r="AT28" s="373" t="n">
        <f aca="false">SUM(AU28:BL28)</f>
        <v>0</v>
      </c>
      <c r="AU28" s="2732" t="n">
        <f aca="false">(AD28*Pricing!F$3+AE28*Pricing!G$3+AF28*Pricing!H$3+AG28*Pricing!I$3+AH28*Pricing!J$3+AI28*Pricing!K$3+AJ28*Pricing!L$3+AK28*Pricing!M$3+AL28*Pricing!N$3+AM28*Pricing!O$3)*IF(T$35="N",(1+V$35),1)</f>
        <v>0</v>
      </c>
      <c r="AV28" s="96" t="n">
        <f aca="false">R28*F$51*IF(T$35="n",1+V$35,1)</f>
        <v>0</v>
      </c>
      <c r="AW28" s="2733" t="str">
        <f aca="false">IF(C28=0,"",C28*G$59)</f>
        <v/>
      </c>
      <c r="AX28" s="96" t="n">
        <f aca="false">IF(N$62=0,0,N$62/H$59*C28)</f>
        <v>0</v>
      </c>
      <c r="AY28" s="96" t="n">
        <f aca="false">J28*D$63</f>
        <v>0</v>
      </c>
      <c r="AZ28" s="587" t="n">
        <f aca="false">IF(N$64=0,0,N$64/H$59*C28)</f>
        <v>0</v>
      </c>
      <c r="BA28" s="96" t="n">
        <f aca="false">IF(C$32=0,0,N$84/C$32*C28)</f>
        <v>0</v>
      </c>
      <c r="BB28" s="96" t="n">
        <f aca="false">IF(C28=0,0,(SUM(N$67:O$70)+N$86)/C$32*C28)</f>
        <v>0</v>
      </c>
      <c r="BC28" s="96" t="n">
        <f aca="false">IF(C28=0,0,SUM(W$44:W$87)/C$32*C28)</f>
        <v>0</v>
      </c>
      <c r="BD28" s="96" t="n">
        <f aca="false">IF(C28=0,0,(SUM(N$72:O$77)-N$77)/C$32*C28)</f>
        <v>0</v>
      </c>
      <c r="BE28" s="96" t="n">
        <f aca="false">IF(C28=0,0,SUM(N$79:N$83)/C$32)*C28</f>
        <v>0</v>
      </c>
      <c r="BF28" s="96" t="n">
        <f aca="false">P28*F$54*IF(T$35="N",1+V$35,1)</f>
        <v>0</v>
      </c>
      <c r="BG28" s="96" t="n">
        <f aca="false">H28*C28</f>
        <v>0</v>
      </c>
      <c r="BH28" s="96" t="n">
        <f aca="false">IF(I28="y",N$77/AS$32*C28,0)</f>
        <v>0</v>
      </c>
      <c r="BI28" s="96" t="n">
        <f aca="false">IF(K$56=0,0,N$56/K$56*K28)</f>
        <v>0</v>
      </c>
      <c r="BJ28" s="96" t="n">
        <f aca="false">IF(O28=6,Q28*Pricing!D$28,IF(O28=8,Pricing!D$27,IF(O28=10,Pricing!D$26,0)))*Q28*(1+J$52)*IF(T$35="Y",1,1+V$35)</f>
        <v>0</v>
      </c>
      <c r="BK28" s="96" t="n">
        <f aca="false">IF(N$88=0,0,N$88/H$59*C28)</f>
        <v>0</v>
      </c>
      <c r="BL28" s="2734"/>
      <c r="BO28" s="2735" t="n">
        <f aca="false">A28</f>
        <v>0</v>
      </c>
      <c r="BP28" s="2191" t="n">
        <f aca="false">J28</f>
        <v>0</v>
      </c>
      <c r="BQ28" s="1928" t="n">
        <f aca="false">R28</f>
        <v>0</v>
      </c>
      <c r="BR28" s="1414" t="n">
        <f aca="false">IF(H28=0,0,C28*H28)</f>
        <v>0</v>
      </c>
      <c r="BS28" s="2736" t="n">
        <f aca="false">C28</f>
        <v>0</v>
      </c>
    </row>
    <row r="29" customFormat="false" ht="24" hidden="false" customHeight="true" outlineLevel="0" collapsed="false">
      <c r="A29" s="2761"/>
      <c r="B29" s="2753"/>
      <c r="C29" s="2762"/>
      <c r="D29" s="2755"/>
      <c r="E29" s="2756"/>
      <c r="F29" s="2757"/>
      <c r="G29" s="2758"/>
      <c r="H29" s="2744"/>
      <c r="I29" s="2756"/>
      <c r="J29" s="2759"/>
      <c r="K29" s="2756"/>
      <c r="L29" s="2756"/>
      <c r="M29" s="2760"/>
      <c r="N29" s="2756"/>
      <c r="O29" s="2756"/>
      <c r="P29" s="2182" t="n">
        <f aca="false">C29*F29/324*(1+J$54)</f>
        <v>0</v>
      </c>
      <c r="Q29" s="2182" t="n">
        <f aca="false">IF(O29&gt;0,C29,0)</f>
        <v>0</v>
      </c>
      <c r="R29" s="1515" t="n">
        <f aca="false">IF(N29=0,0,(N29/12+N29/12)/(N29/12*N29/12)*C29*((M29/16*M29/16)*10.6870159)+J29*4)*(1+J$51)</f>
        <v>0</v>
      </c>
      <c r="S29" s="2747" t="n">
        <f aca="false">((C29*E29/324)+IF(J29&gt;0,(J29*K29*(L29+12)/3888),0))*(1+J$44)</f>
        <v>0</v>
      </c>
      <c r="T29" s="2202" t="n">
        <f aca="false">IF(C29=0,0,U29/C29)</f>
        <v>0</v>
      </c>
      <c r="U29" s="2184" t="n">
        <f aca="false">(AT29-BK29)*(1+L$36)</f>
        <v>0</v>
      </c>
      <c r="V29" s="2184"/>
      <c r="W29" s="179"/>
      <c r="AD29" s="2748" t="n">
        <f aca="false">IF($G29=1,$S29,0)</f>
        <v>0</v>
      </c>
      <c r="AE29" s="531" t="n">
        <f aca="false">IF($G29=2,$S29,0)</f>
        <v>0</v>
      </c>
      <c r="AF29" s="531" t="n">
        <f aca="false">IF($G29=3,$S29,0)</f>
        <v>0</v>
      </c>
      <c r="AG29" s="531" t="n">
        <f aca="false">IF($G29=4,$S29,0)</f>
        <v>0</v>
      </c>
      <c r="AH29" s="531" t="n">
        <f aca="false">IF($G29=5,$S29,0)</f>
        <v>0</v>
      </c>
      <c r="AI29" s="531" t="n">
        <f aca="false">IF($G29=6,$S29,0)</f>
        <v>0</v>
      </c>
      <c r="AJ29" s="531" t="n">
        <f aca="false">IF($G29=7,$S29,0)</f>
        <v>0</v>
      </c>
      <c r="AK29" s="531" t="n">
        <f aca="false">IF($G29=8,$S29,0)</f>
        <v>0</v>
      </c>
      <c r="AL29" s="531" t="n">
        <f aca="false">IF($G29=9,$S29,0)</f>
        <v>0</v>
      </c>
      <c r="AM29" s="2749" t="n">
        <f aca="false">IF($G29=10,$S29,0)</f>
        <v>0</v>
      </c>
      <c r="AN29" s="531" t="n">
        <f aca="false">SUM(AD29:AI29)</f>
        <v>0</v>
      </c>
      <c r="AO29" s="531" t="n">
        <f aca="false">IF(H29="Y",C29,0)</f>
        <v>0</v>
      </c>
      <c r="AP29" s="531" t="n">
        <f aca="false">IF(C29=0,0,IF(E29&lt;8,C29/K$79,0))</f>
        <v>0</v>
      </c>
      <c r="AQ29" s="531" t="n">
        <f aca="false">IF(C29=0,0,IF(E29&gt;8,C29/K$79,0))</f>
        <v>0</v>
      </c>
      <c r="AR29" s="531" t="n">
        <f aca="false">IF(H29&gt;0,C29,0)</f>
        <v>0</v>
      </c>
      <c r="AS29" s="531" t="n">
        <f aca="false">IF(I29="y",C29,0)</f>
        <v>0</v>
      </c>
      <c r="AT29" s="373" t="n">
        <f aca="false">SUM(AU29:BL29)</f>
        <v>0</v>
      </c>
      <c r="AU29" s="2732" t="n">
        <f aca="false">(AD29*Pricing!F$3+AE29*Pricing!G$3+AF29*Pricing!H$3+AG29*Pricing!I$3+AH29*Pricing!J$3+AI29*Pricing!K$3+AJ29*Pricing!L$3+AK29*Pricing!M$3+AL29*Pricing!N$3+AM29*Pricing!O$3)*IF(T$35="N",(1+V$35),1)</f>
        <v>0</v>
      </c>
      <c r="AV29" s="96" t="n">
        <f aca="false">R29*F$51*IF(T$35="n",1+V$35,1)</f>
        <v>0</v>
      </c>
      <c r="AW29" s="2733" t="str">
        <f aca="false">IF(C29=0,"",C29*G$59)</f>
        <v/>
      </c>
      <c r="AX29" s="96" t="n">
        <f aca="false">IF(N$62=0,0,N$62/H$59*C29)</f>
        <v>0</v>
      </c>
      <c r="AY29" s="96" t="n">
        <f aca="false">J29*D$63</f>
        <v>0</v>
      </c>
      <c r="AZ29" s="587" t="n">
        <f aca="false">IF(N$64=0,0,N$64/H$59*C29)</f>
        <v>0</v>
      </c>
      <c r="BA29" s="96" t="n">
        <f aca="false">IF(C$32=0,0,N$84/C$32*C29)</f>
        <v>0</v>
      </c>
      <c r="BB29" s="96" t="n">
        <f aca="false">IF(C29=0,0,(SUM(N$67:O$70)+N$86)/C$32*C29)</f>
        <v>0</v>
      </c>
      <c r="BC29" s="96" t="n">
        <f aca="false">IF(C29=0,0,SUM(W$44:W$87)/C$32*C29)</f>
        <v>0</v>
      </c>
      <c r="BD29" s="96" t="n">
        <f aca="false">IF(C29=0,0,(SUM(N$72:O$77)-N$77)/C$32*C29)</f>
        <v>0</v>
      </c>
      <c r="BE29" s="96" t="n">
        <f aca="false">IF(C29=0,0,SUM(N$79:N$83)/C$32)*C29</f>
        <v>0</v>
      </c>
      <c r="BF29" s="96" t="n">
        <f aca="false">P29*F$54*IF(T$35="N",1+V$35,1)</f>
        <v>0</v>
      </c>
      <c r="BG29" s="96" t="n">
        <f aca="false">H29*C29</f>
        <v>0</v>
      </c>
      <c r="BH29" s="96" t="n">
        <f aca="false">IF(I29="y",N$77/AS$32*C29,0)</f>
        <v>0</v>
      </c>
      <c r="BI29" s="96" t="n">
        <f aca="false">IF(K$56=0,0,N$56/K$56*K29)</f>
        <v>0</v>
      </c>
      <c r="BJ29" s="96" t="n">
        <f aca="false">IF(O29=6,Q29*Pricing!D$28,IF(O29=8,Pricing!D$27,IF(O29=10,Pricing!D$26,0)))*Q29*(1+J$52)*IF(T$35="Y",1,1+V$35)</f>
        <v>0</v>
      </c>
      <c r="BK29" s="96" t="n">
        <f aca="false">IF(N$88=0,0,N$88/H$59*C29)</f>
        <v>0</v>
      </c>
      <c r="BL29" s="2734"/>
      <c r="BO29" s="2735" t="n">
        <f aca="false">A29</f>
        <v>0</v>
      </c>
      <c r="BP29" s="2191" t="n">
        <f aca="false">J29</f>
        <v>0</v>
      </c>
      <c r="BQ29" s="1928" t="n">
        <f aca="false">R29</f>
        <v>0</v>
      </c>
      <c r="BR29" s="1414" t="n">
        <f aca="false">IF(H29=0,0,C29*H29)</f>
        <v>0</v>
      </c>
      <c r="BS29" s="2736" t="n">
        <f aca="false">C29</f>
        <v>0</v>
      </c>
    </row>
    <row r="30" customFormat="false" ht="24" hidden="false" customHeight="true" outlineLevel="0" collapsed="false">
      <c r="A30" s="2761"/>
      <c r="B30" s="2753"/>
      <c r="C30" s="2762"/>
      <c r="D30" s="2755"/>
      <c r="E30" s="2756"/>
      <c r="F30" s="2757"/>
      <c r="G30" s="2758"/>
      <c r="H30" s="2744"/>
      <c r="I30" s="2756"/>
      <c r="J30" s="2759"/>
      <c r="K30" s="2756"/>
      <c r="L30" s="2756"/>
      <c r="M30" s="2760"/>
      <c r="N30" s="2756"/>
      <c r="O30" s="2756"/>
      <c r="P30" s="2182" t="n">
        <f aca="false">C30*F30/324*(1+J$54)</f>
        <v>0</v>
      </c>
      <c r="Q30" s="2182" t="n">
        <f aca="false">IF(O30&gt;0,C30,0)</f>
        <v>0</v>
      </c>
      <c r="R30" s="1515" t="n">
        <f aca="false">IF(N30=0,0,(N30/12+N30/12)/(N30/12*N30/12)*C30*((M30/16*M30/16)*10.6870159)+J30*4)*(1+J$51)</f>
        <v>0</v>
      </c>
      <c r="S30" s="2747" t="n">
        <f aca="false">((C30*E30/324)+IF(J30&gt;0,(J30*K30*(L30+12)/3888),0))*(1+J$44)</f>
        <v>0</v>
      </c>
      <c r="T30" s="2202" t="n">
        <f aca="false">IF(C30=0,0,U30/C30)</f>
        <v>0</v>
      </c>
      <c r="U30" s="2184" t="n">
        <f aca="false">(AT30-BK30)*(1+L$36)</f>
        <v>0</v>
      </c>
      <c r="V30" s="2184"/>
      <c r="W30" s="179"/>
      <c r="AD30" s="2748" t="n">
        <f aca="false">IF($G30=1,$S30,0)</f>
        <v>0</v>
      </c>
      <c r="AE30" s="531" t="n">
        <f aca="false">IF($G30=2,$S30,0)</f>
        <v>0</v>
      </c>
      <c r="AF30" s="531" t="n">
        <f aca="false">IF($G30=3,$S30,0)</f>
        <v>0</v>
      </c>
      <c r="AG30" s="531" t="n">
        <f aca="false">IF($G30=4,$S30,0)</f>
        <v>0</v>
      </c>
      <c r="AH30" s="531" t="n">
        <f aca="false">IF($G30=5,$S30,0)</f>
        <v>0</v>
      </c>
      <c r="AI30" s="531" t="n">
        <f aca="false">IF($G30=6,$S30,0)</f>
        <v>0</v>
      </c>
      <c r="AJ30" s="531" t="n">
        <f aca="false">IF($G30=7,$S30,0)</f>
        <v>0</v>
      </c>
      <c r="AK30" s="531" t="n">
        <f aca="false">IF($G30=8,$S30,0)</f>
        <v>0</v>
      </c>
      <c r="AL30" s="531" t="n">
        <f aca="false">IF($G30=9,$S30,0)</f>
        <v>0</v>
      </c>
      <c r="AM30" s="2749" t="n">
        <f aca="false">IF($G30=10,$S30,0)</f>
        <v>0</v>
      </c>
      <c r="AN30" s="531" t="n">
        <f aca="false">SUM(AD30:AI30)</f>
        <v>0</v>
      </c>
      <c r="AO30" s="531" t="n">
        <f aca="false">IF(H30="Y",C30,0)</f>
        <v>0</v>
      </c>
      <c r="AP30" s="531" t="n">
        <f aca="false">IF(C30=0,0,IF(E30&lt;8,C30/K$79,0))</f>
        <v>0</v>
      </c>
      <c r="AQ30" s="531" t="n">
        <f aca="false">IF(C30=0,0,IF(E30&gt;8,C30/K$79,0))</f>
        <v>0</v>
      </c>
      <c r="AR30" s="531" t="n">
        <f aca="false">IF(H30&gt;0,C30,0)</f>
        <v>0</v>
      </c>
      <c r="AS30" s="531" t="n">
        <f aca="false">IF(I30="y",C30,0)</f>
        <v>0</v>
      </c>
      <c r="AT30" s="373" t="n">
        <f aca="false">SUM(AU30:BL30)</f>
        <v>0</v>
      </c>
      <c r="AU30" s="2732" t="n">
        <f aca="false">(AD30*Pricing!F$3+AE30*Pricing!G$3+AF30*Pricing!H$3+AG30*Pricing!I$3+AH30*Pricing!J$3+AI30*Pricing!K$3+AJ30*Pricing!L$3+AK30*Pricing!M$3+AL30*Pricing!N$3+AM30*Pricing!O$3)*IF(T$35="N",(1+V$35),1)</f>
        <v>0</v>
      </c>
      <c r="AV30" s="96" t="n">
        <f aca="false">R30*F$51*IF(T$35="n",1+V$35,1)</f>
        <v>0</v>
      </c>
      <c r="AW30" s="2733" t="str">
        <f aca="false">IF(C30=0,"",C30*G$59)</f>
        <v/>
      </c>
      <c r="AX30" s="96" t="n">
        <f aca="false">IF(N$62=0,0,N$62/H$59*C30)</f>
        <v>0</v>
      </c>
      <c r="AY30" s="96" t="n">
        <f aca="false">J30*D$63</f>
        <v>0</v>
      </c>
      <c r="AZ30" s="587" t="n">
        <f aca="false">IF(N$64=0,0,N$64/H$59*C30)</f>
        <v>0</v>
      </c>
      <c r="BA30" s="96" t="n">
        <f aca="false">IF(C$32=0,0,N$84/C$32*C30)</f>
        <v>0</v>
      </c>
      <c r="BB30" s="96" t="n">
        <f aca="false">IF(C30=0,0,(SUM(N$67:O$70)+N$86)/C$32*C30)</f>
        <v>0</v>
      </c>
      <c r="BC30" s="96" t="n">
        <f aca="false">IF(C30=0,0,SUM(W$44:W$87)/C$32*C30)</f>
        <v>0</v>
      </c>
      <c r="BD30" s="96" t="n">
        <f aca="false">IF(C30=0,0,(SUM(N$72:O$77)-N$77)/C$32*C30)</f>
        <v>0</v>
      </c>
      <c r="BE30" s="96" t="n">
        <f aca="false">IF(C30=0,0,SUM(N$79:N$83)/C$32)*C30</f>
        <v>0</v>
      </c>
      <c r="BF30" s="96" t="n">
        <f aca="false">P30*F$54*IF(T$35="N",1+V$35,1)</f>
        <v>0</v>
      </c>
      <c r="BG30" s="96" t="n">
        <f aca="false">H30*C30</f>
        <v>0</v>
      </c>
      <c r="BH30" s="96" t="n">
        <f aca="false">IF(I30="y",N$77/AS$32*C30,0)</f>
        <v>0</v>
      </c>
      <c r="BI30" s="96" t="n">
        <f aca="false">IF(K$56=0,0,N$56/K$56*K30)</f>
        <v>0</v>
      </c>
      <c r="BJ30" s="96" t="n">
        <f aca="false">IF(O30=6,Q30*Pricing!D$28,IF(O30=8,Pricing!D$27,IF(O30=10,Pricing!D$26,0)))*Q30*(1+J$52)*IF(T$35="Y",1,1+V$35)</f>
        <v>0</v>
      </c>
      <c r="BK30" s="96" t="n">
        <f aca="false">IF(N$88=0,0,N$88/H$59*C30)</f>
        <v>0</v>
      </c>
      <c r="BL30" s="2734"/>
      <c r="BO30" s="2735" t="n">
        <f aca="false">A30</f>
        <v>0</v>
      </c>
      <c r="BP30" s="2191" t="n">
        <f aca="false">J30</f>
        <v>0</v>
      </c>
      <c r="BQ30" s="1928" t="n">
        <f aca="false">R30</f>
        <v>0</v>
      </c>
      <c r="BR30" s="1414" t="n">
        <f aca="false">IF(H30=0,0,C30*H30)</f>
        <v>0</v>
      </c>
      <c r="BS30" s="2736" t="n">
        <f aca="false">C30</f>
        <v>0</v>
      </c>
    </row>
    <row r="31" customFormat="false" ht="24" hidden="false" customHeight="true" outlineLevel="0" collapsed="false">
      <c r="A31" s="2765"/>
      <c r="B31" s="2766"/>
      <c r="C31" s="2767"/>
      <c r="D31" s="2768"/>
      <c r="E31" s="2769"/>
      <c r="F31" s="2770"/>
      <c r="G31" s="2771"/>
      <c r="H31" s="2772"/>
      <c r="I31" s="2769"/>
      <c r="J31" s="2773"/>
      <c r="K31" s="2769"/>
      <c r="L31" s="2769"/>
      <c r="M31" s="2774"/>
      <c r="N31" s="2769"/>
      <c r="O31" s="2770"/>
      <c r="P31" s="2775" t="n">
        <f aca="false">C31*F31/324*(1+J$54)</f>
        <v>0</v>
      </c>
      <c r="Q31" s="2231" t="n">
        <f aca="false">IF(O31&gt;0,C31,0)</f>
        <v>0</v>
      </c>
      <c r="R31" s="2232" t="n">
        <f aca="false">IF(N31=0,0,(N31/12+N31/12)/(N31/12*N31/12)*C31*((M31/16*M31/16)*10.6870159)+J31*4)*(1+J$51)</f>
        <v>0</v>
      </c>
      <c r="S31" s="2776" t="n">
        <f aca="false">((C31*E31/324)+IF(J31&gt;0,(J31*K31*(L31+12)/3888),0))*(1+J$44)</f>
        <v>0</v>
      </c>
      <c r="T31" s="2233" t="n">
        <f aca="false">IF(C31=0,0,U31/C31)</f>
        <v>0</v>
      </c>
      <c r="U31" s="2777" t="n">
        <f aca="false">(AT31-BK31)*(1+L$36)</f>
        <v>0</v>
      </c>
      <c r="V31" s="2777"/>
      <c r="W31" s="179"/>
      <c r="AD31" s="2778" t="n">
        <f aca="false">IF($G31=1,$S31,0)</f>
        <v>0</v>
      </c>
      <c r="AE31" s="2779" t="n">
        <f aca="false">IF($G31=2,$S31,0)</f>
        <v>0</v>
      </c>
      <c r="AF31" s="2779" t="n">
        <f aca="false">IF($G31=3,$S31,0)</f>
        <v>0</v>
      </c>
      <c r="AG31" s="2779" t="n">
        <f aca="false">IF($G31=4,$S31,0)</f>
        <v>0</v>
      </c>
      <c r="AH31" s="2779" t="n">
        <f aca="false">IF($G31=5,$S31,0)</f>
        <v>0</v>
      </c>
      <c r="AI31" s="2779" t="n">
        <f aca="false">IF($G31=6,$S31,0)</f>
        <v>0</v>
      </c>
      <c r="AJ31" s="2779" t="n">
        <f aca="false">IF($G31=7,$S31,0)</f>
        <v>0</v>
      </c>
      <c r="AK31" s="2779" t="n">
        <f aca="false">IF($G31=8,$S31,0)</f>
        <v>0</v>
      </c>
      <c r="AL31" s="2779" t="n">
        <f aca="false">IF($G31=9,$S31,0)</f>
        <v>0</v>
      </c>
      <c r="AM31" s="2780" t="n">
        <f aca="false">IF($G31=10,$S31,0)</f>
        <v>0</v>
      </c>
      <c r="AN31" s="2779" t="n">
        <f aca="false">SUM(AD31:AI31)</f>
        <v>0</v>
      </c>
      <c r="AO31" s="2779" t="n">
        <f aca="false">IF(H31="Y",C31,0)</f>
        <v>0</v>
      </c>
      <c r="AP31" s="2779" t="n">
        <f aca="false">IF(C31=0,0,IF(E31&lt;8,C31/K$79,0))</f>
        <v>0</v>
      </c>
      <c r="AQ31" s="2779" t="n">
        <f aca="false">IF(C31=0,0,IF(E31&gt;8,C31/K$79,0))</f>
        <v>0</v>
      </c>
      <c r="AR31" s="2779" t="n">
        <f aca="false">IF(H31&gt;0,C31,0)</f>
        <v>0</v>
      </c>
      <c r="AS31" s="2779" t="n">
        <f aca="false">IF(I31="y",C31,0)</f>
        <v>0</v>
      </c>
      <c r="AT31" s="373" t="n">
        <f aca="false">SUM(AU31:BL31)</f>
        <v>0</v>
      </c>
      <c r="AU31" s="2732" t="n">
        <f aca="false">(AD31*Pricing!F$3+AE31*Pricing!G$3+AF31*Pricing!H$3+AG31*Pricing!I$3+AH31*Pricing!J$3+AI31*Pricing!K$3+AJ31*Pricing!L$3+AK31*Pricing!M$3+AL31*Pricing!N$3+AM31*Pricing!O$3)*IF(T$35="N",(1+V$35),1)</f>
        <v>0</v>
      </c>
      <c r="AV31" s="587" t="n">
        <f aca="false">R31*F$51*IF(T$35="n",1+V$35,1)</f>
        <v>0</v>
      </c>
      <c r="AW31" s="2733" t="str">
        <f aca="false">IF(C31=0,"",C31*G$59)</f>
        <v/>
      </c>
      <c r="AX31" s="96" t="n">
        <f aca="false">IF(N$62=0,0,N$62/H$59*C31)</f>
        <v>0</v>
      </c>
      <c r="AY31" s="96" t="n">
        <f aca="false">J31*D$63</f>
        <v>0</v>
      </c>
      <c r="AZ31" s="587" t="n">
        <f aca="false">IF(N$64=0,0,N$64/H$59*C31)</f>
        <v>0</v>
      </c>
      <c r="BA31" s="96" t="n">
        <f aca="false">IF(C$32=0,0,N$84/C$32*C31)</f>
        <v>0</v>
      </c>
      <c r="BB31" s="96" t="n">
        <f aca="false">IF(C31=0,0,(SUM(N$67:O$70)+N$86)/C$32*C31)</f>
        <v>0</v>
      </c>
      <c r="BC31" s="96" t="n">
        <f aca="false">IF(C31=0,0,SUM(W$44:W$87)/C$32*C31)</f>
        <v>0</v>
      </c>
      <c r="BD31" s="96" t="n">
        <f aca="false">IF(C31=0,0,(SUM(N$72:O$77)-N$77)/C$32*C31)</f>
        <v>0</v>
      </c>
      <c r="BE31" s="96" t="n">
        <f aca="false">IF(C31=0,0,SUM(N$79:N$83)/C$32)*C31</f>
        <v>0</v>
      </c>
      <c r="BF31" s="96" t="n">
        <f aca="false">P31*F$54*IF(T$35="N",1+V$35,1)</f>
        <v>0</v>
      </c>
      <c r="BG31" s="96" t="n">
        <f aca="false">H31*C31</f>
        <v>0</v>
      </c>
      <c r="BH31" s="96" t="n">
        <f aca="false">IF(I31="y",N$77/AS$32*C31,0)</f>
        <v>0</v>
      </c>
      <c r="BI31" s="96" t="n">
        <f aca="false">IF(K$56=0,0,N$56/K$56*K31)</f>
        <v>0</v>
      </c>
      <c r="BJ31" s="96" t="n">
        <f aca="false">IF(O31=6,Q31*Pricing!D$28,IF(O31=8,Pricing!D$27,IF(O31=10,Pricing!D$26,0)))*Q31*(1+J$52)*IF(T$35="Y",1,1+V$35)</f>
        <v>0</v>
      </c>
      <c r="BK31" s="96" t="n">
        <f aca="false">IF(N$88=0,0,N$88/H$59*C31)</f>
        <v>0</v>
      </c>
      <c r="BL31" s="2734"/>
      <c r="BO31" s="2781" t="n">
        <f aca="false">A31</f>
        <v>0</v>
      </c>
      <c r="BP31" s="1949" t="n">
        <f aca="false">J31</f>
        <v>0</v>
      </c>
      <c r="BQ31" s="2782" t="n">
        <f aca="false">R31</f>
        <v>0</v>
      </c>
      <c r="BR31" s="2782" t="n">
        <f aca="false">IF(H31=0,0,C31*H31)</f>
        <v>0</v>
      </c>
      <c r="BS31" s="2783" t="n">
        <f aca="false">C31</f>
        <v>0</v>
      </c>
    </row>
    <row r="32" customFormat="false" ht="24" hidden="false" customHeight="true" outlineLevel="0" collapsed="false">
      <c r="A32" s="654"/>
      <c r="B32" s="654"/>
      <c r="C32" s="2784" t="n">
        <f aca="false">SUM(C10:C31)</f>
        <v>0</v>
      </c>
      <c r="D32" s="2784"/>
      <c r="E32" s="16" t="s">
        <v>1533</v>
      </c>
      <c r="G32" s="654"/>
      <c r="H32" s="654"/>
      <c r="I32" s="654"/>
      <c r="J32" s="654"/>
      <c r="K32" s="654"/>
      <c r="L32" s="1465"/>
      <c r="M32" s="1465"/>
      <c r="N32" s="1465"/>
      <c r="O32" s="1465"/>
      <c r="P32" s="654"/>
      <c r="Q32" s="654"/>
      <c r="R32" s="654"/>
      <c r="S32" s="1771" t="n">
        <f aca="false">SUM(S10:S31)</f>
        <v>0</v>
      </c>
      <c r="T32" s="654"/>
      <c r="U32" s="1275" t="n">
        <f aca="false">SUM(U10:V31)</f>
        <v>0</v>
      </c>
      <c r="V32" s="1275"/>
      <c r="AD32" s="360" t="n">
        <f aca="false">SUM(AD10:AD31)</f>
        <v>0</v>
      </c>
      <c r="AE32" s="360" t="n">
        <f aca="false">SUM(AE10:AE31)</f>
        <v>0</v>
      </c>
      <c r="AF32" s="360" t="n">
        <f aca="false">SUM(AF10:AF31)</f>
        <v>0</v>
      </c>
      <c r="AG32" s="360" t="n">
        <f aca="false">SUM(AG10:AG31)</f>
        <v>0</v>
      </c>
      <c r="AH32" s="360" t="n">
        <f aca="false">SUM(AH10:AH31)</f>
        <v>0</v>
      </c>
      <c r="AI32" s="360" t="n">
        <f aca="false">SUM(AI10:AI31)</f>
        <v>0</v>
      </c>
      <c r="AJ32" s="360" t="n">
        <f aca="false">SUM(AJ10:AJ31)</f>
        <v>0</v>
      </c>
      <c r="AK32" s="360" t="n">
        <f aca="false">SUM(AK10:AK31)</f>
        <v>0</v>
      </c>
      <c r="AL32" s="360" t="n">
        <f aca="false">SUM(AL10:AL31)</f>
        <v>0</v>
      </c>
      <c r="AM32" s="360" t="n">
        <f aca="false">SUM(AM10:AM31)</f>
        <v>0</v>
      </c>
      <c r="AN32" s="360" t="n">
        <f aca="false">SUM(AN10:AN31)</f>
        <v>0</v>
      </c>
      <c r="AO32" s="360" t="n">
        <f aca="false">SUM(AO10:AO31)</f>
        <v>0</v>
      </c>
      <c r="AP32" s="360" t="n">
        <f aca="false">ROUNDUP(SUM(AP10:AP31),0)</f>
        <v>0</v>
      </c>
      <c r="AQ32" s="360" t="n">
        <f aca="false">ROUNDUP(SUM(AQ10:AQ31),0)</f>
        <v>0</v>
      </c>
      <c r="AR32" s="360" t="n">
        <f aca="false">SUM(AR10:AR31)</f>
        <v>0</v>
      </c>
      <c r="AS32" s="910" t="n">
        <f aca="false">SUM(AS10:AS31)</f>
        <v>0</v>
      </c>
      <c r="AT32" s="373" t="n">
        <f aca="false">SUM(AT10:AT31)</f>
        <v>0</v>
      </c>
      <c r="AU32" s="2785" t="n">
        <f aca="false">SUM(AU10:AU31)</f>
        <v>0</v>
      </c>
      <c r="AV32" s="2786" t="n">
        <f aca="false">SUM(AV10:AV31)</f>
        <v>0</v>
      </c>
      <c r="AW32" s="2787" t="n">
        <f aca="false">SUM(AW10:AW31)</f>
        <v>0</v>
      </c>
      <c r="AX32" s="2786" t="n">
        <f aca="false">SUM(AX10:AX31)</f>
        <v>0</v>
      </c>
      <c r="AY32" s="2786" t="n">
        <f aca="false">SUM(AY10:AY31)</f>
        <v>0</v>
      </c>
      <c r="AZ32" s="2788" t="n">
        <f aca="false">SUM(AZ10:AZ31)</f>
        <v>0</v>
      </c>
      <c r="BA32" s="2786" t="n">
        <f aca="false">SUM(BA10:BA31)</f>
        <v>0</v>
      </c>
      <c r="BB32" s="2786" t="n">
        <f aca="false">SUM(BB10:BB31)</f>
        <v>0</v>
      </c>
      <c r="BC32" s="2786" t="n">
        <f aca="false">SUM(BC10:BC31)</f>
        <v>0</v>
      </c>
      <c r="BD32" s="2786" t="n">
        <f aca="false">SUM(BD10:BD31)</f>
        <v>0</v>
      </c>
      <c r="BE32" s="2786" t="n">
        <f aca="false">SUM(BE10:BE31)</f>
        <v>0</v>
      </c>
      <c r="BF32" s="2786" t="n">
        <f aca="false">SUM(BF10:BF31)</f>
        <v>0</v>
      </c>
      <c r="BG32" s="2786" t="n">
        <f aca="false">SUM(BG10:BG31)</f>
        <v>0</v>
      </c>
      <c r="BH32" s="2786" t="n">
        <f aca="false">SUM(BH10:BH31)</f>
        <v>0</v>
      </c>
      <c r="BI32" s="2786" t="n">
        <f aca="false">SUM(BI10:BI31)</f>
        <v>0</v>
      </c>
      <c r="BJ32" s="2786" t="n">
        <f aca="false">SUM(BJ10:BJ31)</f>
        <v>0</v>
      </c>
      <c r="BK32" s="2786" t="n">
        <f aca="false">SUM(BK10:BK31)</f>
        <v>0</v>
      </c>
      <c r="BL32" s="2789"/>
      <c r="BO32" s="1414"/>
      <c r="BP32" s="2191"/>
      <c r="BQ32" s="1928"/>
      <c r="BR32" s="1414" t="n">
        <f aca="false">SUM(BR10:BR31)</f>
        <v>0</v>
      </c>
      <c r="BS32" s="2192" t="n">
        <f aca="false">SUM(BS10:BS31)</f>
        <v>0</v>
      </c>
    </row>
    <row r="33" customFormat="false" ht="24" hidden="false" customHeight="true" outlineLevel="0" collapsed="false">
      <c r="A33" s="654"/>
      <c r="B33" s="654"/>
      <c r="C33" s="654"/>
      <c r="D33" s="654"/>
      <c r="E33" s="654"/>
      <c r="F33" s="654"/>
      <c r="G33" s="654"/>
      <c r="H33" s="654"/>
      <c r="I33" s="654"/>
      <c r="J33" s="654"/>
      <c r="K33" s="654"/>
      <c r="L33" s="1465"/>
      <c r="M33" s="1465"/>
      <c r="N33" s="1465"/>
      <c r="O33" s="1465"/>
      <c r="P33" s="654"/>
      <c r="Q33" s="654"/>
      <c r="R33" s="654"/>
      <c r="S33" s="654"/>
      <c r="T33" s="632"/>
      <c r="U33" s="632"/>
      <c r="V33" s="2790" t="n">
        <f aca="false">D36-U32</f>
        <v>0</v>
      </c>
      <c r="AT33" s="373" t="n">
        <f aca="false">T36</f>
        <v>0</v>
      </c>
      <c r="AU33" s="945" t="n">
        <f aca="false">SUM(N44:O50)</f>
        <v>0</v>
      </c>
      <c r="AV33" s="946" t="n">
        <f aca="false">SUM(N51:O53)-N52</f>
        <v>0</v>
      </c>
      <c r="AW33" s="2791" t="n">
        <f aca="false">SUM(N59:O61)</f>
        <v>0</v>
      </c>
      <c r="AX33" s="946" t="n">
        <f aca="false">N62</f>
        <v>0</v>
      </c>
      <c r="AY33" s="946" t="n">
        <f aca="false">SUM(N63)</f>
        <v>0</v>
      </c>
      <c r="AZ33" s="2792" t="n">
        <f aca="false">N64</f>
        <v>0</v>
      </c>
      <c r="BA33" s="946" t="n">
        <f aca="false">N84</f>
        <v>0</v>
      </c>
      <c r="BB33" s="946" t="n">
        <f aca="false">L68+N70</f>
        <v>0</v>
      </c>
      <c r="BC33" s="946" t="n">
        <f aca="false">W88</f>
        <v>0</v>
      </c>
      <c r="BD33" s="946" t="n">
        <f aca="false">SUM(N72:O76)</f>
        <v>0</v>
      </c>
      <c r="BE33" s="946" t="n">
        <f aca="false">SUM(N79:O87)-N85</f>
        <v>0</v>
      </c>
      <c r="BF33" s="946" t="n">
        <f aca="false">SUM(N54:O55)</f>
        <v>0</v>
      </c>
      <c r="BG33" s="946" t="n">
        <f aca="false">SUM(N85)</f>
        <v>0</v>
      </c>
      <c r="BH33" s="946" t="n">
        <f aca="false">N77</f>
        <v>0</v>
      </c>
      <c r="BI33" s="946" t="n">
        <f aca="false">N56</f>
        <v>0</v>
      </c>
      <c r="BJ33" s="946" t="n">
        <f aca="false">N52</f>
        <v>0</v>
      </c>
      <c r="BK33" s="946" t="n">
        <f aca="false">N88</f>
        <v>0</v>
      </c>
      <c r="BL33" s="948"/>
    </row>
    <row r="34" customFormat="false" ht="24" hidden="false" customHeight="true" outlineLevel="0" collapsed="false">
      <c r="A34" s="949"/>
      <c r="B34" s="950"/>
      <c r="C34" s="951" t="s">
        <v>1261</v>
      </c>
      <c r="D34" s="952" t="n">
        <v>90000</v>
      </c>
      <c r="E34" s="952"/>
      <c r="F34" s="950"/>
      <c r="G34" s="950"/>
      <c r="H34" s="950"/>
      <c r="I34" s="950"/>
      <c r="J34" s="950"/>
      <c r="K34" s="954"/>
      <c r="L34" s="950"/>
      <c r="M34" s="950"/>
      <c r="N34" s="950"/>
      <c r="O34" s="950"/>
      <c r="P34" s="950"/>
      <c r="Q34" s="950"/>
      <c r="R34" s="950"/>
      <c r="S34" s="950"/>
      <c r="T34" s="950"/>
      <c r="U34" s="950"/>
      <c r="V34" s="1165"/>
      <c r="AT34" s="373" t="n">
        <f aca="false">AT32-AT33</f>
        <v>0</v>
      </c>
      <c r="AU34" s="373" t="n">
        <f aca="false">AU32-AU33</f>
        <v>0</v>
      </c>
      <c r="AV34" s="373" t="n">
        <f aca="false">AV32-AV33</f>
        <v>0</v>
      </c>
      <c r="AW34" s="373" t="n">
        <f aca="false">AW32-AW33</f>
        <v>0</v>
      </c>
      <c r="AX34" s="373" t="n">
        <f aca="false">AX32-AX33</f>
        <v>0</v>
      </c>
      <c r="AY34" s="373" t="n">
        <f aca="false">AY32-AY33</f>
        <v>0</v>
      </c>
      <c r="AZ34" s="373"/>
      <c r="BA34" s="373" t="n">
        <f aca="false">BA32-BA33</f>
        <v>0</v>
      </c>
      <c r="BB34" s="373" t="n">
        <f aca="false">BB32-BB33</f>
        <v>0</v>
      </c>
      <c r="BC34" s="373" t="n">
        <f aca="false">BC32-BC33</f>
        <v>0</v>
      </c>
      <c r="BD34" s="373" t="n">
        <f aca="false">BD32-BD33</f>
        <v>0</v>
      </c>
      <c r="BE34" s="373" t="n">
        <f aca="false">BE32-BE33</f>
        <v>0</v>
      </c>
      <c r="BF34" s="373" t="n">
        <f aca="false">BF32-BF33</f>
        <v>0</v>
      </c>
      <c r="BG34" s="373" t="n">
        <f aca="false">BG32-BG33</f>
        <v>0</v>
      </c>
      <c r="BH34" s="373" t="n">
        <f aca="false">BH32-BH33</f>
        <v>0</v>
      </c>
      <c r="BI34" s="373" t="n">
        <f aca="false">BI32-BI33</f>
        <v>0</v>
      </c>
      <c r="BJ34" s="373" t="n">
        <f aca="false">BJ32-BJ33</f>
        <v>0</v>
      </c>
      <c r="BK34" s="373" t="n">
        <f aca="false">BK32-BK33</f>
        <v>0</v>
      </c>
      <c r="BL34" s="373" t="n">
        <f aca="false">BL32-BL33</f>
        <v>0</v>
      </c>
    </row>
    <row r="35" customFormat="false" ht="24" hidden="false" customHeight="true" outlineLevel="0" collapsed="false">
      <c r="A35" s="1642" t="s">
        <v>1262</v>
      </c>
      <c r="B35" s="1642"/>
      <c r="C35" s="1642"/>
      <c r="D35" s="958" t="s">
        <v>982</v>
      </c>
      <c r="E35" s="958"/>
      <c r="F35" s="1644" t="s">
        <v>1263</v>
      </c>
      <c r="G35" s="1644"/>
      <c r="H35" s="1644"/>
      <c r="I35" s="959" t="s">
        <v>1264</v>
      </c>
      <c r="J35" s="959"/>
      <c r="K35" s="959"/>
      <c r="L35" s="1170" t="s">
        <v>1265</v>
      </c>
      <c r="M35" s="1170"/>
      <c r="N35" s="1171"/>
      <c r="O35" s="1172"/>
      <c r="P35" s="961"/>
      <c r="Q35" s="599" t="s">
        <v>1266</v>
      </c>
      <c r="S35" s="16" t="s">
        <v>1267</v>
      </c>
      <c r="T35" s="2793" t="str">
        <f aca="false">Summary!P62</f>
        <v>N</v>
      </c>
      <c r="U35" s="833" t="s">
        <v>1268</v>
      </c>
      <c r="V35" s="2794" t="n">
        <f aca="false">Summary!R62</f>
        <v>0.0825</v>
      </c>
    </row>
    <row r="36" customFormat="false" ht="24" hidden="false" customHeight="true" outlineLevel="0" collapsed="false">
      <c r="A36" s="2795" t="s">
        <v>1269</v>
      </c>
      <c r="B36" s="2046" t="n">
        <f aca="false">IF(C32=0,0,(D36-((K62+N62)*(1+L36)))/C32)</f>
        <v>0</v>
      </c>
      <c r="C36" s="2046"/>
      <c r="D36" s="2796" t="n">
        <f aca="false">(T36-N88)*(1+L36)</f>
        <v>0</v>
      </c>
      <c r="E36" s="2796"/>
      <c r="F36" s="2797" t="n">
        <f aca="false">IF(G36=0,0,G36/D36)</f>
        <v>0</v>
      </c>
      <c r="G36" s="1038" t="n">
        <f aca="false">(D36-T36)</f>
        <v>0</v>
      </c>
      <c r="H36" s="1038"/>
      <c r="I36" s="2798" t="n">
        <f aca="false">IF(C32=0,0,T36/C32)</f>
        <v>0</v>
      </c>
      <c r="J36" s="2798"/>
      <c r="K36" s="2798"/>
      <c r="L36" s="2799" t="n">
        <f aca="false">Summary!P59</f>
        <v>0.18</v>
      </c>
      <c r="M36" s="2799"/>
      <c r="N36" s="2799"/>
      <c r="O36" s="2799"/>
      <c r="P36" s="961"/>
      <c r="Q36" s="970" t="s">
        <v>980</v>
      </c>
      <c r="T36" s="2800" t="n">
        <f aca="false">SUM(N44:O56)+SUM(N59:O64)+SUM(K59:L64)+SUM(N67:O69)+SUM(N72:O77)+SUM(N79:O88)+W88+N70</f>
        <v>0</v>
      </c>
      <c r="U36" s="2800"/>
      <c r="V36" s="843"/>
    </row>
    <row r="37" customFormat="false" ht="24" hidden="false" customHeight="true" outlineLevel="0" collapsed="false">
      <c r="A37" s="2801"/>
      <c r="B37" s="1966"/>
      <c r="C37" s="2802" t="str">
        <f aca="false">IF(ROUND(D37,0)=0,"BINGO!!",IF(ROUND(D37,0)&lt;0,"To Low","T0 High"))</f>
        <v>To Low</v>
      </c>
      <c r="D37" s="1963" t="n">
        <f aca="false">D36-D34</f>
        <v>-90000</v>
      </c>
      <c r="E37" s="1963"/>
      <c r="F37" s="2803"/>
      <c r="G37" s="1965"/>
      <c r="H37" s="1965"/>
      <c r="I37" s="1966"/>
      <c r="J37" s="1966"/>
      <c r="K37" s="1966"/>
      <c r="L37" s="2804"/>
      <c r="M37" s="2805"/>
      <c r="N37" s="2805"/>
      <c r="O37" s="2806"/>
      <c r="P37" s="961"/>
      <c r="Q37" s="829"/>
      <c r="T37" s="2807" t="n">
        <f aca="false">D96</f>
        <v>0</v>
      </c>
      <c r="U37" s="2807"/>
      <c r="V37" s="843"/>
    </row>
    <row r="38" customFormat="false" ht="24" hidden="false" customHeight="true" outlineLevel="0" collapsed="false">
      <c r="A38" s="972" t="s">
        <v>1928</v>
      </c>
      <c r="B38" s="973"/>
      <c r="C38" s="1975" t="n">
        <f aca="false">(K62+N62)*(1+L36)</f>
        <v>0</v>
      </c>
      <c r="D38" s="1975"/>
      <c r="E38" s="2808"/>
      <c r="F38" s="2808"/>
      <c r="G38" s="973"/>
      <c r="H38" s="1976" t="s">
        <v>1270</v>
      </c>
      <c r="I38" s="1977"/>
      <c r="J38" s="2809"/>
      <c r="K38" s="2809"/>
      <c r="L38" s="972"/>
      <c r="M38" s="2810"/>
      <c r="N38" s="2810"/>
      <c r="O38" s="984"/>
      <c r="P38" s="981"/>
      <c r="Q38" s="982"/>
      <c r="R38" s="973"/>
      <c r="S38" s="973"/>
      <c r="T38" s="2811" t="n">
        <f aca="false">T36-T37</f>
        <v>0</v>
      </c>
      <c r="U38" s="2811"/>
      <c r="V38" s="984"/>
      <c r="AS38" s="16"/>
      <c r="AU38" s="16"/>
      <c r="AV38" s="16"/>
      <c r="AW38" s="16"/>
      <c r="AX38" s="16"/>
      <c r="AY38" s="16"/>
      <c r="AZ38" s="16"/>
      <c r="BA38" s="16"/>
      <c r="BB38" s="16"/>
      <c r="BC38" s="16"/>
      <c r="BD38" s="16"/>
      <c r="BE38" s="16"/>
      <c r="BF38" s="16"/>
      <c r="BG38" s="16"/>
      <c r="BH38" s="16"/>
      <c r="BI38" s="16"/>
      <c r="BJ38" s="16"/>
      <c r="BK38" s="16"/>
      <c r="BL38" s="16"/>
    </row>
    <row r="39" customFormat="false" ht="26.25" hidden="false" customHeight="true" outlineLevel="0" collapsed="false">
      <c r="A39" s="16" t="s">
        <v>1404</v>
      </c>
      <c r="B39" s="1983"/>
      <c r="C39" s="1984"/>
      <c r="D39" s="1271"/>
      <c r="E39" s="1271"/>
      <c r="F39" s="1706"/>
      <c r="G39" s="2812"/>
      <c r="H39" s="2813"/>
      <c r="I39" s="1271"/>
      <c r="J39" s="1271"/>
      <c r="K39" s="1271"/>
      <c r="L39" s="1271"/>
      <c r="M39" s="2814"/>
      <c r="N39" s="990" t="s">
        <v>721</v>
      </c>
      <c r="O39" s="990"/>
      <c r="Q39" s="654"/>
      <c r="R39" s="654"/>
      <c r="S39" s="654"/>
      <c r="T39" s="654"/>
      <c r="U39" s="654"/>
      <c r="V39" s="654"/>
      <c r="W39" s="654"/>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row>
    <row r="40" customFormat="false" ht="18.75" hidden="false" customHeight="true" outlineLevel="0" collapsed="false">
      <c r="A40" s="654"/>
      <c r="B40" s="1983"/>
      <c r="C40" s="1984"/>
      <c r="D40" s="1271"/>
      <c r="E40" s="1271"/>
      <c r="F40" s="1271"/>
      <c r="G40" s="2813"/>
      <c r="H40" s="2813"/>
      <c r="I40" s="2815"/>
      <c r="J40" s="2813"/>
      <c r="K40" s="2813"/>
      <c r="L40" s="2813"/>
      <c r="M40" s="2814"/>
      <c r="N40" s="1000" t="s">
        <v>1274</v>
      </c>
      <c r="O40" s="1001"/>
      <c r="Q40" s="654"/>
      <c r="R40" s="654"/>
      <c r="S40" s="654"/>
      <c r="T40" s="654"/>
      <c r="U40" s="654"/>
      <c r="V40" s="654"/>
      <c r="W40" s="654"/>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row>
    <row r="41" customFormat="false" ht="18.75" hidden="false" customHeight="true" outlineLevel="0" collapsed="false">
      <c r="A41" s="654"/>
      <c r="B41" s="1983"/>
      <c r="C41" s="1984"/>
      <c r="D41" s="1271"/>
      <c r="E41" s="1271"/>
      <c r="F41" s="1271"/>
      <c r="G41" s="2813"/>
      <c r="H41" s="2813"/>
      <c r="I41" s="2815"/>
      <c r="J41" s="2813"/>
      <c r="K41" s="2813"/>
      <c r="L41" s="2813"/>
      <c r="M41" s="2814"/>
      <c r="N41" s="1008" t="s">
        <v>1276</v>
      </c>
      <c r="O41" s="1009" t="n">
        <f aca="false">K51</f>
        <v>0</v>
      </c>
      <c r="Q41" s="654"/>
      <c r="R41" s="654"/>
      <c r="S41" s="654"/>
      <c r="T41" s="654"/>
      <c r="U41" s="654"/>
      <c r="V41" s="654"/>
      <c r="W41" s="654"/>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row>
    <row r="42" customFormat="false" ht="18.75" hidden="false" customHeight="true" outlineLevel="0" collapsed="false">
      <c r="A42" s="654"/>
      <c r="B42" s="1983"/>
      <c r="C42" s="1984"/>
      <c r="D42" s="994"/>
      <c r="E42" s="994"/>
      <c r="F42" s="994"/>
      <c r="G42" s="994"/>
      <c r="H42" s="994"/>
      <c r="I42" s="994"/>
      <c r="J42" s="994"/>
      <c r="K42" s="994"/>
      <c r="L42" s="994"/>
      <c r="M42" s="994"/>
      <c r="N42" s="994"/>
      <c r="O42" s="994"/>
      <c r="Q42" s="654"/>
      <c r="R42" s="654"/>
      <c r="S42" s="654"/>
      <c r="T42" s="654"/>
      <c r="U42" s="654"/>
      <c r="V42" s="654"/>
      <c r="W42" s="654"/>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row>
    <row r="43" customFormat="false" ht="42" hidden="false" customHeight="true" outlineLevel="0" collapsed="false">
      <c r="A43" s="2816" t="s">
        <v>1280</v>
      </c>
      <c r="B43" s="2817" t="s">
        <v>1413</v>
      </c>
      <c r="C43" s="2817"/>
      <c r="D43" s="2817"/>
      <c r="E43" s="2817"/>
      <c r="F43" s="2817"/>
      <c r="G43" s="2817"/>
      <c r="H43" s="2817"/>
      <c r="I43" s="2817"/>
      <c r="J43" s="2817"/>
      <c r="K43" s="1724" t="str">
        <f aca="false">IF(SUM(K44:L50)=S32,"Good","Missing Concrete!!!")</f>
        <v>Good</v>
      </c>
      <c r="L43" s="1724"/>
      <c r="M43" s="2818"/>
      <c r="N43" s="2818"/>
      <c r="O43" s="2819"/>
      <c r="P43" s="2820" t="s">
        <v>1284</v>
      </c>
      <c r="Q43" s="1022" t="s">
        <v>517</v>
      </c>
      <c r="R43" s="1022"/>
      <c r="S43" s="879" t="s">
        <v>835</v>
      </c>
      <c r="T43" s="1023"/>
      <c r="U43" s="1024" t="s">
        <v>518</v>
      </c>
      <c r="V43" s="1023"/>
      <c r="W43" s="1025"/>
      <c r="X43" s="16"/>
      <c r="Y43" s="16"/>
      <c r="Z43" s="16"/>
      <c r="AA43" s="16"/>
      <c r="AB43" s="16"/>
      <c r="AC43" s="16"/>
      <c r="AD43" s="16"/>
      <c r="AE43" s="16"/>
      <c r="AF43" s="16"/>
      <c r="AG43" s="16"/>
      <c r="AH43" s="16"/>
      <c r="AI43" s="16"/>
      <c r="AJ43" s="16"/>
      <c r="AK43" s="16"/>
      <c r="AL43" s="16"/>
      <c r="AM43" s="16"/>
      <c r="AN43" s="16"/>
      <c r="AO43" s="16"/>
      <c r="AP43" s="16"/>
      <c r="AQ43" s="16"/>
      <c r="AR43" s="16"/>
      <c r="AT43" s="16"/>
    </row>
    <row r="44" customFormat="false" ht="18.75" hidden="false" customHeight="true" outlineLevel="0" collapsed="false">
      <c r="A44" s="2004" t="n">
        <v>1</v>
      </c>
      <c r="B44" s="599" t="str">
        <f aca="false">IF(A44=1,Pricing!F$2,IF(A44=2,Pricing!G$2,IF(A44=3,Pricing!H$2,IF(A44=4,Pricing!I$2,IF(A44=5,Pricing!J$2,IF(A44=6,Pricing!K$2,IF(A44=7,Pricing!L$2,IF(A44=8,Pricing!M$2,IF(A44=9,Pricing!N$2,IF(A44=10,Pricing!O$2,0))))))))))</f>
        <v>3,000 PSI 5sk /Ash and Air</v>
      </c>
      <c r="E44" s="2821"/>
      <c r="F44" s="1048" t="n">
        <f aca="false">IF(A44=1,Pricing!F$3,IF(A44=2,Pricing!G$3,IF(A44=3,Pricing!H$3,IF(A44=4,Pricing!I$3,IF(A44=5,Pricing!J$3,IF(A44=6,Pricing!K$3,IF(A44=7,Pricing!L$3,IF(A44=8,Pricing!M$3,IF(A44=9,Pricing!N$3,IF(A44=10,Pricing!O$3,0))))))))))</f>
        <v>134</v>
      </c>
      <c r="G44" s="16" t="s">
        <v>1285</v>
      </c>
      <c r="H44" s="1030" t="s">
        <v>1929</v>
      </c>
      <c r="I44" s="1030"/>
      <c r="J44" s="1031" t="n">
        <v>0.06</v>
      </c>
      <c r="K44" s="2275" t="n">
        <f aca="false">IF(A44=1,AD$32,IF(A44=2,AE$32,IF(A44=3,AF$32,IF(A44=4,AG$32,IF(A44=5,AH$32,IF(A44=6,AI$32,IF(A44=7,AJ$32,IF(A44=8,AK$32,IF(A44=9,AL$32,IF(A44=10,AM$32))))))))))</f>
        <v>0</v>
      </c>
      <c r="L44" s="2275"/>
      <c r="M44" s="15" t="s">
        <v>1286</v>
      </c>
      <c r="N44" s="1305" t="n">
        <f aca="false">K44*F44*(IF(T$35="N",1+V$35,1))</f>
        <v>0</v>
      </c>
      <c r="O44" s="1305"/>
      <c r="P44" s="1039" t="s">
        <v>1069</v>
      </c>
      <c r="Q44" s="920" t="s">
        <v>1415</v>
      </c>
      <c r="R44" s="78"/>
      <c r="S44" s="2276" t="n">
        <v>0.5</v>
      </c>
      <c r="T44" s="78"/>
      <c r="U44" s="1308"/>
      <c r="V44" s="78"/>
      <c r="W44" s="1309" t="n">
        <f aca="false">IF(T$35="Y",S44*U44,S44*U44*(1+V$35))</f>
        <v>0</v>
      </c>
    </row>
    <row r="45" customFormat="false" ht="18.75" hidden="false" customHeight="true" outlineLevel="0" collapsed="false">
      <c r="A45" s="2004" t="n">
        <v>2</v>
      </c>
      <c r="B45" s="599" t="str">
        <f aca="false">IF(A45=1,Pricing!F$2,IF(A45=2,Pricing!G$2,IF(A45=3,Pricing!H$2,IF(A45=4,Pricing!I$2,IF(A45=5,Pricing!J$2,IF(A45=6,Pricing!K$2,IF(A45=7,Pricing!L$2,IF(A45=8,Pricing!M$2,IF(A45=9,Pricing!N$2,IF(A45=10,Pricing!O$2,0))))))))))</f>
        <v>3,000 PSI / Ash no Air</v>
      </c>
      <c r="E45" s="2821"/>
      <c r="F45" s="1048" t="n">
        <f aca="false">IF(A45=1,Pricing!F$3,IF(A45=2,Pricing!G$3,IF(A45=3,Pricing!H$3,IF(A45=4,Pricing!I$3,IF(A45=5,Pricing!J$3,IF(A45=6,Pricing!K$3,IF(A45=7,Pricing!L$3,IF(A45=8,Pricing!M$3,IF(A45=9,Pricing!N$3,IF(A45=10,Pricing!O$3,0))))))))))</f>
        <v>145</v>
      </c>
      <c r="H45" s="1030"/>
      <c r="I45" s="1030"/>
      <c r="J45" s="1031"/>
      <c r="K45" s="2275" t="n">
        <f aca="false">IF(A45=1,AD$32,IF(A45=2,AE$32,IF(A45=3,AF$32,IF(A45=4,AG$32,IF(A45=5,AH$32,IF(A45=6,AI$32,IF(A45=7,AJ$32,IF(A45=8,AK$32,IF(A45=9,AL$32,IF(A45=10,AM$32))))))))))</f>
        <v>0</v>
      </c>
      <c r="L45" s="2275"/>
      <c r="M45" s="15" t="s">
        <v>1286</v>
      </c>
      <c r="N45" s="1305" t="n">
        <f aca="false">K45*F45*(IF(T$35="N",1+V$35,1))</f>
        <v>0</v>
      </c>
      <c r="O45" s="1305"/>
      <c r="P45" s="1039"/>
      <c r="Q45" s="920" t="s">
        <v>526</v>
      </c>
      <c r="R45" s="78"/>
      <c r="S45" s="1311" t="n">
        <f aca="false">C32/2.5*S44</f>
        <v>0</v>
      </c>
      <c r="T45" s="78" t="s">
        <v>1259</v>
      </c>
      <c r="U45" s="1308" t="n">
        <f aca="false">Pricing!Q4</f>
        <v>0.859375</v>
      </c>
      <c r="V45" s="78" t="s">
        <v>527</v>
      </c>
      <c r="W45" s="1309" t="n">
        <f aca="false">IF(T$35="Y",S45*U45,S45*U45*(1+V$35))</f>
        <v>0</v>
      </c>
    </row>
    <row r="46" customFormat="false" ht="18.75" hidden="false" customHeight="true" outlineLevel="0" collapsed="false">
      <c r="A46" s="2004" t="n">
        <v>3</v>
      </c>
      <c r="B46" s="599" t="str">
        <f aca="false">IF(A46=1,Pricing!F$2,IF(A46=2,Pricing!G$2,IF(A46=3,Pricing!H$2,IF(A46=4,Pricing!I$2,IF(A46=5,Pricing!J$2,IF(A46=6,Pricing!K$2,IF(A46=7,Pricing!L$2,IF(A46=8,Pricing!M$2,IF(A46=9,Pricing!N$2,IF(A46=10,Pricing!O$2,0))))))))))</f>
        <v>3,500 PSI 5.5sk /Ash and Air</v>
      </c>
      <c r="F46" s="1048" t="n">
        <f aca="false">IF(A46=1,Pricing!F$3,IF(A46=2,Pricing!G$3,IF(A46=3,Pricing!H$3,IF(A46=4,Pricing!I$3,IF(A46=5,Pricing!J$3,IF(A46=6,Pricing!K$3,IF(A46=7,Pricing!L$3,IF(A46=8,Pricing!M$3,IF(A46=9,Pricing!N$3,IF(A46=10,Pricing!O$3,0))))))))))</f>
        <v>140</v>
      </c>
      <c r="H46" s="1030"/>
      <c r="I46" s="1030"/>
      <c r="J46" s="1031"/>
      <c r="K46" s="2275" t="n">
        <f aca="false">IF(A46=1,AD$32,IF(A46=2,AE$32,IF(A46=3,AF$32,IF(A46=4,AG$32,IF(A46=5,AH$32,IF(A46=6,AI$32,IF(A46=7,AJ$32,IF(A46=8,AK$32,IF(A46=9,AL$32,IF(A46=10,AM$32))))))))))</f>
        <v>0</v>
      </c>
      <c r="L46" s="2275"/>
      <c r="M46" s="15" t="s">
        <v>1286</v>
      </c>
      <c r="N46" s="1305" t="n">
        <f aca="false">K46*F46*(IF(T$35="N",1+V$35,1))</f>
        <v>0</v>
      </c>
      <c r="O46" s="1305"/>
      <c r="P46" s="1039"/>
      <c r="Q46" s="920"/>
      <c r="R46" s="78"/>
      <c r="S46" s="1311"/>
      <c r="T46" s="78"/>
      <c r="U46" s="1308"/>
      <c r="V46" s="78"/>
      <c r="W46" s="1309" t="n">
        <f aca="false">IF(T$35="Y",S46*U46,S46*U46*(1+V$35))</f>
        <v>0</v>
      </c>
    </row>
    <row r="47" customFormat="false" ht="18.75" hidden="false" customHeight="true" outlineLevel="0" collapsed="false">
      <c r="A47" s="2004" t="n">
        <v>4</v>
      </c>
      <c r="B47" s="599" t="str">
        <f aca="false">IF(A47=1,Pricing!F$2,IF(A47=2,Pricing!G$2,IF(A47=3,Pricing!H$2,IF(A47=4,Pricing!I$2,IF(A47=5,Pricing!J$2,IF(A47=6,Pricing!K$2,IF(A47=7,Pricing!L$2,IF(A47=8,Pricing!M$2,IF(A47=9,Pricing!N$2,IF(A47=10,Pricing!O$2,0))))))))))</f>
        <v>3,500 PSI /Ash No Air</v>
      </c>
      <c r="F47" s="1048" t="n">
        <f aca="false">IF(A47=1,Pricing!F$3,IF(A47=2,Pricing!G$3,IF(A47=3,Pricing!H$3,IF(A47=4,Pricing!I$3,IF(A47=5,Pricing!J$3,IF(A47=6,Pricing!K$3,IF(A47=7,Pricing!L$3,IF(A47=8,Pricing!M$3,IF(A47=9,Pricing!N$3,IF(A47=10,Pricing!O$3,0))))))))))</f>
        <v>140</v>
      </c>
      <c r="H47" s="1030"/>
      <c r="I47" s="1030"/>
      <c r="J47" s="1031"/>
      <c r="K47" s="2275" t="n">
        <f aca="false">IF(A47=1,AD$32,IF(A47=2,AE$32,IF(A47=3,AF$32,IF(A47=4,AG$32,IF(A47=5,AH$32,IF(A47=6,AI$32,IF(A47=7,AJ$32,IF(A47=8,AK$32,IF(A47=9,AL$32,IF(A47=10,AM$32))))))))))</f>
        <v>0</v>
      </c>
      <c r="L47" s="2275"/>
      <c r="M47" s="15" t="s">
        <v>1286</v>
      </c>
      <c r="N47" s="1305" t="n">
        <f aca="false">K47*F47*(IF(T$35="N",1+V$35,1))</f>
        <v>0</v>
      </c>
      <c r="O47" s="1305"/>
      <c r="P47" s="1039"/>
      <c r="Q47" s="920"/>
      <c r="R47" s="78"/>
      <c r="S47" s="1311"/>
      <c r="T47" s="78"/>
      <c r="U47" s="1308"/>
      <c r="V47" s="78"/>
      <c r="W47" s="1309" t="n">
        <f aca="false">IF(T$35="Y",S47*U47,S47*U47*(1+V$35))</f>
        <v>0</v>
      </c>
    </row>
    <row r="48" customFormat="false" ht="18.75" hidden="false" customHeight="true" outlineLevel="0" collapsed="false">
      <c r="A48" s="2004" t="n">
        <v>5</v>
      </c>
      <c r="B48" s="599" t="str">
        <f aca="false">IF(A48=1,Pricing!F$2,IF(A48=2,Pricing!G$2,IF(A48=3,Pricing!H$2,IF(A48=4,Pricing!I$2,IF(A48=5,Pricing!J$2,IF(A48=6,Pricing!K$2,IF(A48=7,Pricing!L$2,IF(A48=8,Pricing!M$2,IF(A48=9,Pricing!N$2,IF(A48=10,Pricing!O$2,0))))))))))</f>
        <v>4,000 PSI /Ash and Air</v>
      </c>
      <c r="F48" s="1048" t="n">
        <f aca="false">IF(A48=1,Pricing!F$3,IF(A48=2,Pricing!G$3,IF(A48=3,Pricing!H$3,IF(A48=4,Pricing!I$3,IF(A48=5,Pricing!J$3,IF(A48=6,Pricing!K$3,IF(A48=7,Pricing!L$3,IF(A48=8,Pricing!M$3,IF(A48=9,Pricing!N$3,IF(A48=10,Pricing!O$3,0))))))))))</f>
        <v>145</v>
      </c>
      <c r="H48" s="1030"/>
      <c r="I48" s="1030"/>
      <c r="J48" s="1031"/>
      <c r="K48" s="2275" t="n">
        <f aca="false">IF(A48=1,AD$32,IF(A48=2,AE$32,IF(A48=3,AF$32,IF(A48=4,AG$32,IF(A48=5,AH$32,IF(A48=6,AI$32,IF(A48=7,AJ$32,IF(A48=8,AK$32,IF(A48=9,AL$32,IF(A48=10,AM$32))))))))))</f>
        <v>0</v>
      </c>
      <c r="L48" s="2275"/>
      <c r="M48" s="15" t="s">
        <v>1286</v>
      </c>
      <c r="N48" s="1305" t="n">
        <f aca="false">K48*F48*(IF(T$35="N",1+V$35,1))</f>
        <v>0</v>
      </c>
      <c r="O48" s="1305"/>
      <c r="P48" s="1039"/>
      <c r="Q48" s="920"/>
      <c r="R48" s="78"/>
      <c r="S48" s="1311"/>
      <c r="T48" s="78"/>
      <c r="U48" s="1308"/>
      <c r="V48" s="78"/>
      <c r="W48" s="1309" t="n">
        <f aca="false">IF(T$35="Y",S48*U48,S48*U48*(1+V$35))</f>
        <v>0</v>
      </c>
    </row>
    <row r="49" customFormat="false" ht="18.75" hidden="false" customHeight="true" outlineLevel="0" collapsed="false">
      <c r="A49" s="2006" t="n">
        <v>9</v>
      </c>
      <c r="B49" s="599" t="str">
        <f aca="false">IF(A49=1,Pricing!F$2,IF(A49=2,Pricing!G$2,IF(A49=3,Pricing!H$2,IF(A49=4,Pricing!I$2,IF(A49=5,Pricing!J$2,IF(A49=6,Pricing!K$2,IF(A49=7,Pricing!L$2,IF(A49=8,Pricing!M$2,IF(A49=9,Pricing!N$2,IF(A49=10,Pricing!O$2,0))))))))))</f>
        <v>3,000 PSI /Air and intergral Color</v>
      </c>
      <c r="F49" s="1048" t="n">
        <f aca="false">IF(A49=1,Pricing!F$3,IF(A49=2,Pricing!G$3,IF(A49=3,Pricing!H$3,IF(A49=4,Pricing!I$3,IF(A49=5,Pricing!J$3,IF(A49=6,Pricing!K$3,IF(A49=7,Pricing!L$3,IF(A49=8,Pricing!M$3,IF(A49=9,Pricing!N$3,IF(A49=10,Pricing!O$3,0))))))))))</f>
        <v>240</v>
      </c>
      <c r="G49" s="16" t="s">
        <v>1285</v>
      </c>
      <c r="H49" s="1030"/>
      <c r="I49" s="1030"/>
      <c r="J49" s="1031"/>
      <c r="K49" s="2275" t="n">
        <f aca="false">IF(A49=1,AD$32,IF(A49=2,AE$32,IF(A49=3,AF$32,IF(A49=4,AG$32,IF(A49=5,AH$32,IF(A49=6,AI$32,IF(A49=7,AJ$32,IF(A49=8,AK$32,IF(A49=9,AL$32,IF(A49=10,AM$32))))))))))</f>
        <v>0</v>
      </c>
      <c r="L49" s="2275"/>
      <c r="M49" s="15" t="s">
        <v>1286</v>
      </c>
      <c r="N49" s="1305" t="n">
        <f aca="false">K49*F49*(IF(T$35="N",1+V$35,1))</f>
        <v>0</v>
      </c>
      <c r="O49" s="1305"/>
      <c r="P49" s="1147" t="s">
        <v>1069</v>
      </c>
      <c r="Q49" s="920" t="s">
        <v>534</v>
      </c>
      <c r="R49" s="78"/>
      <c r="S49" s="1311" t="n">
        <f aca="false">S45*0.2</f>
        <v>0</v>
      </c>
      <c r="T49" s="78" t="s">
        <v>1259</v>
      </c>
      <c r="U49" s="1308" t="n">
        <f aca="false">Pricing!Q5</f>
        <v>1.4453125</v>
      </c>
      <c r="V49" s="78" t="s">
        <v>527</v>
      </c>
      <c r="W49" s="1309" t="n">
        <f aca="false">IF(T$35="Y",S49*U49,S49*U49*(1+V$35))</f>
        <v>0</v>
      </c>
    </row>
    <row r="50" customFormat="false" ht="18.75" hidden="false" customHeight="true" outlineLevel="0" collapsed="false">
      <c r="A50" s="2008" t="n">
        <v>10</v>
      </c>
      <c r="B50" s="1044" t="str">
        <f aca="false">IF(A50=1,Pricing!F$2,IF(A50=2,Pricing!G$2,IF(A50=3,Pricing!H$2,IF(A50=4,Pricing!I$2,IF(A50=5,Pricing!J$2,IF(A50=6,Pricing!K$2,IF(A50=7,Pricing!L$2,IF(A50=8,Pricing!M$2,IF(A50=9,Pricing!N$2,IF(A50=10,Pricing!O$2,0))))))))))</f>
        <v>3,000 PSI SideWalks </v>
      </c>
      <c r="C50" s="397"/>
      <c r="D50" s="397"/>
      <c r="E50" s="397"/>
      <c r="F50" s="1315" t="n">
        <f aca="false">IF(A50=1,Pricing!F$3,IF(A50=2,Pricing!G$3,IF(A50=3,Pricing!H$3,IF(A50=4,Pricing!I$3,IF(A50=5,Pricing!J$3,IF(A50=6,Pricing!K$3,IF(A50=7,Pricing!L$3,IF(A50=8,Pricing!M$3,IF(A50=9,Pricing!N$3,IF(A50=10,Pricing!O$3,0))))))))))</f>
        <v>121</v>
      </c>
      <c r="G50" s="397" t="s">
        <v>1285</v>
      </c>
      <c r="H50" s="1030"/>
      <c r="I50" s="1030"/>
      <c r="J50" s="1031"/>
      <c r="K50" s="2275" t="n">
        <f aca="false">IF(A50=1,AD$32,IF(A50=2,AE$32,IF(A50=3,AF$32,IF(A50=4,AG$32,IF(A50=5,AH$32,IF(A50=6,AI$32,IF(A50=7,AJ$32,IF(A50=8,AK$32,IF(A50=9,AL$32,IF(A50=10,AM$32))))))))))</f>
        <v>0</v>
      </c>
      <c r="L50" s="2275"/>
      <c r="M50" s="1046" t="s">
        <v>1286</v>
      </c>
      <c r="N50" s="1305" t="n">
        <f aca="false">K50*F50*(IF(T$35="N",1+V$35,1))</f>
        <v>0</v>
      </c>
      <c r="O50" s="1305"/>
      <c r="P50" s="1147" t="s">
        <v>1069</v>
      </c>
      <c r="Q50" s="920" t="s">
        <v>536</v>
      </c>
      <c r="R50" s="78"/>
      <c r="S50" s="1311" t="n">
        <v>0</v>
      </c>
      <c r="T50" s="78" t="s">
        <v>1259</v>
      </c>
      <c r="U50" s="1308" t="n">
        <f aca="false">Pricing!Q6</f>
        <v>1.171875</v>
      </c>
      <c r="V50" s="78" t="s">
        <v>527</v>
      </c>
      <c r="W50" s="1309" t="n">
        <f aca="false">IF(T$35="Y",S50*U50,S50*U50*(1+V$35))</f>
        <v>0</v>
      </c>
    </row>
    <row r="51" customFormat="false" ht="18.75" hidden="false" customHeight="true" outlineLevel="0" collapsed="false">
      <c r="A51" s="2111" t="str">
        <f aca="false">Summary!V61</f>
        <v>Import</v>
      </c>
      <c r="B51" s="1041" t="s">
        <v>1287</v>
      </c>
      <c r="F51" s="1048" t="n">
        <f aca="false">Pricing!D24</f>
        <v>0.5</v>
      </c>
      <c r="G51" s="16" t="s">
        <v>555</v>
      </c>
      <c r="H51" s="2112" t="s">
        <v>1930</v>
      </c>
      <c r="I51" s="2112"/>
      <c r="J51" s="1050" t="n">
        <v>0.1</v>
      </c>
      <c r="K51" s="2280" t="n">
        <f aca="false">SUM(R10:R31)</f>
        <v>0</v>
      </c>
      <c r="L51" s="2280"/>
      <c r="M51" s="16" t="s">
        <v>1288</v>
      </c>
      <c r="N51" s="1318" t="n">
        <f aca="false">F51*K51*(IF(T35="N",1+V35,1))</f>
        <v>0</v>
      </c>
      <c r="O51" s="1318"/>
      <c r="P51" s="1147" t="s">
        <v>1069</v>
      </c>
      <c r="Q51" s="920" t="s">
        <v>538</v>
      </c>
      <c r="R51" s="78"/>
      <c r="S51" s="1311"/>
      <c r="T51" s="78" t="s">
        <v>1259</v>
      </c>
      <c r="U51" s="1308" t="n">
        <f aca="false">Pricing!Q7</f>
        <v>1.09375</v>
      </c>
      <c r="V51" s="78" t="s">
        <v>527</v>
      </c>
      <c r="W51" s="1309" t="n">
        <f aca="false">IF(T$35="Y",S51*U51,S51*U51*(1+V$35))</f>
        <v>0</v>
      </c>
    </row>
    <row r="52" customFormat="false" ht="18.75" hidden="false" customHeight="true" outlineLevel="0" collapsed="false">
      <c r="A52" s="599"/>
      <c r="B52" s="1041" t="s">
        <v>598</v>
      </c>
      <c r="F52" s="1319" t="n">
        <f aca="false">Pricing!D28</f>
        <v>0.8625</v>
      </c>
      <c r="G52" s="16" t="s">
        <v>600</v>
      </c>
      <c r="H52" s="1742" t="s">
        <v>1930</v>
      </c>
      <c r="I52" s="1742"/>
      <c r="J52" s="1321" t="n">
        <v>0.1</v>
      </c>
      <c r="K52" s="2275" t="n">
        <f aca="false">SUM(Q10:Q31)</f>
        <v>0</v>
      </c>
      <c r="L52" s="2275"/>
      <c r="M52" s="16" t="s">
        <v>1418</v>
      </c>
      <c r="N52" s="1305" t="n">
        <f aca="false">BJ32</f>
        <v>0</v>
      </c>
      <c r="O52" s="1305"/>
      <c r="P52" s="1147" t="s">
        <v>1069</v>
      </c>
      <c r="Q52" s="920" t="s">
        <v>1931</v>
      </c>
      <c r="R52" s="78"/>
      <c r="S52" s="1311" t="n">
        <v>0</v>
      </c>
      <c r="T52" s="78" t="s">
        <v>1609</v>
      </c>
      <c r="U52" s="1308" t="n">
        <f aca="false">Pricing!Q9</f>
        <v>20</v>
      </c>
      <c r="V52" s="78" t="s">
        <v>630</v>
      </c>
      <c r="W52" s="1309" t="n">
        <f aca="false">U52*S52</f>
        <v>0</v>
      </c>
    </row>
    <row r="53" customFormat="false" ht="18.75" hidden="false" customHeight="true" outlineLevel="0" collapsed="false">
      <c r="A53" s="599"/>
      <c r="B53" s="1044"/>
      <c r="C53" s="397"/>
      <c r="D53" s="397"/>
      <c r="E53" s="397"/>
      <c r="F53" s="397"/>
      <c r="G53" s="397"/>
      <c r="H53" s="397"/>
      <c r="I53" s="397"/>
      <c r="J53" s="397"/>
      <c r="K53" s="397"/>
      <c r="L53" s="397"/>
      <c r="M53" s="397"/>
      <c r="N53" s="1326"/>
      <c r="O53" s="1326"/>
      <c r="P53" s="1147" t="s">
        <v>1069</v>
      </c>
      <c r="Q53" s="920" t="s">
        <v>540</v>
      </c>
      <c r="R53" s="78"/>
      <c r="S53" s="1311" t="n">
        <f aca="false">BY31*0.35</f>
        <v>0</v>
      </c>
      <c r="T53" s="78" t="s">
        <v>1293</v>
      </c>
      <c r="U53" s="1308" t="n">
        <f aca="false">Pricing!Q8</f>
        <v>74.75</v>
      </c>
      <c r="V53" s="78" t="s">
        <v>541</v>
      </c>
      <c r="W53" s="1309" t="n">
        <f aca="false">IF(T$35="Y",S53*U53,S53*U53*(1+V$35))</f>
        <v>0</v>
      </c>
    </row>
    <row r="54" customFormat="false" ht="18.75" hidden="false" customHeight="true" outlineLevel="0" collapsed="false">
      <c r="A54" s="1205"/>
      <c r="B54" s="15" t="s">
        <v>1421</v>
      </c>
      <c r="F54" s="1328" t="n">
        <f aca="false">Pricing!D19</f>
        <v>25</v>
      </c>
      <c r="G54" s="16" t="s">
        <v>1285</v>
      </c>
      <c r="H54" s="1329" t="s">
        <v>1930</v>
      </c>
      <c r="I54" s="1329"/>
      <c r="J54" s="1031" t="n">
        <v>0.05</v>
      </c>
      <c r="K54" s="2287" t="n">
        <f aca="false">SUM(P10:P31)</f>
        <v>0</v>
      </c>
      <c r="L54" s="2287"/>
      <c r="M54" s="16" t="s">
        <v>1286</v>
      </c>
      <c r="N54" s="1318" t="n">
        <f aca="false">K54*F54*(IF(T35="N",(1+V35),1))</f>
        <v>0</v>
      </c>
      <c r="O54" s="1318"/>
      <c r="P54" s="1147" t="s">
        <v>1069</v>
      </c>
      <c r="Q54" s="920" t="s">
        <v>1932</v>
      </c>
      <c r="R54" s="78"/>
      <c r="S54" s="1311" t="n">
        <f aca="false">C32/9/36</f>
        <v>0</v>
      </c>
      <c r="T54" s="78" t="s">
        <v>1780</v>
      </c>
      <c r="U54" s="1308" t="n">
        <f aca="false">Pricing!Q15</f>
        <v>24</v>
      </c>
      <c r="V54" s="78" t="s">
        <v>1300</v>
      </c>
      <c r="W54" s="1309" t="n">
        <f aca="false">IF(T$35="Y",S54*U54,S54*U54*(1+V$35))</f>
        <v>0</v>
      </c>
    </row>
    <row r="55" customFormat="false" ht="18.75" hidden="false" customHeight="true" outlineLevel="0" collapsed="false">
      <c r="A55" s="599"/>
      <c r="B55" s="1081" t="s">
        <v>1781</v>
      </c>
      <c r="C55" s="397"/>
      <c r="D55" s="1330"/>
      <c r="E55" s="397"/>
      <c r="F55" s="1331" t="n">
        <v>15</v>
      </c>
      <c r="G55" s="397" t="s">
        <v>1285</v>
      </c>
      <c r="H55" s="1329"/>
      <c r="I55" s="1329"/>
      <c r="J55" s="1031"/>
      <c r="K55" s="2285"/>
      <c r="L55" s="2285"/>
      <c r="M55" s="397" t="s">
        <v>1286</v>
      </c>
      <c r="N55" s="1332" t="n">
        <f aca="false">K55*F55*(IF(T35="N",(1+V35),1))</f>
        <v>0</v>
      </c>
      <c r="O55" s="1332"/>
      <c r="P55" s="1147" t="s">
        <v>1069</v>
      </c>
      <c r="Q55" s="920" t="s">
        <v>561</v>
      </c>
      <c r="R55" s="78"/>
      <c r="S55" s="1311" t="n">
        <f aca="false">ROUNDUP(SUM(C10:D31)/6000,0)</f>
        <v>0</v>
      </c>
      <c r="T55" s="78" t="s">
        <v>1303</v>
      </c>
      <c r="U55" s="1308" t="n">
        <f aca="false">Pricing!Q16</f>
        <v>68.2</v>
      </c>
      <c r="V55" s="78" t="s">
        <v>562</v>
      </c>
      <c r="W55" s="1309" t="n">
        <f aca="false">IF(T$35="Y",S55*U55,S55*U55*(1+V$35))</f>
        <v>0</v>
      </c>
    </row>
    <row r="56" customFormat="false" ht="18.75" hidden="false" customHeight="true" outlineLevel="0" collapsed="false">
      <c r="A56" s="602"/>
      <c r="B56" s="602" t="s">
        <v>1431</v>
      </c>
      <c r="C56" s="1058"/>
      <c r="D56" s="1058"/>
      <c r="E56" s="1058"/>
      <c r="F56" s="2012" t="n">
        <v>0.65</v>
      </c>
      <c r="G56" s="1058" t="s">
        <v>1432</v>
      </c>
      <c r="H56" s="1341" t="s">
        <v>1433</v>
      </c>
      <c r="I56" s="1341"/>
      <c r="J56" s="1060" t="n">
        <v>0</v>
      </c>
      <c r="K56" s="2292"/>
      <c r="L56" s="2292"/>
      <c r="M56" s="1058" t="s">
        <v>1259</v>
      </c>
      <c r="N56" s="2293" t="n">
        <f aca="false">F56*J56*K56</f>
        <v>0</v>
      </c>
      <c r="O56" s="2293"/>
      <c r="P56" s="1147" t="s">
        <v>1069</v>
      </c>
      <c r="Q56" s="920" t="s">
        <v>563</v>
      </c>
      <c r="R56" s="78"/>
      <c r="S56" s="1311" t="n">
        <f aca="false">ROUNDUP(SUM(C10:C31)*1.25/6000,0)*0.5</f>
        <v>0</v>
      </c>
      <c r="T56" s="78" t="s">
        <v>1303</v>
      </c>
      <c r="U56" s="1308" t="n">
        <f aca="false">Pricing!Q17</f>
        <v>68.2</v>
      </c>
      <c r="V56" s="78" t="s">
        <v>562</v>
      </c>
      <c r="W56" s="1309" t="n">
        <f aca="false">IF(T$35="Y",S56*U56,S56*U56*(1+V$35))</f>
        <v>0</v>
      </c>
    </row>
    <row r="57" customFormat="false" ht="18.75" hidden="false" customHeight="true" outlineLevel="0" collapsed="false">
      <c r="A57" s="685"/>
      <c r="B57" s="726"/>
      <c r="C57" s="726"/>
      <c r="D57" s="726"/>
      <c r="E57" s="726"/>
      <c r="F57" s="726"/>
      <c r="G57" s="726"/>
      <c r="H57" s="1951"/>
      <c r="I57" s="1951"/>
      <c r="J57" s="2822"/>
      <c r="K57" s="2823"/>
      <c r="L57" s="2823"/>
      <c r="M57" s="726"/>
      <c r="N57" s="2824"/>
      <c r="O57" s="736"/>
      <c r="P57" s="1147" t="s">
        <v>1069</v>
      </c>
      <c r="Q57" s="920" t="s">
        <v>564</v>
      </c>
      <c r="R57" s="78"/>
      <c r="S57" s="1311" t="n">
        <f aca="false">S56</f>
        <v>0</v>
      </c>
      <c r="T57" s="78" t="s">
        <v>1303</v>
      </c>
      <c r="U57" s="1308" t="n">
        <f aca="false">Pricing!Q18</f>
        <v>68.2</v>
      </c>
      <c r="V57" s="78" t="s">
        <v>562</v>
      </c>
      <c r="W57" s="1309" t="n">
        <f aca="false">IF(T$35="Y",S57*U57,S57*U57*(1+V$35))</f>
        <v>0</v>
      </c>
    </row>
    <row r="58" customFormat="false" ht="18.75" hidden="false" customHeight="true" outlineLevel="0" collapsed="false">
      <c r="A58" s="1344" t="s">
        <v>1434</v>
      </c>
      <c r="B58" s="1345"/>
      <c r="C58" s="1345" t="s">
        <v>1296</v>
      </c>
      <c r="D58" s="1345"/>
      <c r="E58" s="1345"/>
      <c r="F58" s="1345"/>
      <c r="G58" s="1345"/>
      <c r="H58" s="1345"/>
      <c r="I58" s="1345"/>
      <c r="J58" s="1345"/>
      <c r="K58" s="1345" t="s">
        <v>973</v>
      </c>
      <c r="L58" s="1345"/>
      <c r="M58" s="2114" t="s">
        <v>1297</v>
      </c>
      <c r="N58" s="2114"/>
      <c r="O58" s="2114"/>
      <c r="P58" s="1147" t="s">
        <v>1069</v>
      </c>
      <c r="Q58" s="920" t="s">
        <v>1310</v>
      </c>
      <c r="R58" s="78"/>
      <c r="S58" s="1311" t="n">
        <v>0</v>
      </c>
      <c r="T58" s="78" t="s">
        <v>1303</v>
      </c>
      <c r="U58" s="1308" t="n">
        <f aca="false">Pricing!Q34</f>
        <v>45.24</v>
      </c>
      <c r="V58" s="78" t="s">
        <v>562</v>
      </c>
      <c r="W58" s="1309" t="n">
        <f aca="false">IF(T$35="Y",S58*U58,S58*U58*(1+V$35))</f>
        <v>0</v>
      </c>
    </row>
    <row r="59" customFormat="false" ht="18.75" hidden="false" customHeight="true" outlineLevel="0" collapsed="false">
      <c r="A59" s="1347" t="s">
        <v>1437</v>
      </c>
      <c r="B59" s="695"/>
      <c r="C59" s="1066" t="s">
        <v>1306</v>
      </c>
      <c r="D59" s="1067" t="n">
        <v>0.75</v>
      </c>
      <c r="E59" s="1067"/>
      <c r="F59" s="1068" t="s">
        <v>1618</v>
      </c>
      <c r="G59" s="1069" t="n">
        <f aca="false">SUM(D59:E61)</f>
        <v>1.9</v>
      </c>
      <c r="H59" s="1070" t="n">
        <f aca="false">C32</f>
        <v>0</v>
      </c>
      <c r="I59" s="1070"/>
      <c r="J59" s="1068" t="s">
        <v>1418</v>
      </c>
      <c r="K59" s="1770" t="n">
        <f aca="false">IF(C59="N",D59*H$59,0)</f>
        <v>0</v>
      </c>
      <c r="L59" s="1770"/>
      <c r="M59" s="175"/>
      <c r="N59" s="1102" t="n">
        <f aca="false">IF(C59="y",H$59*D59,0)</f>
        <v>0</v>
      </c>
      <c r="O59" s="1102"/>
      <c r="P59" s="1147" t="s">
        <v>1069</v>
      </c>
      <c r="Q59" s="920" t="s">
        <v>571</v>
      </c>
      <c r="R59" s="78"/>
      <c r="S59" s="1311" t="n">
        <f aca="false">BN58+AB123</f>
        <v>0</v>
      </c>
      <c r="T59" s="78" t="s">
        <v>1259</v>
      </c>
      <c r="U59" s="1308" t="n">
        <f aca="false">Pricing!Q19</f>
        <v>0.95</v>
      </c>
      <c r="V59" s="78" t="s">
        <v>527</v>
      </c>
      <c r="W59" s="1309" t="n">
        <f aca="false">IF(T$35="Y",S59*U59,S59*U59*(1+V$35))</f>
        <v>0</v>
      </c>
    </row>
    <row r="60" customFormat="false" ht="18.75" hidden="false" customHeight="true" outlineLevel="0" collapsed="false">
      <c r="A60" s="507" t="s">
        <v>1442</v>
      </c>
      <c r="B60" s="405"/>
      <c r="C60" s="1074" t="s">
        <v>1306</v>
      </c>
      <c r="D60" s="1075" t="n">
        <v>0.85</v>
      </c>
      <c r="E60" s="1075"/>
      <c r="F60" s="16" t="s">
        <v>1618</v>
      </c>
      <c r="G60" s="1069"/>
      <c r="H60" s="1070"/>
      <c r="I60" s="1070"/>
      <c r="J60" s="16" t="s">
        <v>1418</v>
      </c>
      <c r="K60" s="1773" t="n">
        <f aca="false">IF(C60="N",D60*H$59,0)</f>
        <v>0</v>
      </c>
      <c r="L60" s="1773"/>
      <c r="N60" s="1038" t="n">
        <f aca="false">IF(C60="y",H$59*D60,0)</f>
        <v>0</v>
      </c>
      <c r="O60" s="1038"/>
      <c r="P60" s="1147" t="s">
        <v>1069</v>
      </c>
      <c r="Q60" s="920" t="s">
        <v>576</v>
      </c>
      <c r="R60" s="78"/>
      <c r="S60" s="1311" t="n">
        <v>0</v>
      </c>
      <c r="T60" s="78" t="s">
        <v>1259</v>
      </c>
      <c r="U60" s="1308" t="n">
        <f aca="false">Pricing!Q20</f>
        <v>0.25</v>
      </c>
      <c r="V60" s="78" t="s">
        <v>527</v>
      </c>
      <c r="W60" s="1309" t="n">
        <f aca="false">IF(T$35="Y",S60*U60,S60*U60*(1+V$35))</f>
        <v>0</v>
      </c>
    </row>
    <row r="61" customFormat="false" ht="18.75" hidden="false" customHeight="true" outlineLevel="0" collapsed="false">
      <c r="A61" s="507" t="s">
        <v>1443</v>
      </c>
      <c r="B61" s="405"/>
      <c r="C61" s="1074" t="s">
        <v>1306</v>
      </c>
      <c r="D61" s="1075" t="n">
        <v>0.3</v>
      </c>
      <c r="E61" s="1075"/>
      <c r="F61" s="16" t="s">
        <v>1618</v>
      </c>
      <c r="G61" s="1069"/>
      <c r="H61" s="1070"/>
      <c r="I61" s="1070"/>
      <c r="J61" s="16" t="s">
        <v>1418</v>
      </c>
      <c r="K61" s="1773" t="n">
        <f aca="false">IF(C61="N",D61*H$59,0)</f>
        <v>0</v>
      </c>
      <c r="L61" s="1773"/>
      <c r="N61" s="1038" t="n">
        <f aca="false">IF(C61="y",H$59*D61,0)</f>
        <v>0</v>
      </c>
      <c r="O61" s="1038"/>
      <c r="P61" s="1147" t="s">
        <v>1069</v>
      </c>
      <c r="Q61" s="920" t="s">
        <v>549</v>
      </c>
      <c r="R61" s="78"/>
      <c r="S61" s="1311" t="n">
        <f aca="false">AP32</f>
        <v>0</v>
      </c>
      <c r="T61" s="78" t="s">
        <v>1259</v>
      </c>
      <c r="U61" s="1308" t="n">
        <f aca="false">Pricing!Q11</f>
        <v>0.7771875</v>
      </c>
      <c r="V61" s="78" t="s">
        <v>527</v>
      </c>
      <c r="W61" s="1309" t="n">
        <f aca="false">IF(T$35="Y",S61*U61,S61*U61*(1+V$35))</f>
        <v>0</v>
      </c>
    </row>
    <row r="62" customFormat="false" ht="18.75" hidden="false" customHeight="true" outlineLevel="0" collapsed="false">
      <c r="A62" s="507" t="s">
        <v>1928</v>
      </c>
      <c r="B62" s="405"/>
      <c r="C62" s="1074" t="s">
        <v>1306</v>
      </c>
      <c r="D62" s="1075"/>
      <c r="E62" s="1075"/>
      <c r="F62" s="16" t="s">
        <v>595</v>
      </c>
      <c r="G62" s="2825" t="s">
        <v>550</v>
      </c>
      <c r="H62" s="1042"/>
      <c r="I62" s="1042"/>
      <c r="J62" s="16" t="s">
        <v>1933</v>
      </c>
      <c r="K62" s="1773" t="n">
        <f aca="false">IF(C62="N",D62*H62,0)</f>
        <v>0</v>
      </c>
      <c r="L62" s="1773"/>
      <c r="N62" s="1038" t="n">
        <f aca="false">IF(C62="y",H62*D62,0)</f>
        <v>0</v>
      </c>
      <c r="O62" s="1038"/>
      <c r="P62" s="1147" t="s">
        <v>1069</v>
      </c>
      <c r="Q62" s="920" t="s">
        <v>552</v>
      </c>
      <c r="R62" s="78"/>
      <c r="S62" s="1311" t="n">
        <f aca="false">AQ32</f>
        <v>0</v>
      </c>
      <c r="T62" s="78" t="s">
        <v>1259</v>
      </c>
      <c r="U62" s="1308" t="n">
        <f aca="false">Pricing!Q13</f>
        <v>1.494375</v>
      </c>
      <c r="V62" s="78" t="s">
        <v>527</v>
      </c>
      <c r="W62" s="1309" t="n">
        <f aca="false">U62*S62</f>
        <v>0</v>
      </c>
    </row>
    <row r="63" customFormat="false" ht="18.75" hidden="false" customHeight="true" outlineLevel="0" collapsed="false">
      <c r="A63" s="507" t="s">
        <v>1917</v>
      </c>
      <c r="B63" s="405"/>
      <c r="C63" s="1074" t="s">
        <v>1306</v>
      </c>
      <c r="D63" s="1075"/>
      <c r="E63" s="1075"/>
      <c r="F63" s="16" t="s">
        <v>1259</v>
      </c>
      <c r="G63" s="2825" t="s">
        <v>550</v>
      </c>
      <c r="H63" s="1042"/>
      <c r="I63" s="1042"/>
      <c r="J63" s="16" t="s">
        <v>1259</v>
      </c>
      <c r="K63" s="1773" t="n">
        <f aca="false">IF(C63="N",D63*H63,0)</f>
        <v>0</v>
      </c>
      <c r="L63" s="1773"/>
      <c r="N63" s="1038" t="n">
        <f aca="false">IF(C63="y",H63*D63,0)</f>
        <v>0</v>
      </c>
      <c r="O63" s="1038"/>
      <c r="P63" s="1147" t="s">
        <v>1069</v>
      </c>
      <c r="Q63" s="920" t="s">
        <v>546</v>
      </c>
      <c r="R63" s="78"/>
      <c r="S63" s="1311" t="n">
        <f aca="false">SUM(S61:S62)</f>
        <v>0</v>
      </c>
      <c r="T63" s="78" t="s">
        <v>1259</v>
      </c>
      <c r="U63" s="1308" t="n">
        <f aca="false">Pricing!Q10</f>
        <v>0.70875</v>
      </c>
      <c r="V63" s="78" t="s">
        <v>527</v>
      </c>
      <c r="W63" s="1309" t="n">
        <f aca="false">U63*S63</f>
        <v>0</v>
      </c>
    </row>
    <row r="64" customFormat="false" ht="18.75" hidden="false" customHeight="true" outlineLevel="0" collapsed="false">
      <c r="A64" s="1747" t="s">
        <v>1313</v>
      </c>
      <c r="B64" s="1082"/>
      <c r="C64" s="1083" t="s">
        <v>1306</v>
      </c>
      <c r="D64" s="1084"/>
      <c r="E64" s="1084"/>
      <c r="F64" s="397"/>
      <c r="G64" s="397"/>
      <c r="H64" s="1055"/>
      <c r="I64" s="1055"/>
      <c r="J64" s="397"/>
      <c r="K64" s="1789" t="n">
        <f aca="false">IF(C64="N",D64,0)</f>
        <v>0</v>
      </c>
      <c r="L64" s="1789"/>
      <c r="M64" s="265"/>
      <c r="N64" s="1056" t="n">
        <f aca="false">IF(C64="y",D64,0)</f>
        <v>0</v>
      </c>
      <c r="O64" s="1056"/>
      <c r="P64" s="1147" t="s">
        <v>1069</v>
      </c>
      <c r="Q64" s="920"/>
      <c r="R64" s="78"/>
      <c r="S64" s="1311"/>
      <c r="T64" s="78"/>
      <c r="U64" s="1308"/>
      <c r="V64" s="78"/>
      <c r="W64" s="1309" t="n">
        <f aca="false">U64*S64</f>
        <v>0</v>
      </c>
    </row>
    <row r="65" customFormat="false" ht="18.75" hidden="false" customHeight="true" outlineLevel="0" collapsed="false">
      <c r="A65" s="1087" t="s">
        <v>1447</v>
      </c>
      <c r="B65" s="1088"/>
      <c r="C65" s="1089"/>
      <c r="D65" s="1090" t="n">
        <f aca="false">IF(H59=0,0,(N65-N64+K65)/H59)</f>
        <v>0</v>
      </c>
      <c r="E65" s="1090"/>
      <c r="F65" s="855"/>
      <c r="G65" s="1058"/>
      <c r="H65" s="1088" t="s">
        <v>980</v>
      </c>
      <c r="I65" s="1088"/>
      <c r="J65" s="1088"/>
      <c r="K65" s="1791" t="n">
        <f aca="false">SUM(K59:L64)</f>
        <v>0</v>
      </c>
      <c r="L65" s="1791"/>
      <c r="M65" s="246"/>
      <c r="N65" s="730" t="n">
        <f aca="false">SUM(N59:O64)</f>
        <v>0</v>
      </c>
      <c r="O65" s="730"/>
      <c r="P65" s="1147" t="s">
        <v>1069</v>
      </c>
      <c r="Q65" s="920" t="s">
        <v>1934</v>
      </c>
      <c r="R65" s="78"/>
      <c r="S65" s="1311" t="n">
        <f aca="false">H62</f>
        <v>0</v>
      </c>
      <c r="T65" s="78" t="s">
        <v>1312</v>
      </c>
      <c r="U65" s="1308" t="n">
        <v>125</v>
      </c>
      <c r="V65" s="78" t="s">
        <v>595</v>
      </c>
      <c r="W65" s="1309" t="n">
        <f aca="false">U65*S65</f>
        <v>0</v>
      </c>
    </row>
    <row r="66" customFormat="false" ht="18.75" hidden="false" customHeight="true" outlineLevel="0" collapsed="false">
      <c r="A66" s="2826" t="s">
        <v>1315</v>
      </c>
      <c r="B66" s="2826"/>
      <c r="C66" s="2826"/>
      <c r="D66" s="2826"/>
      <c r="E66" s="2826"/>
      <c r="F66" s="2826"/>
      <c r="G66" s="2826"/>
      <c r="H66" s="2826"/>
      <c r="I66" s="2826"/>
      <c r="J66" s="2826"/>
      <c r="K66" s="2826"/>
      <c r="L66" s="2826"/>
      <c r="M66" s="2826"/>
      <c r="N66" s="2826"/>
      <c r="O66" s="2826"/>
      <c r="P66" s="1147" t="s">
        <v>1069</v>
      </c>
      <c r="Q66" s="920"/>
      <c r="R66" s="78"/>
      <c r="S66" s="1311"/>
      <c r="T66" s="78"/>
      <c r="U66" s="1308"/>
      <c r="V66" s="78"/>
      <c r="W66" s="1309" t="n">
        <f aca="false">U66*S66</f>
        <v>0</v>
      </c>
    </row>
    <row r="67" customFormat="false" ht="18.75" hidden="false" customHeight="true" outlineLevel="0" collapsed="false">
      <c r="A67" s="1794" t="s">
        <v>1316</v>
      </c>
      <c r="B67" s="2016"/>
      <c r="C67" s="1097" t="n">
        <f aca="false">H59/3000</f>
        <v>0</v>
      </c>
      <c r="D67" s="1098" t="n">
        <f aca="false">C67*7</f>
        <v>0</v>
      </c>
      <c r="E67" s="2016" t="s">
        <v>1317</v>
      </c>
      <c r="F67" s="1099" t="n">
        <v>425</v>
      </c>
      <c r="G67" s="2024" t="s">
        <v>620</v>
      </c>
      <c r="H67" s="1068"/>
      <c r="I67" s="1068"/>
      <c r="J67" s="1068"/>
      <c r="K67" s="1068"/>
      <c r="L67" s="1119" t="n">
        <f aca="false">IF(D36=0,0,(SUM(N67:O69))/D36)</f>
        <v>0</v>
      </c>
      <c r="M67" s="1119"/>
      <c r="N67" s="1102" t="n">
        <f aca="false">D67*F67</f>
        <v>0</v>
      </c>
      <c r="O67" s="1102"/>
      <c r="P67" s="1147" t="s">
        <v>1069</v>
      </c>
      <c r="Q67" s="920"/>
      <c r="R67" s="78"/>
      <c r="S67" s="1311"/>
      <c r="T67" s="78"/>
      <c r="U67" s="1308"/>
      <c r="V67" s="78"/>
      <c r="W67" s="1309" t="n">
        <f aca="false">U67*S67</f>
        <v>0</v>
      </c>
    </row>
    <row r="68" customFormat="false" ht="18.75" hidden="false" customHeight="true" outlineLevel="0" collapsed="false">
      <c r="A68" s="507" t="s">
        <v>1318</v>
      </c>
      <c r="B68" s="78"/>
      <c r="C68" s="78"/>
      <c r="D68" s="1103" t="n">
        <f aca="false">D67</f>
        <v>0</v>
      </c>
      <c r="E68" s="78" t="s">
        <v>1317</v>
      </c>
      <c r="F68" s="1105" t="n">
        <v>375</v>
      </c>
      <c r="G68" s="78" t="s">
        <v>620</v>
      </c>
      <c r="L68" s="2029" t="n">
        <f aca="false">SUM(N67:O69)</f>
        <v>0</v>
      </c>
      <c r="M68" s="2029"/>
      <c r="N68" s="1038" t="n">
        <f aca="false">D68*F68</f>
        <v>0</v>
      </c>
      <c r="O68" s="1038"/>
      <c r="P68" s="1147" t="s">
        <v>1069</v>
      </c>
      <c r="Q68" s="920"/>
      <c r="R68" s="78"/>
      <c r="S68" s="1311"/>
      <c r="T68" s="78"/>
      <c r="U68" s="1308"/>
      <c r="V68" s="78"/>
      <c r="W68" s="1309" t="n">
        <f aca="false">U68*S68</f>
        <v>0</v>
      </c>
    </row>
    <row r="69" customFormat="false" ht="18.75" hidden="false" customHeight="true" outlineLevel="0" collapsed="false">
      <c r="A69" s="1312" t="s">
        <v>1320</v>
      </c>
      <c r="B69" s="78"/>
      <c r="C69" s="78"/>
      <c r="D69" s="1103" t="n">
        <f aca="false">D67</f>
        <v>0</v>
      </c>
      <c r="E69" s="78" t="s">
        <v>1317</v>
      </c>
      <c r="F69" s="1105" t="n">
        <v>100</v>
      </c>
      <c r="G69" s="78" t="s">
        <v>620</v>
      </c>
      <c r="N69" s="1038" t="n">
        <f aca="false">D69*F69</f>
        <v>0</v>
      </c>
      <c r="O69" s="1038"/>
      <c r="P69" s="1147" t="s">
        <v>1069</v>
      </c>
      <c r="Q69" s="920"/>
      <c r="R69" s="78"/>
      <c r="S69" s="1311"/>
      <c r="T69" s="1361"/>
      <c r="U69" s="1308"/>
      <c r="V69" s="78"/>
      <c r="W69" s="1309" t="n">
        <f aca="false">U69*S69</f>
        <v>0</v>
      </c>
    </row>
    <row r="70" customFormat="false" ht="18.75" hidden="false" customHeight="true" outlineLevel="0" collapsed="false">
      <c r="A70" s="1312" t="s">
        <v>1321</v>
      </c>
      <c r="B70" s="78"/>
      <c r="C70" s="78"/>
      <c r="D70" s="1103" t="n">
        <f aca="false">D67</f>
        <v>0</v>
      </c>
      <c r="E70" s="78"/>
      <c r="F70" s="1105" t="n">
        <v>100</v>
      </c>
      <c r="G70" s="78"/>
      <c r="L70" s="1372" t="n">
        <f aca="false">IF(D18=0,0,N70/D18)</f>
        <v>0</v>
      </c>
      <c r="M70" s="1372"/>
      <c r="N70" s="1038" t="n">
        <f aca="false">D70*F70</f>
        <v>0</v>
      </c>
      <c r="O70" s="1038"/>
      <c r="P70" s="1147"/>
      <c r="Q70" s="920"/>
      <c r="R70" s="78"/>
      <c r="S70" s="1311"/>
      <c r="T70" s="1361"/>
      <c r="U70" s="1308"/>
      <c r="V70" s="78"/>
      <c r="W70" s="1309" t="n">
        <f aca="false">U70*S70</f>
        <v>0</v>
      </c>
    </row>
    <row r="71" customFormat="false" ht="18.75" hidden="false" customHeight="true" outlineLevel="0" collapsed="false">
      <c r="A71" s="2826" t="s">
        <v>1325</v>
      </c>
      <c r="B71" s="2826"/>
      <c r="C71" s="2826"/>
      <c r="D71" s="2826"/>
      <c r="E71" s="2826"/>
      <c r="F71" s="2826"/>
      <c r="G71" s="2826"/>
      <c r="H71" s="2826"/>
      <c r="I71" s="2826"/>
      <c r="J71" s="2826"/>
      <c r="K71" s="2826"/>
      <c r="L71" s="2826"/>
      <c r="M71" s="2826"/>
      <c r="N71" s="2826"/>
      <c r="O71" s="2826"/>
      <c r="P71" s="1147" t="s">
        <v>1069</v>
      </c>
      <c r="Q71" s="920"/>
      <c r="R71" s="78"/>
      <c r="S71" s="1311"/>
      <c r="T71" s="78"/>
      <c r="U71" s="1308"/>
      <c r="V71" s="78"/>
      <c r="W71" s="1309" t="n">
        <f aca="false">U71*S71</f>
        <v>0</v>
      </c>
    </row>
    <row r="72" customFormat="false" ht="18.75" hidden="false" customHeight="true" outlineLevel="0" collapsed="false">
      <c r="A72" s="2126" t="s">
        <v>645</v>
      </c>
      <c r="B72" s="2126"/>
      <c r="C72" s="2126"/>
      <c r="D72" s="1098"/>
      <c r="E72" s="2016" t="s">
        <v>1327</v>
      </c>
      <c r="F72" s="1099" t="n">
        <f aca="false">Pricing!D44</f>
        <v>425</v>
      </c>
      <c r="G72" s="2016" t="s">
        <v>620</v>
      </c>
      <c r="H72" s="2016"/>
      <c r="I72" s="2016"/>
      <c r="J72" s="2016"/>
      <c r="K72" s="2016"/>
      <c r="L72" s="2016"/>
      <c r="M72" s="2016"/>
      <c r="N72" s="2827" t="n">
        <f aca="false">(IF(AND(D72&gt;0,D72&lt;4),D72*F72,0)+IF(AND(D72&gt;3,D72&lt;8),F72*3,0)+IF(AND(D72&gt;7,D72&lt;21),D72/7*F72*3,0)+IF(AND(D72&gt;20,D72&lt;30),F72*9,0)+IF(D72&gt;29,D72/30*F72*9,0))*(1+V$35+I$74)</f>
        <v>0</v>
      </c>
      <c r="O72" s="2827"/>
      <c r="P72" s="1147" t="s">
        <v>1069</v>
      </c>
      <c r="Q72" s="920"/>
      <c r="R72" s="78"/>
      <c r="S72" s="1311"/>
      <c r="T72" s="78"/>
      <c r="U72" s="1308"/>
      <c r="V72" s="78"/>
      <c r="W72" s="1309" t="n">
        <f aca="false">U72*S72</f>
        <v>0</v>
      </c>
    </row>
    <row r="73" customFormat="false" ht="18.75" hidden="false" customHeight="true" outlineLevel="0" collapsed="false">
      <c r="A73" s="2129" t="s">
        <v>1935</v>
      </c>
      <c r="B73" s="2129"/>
      <c r="C73" s="2129"/>
      <c r="D73" s="1115" t="n">
        <f aca="false">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3" s="78" t="s">
        <v>1327</v>
      </c>
      <c r="F73" s="1105" t="n">
        <f aca="false">Pricing!D35</f>
        <v>325</v>
      </c>
      <c r="G73" s="78" t="s">
        <v>620</v>
      </c>
      <c r="H73" s="78"/>
      <c r="I73" s="2828" t="s">
        <v>1936</v>
      </c>
      <c r="J73" s="2828"/>
      <c r="K73" s="78"/>
      <c r="L73" s="2829" t="n">
        <f aca="false">IF(D36=0,0,(SUM(N72:O77))/D36)</f>
        <v>0</v>
      </c>
      <c r="M73" s="2829"/>
      <c r="N73" s="2830" t="n">
        <f aca="false">(IF(AND(D73&gt;0,D73&lt;4),D73*F73,0)+IF(AND(D73&gt;3,D73&lt;8),F73*3,0)+IF(AND(D73&gt;7,D73&lt;21),D73/7*F73*3,0)+IF(AND(D73&gt;20,D73&lt;30),F73*9,0)+IF(D73&gt;29,D73/30*F73*9,0))*(1+V$35+I$74)</f>
        <v>0</v>
      </c>
      <c r="O73" s="2830"/>
      <c r="P73" s="1147" t="s">
        <v>1069</v>
      </c>
      <c r="Q73" s="920"/>
      <c r="R73" s="78"/>
      <c r="S73" s="1311"/>
      <c r="T73" s="78"/>
      <c r="U73" s="1308"/>
      <c r="V73" s="78"/>
      <c r="W73" s="1309" t="n">
        <f aca="false">U73*S73</f>
        <v>0</v>
      </c>
    </row>
    <row r="74" customFormat="false" ht="18.75" hidden="false" customHeight="true" outlineLevel="0" collapsed="false">
      <c r="A74" s="2129" t="s">
        <v>1937</v>
      </c>
      <c r="B74" s="2129"/>
      <c r="C74" s="2129"/>
      <c r="D74" s="1115" t="n">
        <f aca="false">D73*0.33</f>
        <v>0</v>
      </c>
      <c r="E74" s="78" t="s">
        <v>1327</v>
      </c>
      <c r="F74" s="1105" t="n">
        <f aca="false">Pricing!D34</f>
        <v>325</v>
      </c>
      <c r="G74" s="78" t="s">
        <v>620</v>
      </c>
      <c r="H74" s="78"/>
      <c r="I74" s="1122" t="n">
        <v>0.5</v>
      </c>
      <c r="J74" s="1122"/>
      <c r="K74" s="78"/>
      <c r="L74" s="2831" t="n">
        <f aca="false">SUM(N72:O77)</f>
        <v>0</v>
      </c>
      <c r="M74" s="2831"/>
      <c r="N74" s="2830" t="n">
        <f aca="false">(IF(AND(D74&gt;0,D74&lt;4),D74*F74,0)+IF(AND(D74&gt;3,D74&lt;8),F74*3,0)+IF(AND(D74&gt;7,D74&lt;21),D74/7*F74*3,0)+IF(AND(D74&gt;20,D74&lt;30),F74*9,0)+IF(D74&gt;29,D74/30*F74*9,0))*(1+V$35+I$74)</f>
        <v>0</v>
      </c>
      <c r="O74" s="2830"/>
      <c r="P74" s="1147" t="s">
        <v>1069</v>
      </c>
      <c r="Q74" s="920"/>
      <c r="R74" s="78"/>
      <c r="S74" s="1311"/>
      <c r="T74" s="78"/>
      <c r="U74" s="1308"/>
      <c r="V74" s="78"/>
      <c r="W74" s="1309" t="n">
        <f aca="false">U74*S74</f>
        <v>0</v>
      </c>
    </row>
    <row r="75" customFormat="false" ht="18.75" hidden="false" customHeight="true" outlineLevel="0" collapsed="false">
      <c r="A75" s="2129" t="s">
        <v>1332</v>
      </c>
      <c r="B75" s="2129"/>
      <c r="C75" s="2129"/>
      <c r="D75" s="1115"/>
      <c r="E75" s="78" t="s">
        <v>1327</v>
      </c>
      <c r="F75" s="1105" t="n">
        <f aca="false">Pricing!D39</f>
        <v>100</v>
      </c>
      <c r="G75" s="78" t="s">
        <v>620</v>
      </c>
      <c r="H75" s="78"/>
      <c r="I75" s="1122"/>
      <c r="J75" s="1122"/>
      <c r="K75" s="78"/>
      <c r="L75" s="78"/>
      <c r="M75" s="78"/>
      <c r="N75" s="2830" t="n">
        <f aca="false">(IF(AND(D75&gt;0,D75&lt;4),D75*F75,0)+IF(AND(D75&gt;3,D75&lt;8),F75*3,0)+IF(AND(D75&gt;7,D75&lt;21),D75/7*F75*3,0)+IF(AND(D75&gt;20,D75&lt;30),F75*9,0)+IF(D75&gt;29,D75/30*F75*9,0))*(1+V$35+I$74)</f>
        <v>0</v>
      </c>
      <c r="O75" s="2830"/>
      <c r="P75" s="1147" t="s">
        <v>1069</v>
      </c>
      <c r="Q75" s="1044" t="s">
        <v>1789</v>
      </c>
      <c r="R75" s="397"/>
      <c r="S75" s="397" t="n">
        <f aca="false">SUM(K44:L50)/300</f>
        <v>0</v>
      </c>
      <c r="T75" s="397" t="s">
        <v>1718</v>
      </c>
      <c r="U75" s="1364" t="n">
        <v>250</v>
      </c>
      <c r="V75" s="397" t="s">
        <v>1719</v>
      </c>
      <c r="W75" s="1108" t="n">
        <f aca="false">U75*S75</f>
        <v>0</v>
      </c>
    </row>
    <row r="76" customFormat="false" ht="18.75" hidden="false" customHeight="true" outlineLevel="0" collapsed="false">
      <c r="A76" s="2129" t="s">
        <v>1938</v>
      </c>
      <c r="B76" s="2129"/>
      <c r="C76" s="2129"/>
      <c r="D76" s="1115" t="n">
        <f aca="false">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6" s="78" t="s">
        <v>1327</v>
      </c>
      <c r="F76" s="1105" t="n">
        <v>25</v>
      </c>
      <c r="G76" s="78" t="s">
        <v>620</v>
      </c>
      <c r="H76" s="78"/>
      <c r="I76" s="78"/>
      <c r="J76" s="78"/>
      <c r="K76" s="78"/>
      <c r="L76" s="78"/>
      <c r="M76" s="78"/>
      <c r="N76" s="2830" t="n">
        <f aca="false">(IF(AND(D76&gt;0,D76&lt;4),D76*F76,0)+IF(AND(D76&gt;3,D76&lt;8),F76*3,0)+IF(AND(D76&gt;7,D76&lt;21),D76/7*F76*3,0)+IF(AND(D76&gt;20,D76&lt;30),F76*9,0)+IF(D76&gt;29,D76/30*F76*9,0))</f>
        <v>0</v>
      </c>
      <c r="O76" s="2830"/>
      <c r="P76" s="1039" t="s">
        <v>1073</v>
      </c>
      <c r="Q76" s="920" t="s">
        <v>1790</v>
      </c>
      <c r="R76" s="78"/>
      <c r="S76" s="1311" t="n">
        <v>0</v>
      </c>
      <c r="T76" s="78" t="s">
        <v>1452</v>
      </c>
      <c r="U76" s="1308" t="n">
        <f aca="false">Pricing!Q39</f>
        <v>27</v>
      </c>
      <c r="V76" s="78" t="s">
        <v>607</v>
      </c>
      <c r="W76" s="1038" t="n">
        <f aca="false">S76*U76</f>
        <v>0</v>
      </c>
    </row>
    <row r="77" customFormat="false" ht="18.75" hidden="false" customHeight="true" outlineLevel="0" collapsed="false">
      <c r="A77" s="2132" t="s">
        <v>1939</v>
      </c>
      <c r="B77" s="2132"/>
      <c r="C77" s="2132"/>
      <c r="D77" s="1110" t="n">
        <v>0</v>
      </c>
      <c r="E77" s="1826" t="s">
        <v>1792</v>
      </c>
      <c r="F77" s="1126" t="n">
        <v>1200</v>
      </c>
      <c r="G77" s="1826" t="s">
        <v>1793</v>
      </c>
      <c r="H77" s="1826"/>
      <c r="I77" s="1826"/>
      <c r="J77" s="1826"/>
      <c r="K77" s="1826"/>
      <c r="L77" s="2832"/>
      <c r="M77" s="1826"/>
      <c r="N77" s="2833" t="n">
        <f aca="false">(IF(AND(D77&gt;0,D77&lt;4),D77*F77,0)+IF(AND(D77&gt;3,D77&lt;8),F77*3,0)+IF(AND(D77&gt;7,D77&lt;21),D77/7*F77*3,0)+IF(AND(D77&gt;20,D77&lt;30),F77*9,0)+IF(D77&gt;29,D77/30*F77*9,0))*(1+V$35+I$74)</f>
        <v>0</v>
      </c>
      <c r="O77" s="2833"/>
      <c r="P77" s="1039" t="s">
        <v>1073</v>
      </c>
      <c r="Q77" s="920" t="s">
        <v>629</v>
      </c>
      <c r="R77" s="78"/>
      <c r="S77" s="1311" t="n">
        <f aca="false">H59/15000</f>
        <v>0</v>
      </c>
      <c r="T77" s="78" t="s">
        <v>1644</v>
      </c>
      <c r="U77" s="1308" t="n">
        <f aca="false">Pricing!Q36</f>
        <v>37.8</v>
      </c>
      <c r="V77" s="78" t="s">
        <v>630</v>
      </c>
      <c r="W77" s="1038" t="n">
        <f aca="false">U77*S77</f>
        <v>0</v>
      </c>
    </row>
    <row r="78" customFormat="false" ht="18.75" hidden="false" customHeight="true" outlineLevel="0" collapsed="false">
      <c r="A78" s="2834" t="s">
        <v>1940</v>
      </c>
      <c r="B78" s="2834"/>
      <c r="C78" s="2834"/>
      <c r="D78" s="2834"/>
      <c r="E78" s="2834"/>
      <c r="F78" s="2834"/>
      <c r="G78" s="2834"/>
      <c r="H78" s="2834"/>
      <c r="I78" s="2834"/>
      <c r="J78" s="2834"/>
      <c r="K78" s="2834"/>
      <c r="L78" s="2834"/>
      <c r="M78" s="2834"/>
      <c r="N78" s="2834"/>
      <c r="O78" s="2834"/>
      <c r="P78" s="1039" t="s">
        <v>1073</v>
      </c>
      <c r="Q78" s="1357" t="s">
        <v>554</v>
      </c>
      <c r="R78" s="1358"/>
      <c r="S78" s="1359" t="n">
        <f aca="false">0+K51</f>
        <v>0</v>
      </c>
      <c r="T78" s="1358" t="s">
        <v>1288</v>
      </c>
      <c r="U78" s="1360" t="n">
        <v>0.02</v>
      </c>
      <c r="V78" s="1358" t="s">
        <v>555</v>
      </c>
      <c r="W78" s="1056" t="n">
        <f aca="false">U78*S78</f>
        <v>0</v>
      </c>
    </row>
    <row r="79" customFormat="false" ht="18.75" hidden="false" customHeight="true" outlineLevel="0" collapsed="false">
      <c r="A79" s="2126" t="s">
        <v>1941</v>
      </c>
      <c r="B79" s="2126"/>
      <c r="C79" s="2126"/>
      <c r="D79" s="1381" t="n">
        <f aca="false">S61*1.25</f>
        <v>0</v>
      </c>
      <c r="E79" s="1799" t="s">
        <v>1259</v>
      </c>
      <c r="F79" s="2835" t="n">
        <f aca="false">Pricing!G91</f>
        <v>2</v>
      </c>
      <c r="G79" s="2836" t="s">
        <v>1341</v>
      </c>
      <c r="H79" s="1068"/>
      <c r="I79" s="1419" t="s">
        <v>1648</v>
      </c>
      <c r="J79" s="1419"/>
      <c r="K79" s="2837" t="n">
        <v>20</v>
      </c>
      <c r="L79" s="1068"/>
      <c r="M79" s="1068"/>
      <c r="N79" s="1369" t="n">
        <f aca="false">D79*F79</f>
        <v>0</v>
      </c>
      <c r="O79" s="1369"/>
      <c r="P79" s="1039" t="s">
        <v>1078</v>
      </c>
      <c r="Q79" s="920" t="s">
        <v>1105</v>
      </c>
      <c r="R79" s="78"/>
      <c r="S79" s="1311"/>
      <c r="T79" s="78"/>
      <c r="U79" s="1308"/>
      <c r="V79" s="78"/>
      <c r="W79" s="1038" t="n">
        <v>0</v>
      </c>
    </row>
    <row r="80" customFormat="false" ht="18.75" hidden="false" customHeight="true" outlineLevel="0" collapsed="false">
      <c r="A80" s="2129" t="s">
        <v>1942</v>
      </c>
      <c r="B80" s="2129"/>
      <c r="C80" s="2129"/>
      <c r="D80" s="1815" t="n">
        <f aca="false">S63</f>
        <v>0</v>
      </c>
      <c r="E80" s="78" t="s">
        <v>1259</v>
      </c>
      <c r="F80" s="1818"/>
      <c r="G80" s="2838" t="s">
        <v>1341</v>
      </c>
      <c r="I80" s="1813" t="s">
        <v>1648</v>
      </c>
      <c r="J80" s="1813"/>
      <c r="K80" s="1814" t="n">
        <v>5</v>
      </c>
      <c r="N80" s="1309" t="n">
        <f aca="false">D80*F80</f>
        <v>0</v>
      </c>
      <c r="O80" s="1309"/>
      <c r="P80" s="1039" t="s">
        <v>1328</v>
      </c>
      <c r="Q80" s="920" t="s">
        <v>1105</v>
      </c>
      <c r="R80" s="78"/>
      <c r="S80" s="1311"/>
      <c r="T80" s="78"/>
      <c r="U80" s="1308"/>
      <c r="V80" s="78"/>
      <c r="W80" s="1038" t="n">
        <v>0</v>
      </c>
    </row>
    <row r="81" customFormat="false" ht="18.75" hidden="false" customHeight="true" outlineLevel="0" collapsed="false">
      <c r="A81" s="2839" t="s">
        <v>1462</v>
      </c>
      <c r="B81" s="2839"/>
      <c r="C81" s="2839"/>
      <c r="D81" s="2840" t="n">
        <f aca="false">C10/K80</f>
        <v>0</v>
      </c>
      <c r="E81" s="901" t="s">
        <v>1259</v>
      </c>
      <c r="F81" s="1818"/>
      <c r="G81" s="2841" t="s">
        <v>1341</v>
      </c>
      <c r="H81" s="894"/>
      <c r="I81" s="1813"/>
      <c r="J81" s="1813"/>
      <c r="K81" s="1814"/>
      <c r="N81" s="1309" t="n">
        <f aca="false">D81*F81</f>
        <v>0</v>
      </c>
      <c r="O81" s="1309"/>
      <c r="P81" s="1039" t="s">
        <v>1330</v>
      </c>
      <c r="Q81" s="1357" t="s">
        <v>1943</v>
      </c>
      <c r="R81" s="1358"/>
      <c r="S81" s="1359"/>
      <c r="T81" s="1358"/>
      <c r="U81" s="1360"/>
      <c r="V81" s="1358"/>
      <c r="W81" s="1056" t="n">
        <v>0</v>
      </c>
    </row>
    <row r="82" customFormat="false" ht="18.75" hidden="false" customHeight="true" outlineLevel="0" collapsed="false">
      <c r="A82" s="1988" t="s">
        <v>1944</v>
      </c>
      <c r="B82" s="1988"/>
      <c r="C82" s="2842"/>
      <c r="D82" s="1389"/>
      <c r="E82" s="654" t="s">
        <v>998</v>
      </c>
      <c r="F82" s="1818" t="n">
        <v>8</v>
      </c>
      <c r="G82" s="2841" t="s">
        <v>1285</v>
      </c>
      <c r="H82" s="894"/>
      <c r="I82" s="15"/>
      <c r="N82" s="1038" t="n">
        <f aca="false">D82*F82</f>
        <v>0</v>
      </c>
      <c r="O82" s="1038"/>
      <c r="P82" s="1039" t="s">
        <v>1342</v>
      </c>
      <c r="Q82" s="920" t="s">
        <v>1945</v>
      </c>
      <c r="R82" s="78"/>
      <c r="S82" s="1311"/>
      <c r="T82" s="78" t="s">
        <v>1946</v>
      </c>
      <c r="U82" s="1308"/>
      <c r="V82" s="78" t="s">
        <v>1947</v>
      </c>
      <c r="W82" s="2011" t="n">
        <f aca="false">U82*S82</f>
        <v>0</v>
      </c>
    </row>
    <row r="83" customFormat="false" ht="18.75" hidden="false" customHeight="true" outlineLevel="0" collapsed="false">
      <c r="A83" s="2839" t="s">
        <v>1234</v>
      </c>
      <c r="B83" s="2839"/>
      <c r="C83" s="2839"/>
      <c r="D83" s="1389"/>
      <c r="E83" s="1308" t="s">
        <v>998</v>
      </c>
      <c r="F83" s="1818" t="n">
        <v>6</v>
      </c>
      <c r="G83" s="2838" t="s">
        <v>1285</v>
      </c>
      <c r="H83" s="894"/>
      <c r="I83" s="15"/>
      <c r="N83" s="1038" t="n">
        <f aca="false">D83*F83</f>
        <v>0</v>
      </c>
      <c r="O83" s="1038"/>
      <c r="P83" s="1039" t="s">
        <v>1342</v>
      </c>
      <c r="Q83" s="920" t="s">
        <v>646</v>
      </c>
      <c r="R83" s="78"/>
      <c r="S83" s="1311" t="n">
        <f aca="false">H59/300/55</f>
        <v>0</v>
      </c>
      <c r="T83" s="78" t="s">
        <v>1649</v>
      </c>
      <c r="U83" s="1308" t="n">
        <f aca="false">Pricing!Q44</f>
        <v>567.5</v>
      </c>
      <c r="V83" s="78" t="s">
        <v>647</v>
      </c>
      <c r="W83" s="1309" t="n">
        <f aca="false">U83*S83</f>
        <v>0</v>
      </c>
    </row>
    <row r="84" customFormat="false" ht="18.75" hidden="false" customHeight="true" outlineLevel="0" collapsed="false">
      <c r="A84" s="507" t="s">
        <v>1948</v>
      </c>
      <c r="B84" s="528"/>
      <c r="C84" s="528"/>
      <c r="D84" s="1815"/>
      <c r="E84" s="900" t="s">
        <v>1259</v>
      </c>
      <c r="F84" s="1818" t="n">
        <v>10</v>
      </c>
      <c r="G84" s="2843" t="s">
        <v>1341</v>
      </c>
      <c r="H84" s="894"/>
      <c r="I84" s="15"/>
      <c r="N84" s="1038" t="n">
        <f aca="false">D84*F84</f>
        <v>0</v>
      </c>
      <c r="O84" s="1038"/>
      <c r="P84" s="1039" t="s">
        <v>1342</v>
      </c>
      <c r="Q84" s="1357" t="s">
        <v>649</v>
      </c>
      <c r="R84" s="1358"/>
      <c r="S84" s="1359" t="n">
        <f aca="false">BN73</f>
        <v>0</v>
      </c>
      <c r="T84" s="1358" t="s">
        <v>1649</v>
      </c>
      <c r="U84" s="1360" t="n">
        <f aca="false">Pricing!Q45</f>
        <v>542</v>
      </c>
      <c r="V84" s="1358" t="s">
        <v>647</v>
      </c>
      <c r="W84" s="1326" t="n">
        <f aca="false">U84*S84</f>
        <v>0</v>
      </c>
    </row>
    <row r="85" customFormat="false" ht="18" hidden="false" customHeight="true" outlineLevel="0" collapsed="false">
      <c r="A85" s="2844" t="s">
        <v>1925</v>
      </c>
      <c r="B85" s="2844"/>
      <c r="C85" s="2844"/>
      <c r="D85" s="2845" t="n">
        <f aca="false">SUM(AR32)</f>
        <v>0</v>
      </c>
      <c r="E85" s="2846" t="s">
        <v>1418</v>
      </c>
      <c r="F85" s="2847" t="n">
        <f aca="false">IF(BR32=0,0,BR32/AR32)</f>
        <v>0</v>
      </c>
      <c r="G85" s="2848" t="s">
        <v>600</v>
      </c>
      <c r="H85" s="2849"/>
      <c r="I85" s="2849"/>
      <c r="J85" s="2849"/>
      <c r="K85" s="2849"/>
      <c r="L85" s="2850"/>
      <c r="M85" s="2849"/>
      <c r="N85" s="2851" t="n">
        <f aca="false">IF(D85=0,0,D85*F85)</f>
        <v>0</v>
      </c>
      <c r="O85" s="2851"/>
      <c r="P85" s="1147"/>
      <c r="Q85" s="599"/>
      <c r="W85" s="1146"/>
    </row>
    <row r="86" customFormat="false" ht="24.75" hidden="false" customHeight="true" outlineLevel="0" collapsed="false">
      <c r="A86" s="507" t="s">
        <v>1346</v>
      </c>
      <c r="B86" s="507"/>
      <c r="C86" s="507"/>
      <c r="D86" s="1815"/>
      <c r="E86" s="1308" t="s">
        <v>1347</v>
      </c>
      <c r="F86" s="2852" t="n">
        <v>200</v>
      </c>
      <c r="G86" s="2853" t="s">
        <v>620</v>
      </c>
      <c r="N86" s="1038" t="n">
        <f aca="false">D86*F86</f>
        <v>0</v>
      </c>
      <c r="O86" s="1038"/>
      <c r="P86" s="1147"/>
      <c r="Q86" s="1151" t="s">
        <v>1349</v>
      </c>
      <c r="R86" s="1151"/>
      <c r="S86" s="994" t="n">
        <v>18</v>
      </c>
      <c r="T86" s="16" t="s">
        <v>1350</v>
      </c>
      <c r="W86" s="1152"/>
    </row>
    <row r="87" customFormat="false" ht="20.25" hidden="false" customHeight="true" outlineLevel="0" collapsed="false">
      <c r="A87" s="1798" t="s">
        <v>1067</v>
      </c>
      <c r="B87" s="1798"/>
      <c r="C87" s="1798"/>
      <c r="D87" s="2854"/>
      <c r="E87" s="1826"/>
      <c r="F87" s="2855" t="n">
        <v>1000</v>
      </c>
      <c r="G87" s="2856" t="s">
        <v>1348</v>
      </c>
      <c r="H87" s="1058"/>
      <c r="I87" s="1058"/>
      <c r="J87" s="1058"/>
      <c r="K87" s="1058"/>
      <c r="L87" s="2134"/>
      <c r="M87" s="1058"/>
      <c r="N87" s="736" t="n">
        <f aca="false">D87*F87</f>
        <v>0</v>
      </c>
      <c r="O87" s="736"/>
      <c r="P87" s="1039" t="s">
        <v>1072</v>
      </c>
      <c r="Q87" s="602" t="s">
        <v>1353</v>
      </c>
      <c r="R87" s="1058"/>
      <c r="S87" s="1058" t="n">
        <f aca="false">ROUNDUP((S59+S61+S62)*12/S86,0)</f>
        <v>0</v>
      </c>
      <c r="T87" s="1058" t="s">
        <v>1354</v>
      </c>
      <c r="U87" s="1162" t="n">
        <f aca="false">Pricing!D30</f>
        <v>1</v>
      </c>
      <c r="V87" s="1162"/>
      <c r="W87" s="730" t="n">
        <f aca="false">U87*S87</f>
        <v>0</v>
      </c>
    </row>
    <row r="88" customFormat="false" ht="20.25" hidden="false" customHeight="true" outlineLevel="0" collapsed="false">
      <c r="A88" s="2336" t="s">
        <v>1191</v>
      </c>
      <c r="B88" s="2336"/>
      <c r="C88" s="2336"/>
      <c r="D88" s="2337" t="n">
        <f aca="false">Summary!P60</f>
        <v>0</v>
      </c>
      <c r="E88" s="2338" t="s">
        <v>1465</v>
      </c>
      <c r="F88" s="2339" t="n">
        <f aca="false">(SUM(N44:O56)+SUM(N59:O64)+SUM(K59:L64)+SUM(N67:O69)+SUM(N72:O77)+SUM(N79:O87))*D88</f>
        <v>0</v>
      </c>
      <c r="G88" s="2339"/>
      <c r="H88" s="2340" t="s">
        <v>1039</v>
      </c>
      <c r="I88" s="2340"/>
      <c r="J88" s="2340"/>
      <c r="K88" s="2340"/>
      <c r="L88" s="2340"/>
      <c r="M88" s="2341"/>
      <c r="N88" s="2342" t="n">
        <f aca="false">F88</f>
        <v>0</v>
      </c>
      <c r="O88" s="2342"/>
      <c r="Q88" s="836"/>
      <c r="R88" s="1068"/>
      <c r="S88" s="1068"/>
      <c r="T88" s="1068"/>
      <c r="U88" s="2857"/>
      <c r="V88" s="2857"/>
      <c r="W88" s="1393" t="n">
        <f aca="false">SUM(W44:W87)</f>
        <v>0</v>
      </c>
    </row>
    <row r="89" customFormat="false" ht="20.25" hidden="false" customHeight="true" outlineLevel="0" collapsed="false">
      <c r="A89" s="654"/>
      <c r="B89" s="654"/>
      <c r="C89" s="654"/>
      <c r="D89" s="654"/>
      <c r="E89" s="654"/>
      <c r="F89" s="654"/>
      <c r="G89" s="654"/>
      <c r="H89" s="654"/>
      <c r="I89" s="654"/>
      <c r="J89" s="654"/>
      <c r="K89" s="654"/>
      <c r="L89" s="654"/>
      <c r="M89" s="654"/>
      <c r="N89" s="654"/>
      <c r="O89" s="654"/>
      <c r="P89" s="654"/>
      <c r="Q89" s="654"/>
      <c r="R89" s="654"/>
      <c r="S89" s="654"/>
      <c r="T89" s="654"/>
      <c r="U89" s="654"/>
      <c r="V89" s="736"/>
    </row>
    <row r="90" customFormat="false" ht="15" hidden="false" customHeight="false" outlineLevel="0" collapsed="false">
      <c r="A90" s="949"/>
      <c r="B90" s="950"/>
      <c r="C90" s="950"/>
      <c r="D90" s="950"/>
      <c r="E90" s="950"/>
      <c r="F90" s="950"/>
      <c r="G90" s="950"/>
      <c r="H90" s="950"/>
      <c r="I90" s="950"/>
      <c r="J90" s="950"/>
      <c r="K90" s="954"/>
      <c r="L90" s="950"/>
      <c r="M90" s="950"/>
      <c r="N90" s="950"/>
      <c r="O90" s="950"/>
      <c r="P90" s="950"/>
      <c r="Q90" s="950"/>
      <c r="R90" s="950"/>
      <c r="S90" s="950"/>
      <c r="T90" s="950"/>
      <c r="U90" s="950"/>
      <c r="V90" s="950"/>
      <c r="W90" s="2858"/>
    </row>
    <row r="91" customFormat="false" ht="15" hidden="false" customHeight="false" outlineLevel="0" collapsed="false">
      <c r="A91" s="958" t="s">
        <v>1262</v>
      </c>
      <c r="B91" s="958"/>
      <c r="C91" s="958"/>
      <c r="D91" s="958" t="s">
        <v>982</v>
      </c>
      <c r="E91" s="958"/>
      <c r="F91" s="958" t="s">
        <v>1263</v>
      </c>
      <c r="G91" s="958"/>
      <c r="H91" s="958"/>
      <c r="I91" s="1167" t="s">
        <v>1264</v>
      </c>
      <c r="J91" s="1168"/>
      <c r="K91" s="1169"/>
      <c r="L91" s="1170" t="s">
        <v>1265</v>
      </c>
      <c r="M91" s="1170"/>
      <c r="N91" s="1171"/>
      <c r="O91" s="1172"/>
      <c r="P91" s="961"/>
      <c r="Q91" s="2357" t="s">
        <v>1266</v>
      </c>
      <c r="R91" s="2358"/>
      <c r="S91" s="2358" t="s">
        <v>1267</v>
      </c>
      <c r="T91" s="1173" t="str">
        <f aca="false">T35</f>
        <v>N</v>
      </c>
      <c r="U91" s="2859" t="s">
        <v>1268</v>
      </c>
      <c r="V91" s="1401" t="n">
        <f aca="false">V35</f>
        <v>0.0825</v>
      </c>
      <c r="W91" s="2860"/>
    </row>
    <row r="92" customFormat="false" ht="15" hidden="false" customHeight="false" outlineLevel="0" collapsed="false">
      <c r="A92" s="965" t="s">
        <v>1269</v>
      </c>
      <c r="B92" s="966" t="n">
        <f aca="false">B36</f>
        <v>0</v>
      </c>
      <c r="C92" s="966"/>
      <c r="D92" s="967" t="n">
        <f aca="false">D36</f>
        <v>0</v>
      </c>
      <c r="E92" s="967"/>
      <c r="F92" s="968" t="n">
        <f aca="false">F36</f>
        <v>0</v>
      </c>
      <c r="G92" s="736" t="n">
        <f aca="false">G36</f>
        <v>0</v>
      </c>
      <c r="H92" s="736"/>
      <c r="I92" s="1264" t="n">
        <f aca="false">I36</f>
        <v>0</v>
      </c>
      <c r="J92" s="1264"/>
      <c r="K92" s="1264"/>
      <c r="L92" s="1829" t="n">
        <f aca="false">L36</f>
        <v>0.18</v>
      </c>
      <c r="M92" s="1655"/>
      <c r="N92" s="1655"/>
      <c r="O92" s="1656"/>
      <c r="P92" s="1265"/>
      <c r="Q92" s="2861" t="s">
        <v>980</v>
      </c>
      <c r="R92" s="782"/>
      <c r="S92" s="782"/>
      <c r="T92" s="2862" t="n">
        <f aca="false">T36</f>
        <v>0</v>
      </c>
      <c r="U92" s="2862"/>
      <c r="V92" s="2418"/>
      <c r="W92" s="2863"/>
    </row>
    <row r="93" customFormat="false" ht="15" hidden="false" customHeight="false" outlineLevel="0" collapsed="false">
      <c r="A93" s="972"/>
      <c r="B93" s="973"/>
      <c r="C93" s="973"/>
      <c r="D93" s="973"/>
      <c r="E93" s="973"/>
      <c r="F93" s="973"/>
      <c r="G93" s="973"/>
      <c r="H93" s="973"/>
      <c r="I93" s="973"/>
      <c r="J93" s="973"/>
      <c r="K93" s="973"/>
      <c r="L93" s="973"/>
      <c r="M93" s="973"/>
      <c r="N93" s="973"/>
      <c r="O93" s="973"/>
      <c r="P93" s="973"/>
      <c r="Q93" s="973"/>
      <c r="R93" s="973"/>
      <c r="S93" s="973"/>
      <c r="T93" s="973"/>
      <c r="U93" s="973"/>
      <c r="V93" s="973"/>
      <c r="W93" s="2864"/>
    </row>
    <row r="94" customFormat="false" ht="15" hidden="false" customHeight="false" outlineLevel="0" collapsed="false">
      <c r="A94" s="654"/>
      <c r="B94" s="654"/>
      <c r="C94" s="654"/>
      <c r="D94" s="654"/>
      <c r="E94" s="654"/>
      <c r="F94" s="654"/>
      <c r="G94" s="654"/>
      <c r="H94" s="654"/>
      <c r="I94" s="654"/>
      <c r="J94" s="654"/>
      <c r="K94" s="654"/>
      <c r="L94" s="654"/>
      <c r="M94" s="654"/>
      <c r="N94" s="654"/>
      <c r="O94" s="654"/>
      <c r="P94" s="654"/>
      <c r="Q94" s="654"/>
      <c r="R94" s="654"/>
      <c r="S94" s="654"/>
      <c r="T94" s="654"/>
      <c r="U94" s="654"/>
      <c r="V94" s="654"/>
    </row>
    <row r="95" customFormat="false" ht="15" hidden="false" customHeight="false" outlineLevel="0" collapsed="false">
      <c r="A95" s="713" t="s">
        <v>1055</v>
      </c>
      <c r="B95" s="725" t="s">
        <v>1949</v>
      </c>
      <c r="C95" s="412"/>
      <c r="D95" s="715" t="n">
        <f aca="false">D96-T92</f>
        <v>0</v>
      </c>
      <c r="E95" s="654"/>
      <c r="F95" s="654"/>
      <c r="G95" s="2457"/>
      <c r="H95" s="2457"/>
      <c r="I95" s="2458"/>
      <c r="J95" s="2457"/>
      <c r="K95" s="2457"/>
      <c r="L95" s="2457"/>
      <c r="M95" s="2092"/>
      <c r="N95" s="2457"/>
      <c r="O95" s="654"/>
      <c r="P95" s="654"/>
      <c r="Q95" s="654"/>
      <c r="R95" s="654"/>
    </row>
    <row r="96" customFormat="false" ht="15" hidden="false" customHeight="false" outlineLevel="0" collapsed="false">
      <c r="A96" s="733" t="n">
        <v>11</v>
      </c>
      <c r="B96" s="694"/>
      <c r="C96" s="686"/>
      <c r="D96" s="2141" t="n">
        <f aca="false">SUM(D97:D153)-D129-D139</f>
        <v>0</v>
      </c>
      <c r="G96" s="1771"/>
      <c r="H96" s="1771"/>
      <c r="I96" s="2865"/>
      <c r="J96" s="1771"/>
      <c r="K96" s="1771"/>
      <c r="L96" s="1771"/>
      <c r="M96" s="2866"/>
      <c r="N96" s="1771"/>
    </row>
    <row r="97" customFormat="false" ht="15" hidden="false" customHeight="false" outlineLevel="0" collapsed="false">
      <c r="A97" s="1404" t="n">
        <f aca="false">Summary!BL74</f>
        <v>110001</v>
      </c>
      <c r="B97" s="2867" t="str">
        <f aca="false">Summary!BM74</f>
        <v>General Requirements</v>
      </c>
      <c r="C97" s="318"/>
      <c r="D97" s="742"/>
    </row>
    <row r="98" customFormat="false" ht="15" hidden="false" customHeight="false" outlineLevel="0" collapsed="false">
      <c r="A98" s="1404" t="n">
        <f aca="false">Summary!BL75</f>
        <v>110002</v>
      </c>
      <c r="B98" s="2868" t="str">
        <f aca="false">Summary!BM75</f>
        <v>Lumber</v>
      </c>
      <c r="C98" s="318"/>
      <c r="D98" s="742" t="n">
        <f aca="false">SUM(W44:W75)</f>
        <v>0</v>
      </c>
    </row>
    <row r="99" customFormat="false" ht="15" hidden="false" customHeight="false" outlineLevel="0" collapsed="false">
      <c r="A99" s="1404" t="n">
        <f aca="false">Summary!BL76</f>
        <v>110003</v>
      </c>
      <c r="B99" s="2868" t="str">
        <f aca="false">Summary!BM76</f>
        <v>Sand Material</v>
      </c>
      <c r="C99" s="318"/>
      <c r="D99" s="742" t="n">
        <f aca="false">N54</f>
        <v>0</v>
      </c>
    </row>
    <row r="100" customFormat="false" ht="15" hidden="false" customHeight="false" outlineLevel="0" collapsed="false">
      <c r="A100" s="1404" t="n">
        <f aca="false">Summary!BL77</f>
        <v>110004</v>
      </c>
      <c r="B100" s="2868" t="str">
        <f aca="false">Summary!BM77</f>
        <v>Rock Material</v>
      </c>
      <c r="C100" s="318"/>
      <c r="D100" s="742" t="n">
        <f aca="false">N55</f>
        <v>0</v>
      </c>
    </row>
    <row r="101" customFormat="false" ht="15" hidden="false" customHeight="false" outlineLevel="0" collapsed="false">
      <c r="A101" s="1404" t="n">
        <f aca="false">Summary!BL78</f>
        <v>110005</v>
      </c>
      <c r="B101" s="2868" t="str">
        <f aca="false">Summary!BM78</f>
        <v>Reinforcement Material</v>
      </c>
      <c r="C101" s="318"/>
      <c r="D101" s="742" t="n">
        <f aca="false">N51+N52</f>
        <v>0</v>
      </c>
    </row>
    <row r="102" customFormat="false" ht="15" hidden="false" customHeight="false" outlineLevel="0" collapsed="false">
      <c r="A102" s="1404" t="n">
        <f aca="false">Summary!BL79</f>
        <v>110006</v>
      </c>
      <c r="B102" s="2868" t="str">
        <f aca="false">Summary!BM79</f>
        <v>Reinforcement Accessories</v>
      </c>
      <c r="C102" s="318"/>
      <c r="D102" s="742" t="n">
        <f aca="false">SUM(W76:BN78)+W87</f>
        <v>0</v>
      </c>
    </row>
    <row r="103" customFormat="false" ht="15" hidden="false" customHeight="false" outlineLevel="0" collapsed="false">
      <c r="A103" s="1404" t="n">
        <f aca="false">Summary!BL80</f>
        <v>110007</v>
      </c>
      <c r="B103" s="2868" t="str">
        <f aca="false">Summary!BM80</f>
        <v>PT Cables</v>
      </c>
      <c r="C103" s="318"/>
      <c r="D103" s="742" t="n">
        <f aca="false">N53</f>
        <v>0</v>
      </c>
    </row>
    <row r="104" customFormat="false" ht="15" hidden="false" customHeight="false" outlineLevel="0" collapsed="false">
      <c r="A104" s="1404" t="n">
        <f aca="false">Summary!BL81</f>
        <v>110008</v>
      </c>
      <c r="B104" s="2868" t="str">
        <f aca="false">Summary!BM81</f>
        <v>Concrete Material</v>
      </c>
      <c r="C104" s="318"/>
      <c r="D104" s="742" t="n">
        <f aca="false">SUM(N44:O50)</f>
        <v>0</v>
      </c>
    </row>
    <row r="105" customFormat="false" ht="15" hidden="false" customHeight="false" outlineLevel="0" collapsed="false">
      <c r="A105" s="1404" t="n">
        <f aca="false">Summary!BL82</f>
        <v>110009</v>
      </c>
      <c r="B105" s="2868" t="str">
        <f aca="false">Summary!BM82</f>
        <v>Carton Forms</v>
      </c>
      <c r="C105" s="318"/>
      <c r="D105" s="742"/>
    </row>
    <row r="106" customFormat="false" ht="15" hidden="false" customHeight="false" outlineLevel="0" collapsed="false">
      <c r="A106" s="1404" t="n">
        <f aca="false">Summary!BL83</f>
        <v>110010</v>
      </c>
      <c r="B106" s="2868" t="str">
        <f aca="false">Summary!BM83</f>
        <v>Cure/Sealers</v>
      </c>
      <c r="C106" s="318"/>
      <c r="D106" s="742" t="n">
        <f aca="false">SUM(W82:W84)</f>
        <v>0</v>
      </c>
    </row>
    <row r="107" customFormat="false" ht="15" hidden="false" customHeight="false" outlineLevel="0" collapsed="false">
      <c r="A107" s="1404" t="n">
        <f aca="false">Summary!BL84</f>
        <v>110011</v>
      </c>
      <c r="B107" s="2868" t="str">
        <f aca="false">Summary!BM84</f>
        <v>Patch/Grout</v>
      </c>
      <c r="C107" s="318"/>
      <c r="D107" s="742"/>
    </row>
    <row r="108" customFormat="false" ht="15" hidden="false" customHeight="false" outlineLevel="0" collapsed="false">
      <c r="A108" s="1404" t="n">
        <f aca="false">Summary!BL85</f>
        <v>110012</v>
      </c>
      <c r="B108" s="2868" t="str">
        <f aca="false">Summary!BM85</f>
        <v>Poly/Vapor Barrier</v>
      </c>
      <c r="C108" s="318"/>
      <c r="D108" s="742"/>
    </row>
    <row r="109" customFormat="false" ht="15" hidden="false" customHeight="false" outlineLevel="0" collapsed="false">
      <c r="A109" s="1404" t="n">
        <f aca="false">Summary!BL86</f>
        <v>110013</v>
      </c>
      <c r="B109" s="2868" t="str">
        <f aca="false">Summary!BM86</f>
        <v>Special Material</v>
      </c>
      <c r="C109" s="318"/>
      <c r="D109" s="742" t="n">
        <f aca="false">W79</f>
        <v>0</v>
      </c>
    </row>
    <row r="110" customFormat="false" ht="15" hidden="false" customHeight="false" outlineLevel="0" collapsed="false">
      <c r="A110" s="1404" t="n">
        <f aca="false">Summary!BL87</f>
        <v>110014</v>
      </c>
      <c r="B110" s="2868" t="str">
        <f aca="false">Summary!BM87</f>
        <v>Special Material</v>
      </c>
      <c r="C110" s="318"/>
      <c r="D110" s="742" t="n">
        <f aca="false">W80</f>
        <v>0</v>
      </c>
    </row>
    <row r="111" customFormat="false" ht="15" hidden="false" customHeight="false" outlineLevel="0" collapsed="false">
      <c r="A111" s="1404" t="n">
        <f aca="false">Summary!BL88</f>
        <v>110015</v>
      </c>
      <c r="B111" s="2868" t="str">
        <f aca="false">Summary!BM88</f>
        <v>PPE/Safety</v>
      </c>
      <c r="C111" s="318"/>
      <c r="D111" s="742" t="n">
        <f aca="false">W81</f>
        <v>0</v>
      </c>
    </row>
    <row r="112" customFormat="false" ht="15" hidden="false" customHeight="false" outlineLevel="0" collapsed="false">
      <c r="A112" s="1404" t="n">
        <f aca="false">Summary!BL89</f>
        <v>110020</v>
      </c>
      <c r="B112" s="2868" t="str">
        <f aca="false">Summary!BM89</f>
        <v>Supervision</v>
      </c>
      <c r="C112" s="318"/>
      <c r="D112" s="742" t="n">
        <f aca="false">SUM(N67:O68)</f>
        <v>0</v>
      </c>
    </row>
    <row r="113" customFormat="false" ht="15" hidden="false" customHeight="false" outlineLevel="0" collapsed="false">
      <c r="A113" s="1404" t="n">
        <f aca="false">Summary!BL90</f>
        <v>110021</v>
      </c>
      <c r="B113" s="2868" t="str">
        <f aca="false">Summary!BM90</f>
        <v>Supervision Expense</v>
      </c>
      <c r="C113" s="318"/>
      <c r="D113" s="742" t="n">
        <f aca="false">SUM(N69)</f>
        <v>0</v>
      </c>
    </row>
    <row r="114" customFormat="false" ht="15" hidden="false" customHeight="false" outlineLevel="0" collapsed="false">
      <c r="A114" s="1404" t="n">
        <f aca="false">Summary!BL91</f>
        <v>110022</v>
      </c>
      <c r="B114" s="2868" t="str">
        <f aca="false">Summary!BM91</f>
        <v>Project Management</v>
      </c>
      <c r="C114" s="318"/>
      <c r="D114" s="742" t="n">
        <f aca="false">N70</f>
        <v>0</v>
      </c>
    </row>
    <row r="115" customFormat="false" ht="15" hidden="false" customHeight="false" outlineLevel="0" collapsed="false">
      <c r="A115" s="1404" t="n">
        <f aca="false">Summary!BL92</f>
        <v>110023</v>
      </c>
      <c r="B115" s="2868" t="str">
        <f aca="false">Summary!BM92</f>
        <v>Labor Grade, Poly, Reinf.</v>
      </c>
      <c r="C115" s="318"/>
      <c r="D115" s="742" t="n">
        <f aca="false">K62</f>
        <v>0</v>
      </c>
    </row>
    <row r="116" customFormat="false" ht="15" hidden="false" customHeight="false" outlineLevel="0" collapsed="false">
      <c r="A116" s="1404" t="n">
        <f aca="false">Summary!BL93</f>
        <v>110024</v>
      </c>
      <c r="B116" s="2868" t="str">
        <f aca="false">Summary!BM93</f>
        <v>Labor Place &amp; Finish</v>
      </c>
      <c r="C116" s="318"/>
      <c r="D116" s="742" t="n">
        <f aca="false">K60</f>
        <v>0</v>
      </c>
    </row>
    <row r="117" customFormat="false" ht="15" hidden="false" customHeight="false" outlineLevel="0" collapsed="false">
      <c r="A117" s="1404" t="n">
        <f aca="false">Summary!BL94</f>
        <v>110025</v>
      </c>
      <c r="B117" s="2868" t="str">
        <f aca="false">Summary!BM94</f>
        <v>Labor Drops</v>
      </c>
      <c r="C117" s="318"/>
      <c r="D117" s="742" t="n">
        <f aca="false">K63</f>
        <v>0</v>
      </c>
    </row>
    <row r="118" customFormat="false" ht="15" hidden="false" customHeight="false" outlineLevel="0" collapsed="false">
      <c r="A118" s="1404" t="n">
        <f aca="false">Summary!BL95</f>
        <v>110026</v>
      </c>
      <c r="B118" s="2868" t="str">
        <f aca="false">Summary!BM95</f>
        <v>Labor Strip Forms</v>
      </c>
      <c r="C118" s="318"/>
      <c r="D118" s="742" t="n">
        <f aca="false">K61</f>
        <v>0</v>
      </c>
    </row>
    <row r="119" customFormat="false" ht="15" hidden="false" customHeight="false" outlineLevel="0" collapsed="false">
      <c r="A119" s="1404" t="n">
        <f aca="false">Summary!BL96</f>
        <v>110027</v>
      </c>
      <c r="B119" s="2868" t="str">
        <f aca="false">Summary!BM96</f>
        <v>Labor Burden</v>
      </c>
      <c r="C119" s="318"/>
      <c r="D119" s="742"/>
    </row>
    <row r="120" customFormat="false" ht="15" hidden="false" customHeight="false" outlineLevel="0" collapsed="false">
      <c r="A120" s="1404" t="n">
        <f aca="false">Summary!BL98</f>
        <v>110030</v>
      </c>
      <c r="B120" s="2868" t="str">
        <f aca="false">Summary!BM98</f>
        <v>Pumping</v>
      </c>
      <c r="C120" s="318"/>
      <c r="D120" s="742" t="n">
        <f aca="false">N82</f>
        <v>0</v>
      </c>
    </row>
    <row r="121" customFormat="false" ht="15" hidden="false" customHeight="false" outlineLevel="0" collapsed="false">
      <c r="A121" s="1404" t="n">
        <f aca="false">Summary!BL99</f>
        <v>110031</v>
      </c>
      <c r="B121" s="2868" t="str">
        <f aca="false">Summary!BM99</f>
        <v>Earth Work/Excavation</v>
      </c>
      <c r="C121" s="318"/>
      <c r="D121" s="742"/>
    </row>
    <row r="122" customFormat="false" ht="15" hidden="false" customHeight="false" outlineLevel="0" collapsed="false">
      <c r="A122" s="1404" t="n">
        <f aca="false">Summary!BL100</f>
        <v>110032</v>
      </c>
      <c r="B122" s="2868" t="str">
        <f aca="false">Summary!BM100</f>
        <v>Drilling</v>
      </c>
      <c r="C122" s="318"/>
      <c r="D122" s="742"/>
    </row>
    <row r="123" customFormat="false" ht="15" hidden="false" customHeight="false" outlineLevel="0" collapsed="false">
      <c r="A123" s="1404" t="n">
        <f aca="false">Summary!BL101</f>
        <v>110033</v>
      </c>
      <c r="B123" s="2868" t="str">
        <f aca="false">Summary!BM101</f>
        <v>Haul off</v>
      </c>
      <c r="C123" s="318"/>
      <c r="D123" s="742" t="n">
        <f aca="false">N83</f>
        <v>0</v>
      </c>
    </row>
    <row r="124" customFormat="false" ht="15" hidden="false" customHeight="false" outlineLevel="0" collapsed="false">
      <c r="A124" s="1404" t="n">
        <f aca="false">Summary!BL102</f>
        <v>110034</v>
      </c>
      <c r="B124" s="2868" t="str">
        <f aca="false">Summary!BM102</f>
        <v>Saw Cutting/Sealing</v>
      </c>
      <c r="C124" s="318"/>
      <c r="D124" s="742" t="n">
        <f aca="false">N79+N80+N81</f>
        <v>0</v>
      </c>
    </row>
    <row r="125" customFormat="false" ht="15" hidden="false" customHeight="false" outlineLevel="0" collapsed="false">
      <c r="A125" s="1404" t="n">
        <f aca="false">Summary!BL103</f>
        <v>110035</v>
      </c>
      <c r="B125" s="2868" t="str">
        <f aca="false">Summary!BM103</f>
        <v>Demolition</v>
      </c>
      <c r="C125" s="318"/>
      <c r="D125" s="742" t="n">
        <f aca="false">N84</f>
        <v>0</v>
      </c>
    </row>
    <row r="126" customFormat="false" ht="15" hidden="false" customHeight="false" outlineLevel="0" collapsed="false">
      <c r="A126" s="1404" t="n">
        <f aca="false">Summary!BL104</f>
        <v>110037</v>
      </c>
      <c r="B126" s="2868" t="str">
        <f aca="false">Summary!BM104</f>
        <v>Waterproofing</v>
      </c>
      <c r="C126" s="318"/>
      <c r="D126" s="742"/>
    </row>
    <row r="127" customFormat="false" ht="15" hidden="false" customHeight="false" outlineLevel="0" collapsed="false">
      <c r="A127" s="1404" t="n">
        <f aca="false">Summary!BL105</f>
        <v>110038</v>
      </c>
      <c r="B127" s="2868" t="str">
        <f aca="false">Summary!BM105</f>
        <v>Crain/Hoisting</v>
      </c>
      <c r="C127" s="318"/>
      <c r="D127" s="742"/>
    </row>
    <row r="128" customFormat="false" ht="15" hidden="false" customHeight="false" outlineLevel="0" collapsed="false">
      <c r="A128" s="1406" t="n">
        <f aca="false">Summary!BL106</f>
        <v>110039</v>
      </c>
      <c r="B128" s="2869" t="str">
        <f aca="false">Summary!BM106</f>
        <v>Forming Systems</v>
      </c>
      <c r="C128" s="800"/>
      <c r="D128" s="756" t="n">
        <f aca="false">N56</f>
        <v>0</v>
      </c>
    </row>
    <row r="129" customFormat="false" ht="15" hidden="false" customHeight="false" outlineLevel="0" collapsed="false">
      <c r="A129" s="2055" t="n">
        <f aca="false">Summary!BL107</f>
        <v>110040</v>
      </c>
      <c r="B129" s="2348" t="str">
        <f aca="false">Summary!BM107</f>
        <v>Total Sub Labor</v>
      </c>
      <c r="C129" s="2057"/>
      <c r="D129" s="2058" t="n">
        <f aca="false">SUM(D130:D137)</f>
        <v>0</v>
      </c>
    </row>
    <row r="130" customFormat="false" ht="15" hidden="false" customHeight="false" outlineLevel="0" collapsed="false">
      <c r="A130" s="1404" t="n">
        <f aca="false">Summary!BL108</f>
        <v>110041</v>
      </c>
      <c r="B130" s="2868" t="str">
        <f aca="false">Summary!BM108</f>
        <v>Labor Forming</v>
      </c>
      <c r="C130" s="318"/>
      <c r="D130" s="742" t="n">
        <f aca="false">N59</f>
        <v>0</v>
      </c>
    </row>
    <row r="131" customFormat="false" ht="15" hidden="false" customHeight="false" outlineLevel="0" collapsed="false">
      <c r="A131" s="1404" t="n">
        <f aca="false">Summary!BL109</f>
        <v>110042</v>
      </c>
      <c r="B131" s="2868" t="str">
        <f aca="false">Summary!BM109</f>
        <v>Labor Grade, Poly, Reinf.</v>
      </c>
      <c r="C131" s="318"/>
      <c r="D131" s="742"/>
    </row>
    <row r="132" customFormat="false" ht="15" hidden="false" customHeight="false" outlineLevel="0" collapsed="false">
      <c r="A132" s="1404" t="n">
        <f aca="false">Summary!BL110</f>
        <v>110043</v>
      </c>
      <c r="B132" s="2868" t="str">
        <f aca="false">Summary!BM110</f>
        <v>Labor Place &amp; Finish</v>
      </c>
      <c r="C132" s="318"/>
      <c r="D132" s="742" t="n">
        <f aca="false">N60</f>
        <v>0</v>
      </c>
    </row>
    <row r="133" customFormat="false" ht="15" hidden="false" customHeight="false" outlineLevel="0" collapsed="false">
      <c r="A133" s="1404" t="n">
        <f aca="false">Summary!BL111</f>
        <v>110044</v>
      </c>
      <c r="B133" s="2868" t="str">
        <f aca="false">Summary!BM111</f>
        <v>Labor Drops</v>
      </c>
      <c r="C133" s="318"/>
      <c r="D133" s="742" t="n">
        <f aca="false">N63</f>
        <v>0</v>
      </c>
    </row>
    <row r="134" customFormat="false" ht="15" hidden="false" customHeight="false" outlineLevel="0" collapsed="false">
      <c r="A134" s="1404" t="n">
        <f aca="false">Summary!BL112</f>
        <v>110045</v>
      </c>
      <c r="B134" s="2868" t="str">
        <f aca="false">Summary!BM112</f>
        <v>Labor Strip Forms</v>
      </c>
      <c r="C134" s="318"/>
      <c r="D134" s="742" t="n">
        <f aca="false">N61</f>
        <v>0</v>
      </c>
    </row>
    <row r="135" customFormat="false" ht="15" hidden="false" customHeight="false" outlineLevel="0" collapsed="false">
      <c r="A135" s="1404" t="n">
        <f aca="false">Summary!BL113</f>
        <v>110046</v>
      </c>
      <c r="B135" s="2868" t="str">
        <f aca="false">Summary!BM113</f>
        <v>Labor Burden</v>
      </c>
      <c r="C135" s="318"/>
      <c r="D135" s="742" t="n">
        <f aca="false">N62</f>
        <v>0</v>
      </c>
    </row>
    <row r="136" customFormat="false" ht="15" hidden="false" customHeight="false" outlineLevel="0" collapsed="false">
      <c r="A136" s="1404" t="n">
        <f aca="false">Summary!BL114</f>
        <v>110047</v>
      </c>
      <c r="B136" s="2868" t="str">
        <f aca="false">Summary!BM114</f>
        <v>Rebar</v>
      </c>
      <c r="C136" s="318"/>
      <c r="D136" s="742"/>
    </row>
    <row r="137" customFormat="false" ht="15" hidden="false" customHeight="false" outlineLevel="0" collapsed="false">
      <c r="A137" s="1406" t="n">
        <f aca="false">Summary!BL115</f>
        <v>110048</v>
      </c>
      <c r="B137" s="2869" t="str">
        <f aca="false">Summary!BM115</f>
        <v>PT Installation</v>
      </c>
      <c r="C137" s="800"/>
      <c r="D137" s="756"/>
    </row>
    <row r="138" customFormat="false" ht="15" hidden="false" customHeight="false" outlineLevel="0" collapsed="false">
      <c r="A138" s="1406" t="n">
        <f aca="false">Summary!BL116</f>
        <v>110049</v>
      </c>
      <c r="B138" s="2869" t="str">
        <f aca="false">Summary!BM116</f>
        <v>Extra Hours</v>
      </c>
      <c r="C138" s="800"/>
      <c r="D138" s="756" t="n">
        <f aca="false">N64</f>
        <v>0</v>
      </c>
    </row>
    <row r="139" customFormat="false" ht="15" hidden="false" customHeight="false" outlineLevel="0" collapsed="false">
      <c r="A139" s="2055" t="n">
        <f aca="false">Summary!BL117</f>
        <v>110060</v>
      </c>
      <c r="B139" s="2348" t="str">
        <f aca="false">Summary!BM117</f>
        <v>Total Equipment Rental</v>
      </c>
      <c r="C139" s="2057"/>
      <c r="D139" s="2058" t="n">
        <f aca="false">SUM(D140:D147)</f>
        <v>0</v>
      </c>
    </row>
    <row r="140" customFormat="false" ht="15" hidden="false" customHeight="false" outlineLevel="0" collapsed="false">
      <c r="A140" s="1404" t="n">
        <f aca="false">Summary!BL118</f>
        <v>110061</v>
      </c>
      <c r="B140" s="2868" t="str">
        <f aca="false">Summary!BM118</f>
        <v>SkyTrack</v>
      </c>
      <c r="C140" s="318"/>
      <c r="D140" s="742" t="n">
        <f aca="false">N74</f>
        <v>0</v>
      </c>
    </row>
    <row r="141" customFormat="false" ht="15" hidden="false" customHeight="false" outlineLevel="0" collapsed="false">
      <c r="A141" s="1404" t="n">
        <f aca="false">Summary!BL119</f>
        <v>110062</v>
      </c>
      <c r="B141" s="2868" t="str">
        <f aca="false">Summary!BM119</f>
        <v>Mini Excavator</v>
      </c>
      <c r="C141" s="318"/>
      <c r="D141" s="742" t="n">
        <f aca="false">N73</f>
        <v>0</v>
      </c>
    </row>
    <row r="142" customFormat="false" ht="15" hidden="false" customHeight="false" outlineLevel="0" collapsed="false">
      <c r="A142" s="1404" t="n">
        <f aca="false">Summary!BL120</f>
        <v>110063</v>
      </c>
      <c r="B142" s="2868" t="str">
        <f aca="false">Summary!BM120</f>
        <v>Trencher</v>
      </c>
      <c r="C142" s="318"/>
      <c r="D142" s="742" t="n">
        <f aca="false">N72+N76+N75+N77</f>
        <v>0</v>
      </c>
    </row>
    <row r="143" customFormat="false" ht="15" hidden="false" customHeight="false" outlineLevel="0" collapsed="false">
      <c r="A143" s="1404" t="n">
        <f aca="false">Summary!BL121</f>
        <v>110064</v>
      </c>
      <c r="B143" s="2868" t="str">
        <f aca="false">Summary!BM121</f>
        <v>Skid Steer</v>
      </c>
      <c r="C143" s="318"/>
      <c r="D143" s="742"/>
    </row>
    <row r="144" customFormat="false" ht="15" hidden="false" customHeight="false" outlineLevel="0" collapsed="false">
      <c r="A144" s="1404" t="n">
        <f aca="false">Summary!BL122</f>
        <v>110065</v>
      </c>
      <c r="B144" s="2868" t="str">
        <f aca="false">Summary!BM122</f>
        <v>General Equipment Rental</v>
      </c>
      <c r="C144" s="318"/>
      <c r="D144" s="742"/>
    </row>
    <row r="145" customFormat="false" ht="15" hidden="false" customHeight="false" outlineLevel="0" collapsed="false">
      <c r="A145" s="1404" t="n">
        <f aca="false">Summary!BL123</f>
        <v>110066</v>
      </c>
      <c r="B145" s="2868" t="str">
        <f aca="false">Summary!BM123</f>
        <v>Fuel</v>
      </c>
      <c r="C145" s="318"/>
      <c r="D145" s="742"/>
    </row>
    <row r="146" customFormat="false" ht="15" hidden="false" customHeight="false" outlineLevel="0" collapsed="false">
      <c r="A146" s="1404" t="n">
        <f aca="false">Summary!BL124</f>
        <v>110067</v>
      </c>
      <c r="B146" s="2868" t="str">
        <f aca="false">Summary!BM124</f>
        <v>Purchased Tools</v>
      </c>
      <c r="C146" s="318"/>
      <c r="D146" s="742"/>
    </row>
    <row r="147" customFormat="false" ht="15" hidden="false" customHeight="false" outlineLevel="0" collapsed="false">
      <c r="A147" s="1404" t="n">
        <f aca="false">Summary!BL125</f>
        <v>110068</v>
      </c>
      <c r="B147" s="2868" t="str">
        <f aca="false">Summary!BM125</f>
        <v>Stolen/Damaged</v>
      </c>
      <c r="C147" s="318"/>
      <c r="D147" s="742"/>
    </row>
    <row r="148" customFormat="false" ht="15" hidden="false" customHeight="false" outlineLevel="0" collapsed="false">
      <c r="A148" s="1404" t="n">
        <f aca="false">Summary!BL126</f>
        <v>110070</v>
      </c>
      <c r="B148" s="2868" t="str">
        <f aca="false">Summary!BM126</f>
        <v>Out of Town Expense</v>
      </c>
      <c r="C148" s="318"/>
      <c r="D148" s="742" t="n">
        <f aca="false">N86</f>
        <v>0</v>
      </c>
    </row>
    <row r="149" customFormat="false" ht="15" hidden="false" customHeight="false" outlineLevel="0" collapsed="false">
      <c r="A149" s="1404" t="n">
        <f aca="false">Summary!BL127</f>
        <v>110071</v>
      </c>
      <c r="B149" s="2868" t="str">
        <f aca="false">Summary!BM127</f>
        <v>Miscellaneous</v>
      </c>
      <c r="C149" s="318"/>
      <c r="D149" s="742" t="n">
        <f aca="false">N87+N85</f>
        <v>0</v>
      </c>
    </row>
    <row r="150" customFormat="false" ht="15" hidden="false" customHeight="false" outlineLevel="0" collapsed="false">
      <c r="A150" s="1404" t="n">
        <f aca="false">Summary!BL128</f>
        <v>110072</v>
      </c>
      <c r="B150" s="2868" t="str">
        <f aca="false">Summary!BM128</f>
        <v>Repairs</v>
      </c>
      <c r="C150" s="318"/>
      <c r="D150" s="742"/>
    </row>
    <row r="151" customFormat="false" ht="15" hidden="false" customHeight="false" outlineLevel="0" collapsed="false">
      <c r="A151" s="1404" t="n">
        <f aca="false">Summary!BL129</f>
        <v>110073</v>
      </c>
      <c r="B151" s="2868" t="str">
        <f aca="false">Summary!BM129</f>
        <v>Engineering</v>
      </c>
      <c r="C151" s="318"/>
      <c r="D151" s="742"/>
    </row>
    <row r="152" customFormat="false" ht="15" hidden="false" customHeight="false" outlineLevel="0" collapsed="false">
      <c r="A152" s="1404" t="n">
        <f aca="false">Summary!BL130</f>
        <v>110090</v>
      </c>
      <c r="B152" s="2868" t="str">
        <f aca="false">Summary!BM130</f>
        <v>Not Used</v>
      </c>
      <c r="C152" s="318"/>
      <c r="D152" s="742"/>
    </row>
    <row r="153" customFormat="false" ht="15" hidden="false" customHeight="false" outlineLevel="0" collapsed="false">
      <c r="A153" s="1404" t="n">
        <f aca="false">Summary!BL131</f>
        <v>110091</v>
      </c>
      <c r="B153" s="2868" t="str">
        <f aca="false">Summary!BM131</f>
        <v>Margin Contingency</v>
      </c>
      <c r="C153" s="318"/>
      <c r="D153" s="742" t="n">
        <f aca="false">N88</f>
        <v>0</v>
      </c>
    </row>
  </sheetData>
  <mergeCells count="206">
    <mergeCell ref="U1:V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A8:B9"/>
    <mergeCell ref="C8:D9"/>
    <mergeCell ref="E8:E9"/>
    <mergeCell ref="F8:F9"/>
    <mergeCell ref="G8:G9"/>
    <mergeCell ref="H8:H9"/>
    <mergeCell ref="I8:I9"/>
    <mergeCell ref="J8:L8"/>
    <mergeCell ref="M8:O8"/>
    <mergeCell ref="P8:P9"/>
    <mergeCell ref="Q8:Q9"/>
    <mergeCell ref="R8:R9"/>
    <mergeCell ref="S8:S9"/>
    <mergeCell ref="T8:T9"/>
    <mergeCell ref="U8:V9"/>
    <mergeCell ref="BO8:BS8"/>
    <mergeCell ref="U10:V10"/>
    <mergeCell ref="U11:V11"/>
    <mergeCell ref="U12:V12"/>
    <mergeCell ref="U13:V13"/>
    <mergeCell ref="U14:V14"/>
    <mergeCell ref="U15:V15"/>
    <mergeCell ref="U16:V16"/>
    <mergeCell ref="U17:V17"/>
    <mergeCell ref="U18:V18"/>
    <mergeCell ref="U19:V19"/>
    <mergeCell ref="U20:V20"/>
    <mergeCell ref="U21:V21"/>
    <mergeCell ref="U22:V22"/>
    <mergeCell ref="U23:V23"/>
    <mergeCell ref="U24:V24"/>
    <mergeCell ref="U25:V25"/>
    <mergeCell ref="U26:V26"/>
    <mergeCell ref="U27:V27"/>
    <mergeCell ref="U28:V28"/>
    <mergeCell ref="U29:V29"/>
    <mergeCell ref="U30:V30"/>
    <mergeCell ref="U31:V31"/>
    <mergeCell ref="C32:D32"/>
    <mergeCell ref="U32:V32"/>
    <mergeCell ref="T33:U33"/>
    <mergeCell ref="D34:E34"/>
    <mergeCell ref="A35:C35"/>
    <mergeCell ref="D35:E35"/>
    <mergeCell ref="F35:H35"/>
    <mergeCell ref="I35:K35"/>
    <mergeCell ref="L35:M35"/>
    <mergeCell ref="B36:C36"/>
    <mergeCell ref="D36:E36"/>
    <mergeCell ref="G36:H36"/>
    <mergeCell ref="I36:K36"/>
    <mergeCell ref="L36:O36"/>
    <mergeCell ref="T36:U36"/>
    <mergeCell ref="D37:E37"/>
    <mergeCell ref="T37:U37"/>
    <mergeCell ref="C38:D38"/>
    <mergeCell ref="E38:F38"/>
    <mergeCell ref="J38:K38"/>
    <mergeCell ref="M38:N38"/>
    <mergeCell ref="T38:U38"/>
    <mergeCell ref="N39:O39"/>
    <mergeCell ref="B43:J43"/>
    <mergeCell ref="K43:L43"/>
    <mergeCell ref="Q43:R43"/>
    <mergeCell ref="H44:I50"/>
    <mergeCell ref="J44:J50"/>
    <mergeCell ref="K44:L44"/>
    <mergeCell ref="N44:O44"/>
    <mergeCell ref="K45:L45"/>
    <mergeCell ref="N45:O45"/>
    <mergeCell ref="K46:L46"/>
    <mergeCell ref="N46:O46"/>
    <mergeCell ref="K47:L47"/>
    <mergeCell ref="N47:O47"/>
    <mergeCell ref="K48:L48"/>
    <mergeCell ref="N48:O48"/>
    <mergeCell ref="K49:L49"/>
    <mergeCell ref="N49:O49"/>
    <mergeCell ref="K50:L50"/>
    <mergeCell ref="N50:O50"/>
    <mergeCell ref="H51:I51"/>
    <mergeCell ref="K51:L51"/>
    <mergeCell ref="N51:O51"/>
    <mergeCell ref="H52:I52"/>
    <mergeCell ref="K52:L52"/>
    <mergeCell ref="N52:O52"/>
    <mergeCell ref="N53:O53"/>
    <mergeCell ref="H54:I55"/>
    <mergeCell ref="J54:J55"/>
    <mergeCell ref="K54:L54"/>
    <mergeCell ref="N54:O54"/>
    <mergeCell ref="K55:L55"/>
    <mergeCell ref="N55:O55"/>
    <mergeCell ref="H56:I56"/>
    <mergeCell ref="K56:L56"/>
    <mergeCell ref="N56:O56"/>
    <mergeCell ref="K58:L58"/>
    <mergeCell ref="M58:O58"/>
    <mergeCell ref="D59:E59"/>
    <mergeCell ref="G59:G61"/>
    <mergeCell ref="H59:I61"/>
    <mergeCell ref="K59:L59"/>
    <mergeCell ref="N59:O59"/>
    <mergeCell ref="D60:E60"/>
    <mergeCell ref="K60:L60"/>
    <mergeCell ref="N60:O60"/>
    <mergeCell ref="D61:E61"/>
    <mergeCell ref="K61:L61"/>
    <mergeCell ref="N61:O61"/>
    <mergeCell ref="D62:E62"/>
    <mergeCell ref="H62:I62"/>
    <mergeCell ref="K62:L62"/>
    <mergeCell ref="N62:O62"/>
    <mergeCell ref="D63:E63"/>
    <mergeCell ref="H63:I63"/>
    <mergeCell ref="K63:L63"/>
    <mergeCell ref="N63:O63"/>
    <mergeCell ref="D64:E64"/>
    <mergeCell ref="K64:L64"/>
    <mergeCell ref="N64:O64"/>
    <mergeCell ref="D65:E65"/>
    <mergeCell ref="H65:J65"/>
    <mergeCell ref="K65:L65"/>
    <mergeCell ref="N65:O65"/>
    <mergeCell ref="A66:O66"/>
    <mergeCell ref="L67:M67"/>
    <mergeCell ref="N67:O67"/>
    <mergeCell ref="L68:M68"/>
    <mergeCell ref="N68:O68"/>
    <mergeCell ref="N69:O69"/>
    <mergeCell ref="L70:M70"/>
    <mergeCell ref="N70:O70"/>
    <mergeCell ref="A71:O71"/>
    <mergeCell ref="A72:C72"/>
    <mergeCell ref="N72:O72"/>
    <mergeCell ref="A73:C73"/>
    <mergeCell ref="I73:J73"/>
    <mergeCell ref="L73:M73"/>
    <mergeCell ref="N73:O73"/>
    <mergeCell ref="A74:C74"/>
    <mergeCell ref="I74:J75"/>
    <mergeCell ref="L74:M74"/>
    <mergeCell ref="N74:O74"/>
    <mergeCell ref="A75:C75"/>
    <mergeCell ref="N75:O75"/>
    <mergeCell ref="A76:C76"/>
    <mergeCell ref="N76:O76"/>
    <mergeCell ref="A77:C77"/>
    <mergeCell ref="N77:O77"/>
    <mergeCell ref="A78:O78"/>
    <mergeCell ref="A79:C79"/>
    <mergeCell ref="I79:J79"/>
    <mergeCell ref="N79:O79"/>
    <mergeCell ref="A80:C80"/>
    <mergeCell ref="I80:J81"/>
    <mergeCell ref="K80:K81"/>
    <mergeCell ref="N80:O80"/>
    <mergeCell ref="A81:C81"/>
    <mergeCell ref="N81:O81"/>
    <mergeCell ref="N82:O82"/>
    <mergeCell ref="A83:C83"/>
    <mergeCell ref="N83:O83"/>
    <mergeCell ref="N84:O84"/>
    <mergeCell ref="A85:C85"/>
    <mergeCell ref="N85:O85"/>
    <mergeCell ref="A86:C86"/>
    <mergeCell ref="N86:O86"/>
    <mergeCell ref="Q86:R86"/>
    <mergeCell ref="A87:C87"/>
    <mergeCell ref="N87:O87"/>
    <mergeCell ref="U87:V87"/>
    <mergeCell ref="A88:C88"/>
    <mergeCell ref="F88:G88"/>
    <mergeCell ref="N88:O88"/>
    <mergeCell ref="U88:V88"/>
    <mergeCell ref="A91:C91"/>
    <mergeCell ref="D91:E91"/>
    <mergeCell ref="F91:H91"/>
    <mergeCell ref="L91:M91"/>
    <mergeCell ref="B92:C92"/>
    <mergeCell ref="D92:E92"/>
    <mergeCell ref="G92:H92"/>
    <mergeCell ref="I92:K92"/>
    <mergeCell ref="T92:U92"/>
  </mergeCells>
  <conditionalFormatting sqref="K43:L43">
    <cfRule type="containsText" priority="2" operator="containsText" aboveAverage="0" equalAverage="0" bottom="0" percent="0" rank="0" text="Missing" dxfId="19">
      <formula>NOT(ISERROR(SEARCH("Missing",K43)))</formula>
    </cfRule>
  </conditionalFormatting>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42" man="true" max="16383" min="0"/>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A1:BH102"/>
  <sheetViews>
    <sheetView showFormulas="false" showGridLines="true" showRowColHeaders="true" showZeros="true" rightToLeft="false" tabSelected="false" showOutlineSymbols="true" defaultGridColor="true" view="normal" topLeftCell="A1" colorId="64" zoomScale="85" zoomScaleNormal="85" zoomScalePageLayoutView="80" workbookViewId="0">
      <selection pane="topLeft" activeCell="H18" activeCellId="0" sqref="H18"/>
    </sheetView>
  </sheetViews>
  <sheetFormatPr defaultColWidth="9.18359375" defaultRowHeight="15" customHeight="false" zeroHeight="false" outlineLevelRow="0" outlineLevelCol="0"/>
  <cols>
    <col collapsed="false" customWidth="false" hidden="false" outlineLevel="0" max="1" min="1" style="16" width="9.18"/>
    <col collapsed="false" customWidth="true" hidden="false" outlineLevel="0" max="2" min="2" style="16" width="8"/>
    <col collapsed="false" customWidth="true" hidden="false" outlineLevel="0" max="3" min="3" style="16" width="7"/>
    <col collapsed="false" customWidth="true" hidden="false" outlineLevel="0" max="4" min="4" style="16" width="16.54"/>
    <col collapsed="false" customWidth="true" hidden="false" outlineLevel="0" max="5" min="5" style="16" width="14.82"/>
    <col collapsed="false" customWidth="false" hidden="false" outlineLevel="0" max="6" min="6" style="16" width="9.18"/>
    <col collapsed="false" customWidth="true" hidden="false" outlineLevel="0" max="7" min="7" style="16" width="11.54"/>
    <col collapsed="false" customWidth="true" hidden="false" outlineLevel="0" max="8" min="8" style="16" width="12.82"/>
    <col collapsed="false" customWidth="true" hidden="false" outlineLevel="0" max="9" min="9" style="405" width="6"/>
    <col collapsed="false" customWidth="true" hidden="false" outlineLevel="0" max="10" min="10" style="16" width="13.18"/>
    <col collapsed="false" customWidth="true" hidden="false" outlineLevel="0" max="11" min="11" style="16" width="12"/>
    <col collapsed="false" customWidth="true" hidden="false" outlineLevel="0" max="12" min="12" style="16" width="9.82"/>
    <col collapsed="false" customWidth="true" hidden="false" outlineLevel="0" max="14" min="13" style="16" width="11.82"/>
    <col collapsed="false" customWidth="true" hidden="false" outlineLevel="0" max="15" min="15" style="16" width="11"/>
    <col collapsed="false" customWidth="true" hidden="false" outlineLevel="0" max="16" min="16" style="16" width="10.18"/>
    <col collapsed="false" customWidth="true" hidden="false" outlineLevel="0" max="22" min="17" style="16" width="13.82"/>
    <col collapsed="false" customWidth="true" hidden="false" outlineLevel="0" max="23" min="23" style="16" width="15.18"/>
    <col collapsed="false" customWidth="true" hidden="false" outlineLevel="0" max="24" min="24" style="16" width="6.82"/>
    <col collapsed="false" customWidth="true" hidden="false" outlineLevel="0" max="25" min="25" style="16" width="9.82"/>
    <col collapsed="false" customWidth="true" hidden="false" outlineLevel="0" max="26" min="26" style="16" width="10.18"/>
    <col collapsed="false" customWidth="false" hidden="true" outlineLevel="0" max="38" min="27" style="16" width="9.18"/>
    <col collapsed="false" customWidth="true" hidden="true" outlineLevel="0" max="39" min="39" style="16" width="23.45"/>
    <col collapsed="false" customWidth="false" hidden="true" outlineLevel="0" max="42" min="40" style="16" width="9.18"/>
    <col collapsed="false" customWidth="true" hidden="true" outlineLevel="0" max="43" min="43" style="16" width="39.54"/>
    <col collapsed="false" customWidth="false" hidden="true" outlineLevel="0" max="44" min="44" style="16" width="9.18"/>
    <col collapsed="false" customWidth="true" hidden="true" outlineLevel="0" max="45" min="45" style="16" width="13.82"/>
    <col collapsed="false" customWidth="true" hidden="true" outlineLevel="0" max="46" min="46" style="16" width="11.82"/>
    <col collapsed="false" customWidth="true" hidden="true" outlineLevel="0" max="47" min="47" style="16" width="31"/>
    <col collapsed="false" customWidth="true" hidden="true" outlineLevel="0" max="48" min="48" style="16" width="11"/>
    <col collapsed="false" customWidth="true" hidden="true" outlineLevel="0" max="49" min="49" style="16" width="15.82"/>
    <col collapsed="false" customWidth="true" hidden="true" outlineLevel="0" max="50" min="50" style="16" width="11.53"/>
    <col collapsed="false" customWidth="true" hidden="true" outlineLevel="0" max="51" min="51" style="16" width="15.82"/>
    <col collapsed="false" customWidth="true" hidden="true" outlineLevel="0" max="52" min="52" style="16" width="11.53"/>
    <col collapsed="false" customWidth="true" hidden="true" outlineLevel="0" max="53" min="53" style="16" width="15.82"/>
    <col collapsed="false" customWidth="true" hidden="true" outlineLevel="0" max="54" min="54" style="16" width="11.53"/>
    <col collapsed="false" customWidth="true" hidden="true" outlineLevel="0" max="55" min="55" style="16" width="15.82"/>
    <col collapsed="false" customWidth="true" hidden="true" outlineLevel="0" max="56" min="56" style="16" width="11.53"/>
    <col collapsed="false" customWidth="true" hidden="true" outlineLevel="0" max="57" min="57" style="16" width="14.82"/>
    <col collapsed="false" customWidth="true" hidden="true" outlineLevel="0" max="58" min="58" style="16" width="11.53"/>
    <col collapsed="false" customWidth="true" hidden="true" outlineLevel="0" max="59" min="59" style="16" width="16.82"/>
    <col collapsed="false" customWidth="true" hidden="true" outlineLevel="0" max="60" min="60" style="16" width="11"/>
    <col collapsed="false" customWidth="false" hidden="false" outlineLevel="0" max="16384" min="61" style="16" width="9.18"/>
  </cols>
  <sheetData>
    <row r="1" customFormat="false" ht="18" hidden="false" customHeight="true" outlineLevel="0" collapsed="false">
      <c r="B1" s="710" t="s">
        <v>1355</v>
      </c>
      <c r="C1" s="1068"/>
      <c r="D1" s="1068"/>
      <c r="E1" s="1068"/>
      <c r="F1" s="1068"/>
      <c r="G1" s="614"/>
      <c r="H1" s="614"/>
      <c r="I1" s="1462"/>
      <c r="J1" s="614"/>
      <c r="K1" s="614"/>
      <c r="L1" s="614"/>
      <c r="M1" s="614"/>
      <c r="N1" s="614"/>
      <c r="O1" s="614"/>
      <c r="P1" s="614"/>
      <c r="Q1" s="614"/>
      <c r="R1" s="614"/>
      <c r="S1" s="614"/>
      <c r="T1" s="614"/>
      <c r="U1" s="1197" t="s">
        <v>1193</v>
      </c>
      <c r="V1" s="1197"/>
      <c r="W1" s="1197"/>
      <c r="X1" s="2870"/>
      <c r="Y1" s="2870"/>
      <c r="Z1" s="654"/>
      <c r="AA1" s="654"/>
      <c r="AI1" s="16" t="s">
        <v>55</v>
      </c>
    </row>
    <row r="2" customFormat="false" ht="18" hidden="false" customHeight="true" outlineLevel="0" collapsed="false">
      <c r="B2" s="1200" t="str">
        <f aca="false">Summary!C1</f>
        <v>Trammell Crow – LBJ</v>
      </c>
      <c r="C2" s="1200"/>
      <c r="D2" s="1200"/>
      <c r="E2" s="1200"/>
      <c r="F2" s="2871"/>
      <c r="G2" s="654"/>
      <c r="H2" s="836"/>
      <c r="I2" s="695"/>
      <c r="J2" s="1419" t="s">
        <v>56</v>
      </c>
      <c r="K2" s="1068"/>
      <c r="L2" s="1202" t="s">
        <v>57</v>
      </c>
      <c r="M2" s="1068"/>
      <c r="N2" s="1068"/>
      <c r="O2" s="1068"/>
      <c r="P2" s="2015" t="s">
        <v>1</v>
      </c>
      <c r="Q2" s="2015"/>
      <c r="R2" s="1203" t="s">
        <v>1194</v>
      </c>
      <c r="S2" s="1203"/>
      <c r="T2" s="654"/>
      <c r="U2" s="836" t="s">
        <v>957</v>
      </c>
      <c r="V2" s="695"/>
      <c r="W2" s="695"/>
      <c r="X2" s="837" t="n">
        <f aca="false">Information!C7</f>
        <v>0</v>
      </c>
      <c r="Y2" s="838"/>
      <c r="Z2" s="654"/>
      <c r="AA2" s="654"/>
      <c r="AI2" s="16" t="s">
        <v>2</v>
      </c>
      <c r="AJ2" s="16" t="n">
        <v>0</v>
      </c>
    </row>
    <row r="3" customFormat="false" ht="18" hidden="false" customHeight="true" outlineLevel="0" collapsed="false">
      <c r="B3" s="1204" t="n">
        <f aca="false">Summary!C2</f>
        <v>0</v>
      </c>
      <c r="C3" s="1204"/>
      <c r="D3" s="1204"/>
      <c r="E3" s="1204"/>
      <c r="F3" s="2871"/>
      <c r="G3" s="654"/>
      <c r="H3" s="599"/>
      <c r="J3" s="833" t="s">
        <v>955</v>
      </c>
      <c r="K3" s="2872" t="n">
        <f aca="false">Summary!K2</f>
        <v>0</v>
      </c>
      <c r="L3" s="2872"/>
      <c r="M3" s="2872"/>
      <c r="N3" s="2872"/>
      <c r="O3" s="2872"/>
      <c r="P3" s="1878" t="n">
        <f aca="false">Summary!O2</f>
        <v>0</v>
      </c>
      <c r="Q3" s="1878"/>
      <c r="R3" s="2144" t="n">
        <f aca="false">Summary!P2</f>
        <v>0</v>
      </c>
      <c r="S3" s="2144"/>
      <c r="T3" s="654"/>
      <c r="U3" s="599"/>
      <c r="Y3" s="843"/>
      <c r="Z3" s="654"/>
      <c r="AA3" s="654"/>
      <c r="AI3" s="16" t="s">
        <v>1051</v>
      </c>
      <c r="AJ3" s="16" t="n">
        <v>0</v>
      </c>
    </row>
    <row r="4" customFormat="false" ht="18" hidden="false" customHeight="true" outlineLevel="0" collapsed="false">
      <c r="B4" s="1208" t="str">
        <f aca="false">Summary!C3</f>
        <v>Dallas, TX</v>
      </c>
      <c r="C4" s="1208"/>
      <c r="D4" s="1208"/>
      <c r="E4" s="1208"/>
      <c r="F4" s="2871"/>
      <c r="G4" s="654"/>
      <c r="H4" s="599"/>
      <c r="J4" s="833" t="s">
        <v>71</v>
      </c>
      <c r="K4" s="2873" t="n">
        <f aca="false">Summary!K3</f>
        <v>0</v>
      </c>
      <c r="L4" s="2873"/>
      <c r="M4" s="2873"/>
      <c r="N4" s="2873"/>
      <c r="O4" s="2873"/>
      <c r="P4" s="1881" t="n">
        <f aca="false">Summary!O3</f>
        <v>0</v>
      </c>
      <c r="Q4" s="1881"/>
      <c r="R4" s="2145" t="n">
        <f aca="false">Summary!P3</f>
        <v>0</v>
      </c>
      <c r="S4" s="2145"/>
      <c r="T4" s="654"/>
      <c r="U4" s="599" t="s">
        <v>958</v>
      </c>
      <c r="X4" s="848"/>
      <c r="Y4" s="849"/>
      <c r="Z4" s="654"/>
      <c r="AA4" s="654"/>
      <c r="AI4" s="16" t="s">
        <v>1052</v>
      </c>
      <c r="AJ4" s="16" t="n">
        <v>0</v>
      </c>
    </row>
    <row r="5" customFormat="false" ht="18" hidden="false" customHeight="true" outlineLevel="0" collapsed="false">
      <c r="B5" s="1041" t="s">
        <v>0</v>
      </c>
      <c r="D5" s="405" t="s">
        <v>1</v>
      </c>
      <c r="F5" s="16" t="n">
        <f aca="false">4*85*5*4</f>
        <v>6800</v>
      </c>
      <c r="G5" s="654"/>
      <c r="H5" s="599"/>
      <c r="J5" s="833" t="s">
        <v>79</v>
      </c>
      <c r="K5" s="2873" t="n">
        <f aca="false">Summary!K4</f>
        <v>0</v>
      </c>
      <c r="L5" s="2873"/>
      <c r="M5" s="2873"/>
      <c r="N5" s="2873"/>
      <c r="O5" s="2873"/>
      <c r="P5" s="1881" t="n">
        <f aca="false">Summary!O4</f>
        <v>0</v>
      </c>
      <c r="Q5" s="1881"/>
      <c r="R5" s="2145" t="n">
        <f aca="false">Summary!P4</f>
        <v>0</v>
      </c>
      <c r="S5" s="2145"/>
      <c r="T5" s="654"/>
      <c r="U5" s="599"/>
      <c r="Y5" s="843"/>
      <c r="Z5" s="654"/>
      <c r="AA5" s="654"/>
      <c r="AI5" s="16" t="s">
        <v>1055</v>
      </c>
      <c r="AJ5" s="16" t="s">
        <v>1950</v>
      </c>
      <c r="AN5" s="16" t="s">
        <v>860</v>
      </c>
    </row>
    <row r="6" customFormat="false" ht="18" hidden="false" customHeight="true" outlineLevel="0" collapsed="false">
      <c r="B6" s="1211" t="n">
        <v>0</v>
      </c>
      <c r="C6" s="654"/>
      <c r="D6" s="851" t="n">
        <v>0</v>
      </c>
      <c r="E6" s="851"/>
      <c r="F6" s="2874"/>
      <c r="G6" s="654"/>
      <c r="H6" s="602"/>
      <c r="I6" s="855"/>
      <c r="J6" s="2351" t="s">
        <v>87</v>
      </c>
      <c r="K6" s="2875" t="n">
        <f aca="false">Summary!K5</f>
        <v>0</v>
      </c>
      <c r="L6" s="2875"/>
      <c r="M6" s="2875"/>
      <c r="N6" s="2875"/>
      <c r="O6" s="2875"/>
      <c r="P6" s="2147" t="n">
        <f aca="false">Summary!O5</f>
        <v>0</v>
      </c>
      <c r="Q6" s="2147"/>
      <c r="R6" s="2148" t="n">
        <f aca="false">Summary!P5</f>
        <v>0</v>
      </c>
      <c r="S6" s="2148"/>
      <c r="T6" s="654"/>
      <c r="U6" s="602" t="s">
        <v>958</v>
      </c>
      <c r="V6" s="855"/>
      <c r="W6" s="855"/>
      <c r="X6" s="855"/>
      <c r="Y6" s="856"/>
      <c r="Z6" s="654"/>
      <c r="AA6" s="654"/>
    </row>
    <row r="7" customFormat="false" ht="18" hidden="false" customHeight="true" outlineLevel="0" collapsed="false">
      <c r="B7" s="1214" t="n">
        <v>0</v>
      </c>
      <c r="C7" s="654"/>
      <c r="D7" s="1215" t="n">
        <v>0</v>
      </c>
      <c r="E7" s="1215"/>
      <c r="F7" s="2874"/>
      <c r="G7" s="654"/>
      <c r="H7" s="2876" t="s">
        <v>1196</v>
      </c>
      <c r="I7" s="2876"/>
      <c r="J7" s="2876"/>
      <c r="K7" s="2876"/>
      <c r="L7" s="933" t="str">
        <f aca="false">Pricing!A3</f>
        <v>SRM</v>
      </c>
      <c r="M7" s="933"/>
      <c r="N7" s="933"/>
      <c r="O7" s="933"/>
      <c r="P7" s="933"/>
      <c r="T7" s="1068"/>
      <c r="Y7" s="1068"/>
      <c r="Z7" s="654"/>
      <c r="AA7" s="654"/>
      <c r="AI7" s="16" t="n">
        <v>0</v>
      </c>
      <c r="AJ7" s="16" t="s">
        <v>1951</v>
      </c>
      <c r="AN7" s="16" t="e">
        <f aca="false">'04-PT Slab on Grade'!GI7+'02-Gd Beams'!AK7+'09-SLAB ON DECK'!AI7+'10-PAVING'!AH7+'01-Piers'!AN7+#ref!</f>
        <v>#NAME?</v>
      </c>
      <c r="AU7" s="1830"/>
      <c r="AV7" s="2877" t="s">
        <v>1952</v>
      </c>
      <c r="AW7" s="1832" t="n">
        <f aca="false">SUM(AW10:AW40)</f>
        <v>0</v>
      </c>
      <c r="AX7" s="2878" t="s">
        <v>1953</v>
      </c>
      <c r="AY7" s="1832" t="n">
        <f aca="false">SUM(AY10:AY40)</f>
        <v>0</v>
      </c>
      <c r="AZ7" s="2878" t="s">
        <v>1652</v>
      </c>
      <c r="BA7" s="1832" t="n">
        <f aca="false">SUM(BA10:BA40)</f>
        <v>0</v>
      </c>
      <c r="BB7" s="2878" t="s">
        <v>1653</v>
      </c>
      <c r="BC7" s="1832" t="n">
        <f aca="false">SUM(BC10:BC40)</f>
        <v>0</v>
      </c>
      <c r="BD7" s="2878" t="s">
        <v>1954</v>
      </c>
      <c r="BE7" s="1832" t="n">
        <f aca="false">SUM(BE10:BE40)</f>
        <v>0</v>
      </c>
      <c r="BF7" s="2878" t="s">
        <v>1955</v>
      </c>
      <c r="BG7" s="1832" t="n">
        <f aca="false">SUM(BG10:BG40)</f>
        <v>0</v>
      </c>
      <c r="BH7" s="525" t="n">
        <f aca="false">SUM(AW7:BG8)</f>
        <v>0</v>
      </c>
    </row>
    <row r="8" customFormat="false" ht="40.5" hidden="false" customHeight="true" outlineLevel="0" collapsed="false">
      <c r="B8" s="2489" t="s">
        <v>1956</v>
      </c>
      <c r="C8" s="2489"/>
      <c r="D8" s="2489"/>
      <c r="E8" s="2879" t="n">
        <v>1</v>
      </c>
      <c r="F8" s="2880"/>
      <c r="G8" s="2880"/>
      <c r="H8" s="2881"/>
      <c r="I8" s="2881"/>
      <c r="J8" s="2882" t="str">
        <f aca="false">IF(E8=1,Pricing!F$2,IF(E8=2,Pricing!G$2,IF(E8=3,Pricing!H$2,IF(E8=4,Pricing!I$2,IF(E8=5,Pricing!J$2,IF(E8=6,Pricing!K$2,0))))))</f>
        <v>3,000 PSI 5sk /Ash and Air</v>
      </c>
      <c r="K8" s="2882"/>
      <c r="L8" s="2882"/>
      <c r="M8" s="2883" t="n">
        <f aca="false">IF(E8=1,Pricing!F$3,IF(E8=2,Pricing!G$3,IF(E8=3,Pricing!H$3,IF(E8=4,Pricing!I$3,IF(E8=5,Pricing!J$3,IF(E8=6,Pricing!K$3,0))))))</f>
        <v>134</v>
      </c>
      <c r="N8" s="2494" t="s">
        <v>1957</v>
      </c>
      <c r="O8" s="2494"/>
      <c r="P8" s="2494"/>
      <c r="Q8" s="2884" t="n">
        <v>1</v>
      </c>
      <c r="R8" s="2882" t="str">
        <f aca="false">IF(Q8=1,Pricing!F$2,IF(Q8=2,Pricing!G$2,IF(Q8=3,Pricing!H$2,IF(Q8=4,Pricing!I$2,IF(Q8=5,Pricing!J$2,IF(Q8=6,Pricing!K$2,0))))))</f>
        <v>3,000 PSI 5sk /Ash and Air</v>
      </c>
      <c r="S8" s="2882"/>
      <c r="T8" s="2882"/>
      <c r="U8" s="2885" t="n">
        <f aca="false">IF(Q8=1,Pricing!F$3,IF(Q8=2,Pricing!G$3,IF(Q8=3,Pricing!H$3,IF(Q8=4,Pricing!I$3,IF(Q8=5,Pricing!J$3,IF(Q8=6,Pricing!K$3,0))))))</f>
        <v>134</v>
      </c>
      <c r="V8" s="592"/>
      <c r="W8" s="593"/>
      <c r="X8" s="593"/>
      <c r="Y8" s="593"/>
      <c r="AB8" s="654"/>
      <c r="AC8" s="654"/>
      <c r="AK8" s="16" t="n">
        <v>1</v>
      </c>
      <c r="AL8" s="16" t="s">
        <v>1081</v>
      </c>
      <c r="AP8" s="16" t="e">
        <f aca="false">'04-PT Slab on Grade'!GT8+'02-Gd Beams'!AK8+'09-SLAB ON DECK'!AI8+'10-PAVING'!AH8+'01-Piers'!AN8+#ref!</f>
        <v>#VALUE!</v>
      </c>
      <c r="AQ8" s="2886" t="s">
        <v>1021</v>
      </c>
      <c r="AR8" s="2886"/>
      <c r="AS8" s="2886"/>
      <c r="AT8" s="2886"/>
      <c r="AU8" s="513" t="s">
        <v>1517</v>
      </c>
      <c r="AV8" s="2877"/>
      <c r="AW8" s="1702"/>
      <c r="AX8" s="2878"/>
      <c r="AY8" s="1702"/>
      <c r="AZ8" s="2878"/>
      <c r="BA8" s="1702"/>
      <c r="BB8" s="2878"/>
      <c r="BC8" s="1702"/>
      <c r="BD8" s="2878"/>
      <c r="BE8" s="1702"/>
      <c r="BF8" s="2878"/>
      <c r="BG8" s="1702"/>
    </row>
    <row r="9" customFormat="false" ht="31.5" hidden="false" customHeight="true" outlineLevel="0" collapsed="false">
      <c r="B9" s="2887" t="s">
        <v>1517</v>
      </c>
      <c r="C9" s="2887"/>
      <c r="D9" s="2887"/>
      <c r="E9" s="2887"/>
      <c r="F9" s="2888" t="s">
        <v>1958</v>
      </c>
      <c r="G9" s="2889" t="s">
        <v>835</v>
      </c>
      <c r="H9" s="2890" t="s">
        <v>1959</v>
      </c>
      <c r="I9" s="2890" t="s">
        <v>1960</v>
      </c>
      <c r="J9" s="1221" t="s">
        <v>1961</v>
      </c>
      <c r="K9" s="1221" t="s">
        <v>1962</v>
      </c>
      <c r="L9" s="2891" t="s">
        <v>1963</v>
      </c>
      <c r="M9" s="2891" t="s">
        <v>1964</v>
      </c>
      <c r="N9" s="2892"/>
      <c r="O9" s="2893" t="s">
        <v>1965</v>
      </c>
      <c r="P9" s="2893" t="s">
        <v>1966</v>
      </c>
      <c r="Q9" s="2894" t="s">
        <v>1967</v>
      </c>
      <c r="R9" s="2895" t="s">
        <v>969</v>
      </c>
      <c r="S9" s="2894" t="s">
        <v>577</v>
      </c>
      <c r="T9" s="2894" t="s">
        <v>973</v>
      </c>
      <c r="U9" s="2895" t="s">
        <v>1968</v>
      </c>
      <c r="V9" s="2894" t="s">
        <v>1969</v>
      </c>
      <c r="W9" s="2896" t="s">
        <v>1191</v>
      </c>
      <c r="X9" s="2897" t="s">
        <v>980</v>
      </c>
      <c r="Y9" s="2897"/>
      <c r="Z9" s="16" t="s">
        <v>978</v>
      </c>
      <c r="AA9" s="654"/>
      <c r="AG9" s="16" t="s">
        <v>1297</v>
      </c>
      <c r="AH9" s="16" t="s">
        <v>973</v>
      </c>
      <c r="AI9" s="16" t="n">
        <v>2</v>
      </c>
      <c r="AJ9" s="16" t="s">
        <v>1970</v>
      </c>
      <c r="AN9" s="2898" t="n">
        <f aca="false">SUM(Q10:Q40)</f>
        <v>0</v>
      </c>
      <c r="AQ9" s="2899" t="s">
        <v>1971</v>
      </c>
      <c r="AR9" s="2900" t="s">
        <v>611</v>
      </c>
      <c r="AS9" s="2900" t="s">
        <v>1972</v>
      </c>
      <c r="AT9" s="2900" t="s">
        <v>1973</v>
      </c>
      <c r="AU9" s="2706"/>
      <c r="AV9" s="2901" t="s">
        <v>1055</v>
      </c>
      <c r="AW9" s="2902" t="s">
        <v>721</v>
      </c>
      <c r="AX9" s="2903"/>
      <c r="AY9" s="2902" t="s">
        <v>1093</v>
      </c>
      <c r="AZ9" s="2901" t="s">
        <v>1055</v>
      </c>
      <c r="BA9" s="2902" t="s">
        <v>738</v>
      </c>
      <c r="BB9" s="2901" t="s">
        <v>1055</v>
      </c>
      <c r="BC9" s="2902" t="s">
        <v>1146</v>
      </c>
      <c r="BD9" s="2901" t="s">
        <v>1055</v>
      </c>
      <c r="BE9" s="2902" t="s">
        <v>1146</v>
      </c>
      <c r="BF9" s="2901" t="s">
        <v>1055</v>
      </c>
      <c r="BG9" s="2902" t="s">
        <v>1146</v>
      </c>
    </row>
    <row r="10" customFormat="false" ht="19.5" hidden="false" customHeight="true" outlineLevel="0" collapsed="false">
      <c r="A10" s="16" t="s">
        <v>1068</v>
      </c>
      <c r="B10" s="2904" t="s">
        <v>1974</v>
      </c>
      <c r="C10" s="2905"/>
      <c r="D10" s="2905"/>
      <c r="E10" s="2906"/>
      <c r="F10" s="2907" t="s">
        <v>1306</v>
      </c>
      <c r="G10" s="2908"/>
      <c r="H10" s="2909" t="n">
        <v>1150</v>
      </c>
      <c r="I10" s="2910" t="s">
        <v>1000</v>
      </c>
      <c r="J10" s="2911" t="n">
        <v>350</v>
      </c>
      <c r="K10" s="2912" t="n">
        <f aca="false">G10*H10</f>
        <v>0</v>
      </c>
      <c r="L10" s="2913" t="n">
        <v>24</v>
      </c>
      <c r="M10" s="2914" t="n">
        <v>8</v>
      </c>
      <c r="N10" s="2915"/>
      <c r="O10" s="2916" t="n">
        <f aca="false">ROUNDUP((L10*0.5*L10*0.5)*3.145/144*M10/27*G10,0)</f>
        <v>0</v>
      </c>
      <c r="P10" s="2917" t="n">
        <f aca="false">L10*M10*0.95*G10</f>
        <v>0</v>
      </c>
      <c r="Q10" s="2918" t="n">
        <f aca="false">K10*0.1+G10*3*12.5</f>
        <v>0</v>
      </c>
      <c r="R10" s="2918" t="n">
        <f aca="false">O10*M$8</f>
        <v>0</v>
      </c>
      <c r="S10" s="2919" t="n">
        <f aca="false">P10*Pricing!D$22</f>
        <v>0</v>
      </c>
      <c r="T10" s="2918" t="n">
        <f aca="false">J10*G10</f>
        <v>0</v>
      </c>
      <c r="U10" s="2919" t="n">
        <f aca="false">T10*0.2</f>
        <v>0</v>
      </c>
      <c r="V10" s="2919" t="n">
        <f aca="false">8*G10*M10+G10*75</f>
        <v>0</v>
      </c>
      <c r="W10" s="2920" t="n">
        <f aca="false">(K10-X10)/(Summary!P61+Summary!P60)*Summary!P60</f>
        <v>0</v>
      </c>
      <c r="X10" s="2921" t="n">
        <f aca="false">SUM(Q10:V10)</f>
        <v>0</v>
      </c>
      <c r="Y10" s="2921"/>
      <c r="Z10" s="2922" t="n">
        <f aca="false">IF(K10=0,0,1-X10/K10)</f>
        <v>0</v>
      </c>
      <c r="AG10" s="16" t="n">
        <f aca="false">IF(F10="Y",T10,0)</f>
        <v>0</v>
      </c>
      <c r="AH10" s="16" t="n">
        <f aca="false">IF(F10="Y",0,T10)</f>
        <v>0</v>
      </c>
      <c r="AI10" s="16" t="n">
        <v>3</v>
      </c>
      <c r="AJ10" s="16" t="s">
        <v>1085</v>
      </c>
      <c r="AN10" s="16" t="n">
        <f aca="false">P25+P26+P27+P28+P29+P32</f>
        <v>0</v>
      </c>
      <c r="AQ10" s="1142" t="str">
        <f aca="false">IF(AR10="","",B10)</f>
        <v/>
      </c>
      <c r="AR10" s="16" t="str">
        <f aca="false">IF(G10="","",G10)</f>
        <v/>
      </c>
      <c r="AS10" s="905" t="str">
        <f aca="false">IF(AR10="","",J10*0.75)</f>
        <v/>
      </c>
      <c r="AT10" s="2923" t="str">
        <f aca="false">IF(AR10="","",J10*0.25)</f>
        <v/>
      </c>
      <c r="AU10" s="2924" t="str">
        <f aca="false">B10</f>
        <v>1301 - Light Pole Bases</v>
      </c>
      <c r="AV10" s="2925" t="n">
        <f aca="false">130000+(100*$A10)+2</f>
        <v>130102</v>
      </c>
      <c r="AW10" s="2926" t="n">
        <f aca="false">Q10</f>
        <v>0</v>
      </c>
      <c r="AX10" s="2925" t="n">
        <f aca="false">130000+(100*$A10)+5</f>
        <v>130105</v>
      </c>
      <c r="AY10" s="2926" t="n">
        <f aca="false">S10</f>
        <v>0</v>
      </c>
      <c r="AZ10" s="2925" t="n">
        <f aca="false">130000+(100*$A10)+8</f>
        <v>130108</v>
      </c>
      <c r="BA10" s="2926" t="n">
        <f aca="false">R10</f>
        <v>0</v>
      </c>
      <c r="BB10" s="2925" t="n">
        <f aca="false">130000+(100*$A10)+40</f>
        <v>130140</v>
      </c>
      <c r="BC10" s="2926" t="n">
        <f aca="false">T10</f>
        <v>0</v>
      </c>
      <c r="BD10" s="2925" t="n">
        <f aca="false">130000+(100*$A10)+20</f>
        <v>130120</v>
      </c>
      <c r="BE10" s="2926" t="n">
        <f aca="false">U10</f>
        <v>0</v>
      </c>
      <c r="BF10" s="2925" t="n">
        <f aca="false">130000+(100*$A10)+60</f>
        <v>130160</v>
      </c>
      <c r="BG10" s="2926" t="n">
        <f aca="false">V10</f>
        <v>0</v>
      </c>
    </row>
    <row r="11" customFormat="false" ht="19.5" hidden="false" customHeight="true" outlineLevel="0" collapsed="false">
      <c r="A11" s="16" t="s">
        <v>1069</v>
      </c>
      <c r="B11" s="1549" t="s">
        <v>1975</v>
      </c>
      <c r="C11" s="2927"/>
      <c r="D11" s="2927"/>
      <c r="E11" s="2928"/>
      <c r="F11" s="2929" t="s">
        <v>1306</v>
      </c>
      <c r="G11" s="2930"/>
      <c r="H11" s="2931" t="n">
        <v>350</v>
      </c>
      <c r="I11" s="2932" t="s">
        <v>1000</v>
      </c>
      <c r="J11" s="2933" t="n">
        <v>120</v>
      </c>
      <c r="K11" s="2912" t="n">
        <f aca="false">G11*H11</f>
        <v>0</v>
      </c>
      <c r="L11" s="2934" t="n">
        <v>12</v>
      </c>
      <c r="M11" s="2935" t="n">
        <v>6</v>
      </c>
      <c r="N11" s="2936"/>
      <c r="O11" s="2916" t="n">
        <f aca="false">ROUNDUP((L11*0.5*L11*0.5)*3.145/144*M11/27*G11,0)</f>
        <v>0</v>
      </c>
      <c r="P11" s="2917" t="n">
        <f aca="false">L11*M11*0.95*G11</f>
        <v>0</v>
      </c>
      <c r="Q11" s="2918" t="n">
        <f aca="false">K11*0.1+G11*3*12.5</f>
        <v>0</v>
      </c>
      <c r="R11" s="2918" t="n">
        <f aca="false">O11*M$8</f>
        <v>0</v>
      </c>
      <c r="S11" s="2919" t="n">
        <f aca="false">P11*Pricing!D$22</f>
        <v>0</v>
      </c>
      <c r="T11" s="2918" t="n">
        <f aca="false">J11*G11</f>
        <v>0</v>
      </c>
      <c r="U11" s="2919" t="n">
        <f aca="false">T11*0.25</f>
        <v>0</v>
      </c>
      <c r="V11" s="2919" t="n">
        <f aca="false">8*G11</f>
        <v>0</v>
      </c>
      <c r="W11" s="2920" t="n">
        <f aca="false">(K11-X11)/(Summary!P61+Summary!P60)*Summary!P60</f>
        <v>0</v>
      </c>
      <c r="X11" s="2937" t="n">
        <f aca="false">SUM(Q11:V11)</f>
        <v>0</v>
      </c>
      <c r="Y11" s="2937"/>
      <c r="Z11" s="2922" t="n">
        <f aca="false">IF(K11=0,0,1-X11/K11)</f>
        <v>0</v>
      </c>
      <c r="AG11" s="16" t="n">
        <f aca="false">IF(F11="Y",T11,0)</f>
        <v>0</v>
      </c>
      <c r="AH11" s="16" t="n">
        <f aca="false">IF(F11="Y",0,T11)</f>
        <v>0</v>
      </c>
      <c r="AI11" s="16" t="n">
        <v>4</v>
      </c>
      <c r="AJ11" s="16" t="s">
        <v>1087</v>
      </c>
      <c r="AQ11" s="1142" t="str">
        <f aca="false">IF(AR11="","",B11)</f>
        <v/>
      </c>
      <c r="AR11" s="2358" t="str">
        <f aca="false">IF(G11="","",G11)</f>
        <v/>
      </c>
      <c r="AS11" s="905" t="str">
        <f aca="false">IF(AR11="","",J11*0.75)</f>
        <v/>
      </c>
      <c r="AT11" s="2923" t="str">
        <f aca="false">IF(AR11="","",J11*0.25)</f>
        <v/>
      </c>
      <c r="AU11" s="2938" t="str">
        <f aca="false">B11</f>
        <v>1302 - Bollard / Landscape Light Bases</v>
      </c>
      <c r="AV11" s="1841" t="n">
        <f aca="false">130000+(100*$A11)+2</f>
        <v>130202</v>
      </c>
      <c r="AW11" s="1842" t="n">
        <f aca="false">Q11</f>
        <v>0</v>
      </c>
      <c r="AX11" s="1841" t="n">
        <f aca="false">130000+(100*$A11)+5</f>
        <v>130205</v>
      </c>
      <c r="AY11" s="1842" t="n">
        <f aca="false">S11</f>
        <v>0</v>
      </c>
      <c r="AZ11" s="1841" t="n">
        <f aca="false">130000+(100*$A11)+8</f>
        <v>130208</v>
      </c>
      <c r="BA11" s="1842" t="n">
        <f aca="false">R11</f>
        <v>0</v>
      </c>
      <c r="BB11" s="1841" t="n">
        <f aca="false">130000+(100*$A11)+40</f>
        <v>130240</v>
      </c>
      <c r="BC11" s="1842" t="n">
        <f aca="false">T11</f>
        <v>0</v>
      </c>
      <c r="BD11" s="1841" t="n">
        <f aca="false">130000+(100*$A11)+20</f>
        <v>130220</v>
      </c>
      <c r="BE11" s="1842" t="n">
        <f aca="false">U11</f>
        <v>0</v>
      </c>
      <c r="BF11" s="1841" t="n">
        <f aca="false">130000+(100*$A11)+60</f>
        <v>130260</v>
      </c>
      <c r="BG11" s="1842" t="n">
        <f aca="false">V11</f>
        <v>0</v>
      </c>
    </row>
    <row r="12" customFormat="false" ht="19.5" hidden="false" customHeight="true" outlineLevel="0" collapsed="false">
      <c r="A12" s="16" t="s">
        <v>1070</v>
      </c>
      <c r="B12" s="1549" t="s">
        <v>1976</v>
      </c>
      <c r="C12" s="2927"/>
      <c r="D12" s="2927"/>
      <c r="E12" s="2928"/>
      <c r="F12" s="2929" t="s">
        <v>1306</v>
      </c>
      <c r="G12" s="2930"/>
      <c r="H12" s="2931" t="n">
        <v>300</v>
      </c>
      <c r="I12" s="2932" t="s">
        <v>1000</v>
      </c>
      <c r="J12" s="2933" t="n">
        <v>170</v>
      </c>
      <c r="K12" s="2912" t="n">
        <f aca="false">G12*H12</f>
        <v>0</v>
      </c>
      <c r="L12" s="2934" t="n">
        <v>8</v>
      </c>
      <c r="M12" s="2935" t="n">
        <v>2</v>
      </c>
      <c r="N12" s="2936"/>
      <c r="O12" s="2916"/>
      <c r="P12" s="2917"/>
      <c r="Q12" s="2918" t="n">
        <f aca="false">K12*0.1+G12</f>
        <v>0</v>
      </c>
      <c r="R12" s="2918" t="n">
        <f aca="false">O12*M$8</f>
        <v>0</v>
      </c>
      <c r="S12" s="2919" t="n">
        <f aca="false">P12*Pricing!D$22</f>
        <v>0</v>
      </c>
      <c r="T12" s="2918" t="n">
        <f aca="false">J12*G12</f>
        <v>0</v>
      </c>
      <c r="U12" s="2919" t="n">
        <f aca="false">T12*0.25</f>
        <v>0</v>
      </c>
      <c r="V12" s="2919" t="n">
        <f aca="false">8*G12</f>
        <v>0</v>
      </c>
      <c r="W12" s="2920" t="n">
        <f aca="false">(K12-X12)/(Summary!P61+Summary!P60)*Summary!P60</f>
        <v>0</v>
      </c>
      <c r="X12" s="2937" t="n">
        <f aca="false">SUM(Q12:V12)</f>
        <v>0</v>
      </c>
      <c r="Y12" s="2937"/>
      <c r="Z12" s="2922" t="n">
        <f aca="false">IF(K12=0,0,1-X12/K12)</f>
        <v>0</v>
      </c>
      <c r="AG12" s="16" t="n">
        <f aca="false">IF(F12="Y",T12,0)</f>
        <v>0</v>
      </c>
      <c r="AH12" s="16" t="n">
        <f aca="false">IF(F12="Y",0,T12)</f>
        <v>0</v>
      </c>
      <c r="AI12" s="16" t="n">
        <v>4</v>
      </c>
      <c r="AJ12" s="16" t="s">
        <v>1087</v>
      </c>
      <c r="AQ12" s="1142" t="str">
        <f aca="false">IF(AR12="","",B12)</f>
        <v/>
      </c>
      <c r="AR12" s="2358" t="str">
        <f aca="false">IF(G12="","",G12)</f>
        <v/>
      </c>
      <c r="AS12" s="905" t="str">
        <f aca="false">IF(AR12="","",J12*0.75)</f>
        <v/>
      </c>
      <c r="AT12" s="2923" t="str">
        <f aca="false">IF(AR12="","",J12*0.25)</f>
        <v/>
      </c>
      <c r="AU12" s="2938" t="str">
        <f aca="false">B12</f>
        <v>1303 - Bike Rack (Installation)</v>
      </c>
      <c r="AV12" s="1841" t="n">
        <f aca="false">130000+(100*$A12)+2</f>
        <v>130302</v>
      </c>
      <c r="AW12" s="1842" t="n">
        <f aca="false">Q12</f>
        <v>0</v>
      </c>
      <c r="AX12" s="1841" t="n">
        <f aca="false">130000+(100*$A12)+5</f>
        <v>130305</v>
      </c>
      <c r="AY12" s="1842" t="n">
        <f aca="false">S12</f>
        <v>0</v>
      </c>
      <c r="AZ12" s="1841" t="n">
        <f aca="false">130000+(100*$A12)+8</f>
        <v>130308</v>
      </c>
      <c r="BA12" s="1842" t="n">
        <f aca="false">R12</f>
        <v>0</v>
      </c>
      <c r="BB12" s="1841" t="n">
        <f aca="false">130000+(100*$A12)+40</f>
        <v>130340</v>
      </c>
      <c r="BC12" s="1842" t="n">
        <f aca="false">T12</f>
        <v>0</v>
      </c>
      <c r="BD12" s="1841" t="n">
        <f aca="false">130000+(100*$A12)+20</f>
        <v>130320</v>
      </c>
      <c r="BE12" s="1842" t="n">
        <f aca="false">U12</f>
        <v>0</v>
      </c>
      <c r="BF12" s="1841" t="n">
        <f aca="false">130000+(100*$A12)+60</f>
        <v>130360</v>
      </c>
      <c r="BG12" s="1842" t="n">
        <f aca="false">V12</f>
        <v>0</v>
      </c>
    </row>
    <row r="13" customFormat="false" ht="19.5" hidden="false" customHeight="true" outlineLevel="0" collapsed="false">
      <c r="A13" s="16" t="s">
        <v>1071</v>
      </c>
      <c r="B13" s="1549" t="s">
        <v>1977</v>
      </c>
      <c r="C13" s="2927"/>
      <c r="D13" s="2927"/>
      <c r="E13" s="2928"/>
      <c r="F13" s="2929" t="s">
        <v>1306</v>
      </c>
      <c r="G13" s="2930"/>
      <c r="H13" s="2931" t="n">
        <v>150</v>
      </c>
      <c r="I13" s="2932" t="s">
        <v>1000</v>
      </c>
      <c r="J13" s="2933" t="n">
        <v>65</v>
      </c>
      <c r="K13" s="2912" t="n">
        <f aca="false">G13*H13</f>
        <v>0</v>
      </c>
      <c r="L13" s="2934" t="n">
        <v>18</v>
      </c>
      <c r="M13" s="2935" t="n">
        <v>3</v>
      </c>
      <c r="N13" s="2936"/>
      <c r="O13" s="2916" t="n">
        <f aca="false">ROUNDUP((L13*0.5*L13*0.5)*3.145/144*M13/27*G13,0)</f>
        <v>0</v>
      </c>
      <c r="P13" s="2917"/>
      <c r="Q13" s="2918"/>
      <c r="R13" s="2918" t="n">
        <f aca="false">O13*M$8</f>
        <v>0</v>
      </c>
      <c r="S13" s="2919" t="n">
        <f aca="false">P13*Pricing!D$22</f>
        <v>0</v>
      </c>
      <c r="T13" s="2918" t="n">
        <f aca="false">J13*G13</f>
        <v>0</v>
      </c>
      <c r="U13" s="2919" t="n">
        <f aca="false">T13*0.25</f>
        <v>0</v>
      </c>
      <c r="V13" s="2919" t="n">
        <f aca="false">20*G13</f>
        <v>0</v>
      </c>
      <c r="W13" s="2920" t="n">
        <f aca="false">(K13-X13)/(Summary!P61+Summary!P60)*Summary!P60</f>
        <v>0</v>
      </c>
      <c r="X13" s="2937" t="n">
        <f aca="false">SUM(Q13:V13)</f>
        <v>0</v>
      </c>
      <c r="Y13" s="2937"/>
      <c r="Z13" s="2922" t="n">
        <f aca="false">IF(K13=0,0,1-X13/K13)</f>
        <v>0</v>
      </c>
      <c r="AG13" s="2939" t="n">
        <f aca="false">IF(F13="Y",T13,0)</f>
        <v>0</v>
      </c>
      <c r="AH13" s="16" t="n">
        <f aca="false">IF(F13="Y",0,T13)</f>
        <v>0</v>
      </c>
      <c r="AI13" s="16" t="n">
        <v>4</v>
      </c>
      <c r="AJ13" s="16" t="s">
        <v>1087</v>
      </c>
      <c r="AQ13" s="1142" t="str">
        <f aca="false">IF(AR13="","",B13)</f>
        <v/>
      </c>
      <c r="AR13" s="2358" t="str">
        <f aca="false">IF(G13="","",G13)</f>
        <v/>
      </c>
      <c r="AS13" s="905" t="str">
        <f aca="false">IF(AR13="","",J13*0.75)</f>
        <v/>
      </c>
      <c r="AT13" s="2923" t="str">
        <f aca="false">IF(AR13="","",J13*0.25)</f>
        <v/>
      </c>
      <c r="AU13" s="2938" t="str">
        <f aca="false">B13</f>
        <v>1304 - Pipe Bollards (Install Only)</v>
      </c>
      <c r="AV13" s="1841" t="n">
        <f aca="false">130000+(100*$A13)+2</f>
        <v>130402</v>
      </c>
      <c r="AW13" s="1842" t="n">
        <f aca="false">Q13</f>
        <v>0</v>
      </c>
      <c r="AX13" s="1841" t="n">
        <f aca="false">130000+(100*$A13)+5</f>
        <v>130405</v>
      </c>
      <c r="AY13" s="1842" t="n">
        <f aca="false">S13</f>
        <v>0</v>
      </c>
      <c r="AZ13" s="1841" t="n">
        <f aca="false">130000+(100*$A13)+8</f>
        <v>130408</v>
      </c>
      <c r="BA13" s="1842" t="n">
        <f aca="false">R13</f>
        <v>0</v>
      </c>
      <c r="BB13" s="1841" t="n">
        <f aca="false">130000+(100*$A13)+40</f>
        <v>130440</v>
      </c>
      <c r="BC13" s="1842" t="n">
        <f aca="false">T13</f>
        <v>0</v>
      </c>
      <c r="BD13" s="1841" t="n">
        <f aca="false">130000+(100*$A13)+20</f>
        <v>130420</v>
      </c>
      <c r="BE13" s="1842" t="n">
        <f aca="false">U13</f>
        <v>0</v>
      </c>
      <c r="BF13" s="1841" t="n">
        <f aca="false">130000+(100*$A13)+60</f>
        <v>130460</v>
      </c>
      <c r="BG13" s="1842" t="n">
        <f aca="false">V13</f>
        <v>0</v>
      </c>
    </row>
    <row r="14" customFormat="false" ht="19.5" hidden="false" customHeight="true" outlineLevel="0" collapsed="false">
      <c r="A14" s="16" t="s">
        <v>1072</v>
      </c>
      <c r="B14" s="1599" t="s">
        <v>1978</v>
      </c>
      <c r="C14" s="1826"/>
      <c r="D14" s="1826"/>
      <c r="E14" s="1826"/>
      <c r="F14" s="2940" t="s">
        <v>1306</v>
      </c>
      <c r="G14" s="2941"/>
      <c r="H14" s="2942" t="n">
        <v>300</v>
      </c>
      <c r="I14" s="2943" t="s">
        <v>1000</v>
      </c>
      <c r="J14" s="2944" t="n">
        <v>100</v>
      </c>
      <c r="K14" s="2945" t="n">
        <f aca="false">G14*H14</f>
        <v>0</v>
      </c>
      <c r="L14" s="2946" t="n">
        <v>12</v>
      </c>
      <c r="M14" s="2947" t="n">
        <v>3</v>
      </c>
      <c r="N14" s="2948"/>
      <c r="O14" s="2949" t="n">
        <f aca="false">ROUNDUP((L14*0.5*L14*0.5)*3.145/144*M14/27*G14,0)</f>
        <v>0</v>
      </c>
      <c r="P14" s="2950" t="n">
        <f aca="false">L14*M14*0.95*G14</f>
        <v>0</v>
      </c>
      <c r="Q14" s="2951" t="n">
        <f aca="false">K14*0.1+G14*3*12.5</f>
        <v>0</v>
      </c>
      <c r="R14" s="2951" t="n">
        <f aca="false">O14*M$8</f>
        <v>0</v>
      </c>
      <c r="S14" s="2952" t="n">
        <f aca="false">P14*Pricing!D$22</f>
        <v>0</v>
      </c>
      <c r="T14" s="2951" t="n">
        <f aca="false">J14*G14</f>
        <v>0</v>
      </c>
      <c r="U14" s="2952" t="n">
        <f aca="false">T14*0.2</f>
        <v>0</v>
      </c>
      <c r="V14" s="2952" t="n">
        <f aca="false">8*G14*6.5</f>
        <v>0</v>
      </c>
      <c r="W14" s="2953" t="n">
        <f aca="false">(K14-X14)/(Summary!P61+Summary!P60)*Summary!P60</f>
        <v>0</v>
      </c>
      <c r="X14" s="2954" t="n">
        <f aca="false">SUM(Q14:V14)</f>
        <v>0</v>
      </c>
      <c r="Y14" s="2954"/>
      <c r="Z14" s="2922" t="n">
        <f aca="false">IF(K14=0,0,1-X14/K14)</f>
        <v>0</v>
      </c>
      <c r="AG14" s="2939" t="n">
        <f aca="false">IF(F14="Y",T14,0)</f>
        <v>0</v>
      </c>
      <c r="AH14" s="16" t="n">
        <f aca="false">IF(F14="Y",0,T14)</f>
        <v>0</v>
      </c>
      <c r="AI14" s="16" t="n">
        <v>5</v>
      </c>
      <c r="AJ14" s="16" t="s">
        <v>1089</v>
      </c>
      <c r="AN14" s="2898" t="n">
        <f aca="false">SUM(S10:S40)</f>
        <v>0</v>
      </c>
      <c r="AQ14" s="1142" t="str">
        <f aca="false">IF(AR14="","",B14)</f>
        <v/>
      </c>
      <c r="AR14" s="2358" t="str">
        <f aca="false">IF(G14="","",G14)</f>
        <v/>
      </c>
      <c r="AS14" s="2955" t="str">
        <f aca="false">IF(AR14="","",J14*0.75)</f>
        <v/>
      </c>
      <c r="AT14" s="2956" t="str">
        <f aca="false">IF(AR14="","",J14*0.25)</f>
        <v/>
      </c>
      <c r="AU14" s="2957" t="str">
        <f aca="false">B14</f>
        <v>1305 -</v>
      </c>
      <c r="AV14" s="2958" t="n">
        <f aca="false">130000+(100*$A14)+2</f>
        <v>130502</v>
      </c>
      <c r="AW14" s="2959" t="n">
        <f aca="false">Q14</f>
        <v>0</v>
      </c>
      <c r="AX14" s="2958" t="n">
        <f aca="false">130000+(100*$A14)+5</f>
        <v>130505</v>
      </c>
      <c r="AY14" s="2959" t="n">
        <f aca="false">S14</f>
        <v>0</v>
      </c>
      <c r="AZ14" s="2958" t="n">
        <f aca="false">130000+(100*$A14)+8</f>
        <v>130508</v>
      </c>
      <c r="BA14" s="2959" t="n">
        <f aca="false">R14</f>
        <v>0</v>
      </c>
      <c r="BB14" s="2958" t="n">
        <f aca="false">130000+(100*$A14)+40</f>
        <v>130540</v>
      </c>
      <c r="BC14" s="2959" t="n">
        <f aca="false">T14</f>
        <v>0</v>
      </c>
      <c r="BD14" s="2958" t="n">
        <f aca="false">130000+(100*$A14)+20</f>
        <v>130520</v>
      </c>
      <c r="BE14" s="2959" t="n">
        <f aca="false">U14</f>
        <v>0</v>
      </c>
      <c r="BF14" s="2958" t="n">
        <f aca="false">130000+(100*$A14)+60</f>
        <v>130560</v>
      </c>
      <c r="BG14" s="2959" t="n">
        <f aca="false">V14</f>
        <v>0</v>
      </c>
    </row>
    <row r="15" customFormat="false" ht="19.5" hidden="false" customHeight="true" outlineLevel="0" collapsed="false">
      <c r="B15" s="2960"/>
      <c r="C15" s="2961"/>
      <c r="D15" s="2961"/>
      <c r="E15" s="2961"/>
      <c r="F15" s="2962"/>
      <c r="G15" s="2963"/>
      <c r="H15" s="2964"/>
      <c r="I15" s="2965"/>
      <c r="J15" s="2966"/>
      <c r="K15" s="2967"/>
      <c r="L15" s="2968"/>
      <c r="M15" s="2968"/>
      <c r="N15" s="2969"/>
      <c r="O15" s="2968"/>
      <c r="P15" s="2969"/>
      <c r="Q15" s="2967"/>
      <c r="R15" s="2967"/>
      <c r="S15" s="2970"/>
      <c r="T15" s="2967"/>
      <c r="U15" s="2970"/>
      <c r="V15" s="2970"/>
      <c r="W15" s="2970"/>
      <c r="X15" s="2971"/>
      <c r="Y15" s="2972"/>
      <c r="Z15" s="2922"/>
      <c r="AG15" s="16" t="n">
        <f aca="false">IF(F15="Y",T15,0)</f>
        <v>0</v>
      </c>
      <c r="AH15" s="2898" t="n">
        <f aca="false">IF(F15="Y",0,T15)</f>
        <v>0</v>
      </c>
      <c r="AI15" s="16" t="n">
        <v>6</v>
      </c>
      <c r="AJ15" s="16" t="s">
        <v>1091</v>
      </c>
      <c r="AQ15" s="2357" t="str">
        <f aca="false">IF(AR15="","",B17)</f>
        <v/>
      </c>
      <c r="AR15" s="2358" t="str">
        <f aca="false">IF(G17="","",G17)</f>
        <v/>
      </c>
      <c r="AS15" s="2973" t="str">
        <f aca="false">IF(AR15="","",J17*0.75)</f>
        <v/>
      </c>
      <c r="AT15" s="2974" t="str">
        <f aca="false">IF(AR15="","",J17*0.25)</f>
        <v/>
      </c>
      <c r="AU15" s="2938"/>
      <c r="AV15" s="1841"/>
      <c r="AW15" s="2975"/>
      <c r="AX15" s="1841"/>
      <c r="AY15" s="2975"/>
      <c r="AZ15" s="1841"/>
      <c r="BA15" s="2975"/>
      <c r="BB15" s="1841"/>
      <c r="BC15" s="2975"/>
      <c r="BD15" s="1841"/>
      <c r="BE15" s="2975"/>
      <c r="BF15" s="1841"/>
      <c r="BG15" s="2975"/>
    </row>
    <row r="16" customFormat="false" ht="31.5" hidden="false" customHeight="true" outlineLevel="0" collapsed="false">
      <c r="B16" s="2887" t="s">
        <v>1517</v>
      </c>
      <c r="C16" s="2887"/>
      <c r="D16" s="2887"/>
      <c r="E16" s="2887"/>
      <c r="F16" s="2976" t="s">
        <v>1958</v>
      </c>
      <c r="G16" s="2977" t="s">
        <v>835</v>
      </c>
      <c r="H16" s="2978" t="s">
        <v>1959</v>
      </c>
      <c r="I16" s="2978" t="s">
        <v>1960</v>
      </c>
      <c r="J16" s="2979" t="s">
        <v>1979</v>
      </c>
      <c r="K16" s="2980" t="s">
        <v>1962</v>
      </c>
      <c r="L16" s="2891" t="s">
        <v>1259</v>
      </c>
      <c r="M16" s="2981" t="s">
        <v>1676</v>
      </c>
      <c r="N16" s="2981" t="s">
        <v>1980</v>
      </c>
      <c r="O16" s="2982" t="str">
        <f aca="false">O9</f>
        <v>CY   CONC.</v>
      </c>
      <c r="P16" s="2893" t="str">
        <f aca="false">P9</f>
        <v>STEEL WT</v>
      </c>
      <c r="Q16" s="2983" t="str">
        <f aca="false">Q9</f>
        <v>FORMS</v>
      </c>
      <c r="R16" s="2983" t="str">
        <f aca="false">R9</f>
        <v>CONCRETE</v>
      </c>
      <c r="S16" s="2983" t="str">
        <f aca="false">S9</f>
        <v>STEEL</v>
      </c>
      <c r="T16" s="2983" t="str">
        <f aca="false">T9</f>
        <v>LABOR</v>
      </c>
      <c r="U16" s="2983" t="str">
        <f aca="false">U9</f>
        <v>SUPRVSN</v>
      </c>
      <c r="V16" s="2983" t="str">
        <f aca="false">V9</f>
        <v>EQUIP.</v>
      </c>
      <c r="W16" s="2984" t="s">
        <v>1191</v>
      </c>
      <c r="X16" s="2985" t="str">
        <f aca="false">X9</f>
        <v>TOTAL COST</v>
      </c>
      <c r="Y16" s="2985"/>
      <c r="Z16" s="2922"/>
      <c r="AG16" s="16" t="n">
        <f aca="false">IF(F16="Y",T16,0)</f>
        <v>0</v>
      </c>
      <c r="AH16" s="16" t="str">
        <f aca="false">IF(F16="Y",0,T16)</f>
        <v>LABOR</v>
      </c>
      <c r="AI16" s="16" t="n">
        <v>7</v>
      </c>
      <c r="AJ16" s="16" t="s">
        <v>1981</v>
      </c>
      <c r="AQ16" s="2357" t="str">
        <f aca="false">IF(AR16="","",B18)</f>
        <v/>
      </c>
      <c r="AR16" s="2358" t="str">
        <f aca="false">IF(G18="","",G18)</f>
        <v/>
      </c>
      <c r="AS16" s="905" t="str">
        <f aca="false">IF(AR16="","",J18*0.75)</f>
        <v/>
      </c>
      <c r="AT16" s="2923" t="str">
        <f aca="false">IF(AR16="","",J18*0.25)</f>
        <v/>
      </c>
      <c r="AU16" s="2938"/>
      <c r="AV16" s="1841"/>
      <c r="AW16" s="2975"/>
      <c r="AX16" s="1841"/>
      <c r="AY16" s="2975"/>
      <c r="AZ16" s="1841"/>
      <c r="BA16" s="2975"/>
      <c r="BB16" s="1841"/>
      <c r="BC16" s="2975"/>
      <c r="BD16" s="1841"/>
      <c r="BE16" s="2975"/>
      <c r="BF16" s="1841"/>
      <c r="BG16" s="2975"/>
    </row>
    <row r="17" customFormat="false" ht="19.5" hidden="false" customHeight="true" outlineLevel="0" collapsed="false">
      <c r="A17" s="16" t="s">
        <v>1073</v>
      </c>
      <c r="B17" s="2904" t="s">
        <v>1982</v>
      </c>
      <c r="C17" s="2905"/>
      <c r="D17" s="2905"/>
      <c r="E17" s="2906"/>
      <c r="F17" s="2907" t="s">
        <v>1306</v>
      </c>
      <c r="G17" s="2908"/>
      <c r="H17" s="2909" t="n">
        <v>18600</v>
      </c>
      <c r="I17" s="2910" t="s">
        <v>1000</v>
      </c>
      <c r="J17" s="2911" t="n">
        <v>6200</v>
      </c>
      <c r="K17" s="2912" t="n">
        <f aca="false">G17*H17</f>
        <v>0</v>
      </c>
      <c r="L17" s="2986" t="n">
        <v>48</v>
      </c>
      <c r="M17" s="2987" t="n">
        <v>16</v>
      </c>
      <c r="N17" s="2988" t="n">
        <v>72</v>
      </c>
      <c r="O17" s="2989" t="n">
        <f aca="false">IF(G17=0,0,ROUNDUP((L17*M17*N17/3888)*1.15*G17,0)+ROUNDUP((L17/4)*(L17/4)/27*G17,0))</f>
        <v>0</v>
      </c>
      <c r="P17" s="2990" t="n">
        <f aca="false">ROUND(O17*145,0)</f>
        <v>0</v>
      </c>
      <c r="Q17" s="2918" t="n">
        <f aca="false">ROUNDUP(K17*0.15,0)+(L17*N17/12*4.25*G17)</f>
        <v>0</v>
      </c>
      <c r="R17" s="2918" t="n">
        <f aca="false">IF(G17&gt;0,U$8*O17,0)</f>
        <v>0</v>
      </c>
      <c r="S17" s="2918" t="n">
        <f aca="false">ROUNDUP(P17*Pricing!D$22,0)</f>
        <v>0</v>
      </c>
      <c r="T17" s="2918" t="n">
        <f aca="false">J17*G17</f>
        <v>0</v>
      </c>
      <c r="U17" s="2918" t="n">
        <f aca="false">T17*0.1</f>
        <v>0</v>
      </c>
      <c r="V17" s="2919" t="n">
        <f aca="false">G17*250</f>
        <v>0</v>
      </c>
      <c r="W17" s="2991" t="n">
        <f aca="false">(K17-X17)/(Summary!P$61+Summary!P$60)*Summary!P$60</f>
        <v>0</v>
      </c>
      <c r="X17" s="2992" t="n">
        <f aca="false">SUM(Q17:V17)</f>
        <v>0</v>
      </c>
      <c r="Y17" s="2992"/>
      <c r="Z17" s="2922" t="n">
        <f aca="false">IF(K17=0,0,1-X17/K17)</f>
        <v>0</v>
      </c>
      <c r="AG17" s="2939" t="n">
        <f aca="false">IF(F17="Y",T17,0)</f>
        <v>0</v>
      </c>
      <c r="AH17" s="16" t="n">
        <f aca="false">IF(F17="Y",0,T17)</f>
        <v>0</v>
      </c>
      <c r="AI17" s="16" t="n">
        <v>8</v>
      </c>
      <c r="AJ17" s="16" t="s">
        <v>1095</v>
      </c>
      <c r="AN17" s="2898" t="n">
        <f aca="false">SUM(R10:R40)</f>
        <v>0</v>
      </c>
      <c r="AQ17" s="2357" t="str">
        <f aca="false">IF(AR17="","",B19)</f>
        <v/>
      </c>
      <c r="AR17" s="2358" t="str">
        <f aca="false">IF(G19="","",G19)</f>
        <v/>
      </c>
      <c r="AS17" s="905" t="str">
        <f aca="false">IF(AR17="","",J19*0.75)</f>
        <v/>
      </c>
      <c r="AT17" s="2923" t="str">
        <f aca="false">IF(AR17="","",J19*0.25)</f>
        <v/>
      </c>
      <c r="AU17" s="2924" t="str">
        <f aca="false">B17</f>
        <v>1306 - Elevator Pits</v>
      </c>
      <c r="AV17" s="2925" t="n">
        <f aca="false">130000+(100*$A17)+2</f>
        <v>130602</v>
      </c>
      <c r="AW17" s="2926" t="n">
        <f aca="false">Q17</f>
        <v>0</v>
      </c>
      <c r="AX17" s="2925" t="n">
        <f aca="false">130000+(100*$A17)+5</f>
        <v>130605</v>
      </c>
      <c r="AY17" s="2926" t="n">
        <f aca="false">S17</f>
        <v>0</v>
      </c>
      <c r="AZ17" s="2925" t="n">
        <f aca="false">130000+(100*$A17)+8</f>
        <v>130608</v>
      </c>
      <c r="BA17" s="2926" t="n">
        <f aca="false">R17</f>
        <v>0</v>
      </c>
      <c r="BB17" s="2925" t="n">
        <f aca="false">130000+(100*$A17)+40</f>
        <v>130640</v>
      </c>
      <c r="BC17" s="2926" t="n">
        <f aca="false">T17</f>
        <v>0</v>
      </c>
      <c r="BD17" s="2925" t="n">
        <f aca="false">130000+(100*$A17)+20</f>
        <v>130620</v>
      </c>
      <c r="BE17" s="2926" t="n">
        <f aca="false">U17</f>
        <v>0</v>
      </c>
      <c r="BF17" s="2925" t="n">
        <f aca="false">130000+(100*$A17)+60</f>
        <v>130660</v>
      </c>
      <c r="BG17" s="2926" t="n">
        <f aca="false">V17</f>
        <v>0</v>
      </c>
    </row>
    <row r="18" customFormat="false" ht="19.5" hidden="false" customHeight="true" outlineLevel="0" collapsed="false">
      <c r="A18" s="16" t="s">
        <v>1074</v>
      </c>
      <c r="B18" s="1549" t="s">
        <v>1983</v>
      </c>
      <c r="C18" s="2927"/>
      <c r="D18" s="2927"/>
      <c r="E18" s="2928"/>
      <c r="F18" s="2929" t="s">
        <v>1306</v>
      </c>
      <c r="G18" s="2930"/>
      <c r="H18" s="2931" t="n">
        <v>2600</v>
      </c>
      <c r="I18" s="2932" t="s">
        <v>1000</v>
      </c>
      <c r="J18" s="2933" t="n">
        <v>2000</v>
      </c>
      <c r="K18" s="2912" t="n">
        <f aca="false">G18*H18</f>
        <v>0</v>
      </c>
      <c r="L18" s="2993" t="n">
        <v>20</v>
      </c>
      <c r="M18" s="2935" t="n">
        <v>12</v>
      </c>
      <c r="N18" s="2934" t="n">
        <v>24</v>
      </c>
      <c r="O18" s="2916" t="n">
        <f aca="false">IF(G18=0,0,ROUNDUP((L18*M18*N18/3888)*1.15*G18,0)+ROUNDUP((L18/4)*(L18/4)/27*G18,0))</f>
        <v>0</v>
      </c>
      <c r="P18" s="2990" t="n">
        <f aca="false">ROUND(O18*145,0)</f>
        <v>0</v>
      </c>
      <c r="Q18" s="2918" t="n">
        <f aca="false">J18*G18</f>
        <v>0</v>
      </c>
      <c r="R18" s="2918"/>
      <c r="S18" s="2918"/>
      <c r="T18" s="2918"/>
      <c r="U18" s="2918" t="n">
        <f aca="false">Q18*0.1</f>
        <v>0</v>
      </c>
      <c r="V18" s="2919"/>
      <c r="W18" s="2991" t="n">
        <f aca="false">(K18-X18)/(Summary!P$61+Summary!P$60)*Summary!P$60</f>
        <v>0</v>
      </c>
      <c r="X18" s="2994" t="n">
        <f aca="false">SUM(Q18:V18)</f>
        <v>0</v>
      </c>
      <c r="Y18" s="2994"/>
      <c r="Z18" s="2922" t="n">
        <f aca="false">IF(K18=0,0,1-X18/K18)</f>
        <v>0</v>
      </c>
      <c r="AG18" s="2939" t="n">
        <f aca="false">IF(F18="Y",T18,0)</f>
        <v>0</v>
      </c>
      <c r="AH18" s="16" t="n">
        <f aca="false">IF(F18="Y",0,T18)</f>
        <v>0</v>
      </c>
      <c r="AI18" s="16" t="n">
        <v>9</v>
      </c>
      <c r="AJ18" s="16" t="s">
        <v>1097</v>
      </c>
      <c r="AQ18" s="2357" t="str">
        <f aca="false">IF(AR18="","",B20)</f>
        <v/>
      </c>
      <c r="AR18" s="2358" t="str">
        <f aca="false">IF(G20="","",G20)</f>
        <v/>
      </c>
      <c r="AS18" s="905" t="str">
        <f aca="false">IF(AR18="","",J20*0.75)</f>
        <v/>
      </c>
      <c r="AT18" s="2923" t="str">
        <f aca="false">IF(AR18="","",J20*0.25)</f>
        <v/>
      </c>
      <c r="AU18" s="2938" t="str">
        <f aca="false">B18</f>
        <v>1307 - Elevator Water Proofing</v>
      </c>
      <c r="AV18" s="1841" t="n">
        <f aca="false">130000+(100*$A18)+2</f>
        <v>130702</v>
      </c>
      <c r="AW18" s="1842" t="n">
        <f aca="false">Q18</f>
        <v>0</v>
      </c>
      <c r="AX18" s="1841" t="n">
        <f aca="false">130000+(100*$A18)+5</f>
        <v>130705</v>
      </c>
      <c r="AY18" s="1842" t="n">
        <f aca="false">S18</f>
        <v>0</v>
      </c>
      <c r="AZ18" s="1841" t="n">
        <f aca="false">130000+(100*$A18)+8</f>
        <v>130708</v>
      </c>
      <c r="BA18" s="1842" t="n">
        <f aca="false">R18</f>
        <v>0</v>
      </c>
      <c r="BB18" s="1841" t="n">
        <f aca="false">130000+(100*$A18)+40</f>
        <v>130740</v>
      </c>
      <c r="BC18" s="1842" t="n">
        <f aca="false">T18</f>
        <v>0</v>
      </c>
      <c r="BD18" s="1841" t="n">
        <f aca="false">130000+(100*$A18)+20</f>
        <v>130720</v>
      </c>
      <c r="BE18" s="1842" t="n">
        <f aca="false">U18</f>
        <v>0</v>
      </c>
      <c r="BF18" s="1841" t="n">
        <f aca="false">130000+(100*$A18)+60</f>
        <v>130760</v>
      </c>
      <c r="BG18" s="1842" t="n">
        <f aca="false">V18</f>
        <v>0</v>
      </c>
    </row>
    <row r="19" customFormat="false" ht="19.5" hidden="false" customHeight="true" outlineLevel="0" collapsed="false">
      <c r="A19" s="16" t="s">
        <v>1075</v>
      </c>
      <c r="B19" s="1549" t="s">
        <v>1984</v>
      </c>
      <c r="C19" s="2927"/>
      <c r="D19" s="2927"/>
      <c r="E19" s="2928"/>
      <c r="F19" s="2929" t="s">
        <v>1306</v>
      </c>
      <c r="G19" s="2930"/>
      <c r="H19" s="2931" t="n">
        <v>2800</v>
      </c>
      <c r="I19" s="2995" t="s">
        <v>1000</v>
      </c>
      <c r="J19" s="2933" t="n">
        <v>650</v>
      </c>
      <c r="K19" s="2912" t="n">
        <f aca="false">G19*H19</f>
        <v>0</v>
      </c>
      <c r="L19" s="2993" t="n">
        <v>15</v>
      </c>
      <c r="M19" s="2935" t="n">
        <v>36</v>
      </c>
      <c r="N19" s="2934" t="n">
        <v>36</v>
      </c>
      <c r="O19" s="2916" t="n">
        <f aca="false">IF(G19=0,0,ROUNDUP((L19*M19*N19/3888)*1.15*G19,0)+ROUNDUP((L19/4)*(L19/4)/27*G19,0))</f>
        <v>0</v>
      </c>
      <c r="P19" s="2990" t="n">
        <f aca="false">ROUND(O19*55,0)</f>
        <v>0</v>
      </c>
      <c r="Q19" s="2918" t="n">
        <f aca="false">ROUNDUP(K19*0.2,0)</f>
        <v>0</v>
      </c>
      <c r="R19" s="2918" t="n">
        <f aca="false">O19*M$8</f>
        <v>0</v>
      </c>
      <c r="S19" s="2918" t="n">
        <f aca="false">ROUNDUP(P19*Pricing!D$22,0)</f>
        <v>0</v>
      </c>
      <c r="T19" s="2918" t="n">
        <f aca="false">J19*G19</f>
        <v>0</v>
      </c>
      <c r="U19" s="2918" t="n">
        <f aca="false">T19*0.3</f>
        <v>0</v>
      </c>
      <c r="V19" s="2919" t="n">
        <f aca="false">G19*15</f>
        <v>0</v>
      </c>
      <c r="W19" s="2991" t="n">
        <f aca="false">(K19-X19)/(Summary!P$61+Summary!P$60)*Summary!P$60</f>
        <v>0</v>
      </c>
      <c r="X19" s="2994" t="n">
        <f aca="false">SUM(Q19:V19)</f>
        <v>0</v>
      </c>
      <c r="Y19" s="2994"/>
      <c r="Z19" s="2922" t="n">
        <f aca="false">IF(K19=0,0,1-X19/K19)</f>
        <v>0</v>
      </c>
      <c r="AG19" s="2939" t="n">
        <f aca="false">IF(F19="Y",T19,0)</f>
        <v>0</v>
      </c>
      <c r="AH19" s="16" t="n">
        <f aca="false">IF(F19="Y",0,T19)</f>
        <v>0</v>
      </c>
      <c r="AI19" s="16" t="n">
        <v>10</v>
      </c>
      <c r="AJ19" s="16" t="s">
        <v>1985</v>
      </c>
      <c r="AQ19" s="2357" t="str">
        <f aca="false">IF(AR19="","",B22)</f>
        <v>1311- Gate Track</v>
      </c>
      <c r="AR19" s="2358" t="n">
        <f aca="false">IF(G22="","",G22)</f>
        <v>0</v>
      </c>
      <c r="AS19" s="2955" t="n">
        <f aca="false">IF(AR19="","",J22*0.75)</f>
        <v>12</v>
      </c>
      <c r="AT19" s="2956" t="n">
        <f aca="false">IF(AR19="","",J22*0.25)</f>
        <v>4</v>
      </c>
      <c r="AU19" s="2938" t="str">
        <f aca="false">B19</f>
        <v>1308 - Monument Base (15' x 3' x 36")</v>
      </c>
      <c r="AV19" s="1841" t="n">
        <f aca="false">130000+(100*$A19)+2</f>
        <v>130802</v>
      </c>
      <c r="AW19" s="1842" t="n">
        <f aca="false">Q19</f>
        <v>0</v>
      </c>
      <c r="AX19" s="1841" t="n">
        <f aca="false">130000+(100*$A19)+5</f>
        <v>130805</v>
      </c>
      <c r="AY19" s="1842" t="n">
        <f aca="false">S19</f>
        <v>0</v>
      </c>
      <c r="AZ19" s="1841" t="n">
        <f aca="false">130000+(100*$A19)+8</f>
        <v>130808</v>
      </c>
      <c r="BA19" s="1842" t="n">
        <f aca="false">R19</f>
        <v>0</v>
      </c>
      <c r="BB19" s="1841" t="n">
        <f aca="false">130000+(100*$A19)+40</f>
        <v>130840</v>
      </c>
      <c r="BC19" s="1842" t="n">
        <f aca="false">T19</f>
        <v>0</v>
      </c>
      <c r="BD19" s="1841" t="n">
        <f aca="false">130000+(100*$A19)+20</f>
        <v>130820</v>
      </c>
      <c r="BE19" s="1842" t="n">
        <f aca="false">U19</f>
        <v>0</v>
      </c>
      <c r="BF19" s="1841" t="n">
        <f aca="false">130000+(100*$A19)+60</f>
        <v>130860</v>
      </c>
      <c r="BG19" s="1842" t="n">
        <f aca="false">V19</f>
        <v>0</v>
      </c>
    </row>
    <row r="20" customFormat="false" ht="19.5" hidden="false" customHeight="true" outlineLevel="0" collapsed="false">
      <c r="A20" s="16" t="s">
        <v>1076</v>
      </c>
      <c r="B20" s="1549" t="s">
        <v>1986</v>
      </c>
      <c r="C20" s="2927"/>
      <c r="D20" s="2927"/>
      <c r="E20" s="2928"/>
      <c r="F20" s="2929" t="s">
        <v>1306</v>
      </c>
      <c r="G20" s="2930"/>
      <c r="H20" s="2931" t="n">
        <v>500</v>
      </c>
      <c r="I20" s="2995" t="s">
        <v>836</v>
      </c>
      <c r="J20" s="2933" t="n">
        <v>150</v>
      </c>
      <c r="K20" s="2912" t="n">
        <f aca="false">G20*H20</f>
        <v>0</v>
      </c>
      <c r="L20" s="2993" t="n">
        <v>20</v>
      </c>
      <c r="M20" s="2935"/>
      <c r="N20" s="2934"/>
      <c r="O20" s="2916" t="n">
        <f aca="false">IF(G20=0,0,ROUNDUP((L20*M20*N20/3888)*1.15*G20,0)+ROUNDUP((L20/4)*(L20/4)/27*G20,0))</f>
        <v>0</v>
      </c>
      <c r="P20" s="2990" t="n">
        <f aca="false">ROUND(O20*55,0)</f>
        <v>0</v>
      </c>
      <c r="Q20" s="2918" t="n">
        <f aca="false">ROUNDUP(K20*0.1,0)</f>
        <v>0</v>
      </c>
      <c r="R20" s="2918" t="n">
        <f aca="false">O20*M$8</f>
        <v>0</v>
      </c>
      <c r="S20" s="2918" t="n">
        <f aca="false">ROUNDUP(P20*Pricing!D$22,0)</f>
        <v>0</v>
      </c>
      <c r="T20" s="2918" t="n">
        <f aca="false">J20*G20</f>
        <v>0</v>
      </c>
      <c r="U20" s="2918" t="n">
        <f aca="false">T20*0.3</f>
        <v>0</v>
      </c>
      <c r="V20" s="2919" t="n">
        <f aca="false">G20*50</f>
        <v>0</v>
      </c>
      <c r="W20" s="2991" t="n">
        <f aca="false">(K20-X20)/(Summary!P$61+Summary!P$60)*Summary!P$60</f>
        <v>0</v>
      </c>
      <c r="X20" s="2994" t="n">
        <f aca="false">SUM(Q20:V20)</f>
        <v>0</v>
      </c>
      <c r="Y20" s="2994"/>
      <c r="Z20" s="2922" t="n">
        <f aca="false">IF(K20=0,0,1-X20/K20)</f>
        <v>0</v>
      </c>
      <c r="AG20" s="2939" t="n">
        <f aca="false">IF(F20="Y",T20,0)</f>
        <v>0</v>
      </c>
      <c r="AH20" s="16" t="n">
        <f aca="false">IF(F20="Y",0,T20)</f>
        <v>0</v>
      </c>
      <c r="AI20" s="16" t="n">
        <v>11</v>
      </c>
      <c r="AJ20" s="16" t="s">
        <v>1987</v>
      </c>
      <c r="AQ20" s="2357" t="str">
        <f aca="false">IF(AR20="","",B25)</f>
        <v/>
      </c>
      <c r="AR20" s="2358" t="str">
        <f aca="false">IF(G25="","",G25)</f>
        <v/>
      </c>
      <c r="AS20" s="2973" t="str">
        <f aca="false">IF(AR20="","",J25*0.75)</f>
        <v/>
      </c>
      <c r="AT20" s="2974" t="str">
        <f aca="false">IF(AR20="","",J25*0.25)</f>
        <v/>
      </c>
      <c r="AU20" s="2938" t="str">
        <f aca="false">B20</f>
        <v>1309 - Bldg Transformer Pad </v>
      </c>
      <c r="AV20" s="1841" t="n">
        <f aca="false">130000+(100*$A20)+2</f>
        <v>130902</v>
      </c>
      <c r="AW20" s="1842" t="n">
        <f aca="false">Q20</f>
        <v>0</v>
      </c>
      <c r="AX20" s="1841" t="n">
        <f aca="false">130000+(100*$A20)+5</f>
        <v>130905</v>
      </c>
      <c r="AY20" s="1842" t="n">
        <f aca="false">S20</f>
        <v>0</v>
      </c>
      <c r="AZ20" s="1841" t="n">
        <f aca="false">130000+(100*$A20)+8</f>
        <v>130908</v>
      </c>
      <c r="BA20" s="1842" t="n">
        <f aca="false">R20</f>
        <v>0</v>
      </c>
      <c r="BB20" s="1841" t="n">
        <f aca="false">130000+(100*$A20)+40</f>
        <v>130940</v>
      </c>
      <c r="BC20" s="1842" t="n">
        <f aca="false">T20</f>
        <v>0</v>
      </c>
      <c r="BD20" s="1841" t="n">
        <f aca="false">130000+(100*$A20)+20</f>
        <v>130920</v>
      </c>
      <c r="BE20" s="1842" t="n">
        <f aca="false">U20</f>
        <v>0</v>
      </c>
      <c r="BF20" s="1841" t="n">
        <f aca="false">130000+(100*$A20)+60</f>
        <v>130960</v>
      </c>
      <c r="BG20" s="1842" t="n">
        <f aca="false">V20</f>
        <v>0</v>
      </c>
    </row>
    <row r="21" customFormat="false" ht="19.5" hidden="false" customHeight="true" outlineLevel="0" collapsed="false">
      <c r="A21" s="16" t="s">
        <v>1342</v>
      </c>
      <c r="B21" s="2996" t="s">
        <v>1988</v>
      </c>
      <c r="C21" s="2997"/>
      <c r="D21" s="2997"/>
      <c r="E21" s="2997"/>
      <c r="F21" s="2998" t="s">
        <v>1306</v>
      </c>
      <c r="G21" s="2999" t="n">
        <v>0</v>
      </c>
      <c r="H21" s="3000" t="n">
        <v>2500</v>
      </c>
      <c r="I21" s="3001" t="s">
        <v>1000</v>
      </c>
      <c r="J21" s="3002" t="n">
        <v>699</v>
      </c>
      <c r="K21" s="3003" t="n">
        <f aca="false">G21*H21</f>
        <v>0</v>
      </c>
      <c r="L21" s="2993" t="n">
        <v>36</v>
      </c>
      <c r="M21" s="2935" t="n">
        <v>12</v>
      </c>
      <c r="N21" s="2934" t="n">
        <v>24</v>
      </c>
      <c r="O21" s="2916" t="n">
        <f aca="false">IF(G21=0,0,ROUNDUP((L21*M21*N21/3888)*1.15*G21,0)+ROUNDUP((L21/4)*(L21/4)/27*G21,0))</f>
        <v>0</v>
      </c>
      <c r="P21" s="2990" t="n">
        <f aca="false">ROUND(O21*55,0)</f>
        <v>0</v>
      </c>
      <c r="Q21" s="3004" t="n">
        <f aca="false">ROUNDUP(K21*0.1,0)</f>
        <v>0</v>
      </c>
      <c r="R21" s="2918" t="n">
        <f aca="false">O21*M$8</f>
        <v>0</v>
      </c>
      <c r="S21" s="3004" t="n">
        <f aca="false">ROUNDUP(P21*Pricing!D$22,0)</f>
        <v>0</v>
      </c>
      <c r="T21" s="3004" t="n">
        <f aca="false">J21*G21</f>
        <v>0</v>
      </c>
      <c r="U21" s="3004" t="n">
        <f aca="false">T21*0.3</f>
        <v>0</v>
      </c>
      <c r="V21" s="3005" t="n">
        <f aca="false">G21*50</f>
        <v>0</v>
      </c>
      <c r="W21" s="2991" t="n">
        <f aca="false">(K21-X21)/(Summary!P$61+Summary!P$60)*Summary!P$60</f>
        <v>0</v>
      </c>
      <c r="X21" s="2994" t="n">
        <f aca="false">SUM(Q21:V21)</f>
        <v>0</v>
      </c>
      <c r="Y21" s="2994"/>
      <c r="Z21" s="2922" t="n">
        <f aca="false">IF(K21=0,0,1-X21/K21)</f>
        <v>0</v>
      </c>
      <c r="AG21" s="2939" t="n">
        <f aca="false">IF(F21="Y",T21,0)</f>
        <v>0</v>
      </c>
      <c r="AH21" s="16" t="n">
        <f aca="false">IF(F21="Y",0,T21)</f>
        <v>0</v>
      </c>
      <c r="AQ21" s="2357"/>
      <c r="AR21" s="2358"/>
      <c r="AS21" s="905"/>
      <c r="AT21" s="2923"/>
      <c r="AU21" s="2938" t="str">
        <f aca="false">B21</f>
        <v>1310 - Transformer Pads (Three Phase)</v>
      </c>
      <c r="AV21" s="1841" t="n">
        <f aca="false">130000+(100*$A21)+2</f>
        <v>131002</v>
      </c>
      <c r="AW21" s="1842" t="n">
        <f aca="false">Q21</f>
        <v>0</v>
      </c>
      <c r="AX21" s="1841" t="n">
        <f aca="false">130000+(100*$A21)+5</f>
        <v>131005</v>
      </c>
      <c r="AY21" s="1842" t="n">
        <f aca="false">S21</f>
        <v>0</v>
      </c>
      <c r="AZ21" s="1841" t="n">
        <f aca="false">130000+(100*$A21)+8</f>
        <v>131008</v>
      </c>
      <c r="BA21" s="1842" t="n">
        <f aca="false">R21</f>
        <v>0</v>
      </c>
      <c r="BB21" s="1841" t="n">
        <f aca="false">130000+(100*$A21)+40</f>
        <v>131040</v>
      </c>
      <c r="BC21" s="1842" t="n">
        <f aca="false">T21</f>
        <v>0</v>
      </c>
      <c r="BD21" s="1841" t="n">
        <f aca="false">130000+(100*$A21)+20</f>
        <v>131020</v>
      </c>
      <c r="BE21" s="1842" t="n">
        <f aca="false">U21</f>
        <v>0</v>
      </c>
      <c r="BF21" s="1841" t="n">
        <f aca="false">130000+(100*$A21)+60</f>
        <v>131060</v>
      </c>
      <c r="BG21" s="1842" t="n">
        <f aca="false">V21</f>
        <v>0</v>
      </c>
    </row>
    <row r="22" customFormat="false" ht="19.5" hidden="false" customHeight="true" outlineLevel="0" collapsed="false">
      <c r="A22" s="16" t="s">
        <v>1451</v>
      </c>
      <c r="B22" s="507" t="s">
        <v>1989</v>
      </c>
      <c r="C22" s="78"/>
      <c r="D22" s="78"/>
      <c r="E22" s="78"/>
      <c r="F22" s="3006" t="s">
        <v>1306</v>
      </c>
      <c r="G22" s="3007" t="n">
        <v>0</v>
      </c>
      <c r="H22" s="3008" t="n">
        <v>40</v>
      </c>
      <c r="I22" s="3009" t="s">
        <v>1000</v>
      </c>
      <c r="J22" s="3010" t="n">
        <v>16</v>
      </c>
      <c r="K22" s="3011" t="n">
        <f aca="false">G22*H22</f>
        <v>0</v>
      </c>
      <c r="L22" s="3012" t="n">
        <v>1</v>
      </c>
      <c r="M22" s="3013" t="n">
        <v>12</v>
      </c>
      <c r="N22" s="3014" t="n">
        <v>12</v>
      </c>
      <c r="O22" s="3015" t="n">
        <f aca="false">IF(G22=0,0,ROUNDUP((L22*M22*N22/3888)*1.15*G22,0)+ROUNDUP((L22/4)*(L22/4)/27*G22,0))</f>
        <v>0</v>
      </c>
      <c r="P22" s="3016" t="n">
        <f aca="false">IF(G22=0,0,ROUND(O22*55,0)+L22*2.5*4)</f>
        <v>0</v>
      </c>
      <c r="Q22" s="3017" t="n">
        <f aca="false">ROUNDUP(K22*0.1,0)</f>
        <v>0</v>
      </c>
      <c r="R22" s="3017" t="n">
        <f aca="false">O22*M8</f>
        <v>0</v>
      </c>
      <c r="S22" s="3017" t="n">
        <f aca="false">ROUNDUP(P22*Pricing!D$22,0)</f>
        <v>0</v>
      </c>
      <c r="T22" s="3017" t="n">
        <f aca="false">J22*G22</f>
        <v>0</v>
      </c>
      <c r="U22" s="3017" t="n">
        <f aca="false">T22*0.1</f>
        <v>0</v>
      </c>
      <c r="V22" s="3018" t="n">
        <f aca="false">G22*3</f>
        <v>0</v>
      </c>
      <c r="W22" s="3019" t="n">
        <f aca="false">(K22-X22)/(Summary!P$61+Summary!P$60)*Summary!P$60</f>
        <v>0</v>
      </c>
      <c r="X22" s="3020" t="n">
        <f aca="false">SUM(Q22:V22)</f>
        <v>0</v>
      </c>
      <c r="Y22" s="3020"/>
      <c r="Z22" s="2922" t="n">
        <f aca="false">IF(K22=0,0,1-X22/K22)</f>
        <v>0</v>
      </c>
      <c r="AG22" s="16" t="n">
        <f aca="false">IF(F22="Y",T22,0)</f>
        <v>0</v>
      </c>
      <c r="AH22" s="16" t="n">
        <f aca="false">IF(F22="Y",0,T22)</f>
        <v>0</v>
      </c>
      <c r="AI22" s="16" t="n">
        <v>12</v>
      </c>
      <c r="AJ22" s="16" t="s">
        <v>1990</v>
      </c>
      <c r="AQ22" s="2357" t="str">
        <f aca="false">IF(AR22="","",B26)</f>
        <v/>
      </c>
      <c r="AR22" s="2358" t="str">
        <f aca="false">IF(G26="","",G26)</f>
        <v/>
      </c>
      <c r="AS22" s="905" t="str">
        <f aca="false">IF(AR22="","",J26*0.75)</f>
        <v/>
      </c>
      <c r="AT22" s="2923" t="str">
        <f aca="false">IF(AR22="","",J26*0.25)</f>
        <v/>
      </c>
      <c r="AU22" s="2938" t="str">
        <f aca="false">B22</f>
        <v>1311- Gate Track</v>
      </c>
      <c r="AV22" s="1841" t="n">
        <f aca="false">130000+(100*$A22)+2</f>
        <v>131102</v>
      </c>
      <c r="AW22" s="2959" t="n">
        <f aca="false">Q22</f>
        <v>0</v>
      </c>
      <c r="AX22" s="2958" t="n">
        <f aca="false">130000+(100*$A22)+5</f>
        <v>131105</v>
      </c>
      <c r="AY22" s="2959" t="n">
        <f aca="false">S22</f>
        <v>0</v>
      </c>
      <c r="AZ22" s="2958" t="n">
        <f aca="false">130000+(100*$A22)+8</f>
        <v>131108</v>
      </c>
      <c r="BA22" s="2959" t="n">
        <f aca="false">R22</f>
        <v>0</v>
      </c>
      <c r="BB22" s="2958" t="n">
        <f aca="false">130000+(100*$A22)+40</f>
        <v>131140</v>
      </c>
      <c r="BC22" s="2959" t="n">
        <f aca="false">T22</f>
        <v>0</v>
      </c>
      <c r="BD22" s="2958" t="n">
        <f aca="false">130000+(100*$A22)+20</f>
        <v>131120</v>
      </c>
      <c r="BE22" s="2959" t="n">
        <f aca="false">U22</f>
        <v>0</v>
      </c>
      <c r="BF22" s="2958" t="n">
        <f aca="false">130000+(100*$A22)+60</f>
        <v>131160</v>
      </c>
      <c r="BG22" s="2959" t="n">
        <f aca="false">V22</f>
        <v>0</v>
      </c>
    </row>
    <row r="23" customFormat="false" ht="19.5" hidden="false" customHeight="true" outlineLevel="0" collapsed="false">
      <c r="B23" s="3021"/>
      <c r="C23" s="3022"/>
      <c r="D23" s="3022"/>
      <c r="E23" s="3022"/>
      <c r="F23" s="3023"/>
      <c r="G23" s="3024"/>
      <c r="H23" s="3025"/>
      <c r="I23" s="3026"/>
      <c r="J23" s="3027"/>
      <c r="K23" s="3028"/>
      <c r="L23" s="3029"/>
      <c r="M23" s="3029"/>
      <c r="N23" s="3030"/>
      <c r="O23" s="3030"/>
      <c r="P23" s="3030"/>
      <c r="Q23" s="3028"/>
      <c r="R23" s="3031"/>
      <c r="S23" s="3032"/>
      <c r="T23" s="3032"/>
      <c r="U23" s="3032"/>
      <c r="V23" s="3027"/>
      <c r="W23" s="3027"/>
      <c r="X23" s="3033"/>
      <c r="Y23" s="3034"/>
      <c r="Z23" s="2922"/>
      <c r="AG23" s="16" t="n">
        <f aca="false">IF(F23="Y",T23,0)</f>
        <v>0</v>
      </c>
      <c r="AH23" s="525" t="n">
        <f aca="false">IF(F23="Y",0,T23)</f>
        <v>0</v>
      </c>
      <c r="AI23" s="16" t="n">
        <v>15</v>
      </c>
      <c r="AJ23" s="16" t="s">
        <v>1991</v>
      </c>
      <c r="AQ23" s="2357" t="str">
        <f aca="false">IF(AR23="","",B27)</f>
        <v/>
      </c>
      <c r="AR23" s="2358" t="str">
        <f aca="false">IF(G27="","",G27)</f>
        <v/>
      </c>
      <c r="AS23" s="905" t="str">
        <f aca="false">IF(AR23="","",J27*0.75)</f>
        <v/>
      </c>
      <c r="AT23" s="2923" t="str">
        <f aca="false">IF(AR23="","",J27*0.25)</f>
        <v/>
      </c>
      <c r="AU23" s="2938"/>
      <c r="AV23" s="1841"/>
      <c r="AW23" s="2975"/>
      <c r="AX23" s="1841"/>
      <c r="AY23" s="2975"/>
      <c r="AZ23" s="1841"/>
      <c r="BA23" s="2975"/>
      <c r="BB23" s="1841"/>
      <c r="BC23" s="2975"/>
      <c r="BD23" s="1841"/>
      <c r="BE23" s="2975"/>
      <c r="BF23" s="1841"/>
      <c r="BG23" s="2975"/>
    </row>
    <row r="24" customFormat="false" ht="31.5" hidden="false" customHeight="true" outlineLevel="0" collapsed="false">
      <c r="B24" s="2887" t="s">
        <v>1517</v>
      </c>
      <c r="C24" s="2887"/>
      <c r="D24" s="2887"/>
      <c r="E24" s="2887"/>
      <c r="F24" s="3035" t="s">
        <v>1958</v>
      </c>
      <c r="G24" s="2977" t="s">
        <v>835</v>
      </c>
      <c r="H24" s="3036" t="s">
        <v>1959</v>
      </c>
      <c r="I24" s="3037" t="s">
        <v>1960</v>
      </c>
      <c r="J24" s="2979" t="s">
        <v>1979</v>
      </c>
      <c r="K24" s="2980" t="s">
        <v>1962</v>
      </c>
      <c r="L24" s="2891" t="s">
        <v>1418</v>
      </c>
      <c r="M24" s="2981" t="s">
        <v>1755</v>
      </c>
      <c r="N24" s="2893" t="s">
        <v>1966</v>
      </c>
      <c r="O24" s="2893" t="s">
        <v>1992</v>
      </c>
      <c r="P24" s="3038" t="s">
        <v>1513</v>
      </c>
      <c r="Q24" s="2983" t="str">
        <f aca="false">Q16</f>
        <v>FORMS</v>
      </c>
      <c r="R24" s="3039" t="str">
        <f aca="false">R9</f>
        <v>CONCRETE</v>
      </c>
      <c r="S24" s="3039" t="str">
        <f aca="false">S9</f>
        <v>STEEL</v>
      </c>
      <c r="T24" s="3039" t="str">
        <f aca="false">T9</f>
        <v>LABOR</v>
      </c>
      <c r="U24" s="3039" t="str">
        <f aca="false">U9</f>
        <v>SUPRVSN</v>
      </c>
      <c r="V24" s="3039" t="str">
        <f aca="false">V9</f>
        <v>EQUIP.</v>
      </c>
      <c r="W24" s="3040" t="s">
        <v>1191</v>
      </c>
      <c r="X24" s="3041" t="s">
        <v>980</v>
      </c>
      <c r="Y24" s="3041"/>
      <c r="Z24" s="2922"/>
      <c r="AG24" s="16" t="n">
        <f aca="false">IF(F24="Y",T24,0)</f>
        <v>0</v>
      </c>
      <c r="AH24" s="16" t="str">
        <f aca="false">IF(F24="Y",0,T24)</f>
        <v>LABOR</v>
      </c>
      <c r="AI24" s="16" t="n">
        <v>16</v>
      </c>
      <c r="AJ24" s="16" t="s">
        <v>1993</v>
      </c>
      <c r="AQ24" s="2357" t="str">
        <f aca="false">IF(AR24="","",B28)</f>
        <v/>
      </c>
      <c r="AR24" s="2358" t="str">
        <f aca="false">IF(G28="","",G28)</f>
        <v/>
      </c>
      <c r="AS24" s="905" t="str">
        <f aca="false">IF(AR24="","",J28*0.75)</f>
        <v/>
      </c>
      <c r="AT24" s="2923" t="str">
        <f aca="false">IF(AR24="","",J28*0.25)</f>
        <v/>
      </c>
      <c r="AU24" s="2938"/>
      <c r="AV24" s="1841"/>
      <c r="AW24" s="2975"/>
      <c r="AX24" s="1841"/>
      <c r="AY24" s="2975"/>
      <c r="AZ24" s="1841"/>
      <c r="BA24" s="2975"/>
      <c r="BB24" s="1841"/>
      <c r="BC24" s="2975"/>
      <c r="BD24" s="1841"/>
      <c r="BE24" s="2975"/>
      <c r="BF24" s="1841"/>
      <c r="BG24" s="2975"/>
    </row>
    <row r="25" customFormat="false" ht="19.5" hidden="false" customHeight="true" outlineLevel="0" collapsed="false">
      <c r="A25" s="15" t="n">
        <v>12</v>
      </c>
      <c r="B25" s="2904" t="s">
        <v>1994</v>
      </c>
      <c r="C25" s="2905"/>
      <c r="D25" s="2905"/>
      <c r="E25" s="2906"/>
      <c r="F25" s="2908" t="s">
        <v>1306</v>
      </c>
      <c r="G25" s="2908"/>
      <c r="H25" s="3042" t="n">
        <v>450</v>
      </c>
      <c r="I25" s="3043" t="s">
        <v>1000</v>
      </c>
      <c r="J25" s="2911" t="n">
        <v>150</v>
      </c>
      <c r="K25" s="3044" t="n">
        <f aca="false">G25*H25</f>
        <v>0</v>
      </c>
      <c r="L25" s="2914" t="n">
        <v>9</v>
      </c>
      <c r="M25" s="2914" t="n">
        <v>28</v>
      </c>
      <c r="N25" s="3045" t="n">
        <f aca="false">O25*0.01*13232</f>
        <v>0</v>
      </c>
      <c r="O25" s="3046" t="n">
        <f aca="false">L25*M25/324*G25</f>
        <v>0</v>
      </c>
      <c r="P25" s="2990"/>
      <c r="Q25" s="2918" t="n">
        <f aca="false">H25*0.1*G25</f>
        <v>0</v>
      </c>
      <c r="R25" s="2918" t="n">
        <f aca="false">O25*M$8*1.0825</f>
        <v>0</v>
      </c>
      <c r="S25" s="2918" t="n">
        <f aca="false">N25*Pricing!D$24*1.0825</f>
        <v>0</v>
      </c>
      <c r="T25" s="2918" t="n">
        <f aca="false">J25*G25</f>
        <v>0</v>
      </c>
      <c r="U25" s="2918" t="n">
        <f aca="false">T25*0.15</f>
        <v>0</v>
      </c>
      <c r="V25" s="2919" t="n">
        <f aca="false">U25</f>
        <v>0</v>
      </c>
      <c r="W25" s="2991" t="n">
        <f aca="false">(K25-X25)/(Summary!P$61+Summary!P$60)*Summary!P$60</f>
        <v>0</v>
      </c>
      <c r="X25" s="2992" t="n">
        <f aca="false">SUM(P25:V25)</f>
        <v>0</v>
      </c>
      <c r="Y25" s="2992"/>
      <c r="Z25" s="2922" t="n">
        <f aca="false">IF(K25=0,0,1-X25/K25)</f>
        <v>0</v>
      </c>
      <c r="AG25" s="2939" t="n">
        <f aca="false">IF(F25="Y",T25,0)</f>
        <v>0</v>
      </c>
      <c r="AH25" s="16" t="n">
        <f aca="false">IF(F25="Y",0,T25)</f>
        <v>0</v>
      </c>
      <c r="AI25" s="16" t="n">
        <v>17</v>
      </c>
      <c r="AJ25" s="16" t="s">
        <v>1995</v>
      </c>
      <c r="AQ25" s="2357" t="str">
        <f aca="false">IF(AR25="","",B29)</f>
        <v/>
      </c>
      <c r="AR25" s="2358" t="str">
        <f aca="false">IF(G29="","",G29)</f>
        <v/>
      </c>
      <c r="AS25" s="905" t="str">
        <f aca="false">IF(AR25="","",J29*0.75)</f>
        <v/>
      </c>
      <c r="AT25" s="2923" t="str">
        <f aca="false">IF(AR25="","",J29*0.25)</f>
        <v/>
      </c>
      <c r="AU25" s="2924" t="str">
        <f aca="false">B25</f>
        <v>1312 - Trellis Ftgs</v>
      </c>
      <c r="AV25" s="2925" t="n">
        <f aca="false">130000+(100*$A25)+2</f>
        <v>131202</v>
      </c>
      <c r="AW25" s="2926" t="n">
        <f aca="false">Q25</f>
        <v>0</v>
      </c>
      <c r="AX25" s="2925" t="n">
        <f aca="false">130000+(100*$A25)+5</f>
        <v>131205</v>
      </c>
      <c r="AY25" s="2926" t="n">
        <f aca="false">S25</f>
        <v>0</v>
      </c>
      <c r="AZ25" s="2925" t="n">
        <f aca="false">130000+(100*$A25)+8</f>
        <v>131208</v>
      </c>
      <c r="BA25" s="2926" t="n">
        <f aca="false">R25+P25</f>
        <v>0</v>
      </c>
      <c r="BB25" s="2925" t="n">
        <f aca="false">130000+(100*$A25)+40</f>
        <v>131240</v>
      </c>
      <c r="BC25" s="2926" t="n">
        <f aca="false">T25</f>
        <v>0</v>
      </c>
      <c r="BD25" s="2925" t="n">
        <f aca="false">130000+(100*$A25)+20</f>
        <v>131220</v>
      </c>
      <c r="BE25" s="2926" t="n">
        <f aca="false">U25</f>
        <v>0</v>
      </c>
      <c r="BF25" s="2925" t="n">
        <f aca="false">130000+(100*$A25)+60</f>
        <v>131260</v>
      </c>
      <c r="BG25" s="2926" t="n">
        <f aca="false">V25</f>
        <v>0</v>
      </c>
    </row>
    <row r="26" customFormat="false" ht="19.5" hidden="false" customHeight="true" outlineLevel="0" collapsed="false">
      <c r="A26" s="15" t="n">
        <v>13</v>
      </c>
      <c r="B26" s="1549" t="s">
        <v>1996</v>
      </c>
      <c r="C26" s="2927"/>
      <c r="D26" s="2927"/>
      <c r="E26" s="2928"/>
      <c r="F26" s="2930" t="s">
        <v>1306</v>
      </c>
      <c r="G26" s="2930"/>
      <c r="H26" s="3047" t="n">
        <v>550</v>
      </c>
      <c r="I26" s="3048" t="s">
        <v>1000</v>
      </c>
      <c r="J26" s="2933" t="n">
        <v>185</v>
      </c>
      <c r="K26" s="2912" t="n">
        <f aca="false">G26*H26</f>
        <v>0</v>
      </c>
      <c r="L26" s="2935" t="n">
        <v>9</v>
      </c>
      <c r="M26" s="2935" t="n">
        <v>24</v>
      </c>
      <c r="N26" s="3045" t="n">
        <f aca="false">O26*0.01*13232</f>
        <v>0</v>
      </c>
      <c r="O26" s="3046" t="n">
        <f aca="false">L26*M26/324*G26</f>
        <v>0</v>
      </c>
      <c r="P26" s="2990"/>
      <c r="Q26" s="2918" t="n">
        <f aca="false">H26*0.1*G26</f>
        <v>0</v>
      </c>
      <c r="R26" s="2918" t="n">
        <f aca="false">O26*M$8*1.0825</f>
        <v>0</v>
      </c>
      <c r="S26" s="2918" t="n">
        <f aca="false">N26*Pricing!D$24*1.0825</f>
        <v>0</v>
      </c>
      <c r="T26" s="2918" t="n">
        <f aca="false">J26*G26</f>
        <v>0</v>
      </c>
      <c r="U26" s="2918" t="n">
        <f aca="false">T26*0.15</f>
        <v>0</v>
      </c>
      <c r="V26" s="2919" t="n">
        <f aca="false">G26*55</f>
        <v>0</v>
      </c>
      <c r="W26" s="2991" t="n">
        <f aca="false">(K26-X26)/(Summary!P$61+Summary!P$60)*Summary!P$60</f>
        <v>0</v>
      </c>
      <c r="X26" s="2994" t="n">
        <f aca="false">SUM(P26:V26)</f>
        <v>0</v>
      </c>
      <c r="Y26" s="2994"/>
      <c r="Z26" s="2922" t="n">
        <f aca="false">IF(K26=0,0,1-X26/K26)</f>
        <v>0</v>
      </c>
      <c r="AG26" s="2939" t="n">
        <f aca="false">IF(F26="Y",T26,0)</f>
        <v>0</v>
      </c>
      <c r="AH26" s="16" t="n">
        <f aca="false">IF(F26="Y",0,T26)</f>
        <v>0</v>
      </c>
      <c r="AI26" s="16" t="n">
        <v>18</v>
      </c>
      <c r="AJ26" s="16" t="s">
        <v>1997</v>
      </c>
      <c r="AQ26" s="2357" t="str">
        <f aca="false">IF(AR26="","",B32)</f>
        <v/>
      </c>
      <c r="AR26" s="2358" t="str">
        <f aca="false">IF(G32="","",G32)</f>
        <v/>
      </c>
      <c r="AS26" s="2955" t="str">
        <f aca="false">IF(AR26="","",J32*0.75)</f>
        <v/>
      </c>
      <c r="AT26" s="2956" t="str">
        <f aca="false">IF(AR26="","",J32*0.25)</f>
        <v/>
      </c>
      <c r="AU26" s="2938" t="str">
        <f aca="false">B26</f>
        <v>1313 -Gate Column Ftgs 3'x3'x2'</v>
      </c>
      <c r="AV26" s="1841" t="n">
        <f aca="false">130000+(100*$A26)+2</f>
        <v>131302</v>
      </c>
      <c r="AW26" s="1842" t="n">
        <f aca="false">Q26</f>
        <v>0</v>
      </c>
      <c r="AX26" s="1841" t="n">
        <f aca="false">130000+(100*$A26)+5</f>
        <v>131305</v>
      </c>
      <c r="AY26" s="1842" t="n">
        <f aca="false">S26</f>
        <v>0</v>
      </c>
      <c r="AZ26" s="1841" t="n">
        <f aca="false">130000+(100*$A26)+8</f>
        <v>131308</v>
      </c>
      <c r="BA26" s="1842" t="n">
        <f aca="false">R26+P26</f>
        <v>0</v>
      </c>
      <c r="BB26" s="1841" t="n">
        <f aca="false">130000+(100*$A26)+40</f>
        <v>131340</v>
      </c>
      <c r="BC26" s="1842" t="n">
        <f aca="false">T26</f>
        <v>0</v>
      </c>
      <c r="BD26" s="1841" t="n">
        <f aca="false">130000+(100*$A26)+20</f>
        <v>131320</v>
      </c>
      <c r="BE26" s="1842" t="n">
        <f aca="false">U26</f>
        <v>0</v>
      </c>
      <c r="BF26" s="1841" t="n">
        <f aca="false">130000+(100*$A26)+60</f>
        <v>131360</v>
      </c>
      <c r="BG26" s="1842" t="n">
        <f aca="false">V26</f>
        <v>0</v>
      </c>
    </row>
    <row r="27" customFormat="false" ht="19.5" hidden="false" customHeight="true" outlineLevel="0" collapsed="false">
      <c r="A27" s="15" t="n">
        <v>14</v>
      </c>
      <c r="B27" s="1549" t="s">
        <v>1998</v>
      </c>
      <c r="C27" s="2927"/>
      <c r="D27" s="2927"/>
      <c r="E27" s="2928"/>
      <c r="F27" s="2930" t="s">
        <v>1306</v>
      </c>
      <c r="G27" s="2930"/>
      <c r="H27" s="3047" t="n">
        <v>1150</v>
      </c>
      <c r="I27" s="3048" t="s">
        <v>1000</v>
      </c>
      <c r="J27" s="2933" t="n">
        <v>360</v>
      </c>
      <c r="K27" s="2912" t="n">
        <f aca="false">G27*H27</f>
        <v>0</v>
      </c>
      <c r="L27" s="2935" t="n">
        <v>36</v>
      </c>
      <c r="M27" s="2935" t="n">
        <v>12</v>
      </c>
      <c r="N27" s="3045" t="n">
        <f aca="false">O27*0.01*13232</f>
        <v>0</v>
      </c>
      <c r="O27" s="3046" t="n">
        <f aca="false">L27*M27/324*G27</f>
        <v>0</v>
      </c>
      <c r="P27" s="2990"/>
      <c r="Q27" s="2918" t="n">
        <f aca="false">R27*0.7</f>
        <v>0</v>
      </c>
      <c r="R27" s="2918" t="n">
        <f aca="false">O27*M$8*1.0825</f>
        <v>0</v>
      </c>
      <c r="S27" s="2918" t="n">
        <f aca="false">N27*Pricing!D$24*1.0825</f>
        <v>0</v>
      </c>
      <c r="T27" s="2918" t="n">
        <f aca="false">J27*G27</f>
        <v>0</v>
      </c>
      <c r="U27" s="2918" t="n">
        <f aca="false">T27*0.15</f>
        <v>0</v>
      </c>
      <c r="V27" s="2918" t="n">
        <f aca="false">S27</f>
        <v>0</v>
      </c>
      <c r="W27" s="2991" t="n">
        <f aca="false">(K27-X27)/(Summary!P$61+Summary!P$60)*Summary!P$60</f>
        <v>0</v>
      </c>
      <c r="X27" s="2994" t="n">
        <f aca="false">SUM(P27:V27)</f>
        <v>0</v>
      </c>
      <c r="Y27" s="2994"/>
      <c r="Z27" s="2922" t="n">
        <f aca="false">IF(K27=0,0,1-X27/K27)</f>
        <v>0</v>
      </c>
      <c r="AG27" s="2939" t="n">
        <f aca="false">IF(F27="Y",T27,0)</f>
        <v>0</v>
      </c>
      <c r="AH27" s="16" t="n">
        <f aca="false">IF(F27="Y",0,T27)</f>
        <v>0</v>
      </c>
      <c r="AI27" s="16" t="n">
        <v>20</v>
      </c>
      <c r="AJ27" s="16" t="s">
        <v>1110</v>
      </c>
      <c r="AN27" s="2898" t="n">
        <f aca="false">SUM(U10:U40)</f>
        <v>0</v>
      </c>
      <c r="AQ27" s="2357" t="str">
        <f aca="false">IF(AR27="","",B34)</f>
        <v>1320 - Radon Pits</v>
      </c>
      <c r="AR27" s="2358" t="n">
        <f aca="false">IF(G34="","",G34)</f>
        <v>0</v>
      </c>
      <c r="AS27" s="2973" t="n">
        <f aca="false">IF(AR27="","",J34*0.75)</f>
        <v>112.5</v>
      </c>
      <c r="AT27" s="2974" t="n">
        <f aca="false">IF(AR27="","",J34*0.25)</f>
        <v>37.5</v>
      </c>
      <c r="AU27" s="2938" t="str">
        <f aca="false">B27</f>
        <v>1314 - Fire Pit Footings</v>
      </c>
      <c r="AV27" s="1841" t="n">
        <f aca="false">130000+(100*$A27)+2</f>
        <v>131402</v>
      </c>
      <c r="AW27" s="1842" t="n">
        <f aca="false">Q27</f>
        <v>0</v>
      </c>
      <c r="AX27" s="1841" t="n">
        <f aca="false">130000+(100*$A27)+5</f>
        <v>131405</v>
      </c>
      <c r="AY27" s="1842" t="n">
        <f aca="false">S27</f>
        <v>0</v>
      </c>
      <c r="AZ27" s="1841" t="n">
        <f aca="false">130000+(100*$A27)+8</f>
        <v>131408</v>
      </c>
      <c r="BA27" s="1842" t="n">
        <f aca="false">R27+P27</f>
        <v>0</v>
      </c>
      <c r="BB27" s="1841" t="n">
        <f aca="false">130000+(100*$A27)+40</f>
        <v>131440</v>
      </c>
      <c r="BC27" s="1842" t="n">
        <f aca="false">T27</f>
        <v>0</v>
      </c>
      <c r="BD27" s="1841" t="n">
        <f aca="false">130000+(100*$A27)+20</f>
        <v>131420</v>
      </c>
      <c r="BE27" s="1842" t="n">
        <f aca="false">U27</f>
        <v>0</v>
      </c>
      <c r="BF27" s="1841" t="n">
        <f aca="false">130000+(100*$A27)+60</f>
        <v>131460</v>
      </c>
      <c r="BG27" s="1842" t="n">
        <f aca="false">V27</f>
        <v>0</v>
      </c>
    </row>
    <row r="28" customFormat="false" ht="19.5" hidden="false" customHeight="true" outlineLevel="0" collapsed="false">
      <c r="A28" s="15" t="n">
        <v>15</v>
      </c>
      <c r="B28" s="1549" t="s">
        <v>1999</v>
      </c>
      <c r="C28" s="2927"/>
      <c r="D28" s="2927"/>
      <c r="E28" s="2928"/>
      <c r="F28" s="2930" t="s">
        <v>1306</v>
      </c>
      <c r="G28" s="2930"/>
      <c r="H28" s="3047" t="n">
        <v>43</v>
      </c>
      <c r="I28" s="3048" t="s">
        <v>836</v>
      </c>
      <c r="J28" s="2933" t="n">
        <v>16</v>
      </c>
      <c r="K28" s="2912" t="n">
        <f aca="false">G28*H28</f>
        <v>0</v>
      </c>
      <c r="L28" s="3049" t="n">
        <v>2</v>
      </c>
      <c r="M28" s="2935" t="n">
        <v>12</v>
      </c>
      <c r="N28" s="3045" t="n">
        <f aca="false">O28*0.01*13232</f>
        <v>0</v>
      </c>
      <c r="O28" s="3046" t="n">
        <f aca="false">L28*M28/324*G28</f>
        <v>0</v>
      </c>
      <c r="P28" s="2990"/>
      <c r="Q28" s="2918" t="n">
        <f aca="false">R28*0.5</f>
        <v>0</v>
      </c>
      <c r="R28" s="2918" t="n">
        <f aca="false">O28*M$8*1.0825</f>
        <v>0</v>
      </c>
      <c r="S28" s="2918" t="n">
        <f aca="false">N28*Pricing!D$24*1.0825</f>
        <v>0</v>
      </c>
      <c r="T28" s="2918" t="n">
        <f aca="false">J28*G28</f>
        <v>0</v>
      </c>
      <c r="U28" s="2918" t="n">
        <f aca="false">T28*0.1</f>
        <v>0</v>
      </c>
      <c r="V28" s="2918" t="n">
        <f aca="false">U28</f>
        <v>0</v>
      </c>
      <c r="W28" s="2991" t="n">
        <f aca="false">(K28-X28)/(Summary!P$61+Summary!P$60)*Summary!P$60</f>
        <v>0</v>
      </c>
      <c r="X28" s="2994" t="n">
        <f aca="false">SUM(P28:V28)</f>
        <v>0</v>
      </c>
      <c r="Y28" s="2994"/>
      <c r="Z28" s="2922" t="n">
        <f aca="false">IF(K28=0,0,1-X28/K28)</f>
        <v>0</v>
      </c>
      <c r="AG28" s="2939" t="n">
        <f aca="false">IF(F28="Y",T28,0)</f>
        <v>0</v>
      </c>
      <c r="AH28" s="16" t="n">
        <f aca="false">IF(F28="Y",0,T28)</f>
        <v>0</v>
      </c>
      <c r="AI28" s="16" t="n">
        <v>21</v>
      </c>
      <c r="AJ28" s="16" t="s">
        <v>2000</v>
      </c>
      <c r="AQ28" s="2357" t="str">
        <f aca="false">IF(AR28="","",B35)</f>
        <v/>
      </c>
      <c r="AR28" s="2358" t="str">
        <f aca="false">IF(G35="","",G35)</f>
        <v/>
      </c>
      <c r="AS28" s="905" t="str">
        <f aca="false">IF(AR28="","",J35*0.75)</f>
        <v/>
      </c>
      <c r="AT28" s="2923" t="str">
        <f aca="false">IF(AR28="","",J35*0.25)</f>
        <v/>
      </c>
      <c r="AU28" s="2938" t="str">
        <f aca="false">B28</f>
        <v>1315 - Site Wall Footing</v>
      </c>
      <c r="AV28" s="1841" t="n">
        <f aca="false">130000+(100*$A28)+2</f>
        <v>131502</v>
      </c>
      <c r="AW28" s="1842" t="n">
        <f aca="false">Q28</f>
        <v>0</v>
      </c>
      <c r="AX28" s="1841" t="n">
        <f aca="false">130000+(100*$A28)+5</f>
        <v>131505</v>
      </c>
      <c r="AY28" s="1842" t="n">
        <f aca="false">S28</f>
        <v>0</v>
      </c>
      <c r="AZ28" s="1841" t="n">
        <f aca="false">130000+(100*$A28)+8</f>
        <v>131508</v>
      </c>
      <c r="BA28" s="1842" t="n">
        <f aca="false">R28+P28</f>
        <v>0</v>
      </c>
      <c r="BB28" s="1841" t="n">
        <f aca="false">130000+(100*$A28)+40</f>
        <v>131540</v>
      </c>
      <c r="BC28" s="1842" t="n">
        <f aca="false">T28</f>
        <v>0</v>
      </c>
      <c r="BD28" s="1841" t="n">
        <f aca="false">130000+(100*$A28)+20</f>
        <v>131520</v>
      </c>
      <c r="BE28" s="1842" t="n">
        <f aca="false">U28</f>
        <v>0</v>
      </c>
      <c r="BF28" s="1841" t="n">
        <f aca="false">130000+(100*$A28)+60</f>
        <v>131560</v>
      </c>
      <c r="BG28" s="1842" t="n">
        <f aca="false">V28</f>
        <v>0</v>
      </c>
    </row>
    <row r="29" customFormat="false" ht="19.5" hidden="false" customHeight="true" outlineLevel="0" collapsed="false">
      <c r="A29" s="15" t="n">
        <v>16</v>
      </c>
      <c r="B29" s="2028" t="s">
        <v>2001</v>
      </c>
      <c r="C29" s="2927"/>
      <c r="D29" s="2927"/>
      <c r="E29" s="2927"/>
      <c r="F29" s="2999" t="s">
        <v>1306</v>
      </c>
      <c r="G29" s="2999"/>
      <c r="H29" s="3050" t="n">
        <v>38</v>
      </c>
      <c r="I29" s="3051" t="s">
        <v>836</v>
      </c>
      <c r="J29" s="3002" t="n">
        <v>18</v>
      </c>
      <c r="K29" s="3052" t="n">
        <f aca="false">G29*H29</f>
        <v>0</v>
      </c>
      <c r="L29" s="2935" t="n">
        <v>1</v>
      </c>
      <c r="M29" s="2935" t="n">
        <v>12</v>
      </c>
      <c r="N29" s="3045" t="n">
        <f aca="false">O29*0.01*13232</f>
        <v>0</v>
      </c>
      <c r="O29" s="3046" t="n">
        <f aca="false">L29*M29/324*G29</f>
        <v>0</v>
      </c>
      <c r="P29" s="2990"/>
      <c r="Q29" s="2918" t="n">
        <f aca="false">R29*0.5</f>
        <v>0</v>
      </c>
      <c r="R29" s="2918" t="n">
        <f aca="false">O29*M$8*1.0825</f>
        <v>0</v>
      </c>
      <c r="S29" s="2918" t="n">
        <f aca="false">N29*Pricing!D$24*1.0825</f>
        <v>0</v>
      </c>
      <c r="T29" s="2918" t="n">
        <f aca="false">J29*G29</f>
        <v>0</v>
      </c>
      <c r="U29" s="2918" t="n">
        <f aca="false">T29*0.05</f>
        <v>0</v>
      </c>
      <c r="V29" s="2918" t="n">
        <f aca="false">S29</f>
        <v>0</v>
      </c>
      <c r="W29" s="2991" t="n">
        <f aca="false">(K29-X29)/(Summary!P$61+Summary!P$60)*Summary!P$60</f>
        <v>0</v>
      </c>
      <c r="X29" s="2994" t="n">
        <f aca="false">SUM(P29:V29)</f>
        <v>0</v>
      </c>
      <c r="Y29" s="2994"/>
      <c r="Z29" s="2922" t="n">
        <f aca="false">IF(K29=0,0,1-X29/K29)</f>
        <v>0</v>
      </c>
      <c r="AG29" s="2939" t="n">
        <f aca="false">IF(F29="Y",T29,0)</f>
        <v>0</v>
      </c>
      <c r="AH29" s="16" t="n">
        <f aca="false">IF(F29="Y",0,T29)</f>
        <v>0</v>
      </c>
      <c r="AI29" s="16" t="n">
        <v>22</v>
      </c>
      <c r="AJ29" s="16" t="s">
        <v>1113</v>
      </c>
      <c r="AN29" s="2898" t="n">
        <f aca="false">SUM(AH10:AH40)</f>
        <v>0</v>
      </c>
      <c r="AQ29" s="2357" t="str">
        <f aca="false">IF(AR29="","",B36)</f>
        <v/>
      </c>
      <c r="AR29" s="2358" t="str">
        <f aca="false">IF(G36="","",G36)</f>
        <v/>
      </c>
      <c r="AS29" s="905" t="str">
        <f aca="false">IF(AR29="","",J36*0.75)</f>
        <v/>
      </c>
      <c r="AT29" s="2923" t="str">
        <f aca="false">IF(AR29="","",J36*0.25)</f>
        <v/>
      </c>
      <c r="AU29" s="2938" t="str">
        <f aca="false">B29</f>
        <v>1316 - landscape Curb</v>
      </c>
      <c r="AV29" s="1841" t="n">
        <f aca="false">130000+(100*$A29)+2</f>
        <v>131602</v>
      </c>
      <c r="AW29" s="1842" t="n">
        <f aca="false">Q29</f>
        <v>0</v>
      </c>
      <c r="AX29" s="1841" t="n">
        <f aca="false">130000+(100*$A29)+5</f>
        <v>131605</v>
      </c>
      <c r="AY29" s="1842" t="n">
        <f aca="false">S29</f>
        <v>0</v>
      </c>
      <c r="AZ29" s="1841" t="n">
        <f aca="false">130000+(100*$A29)+8</f>
        <v>131608</v>
      </c>
      <c r="BA29" s="1842" t="n">
        <f aca="false">R29+P29</f>
        <v>0</v>
      </c>
      <c r="BB29" s="1841" t="n">
        <f aca="false">130000+(100*$A29)+40</f>
        <v>131640</v>
      </c>
      <c r="BC29" s="1842" t="n">
        <f aca="false">T29</f>
        <v>0</v>
      </c>
      <c r="BD29" s="1841" t="n">
        <f aca="false">130000+(100*$A29)+20</f>
        <v>131620</v>
      </c>
      <c r="BE29" s="1842" t="n">
        <f aca="false">U29</f>
        <v>0</v>
      </c>
      <c r="BF29" s="1841" t="n">
        <f aca="false">130000+(100*$A29)+60</f>
        <v>131660</v>
      </c>
      <c r="BG29" s="1842" t="n">
        <f aca="false">V29</f>
        <v>0</v>
      </c>
    </row>
    <row r="30" customFormat="false" ht="19.5" hidden="false" customHeight="true" outlineLevel="0" collapsed="false">
      <c r="A30" s="15" t="n">
        <v>17</v>
      </c>
      <c r="B30" s="2028" t="s">
        <v>2002</v>
      </c>
      <c r="C30" s="2927"/>
      <c r="D30" s="2927"/>
      <c r="E30" s="2927"/>
      <c r="F30" s="2999" t="s">
        <v>1306</v>
      </c>
      <c r="G30" s="2999"/>
      <c r="H30" s="3050" t="n">
        <v>350</v>
      </c>
      <c r="I30" s="3051" t="s">
        <v>1000</v>
      </c>
      <c r="J30" s="3002" t="n">
        <v>175</v>
      </c>
      <c r="K30" s="3052" t="n">
        <f aca="false">G30*H30</f>
        <v>0</v>
      </c>
      <c r="L30" s="2935" t="n">
        <v>4</v>
      </c>
      <c r="M30" s="2935" t="n">
        <v>18</v>
      </c>
      <c r="N30" s="3045" t="n">
        <f aca="false">O30*0.01*13232</f>
        <v>0</v>
      </c>
      <c r="O30" s="3046" t="n">
        <f aca="false">L30*M30/324*G30</f>
        <v>0</v>
      </c>
      <c r="P30" s="2990"/>
      <c r="Q30" s="2918" t="n">
        <f aca="false">R30*0.5</f>
        <v>0</v>
      </c>
      <c r="R30" s="2918" t="n">
        <f aca="false">O30*M$8*1.0825</f>
        <v>0</v>
      </c>
      <c r="S30" s="2918" t="n">
        <f aca="false">N30*Pricing!D$24*1.0825</f>
        <v>0</v>
      </c>
      <c r="T30" s="2918" t="n">
        <f aca="false">J30*G30</f>
        <v>0</v>
      </c>
      <c r="U30" s="2918" t="n">
        <f aca="false">T30*0.15</f>
        <v>0</v>
      </c>
      <c r="V30" s="2918" t="n">
        <f aca="false">S30</f>
        <v>0</v>
      </c>
      <c r="W30" s="2991" t="n">
        <f aca="false">(K30-X30)/(Summary!P$61+Summary!P$60)*Summary!P$60</f>
        <v>0</v>
      </c>
      <c r="X30" s="2994" t="n">
        <f aca="false">SUM(P30:V30)</f>
        <v>0</v>
      </c>
      <c r="Y30" s="2994"/>
      <c r="Z30" s="2922" t="n">
        <f aca="false">IF(K30=0,0,1-X30/K30)</f>
        <v>0</v>
      </c>
      <c r="AG30" s="2939" t="n">
        <f aca="false">IF(F30="Y",T30,0)</f>
        <v>0</v>
      </c>
      <c r="AH30" s="16" t="n">
        <f aca="false">IF(F30="Y",0,T30)</f>
        <v>0</v>
      </c>
      <c r="AN30" s="2898"/>
      <c r="AQ30" s="2357"/>
      <c r="AR30" s="2358"/>
      <c r="AS30" s="905"/>
      <c r="AT30" s="2923"/>
      <c r="AU30" s="2938" t="str">
        <f aca="false">B30</f>
        <v>1317 - Call Box&amp; motor pad  Ftg</v>
      </c>
      <c r="AV30" s="1841" t="n">
        <f aca="false">130000+(100*$A30)+2</f>
        <v>131702</v>
      </c>
      <c r="AW30" s="1842" t="n">
        <f aca="false">Q30</f>
        <v>0</v>
      </c>
      <c r="AX30" s="1841" t="n">
        <f aca="false">130000+(100*$A30)+5</f>
        <v>131705</v>
      </c>
      <c r="AY30" s="1842" t="n">
        <f aca="false">S30</f>
        <v>0</v>
      </c>
      <c r="AZ30" s="1841" t="n">
        <f aca="false">130000+(100*$A30)+8</f>
        <v>131708</v>
      </c>
      <c r="BA30" s="1842" t="n">
        <f aca="false">R30+P30</f>
        <v>0</v>
      </c>
      <c r="BB30" s="1841" t="n">
        <f aca="false">130000+(100*$A30)+40</f>
        <v>131740</v>
      </c>
      <c r="BC30" s="1842" t="n">
        <f aca="false">T30</f>
        <v>0</v>
      </c>
      <c r="BD30" s="1841" t="n">
        <f aca="false">130000+(100*$A30)+20</f>
        <v>131720</v>
      </c>
      <c r="BE30" s="1842" t="n">
        <f aca="false">U30</f>
        <v>0</v>
      </c>
      <c r="BF30" s="1841" t="n">
        <f aca="false">130000+(100*$A30)+60</f>
        <v>131760</v>
      </c>
      <c r="BG30" s="1842" t="n">
        <f aca="false">V30</f>
        <v>0</v>
      </c>
    </row>
    <row r="31" customFormat="false" ht="19.5" hidden="false" customHeight="true" outlineLevel="0" collapsed="false">
      <c r="A31" s="15" t="n">
        <v>18</v>
      </c>
      <c r="B31" s="2028" t="s">
        <v>2003</v>
      </c>
      <c r="C31" s="2927"/>
      <c r="D31" s="2927"/>
      <c r="E31" s="3053"/>
      <c r="F31" s="2999" t="s">
        <v>1306</v>
      </c>
      <c r="G31" s="2999"/>
      <c r="H31" s="3050" t="n">
        <v>1400</v>
      </c>
      <c r="I31" s="3051" t="s">
        <v>878</v>
      </c>
      <c r="J31" s="3002" t="n">
        <v>500</v>
      </c>
      <c r="K31" s="3052" t="n">
        <f aca="false">G31*H31</f>
        <v>0</v>
      </c>
      <c r="L31" s="2935" t="n">
        <v>50</v>
      </c>
      <c r="M31" s="2935" t="n">
        <v>12</v>
      </c>
      <c r="N31" s="3045" t="n">
        <f aca="false">O31*0.01*13232</f>
        <v>0</v>
      </c>
      <c r="O31" s="3046" t="n">
        <f aca="false">L31*M31/324*G31</f>
        <v>0</v>
      </c>
      <c r="P31" s="2990"/>
      <c r="Q31" s="2918" t="n">
        <f aca="false">R31*0.5</f>
        <v>0</v>
      </c>
      <c r="R31" s="2918" t="n">
        <f aca="false">O31*M$8*1.0825</f>
        <v>0</v>
      </c>
      <c r="S31" s="2918" t="n">
        <f aca="false">N31*Pricing!D$24*1.0825</f>
        <v>0</v>
      </c>
      <c r="T31" s="2918" t="n">
        <f aca="false">J31*G31</f>
        <v>0</v>
      </c>
      <c r="U31" s="2918" t="n">
        <f aca="false">T31*0.15</f>
        <v>0</v>
      </c>
      <c r="V31" s="2918" t="n">
        <f aca="false">S31</f>
        <v>0</v>
      </c>
      <c r="W31" s="2991" t="n">
        <f aca="false">(K31-X31)/(Summary!P$61+Summary!P$60)*Summary!P$60</f>
        <v>0</v>
      </c>
      <c r="X31" s="2994" t="n">
        <f aca="false">SUM(P31:V31)</f>
        <v>0</v>
      </c>
      <c r="Y31" s="2994"/>
      <c r="Z31" s="2922" t="n">
        <f aca="false">IF(K31=0,0,1-X31/K31)</f>
        <v>0</v>
      </c>
      <c r="AG31" s="2939" t="n">
        <f aca="false">IF(F31="Y",T31,0)</f>
        <v>0</v>
      </c>
      <c r="AH31" s="16" t="n">
        <f aca="false">IF(F31="Y",0,T31)</f>
        <v>0</v>
      </c>
      <c r="AN31" s="2898"/>
      <c r="AQ31" s="2357"/>
      <c r="AR31" s="2358"/>
      <c r="AS31" s="905"/>
      <c r="AT31" s="2923"/>
      <c r="AU31" s="2938" t="str">
        <f aca="false">B31</f>
        <v>1318 - Outdoor Prep counter</v>
      </c>
      <c r="AV31" s="1841" t="n">
        <f aca="false">130000+(100*$A31)+2</f>
        <v>131802</v>
      </c>
      <c r="AW31" s="1842" t="n">
        <f aca="false">Q31</f>
        <v>0</v>
      </c>
      <c r="AX31" s="1841" t="n">
        <f aca="false">130000+(100*$A31)+5</f>
        <v>131805</v>
      </c>
      <c r="AY31" s="1842" t="n">
        <f aca="false">S31</f>
        <v>0</v>
      </c>
      <c r="AZ31" s="1841" t="n">
        <f aca="false">130000+(100*$A31)+8</f>
        <v>131808</v>
      </c>
      <c r="BA31" s="1842" t="n">
        <f aca="false">R31+P31</f>
        <v>0</v>
      </c>
      <c r="BB31" s="1841" t="n">
        <f aca="false">130000+(100*$A31)+40</f>
        <v>131840</v>
      </c>
      <c r="BC31" s="1842" t="n">
        <f aca="false">T31</f>
        <v>0</v>
      </c>
      <c r="BD31" s="1841" t="n">
        <f aca="false">130000+(100*$A31)+20</f>
        <v>131820</v>
      </c>
      <c r="BE31" s="1842" t="n">
        <f aca="false">U31</f>
        <v>0</v>
      </c>
      <c r="BF31" s="1841" t="n">
        <f aca="false">130000+(100*$A31)+60</f>
        <v>131860</v>
      </c>
      <c r="BG31" s="1842" t="n">
        <f aca="false">V31</f>
        <v>0</v>
      </c>
    </row>
    <row r="32" customFormat="false" ht="19.5" hidden="false" customHeight="true" outlineLevel="0" collapsed="false">
      <c r="A32" s="15" t="n">
        <v>19</v>
      </c>
      <c r="B32" s="1599" t="s">
        <v>2004</v>
      </c>
      <c r="C32" s="1826"/>
      <c r="D32" s="1826"/>
      <c r="E32" s="2125"/>
      <c r="F32" s="2941" t="s">
        <v>1306</v>
      </c>
      <c r="G32" s="2941"/>
      <c r="H32" s="3054" t="n">
        <v>11050</v>
      </c>
      <c r="I32" s="3055" t="s">
        <v>1000</v>
      </c>
      <c r="J32" s="2944" t="n">
        <v>3700</v>
      </c>
      <c r="K32" s="3011" t="n">
        <f aca="false">G32*H32</f>
        <v>0</v>
      </c>
      <c r="L32" s="3056" t="n">
        <v>369</v>
      </c>
      <c r="M32" s="3056" t="n">
        <v>12</v>
      </c>
      <c r="N32" s="3057" t="n">
        <f aca="false">O32*0.01*13232</f>
        <v>0</v>
      </c>
      <c r="O32" s="3058" t="n">
        <f aca="false">L32*M32/324*G32</f>
        <v>0</v>
      </c>
      <c r="P32" s="2990"/>
      <c r="Q32" s="3017" t="n">
        <f aca="false">R32*0.7</f>
        <v>0</v>
      </c>
      <c r="R32" s="3017" t="n">
        <f aca="false">O32*M$8*1.0825</f>
        <v>0</v>
      </c>
      <c r="S32" s="3017" t="n">
        <f aca="false">N32*Pricing!D$24*1.0825</f>
        <v>0</v>
      </c>
      <c r="T32" s="3017" t="n">
        <f aca="false">J32*G32</f>
        <v>0</v>
      </c>
      <c r="U32" s="2918" t="n">
        <f aca="false">T32*0.15</f>
        <v>0</v>
      </c>
      <c r="V32" s="3017" t="n">
        <f aca="false">S32</f>
        <v>0</v>
      </c>
      <c r="W32" s="2991" t="n">
        <f aca="false">(K32-X32)/(Summary!P$61+Summary!P$60)*Summary!P$60</f>
        <v>0</v>
      </c>
      <c r="X32" s="3059" t="n">
        <f aca="false">SUM(P32:V32)</f>
        <v>0</v>
      </c>
      <c r="Y32" s="3059"/>
      <c r="Z32" s="2922" t="n">
        <f aca="false">IF(K32=0,0,1-X32/K32)</f>
        <v>0</v>
      </c>
      <c r="AG32" s="2939" t="n">
        <f aca="false">IF(F32="Y",T32,0)</f>
        <v>0</v>
      </c>
      <c r="AH32" s="16" t="n">
        <f aca="false">IF(F32="Y",0,T32)</f>
        <v>0</v>
      </c>
      <c r="AQ32" s="2357" t="str">
        <f aca="false">IF(AR32="","",B37)</f>
        <v/>
      </c>
      <c r="AR32" s="2358" t="str">
        <f aca="false">IF(G37="","",G37)</f>
        <v/>
      </c>
      <c r="AS32" s="905" t="str">
        <f aca="false">IF(AR32="","",J37*0.75)</f>
        <v/>
      </c>
      <c r="AT32" s="2923" t="str">
        <f aca="false">IF(AR32="","",J37*0.25)</f>
        <v/>
      </c>
      <c r="AU32" s="2957" t="str">
        <f aca="false">B32</f>
        <v>1319 - Grill Footing (12" thick 369 sq ft)</v>
      </c>
      <c r="AV32" s="1841" t="n">
        <f aca="false">130000+(100*$A32)+2</f>
        <v>131902</v>
      </c>
      <c r="AW32" s="2959" t="n">
        <f aca="false">Q32</f>
        <v>0</v>
      </c>
      <c r="AX32" s="2958" t="n">
        <f aca="false">130000+(100*$A32)+5</f>
        <v>131905</v>
      </c>
      <c r="AY32" s="2959" t="n">
        <f aca="false">S32</f>
        <v>0</v>
      </c>
      <c r="AZ32" s="2958" t="n">
        <f aca="false">130000+(100*$A32)+8</f>
        <v>131908</v>
      </c>
      <c r="BA32" s="2959" t="n">
        <f aca="false">R32+P32</f>
        <v>0</v>
      </c>
      <c r="BB32" s="2958" t="n">
        <f aca="false">130000+(100*$A32)+40</f>
        <v>131940</v>
      </c>
      <c r="BC32" s="2959" t="n">
        <f aca="false">T32</f>
        <v>0</v>
      </c>
      <c r="BD32" s="2958" t="n">
        <f aca="false">130000+(100*$A32)+20</f>
        <v>131920</v>
      </c>
      <c r="BE32" s="2959" t="n">
        <f aca="false">U32</f>
        <v>0</v>
      </c>
      <c r="BF32" s="2958" t="n">
        <f aca="false">130000+(100*$A32)+60</f>
        <v>131960</v>
      </c>
      <c r="BG32" s="2959" t="n">
        <f aca="false">V32</f>
        <v>0</v>
      </c>
    </row>
    <row r="33" customFormat="false" ht="31.5" hidden="false" customHeight="true" outlineLevel="0" collapsed="false">
      <c r="B33" s="2887" t="s">
        <v>1517</v>
      </c>
      <c r="C33" s="2887"/>
      <c r="D33" s="2887"/>
      <c r="E33" s="2887"/>
      <c r="F33" s="3035" t="s">
        <v>1958</v>
      </c>
      <c r="G33" s="3060" t="s">
        <v>835</v>
      </c>
      <c r="H33" s="3061" t="s">
        <v>1959</v>
      </c>
      <c r="I33" s="3062" t="s">
        <v>1960</v>
      </c>
      <c r="J33" s="2979" t="s">
        <v>1979</v>
      </c>
      <c r="K33" s="2980" t="s">
        <v>1962</v>
      </c>
      <c r="L33" s="2981" t="s">
        <v>2005</v>
      </c>
      <c r="M33" s="2981" t="s">
        <v>1676</v>
      </c>
      <c r="N33" s="2981" t="s">
        <v>2006</v>
      </c>
      <c r="O33" s="2893" t="s">
        <v>1992</v>
      </c>
      <c r="P33" s="2893" t="s">
        <v>1966</v>
      </c>
      <c r="Q33" s="2894" t="s">
        <v>1967</v>
      </c>
      <c r="R33" s="2895" t="s">
        <v>969</v>
      </c>
      <c r="S33" s="2894" t="s">
        <v>577</v>
      </c>
      <c r="T33" s="2894" t="s">
        <v>973</v>
      </c>
      <c r="U33" s="2895" t="s">
        <v>1968</v>
      </c>
      <c r="V33" s="2894" t="s">
        <v>1969</v>
      </c>
      <c r="W33" s="2896" t="s">
        <v>1191</v>
      </c>
      <c r="X33" s="2897" t="s">
        <v>980</v>
      </c>
      <c r="Y33" s="2897"/>
      <c r="Z33" s="3063"/>
      <c r="AG33" s="16" t="n">
        <f aca="false">IF(F33="Y",T33,0)</f>
        <v>0</v>
      </c>
      <c r="AH33" s="16" t="str">
        <f aca="false">IF(F33="Y",0,T33)</f>
        <v>LABOR</v>
      </c>
      <c r="AI33" s="16" t="n">
        <v>24</v>
      </c>
      <c r="AJ33" s="16" t="s">
        <v>1125</v>
      </c>
      <c r="AQ33" s="2357" t="str">
        <f aca="false">IF(AR33="","",B38)</f>
        <v/>
      </c>
      <c r="AR33" s="2358" t="str">
        <f aca="false">IF(G38="","",G38)</f>
        <v/>
      </c>
      <c r="AS33" s="905" t="str">
        <f aca="false">IF(AR33="","",J38*0.75)</f>
        <v/>
      </c>
      <c r="AT33" s="2923" t="str">
        <f aca="false">IF(AR33="","",J38*0.25)</f>
        <v/>
      </c>
      <c r="AU33" s="2938"/>
      <c r="AV33" s="1841"/>
      <c r="AW33" s="2975"/>
      <c r="AX33" s="1841"/>
      <c r="AY33" s="2975"/>
      <c r="AZ33" s="1841"/>
      <c r="BA33" s="2975"/>
      <c r="BB33" s="1841"/>
      <c r="BC33" s="2975"/>
      <c r="BD33" s="1841"/>
      <c r="BE33" s="2975"/>
      <c r="BF33" s="1841"/>
      <c r="BG33" s="2975"/>
    </row>
    <row r="34" customFormat="false" ht="19.5" hidden="false" customHeight="true" outlineLevel="0" collapsed="false">
      <c r="A34" s="15" t="n">
        <v>20</v>
      </c>
      <c r="B34" s="2904" t="s">
        <v>2007</v>
      </c>
      <c r="C34" s="2905"/>
      <c r="D34" s="2905"/>
      <c r="E34" s="2906"/>
      <c r="F34" s="2908" t="s">
        <v>1306</v>
      </c>
      <c r="G34" s="2908" t="n">
        <v>0</v>
      </c>
      <c r="H34" s="3042" t="n">
        <v>250</v>
      </c>
      <c r="I34" s="3064" t="s">
        <v>1000</v>
      </c>
      <c r="J34" s="2911" t="n">
        <v>150</v>
      </c>
      <c r="K34" s="2912" t="n">
        <f aca="false">G34*H34</f>
        <v>0</v>
      </c>
      <c r="L34" s="2914" t="n">
        <v>24</v>
      </c>
      <c r="M34" s="2914" t="n">
        <v>24</v>
      </c>
      <c r="N34" s="2914" t="n">
        <v>5</v>
      </c>
      <c r="O34" s="2916"/>
      <c r="P34" s="3065"/>
      <c r="Q34" s="2918" t="n">
        <f aca="false">G34*25</f>
        <v>0</v>
      </c>
      <c r="R34" s="2918"/>
      <c r="S34" s="2918" t="n">
        <f aca="false">P34*Pricing!D$24*1.0825</f>
        <v>0</v>
      </c>
      <c r="T34" s="2918" t="n">
        <f aca="false">J34*G34</f>
        <v>0</v>
      </c>
      <c r="U34" s="2918" t="n">
        <f aca="false">T34*0.1</f>
        <v>0</v>
      </c>
      <c r="V34" s="2918"/>
      <c r="W34" s="2991" t="n">
        <f aca="false">(K34-X34)/(Summary!P$61+Summary!P$60)*Summary!P$60</f>
        <v>0</v>
      </c>
      <c r="X34" s="2992" t="n">
        <f aca="false">SUM(Q34:V34)</f>
        <v>0</v>
      </c>
      <c r="Y34" s="2992"/>
      <c r="Z34" s="2922" t="n">
        <f aca="false">IF(K34=0,0,1-X34/K34)</f>
        <v>0</v>
      </c>
      <c r="AG34" s="2939" t="n">
        <f aca="false">IF(F34="Y",T34,0)</f>
        <v>0</v>
      </c>
      <c r="AH34" s="16" t="n">
        <f aca="false">IF(F34="Y",0,T34)</f>
        <v>0</v>
      </c>
      <c r="AI34" s="16" t="n">
        <v>25</v>
      </c>
      <c r="AJ34" s="16" t="s">
        <v>2008</v>
      </c>
      <c r="AN34" s="525"/>
      <c r="AQ34" s="2357" t="str">
        <f aca="false">IF(AR34="","",B39)</f>
        <v/>
      </c>
      <c r="AR34" s="2358" t="str">
        <f aca="false">IF(G39="","",G39)</f>
        <v/>
      </c>
      <c r="AS34" s="905" t="str">
        <f aca="false">IF(AR34="","",J39*0.75)</f>
        <v/>
      </c>
      <c r="AT34" s="2923" t="str">
        <f aca="false">IF(AR34="","",J39*0.25)</f>
        <v/>
      </c>
      <c r="AU34" s="2924" t="str">
        <f aca="false">B34</f>
        <v>1320 - Radon Pits</v>
      </c>
      <c r="AV34" s="2925" t="n">
        <f aca="false">130000+(100*$A34)+2</f>
        <v>132002</v>
      </c>
      <c r="AW34" s="2926" t="n">
        <f aca="false">Q34</f>
        <v>0</v>
      </c>
      <c r="AX34" s="2925" t="n">
        <f aca="false">130000+(100*$A34)+5</f>
        <v>132005</v>
      </c>
      <c r="AY34" s="2926" t="n">
        <f aca="false">S34</f>
        <v>0</v>
      </c>
      <c r="AZ34" s="2925" t="n">
        <f aca="false">130000+(100*$A34)+8</f>
        <v>132008</v>
      </c>
      <c r="BA34" s="2926" t="n">
        <f aca="false">R34</f>
        <v>0</v>
      </c>
      <c r="BB34" s="2925" t="n">
        <f aca="false">130000+(100*$A34)+40</f>
        <v>132040</v>
      </c>
      <c r="BC34" s="2926" t="n">
        <f aca="false">T34</f>
        <v>0</v>
      </c>
      <c r="BD34" s="2925" t="n">
        <f aca="false">130000+(100*$A34)+20</f>
        <v>132020</v>
      </c>
      <c r="BE34" s="2926" t="n">
        <f aca="false">U34</f>
        <v>0</v>
      </c>
      <c r="BF34" s="2925" t="n">
        <f aca="false">130000+(100*$A34)+60</f>
        <v>132060</v>
      </c>
      <c r="BG34" s="2926" t="n">
        <f aca="false">V34</f>
        <v>0</v>
      </c>
    </row>
    <row r="35" customFormat="false" ht="19.5" hidden="false" customHeight="true" outlineLevel="0" collapsed="false">
      <c r="A35" s="15" t="n">
        <v>21</v>
      </c>
      <c r="B35" s="3066" t="s">
        <v>2009</v>
      </c>
      <c r="C35" s="3067"/>
      <c r="D35" s="3067"/>
      <c r="E35" s="3068"/>
      <c r="F35" s="2929" t="s">
        <v>1306</v>
      </c>
      <c r="G35" s="2930"/>
      <c r="H35" s="3047" t="n">
        <v>125</v>
      </c>
      <c r="I35" s="3069" t="s">
        <v>1000</v>
      </c>
      <c r="J35" s="2933" t="n">
        <v>57</v>
      </c>
      <c r="K35" s="2912" t="n">
        <f aca="false">G35*H35</f>
        <v>0</v>
      </c>
      <c r="L35" s="2935" t="n">
        <v>60</v>
      </c>
      <c r="M35" s="2935" t="n">
        <v>12</v>
      </c>
      <c r="N35" s="2935" t="n">
        <v>12</v>
      </c>
      <c r="O35" s="2916" t="n">
        <f aca="false">L35*M35*N35/46656*G35*1.2</f>
        <v>0</v>
      </c>
      <c r="P35" s="3065"/>
      <c r="Q35" s="2918" t="n">
        <f aca="false">G35*8</f>
        <v>0</v>
      </c>
      <c r="R35" s="2918" t="n">
        <f aca="false">O35*M$8*1.0825</f>
        <v>0</v>
      </c>
      <c r="S35" s="2918" t="n">
        <f aca="false">P35*Pricing!D$24*1.0825</f>
        <v>0</v>
      </c>
      <c r="T35" s="2918" t="n">
        <f aca="false">J35*G35</f>
        <v>0</v>
      </c>
      <c r="U35" s="2918" t="n">
        <f aca="false">T35*0.1</f>
        <v>0</v>
      </c>
      <c r="V35" s="2918" t="n">
        <f aca="false">U35*0.75</f>
        <v>0</v>
      </c>
      <c r="W35" s="2991" t="n">
        <f aca="false">(K35-X35)/(Summary!P$61+Summary!P$60)*Summary!P$60</f>
        <v>0</v>
      </c>
      <c r="X35" s="2994" t="n">
        <f aca="false">SUM(Q35:V35)</f>
        <v>0</v>
      </c>
      <c r="Y35" s="2994"/>
      <c r="Z35" s="2922" t="n">
        <f aca="false">IF(K35=0,0,1-X35/K35)</f>
        <v>0</v>
      </c>
      <c r="AG35" s="2939" t="n">
        <f aca="false">IF(F35="Y",T35,0)</f>
        <v>0</v>
      </c>
      <c r="AH35" s="16" t="n">
        <f aca="false">IF(F35="Y",0,T35)</f>
        <v>0</v>
      </c>
      <c r="AI35" s="16" t="n">
        <v>30</v>
      </c>
      <c r="AJ35" s="16" t="s">
        <v>2010</v>
      </c>
      <c r="AQ35" s="2357" t="str">
        <f aca="false">IF(AR35="","",B40)</f>
        <v/>
      </c>
      <c r="AR35" s="2358" t="str">
        <f aca="false">IF(G40="","",G40)</f>
        <v/>
      </c>
      <c r="AS35" s="905" t="str">
        <f aca="false">IF(AR35="","",J40*0.75)</f>
        <v/>
      </c>
      <c r="AT35" s="2923" t="str">
        <f aca="false">IF(AR35="","",J40*0.25)</f>
        <v/>
      </c>
      <c r="AU35" s="2938" t="str">
        <f aca="false">B35</f>
        <v>1321 - Stair Treads</v>
      </c>
      <c r="AV35" s="1841" t="n">
        <f aca="false">130000+(100*$A35)+2</f>
        <v>132102</v>
      </c>
      <c r="AW35" s="1842" t="n">
        <f aca="false">Q35</f>
        <v>0</v>
      </c>
      <c r="AX35" s="1841" t="n">
        <f aca="false">130000+(100*$A35)+5</f>
        <v>132105</v>
      </c>
      <c r="AY35" s="1842" t="n">
        <f aca="false">S35</f>
        <v>0</v>
      </c>
      <c r="AZ35" s="1841" t="n">
        <f aca="false">130000+(100*$A35)+8</f>
        <v>132108</v>
      </c>
      <c r="BA35" s="1842" t="n">
        <f aca="false">R35</f>
        <v>0</v>
      </c>
      <c r="BB35" s="1841" t="n">
        <f aca="false">130000+(100*$A35)+40</f>
        <v>132140</v>
      </c>
      <c r="BC35" s="1842" t="n">
        <f aca="false">T35</f>
        <v>0</v>
      </c>
      <c r="BD35" s="1841" t="n">
        <f aca="false">130000+(100*$A35)+20</f>
        <v>132120</v>
      </c>
      <c r="BE35" s="1842" t="n">
        <f aca="false">U35</f>
        <v>0</v>
      </c>
      <c r="BF35" s="1841" t="n">
        <f aca="false">130000+(100*$A35)+60</f>
        <v>132160</v>
      </c>
      <c r="BG35" s="1842" t="n">
        <f aca="false">V35</f>
        <v>0</v>
      </c>
    </row>
    <row r="36" customFormat="false" ht="19.5" hidden="false" customHeight="true" outlineLevel="0" collapsed="false">
      <c r="A36" s="15" t="n">
        <v>22</v>
      </c>
      <c r="B36" s="1549" t="s">
        <v>2011</v>
      </c>
      <c r="C36" s="2927"/>
      <c r="D36" s="2927"/>
      <c r="E36" s="2928"/>
      <c r="F36" s="2930" t="s">
        <v>1306</v>
      </c>
      <c r="G36" s="2930"/>
      <c r="H36" s="3070" t="n">
        <v>110</v>
      </c>
      <c r="I36" s="2932" t="s">
        <v>836</v>
      </c>
      <c r="J36" s="2933" t="n">
        <v>50</v>
      </c>
      <c r="K36" s="2912" t="n">
        <f aca="false">G36*H36</f>
        <v>0</v>
      </c>
      <c r="L36" s="2935" t="n">
        <v>36</v>
      </c>
      <c r="M36" s="2935" t="n">
        <v>36</v>
      </c>
      <c r="N36" s="2935" t="n">
        <v>6</v>
      </c>
      <c r="O36" s="2916" t="n">
        <f aca="false">L36*M36*N36/46656*G36*1.2</f>
        <v>0</v>
      </c>
      <c r="P36" s="3065" t="n">
        <f aca="false">O36*0.005*13325</f>
        <v>0</v>
      </c>
      <c r="Q36" s="2918" t="n">
        <f aca="false">G36*5</f>
        <v>0</v>
      </c>
      <c r="R36" s="2918" t="n">
        <f aca="false">O36*M$8*1.0825</f>
        <v>0</v>
      </c>
      <c r="S36" s="2918" t="n">
        <f aca="false">P36*Pricing!D$24*1.0825</f>
        <v>0</v>
      </c>
      <c r="T36" s="2918" t="n">
        <f aca="false">J36*G36</f>
        <v>0</v>
      </c>
      <c r="U36" s="2918" t="n">
        <f aca="false">T36*0.1</f>
        <v>0</v>
      </c>
      <c r="V36" s="2918"/>
      <c r="W36" s="2991" t="n">
        <f aca="false">(K36-X36)/(Summary!P$61+Summary!P$60)*Summary!P$60</f>
        <v>0</v>
      </c>
      <c r="X36" s="2994" t="n">
        <f aca="false">SUM(Q36:V36)</f>
        <v>0</v>
      </c>
      <c r="Y36" s="2994"/>
      <c r="Z36" s="2922" t="n">
        <f aca="false">IF(K36=0,0,1-X36/K36)</f>
        <v>0</v>
      </c>
      <c r="AG36" s="2939" t="n">
        <f aca="false">IF(F36="Y",T36,0)</f>
        <v>0</v>
      </c>
      <c r="AH36" s="16" t="n">
        <f aca="false">IF(F36="Y",0,T36)</f>
        <v>0</v>
      </c>
      <c r="AI36" s="16" t="n">
        <v>31</v>
      </c>
      <c r="AJ36" s="16" t="s">
        <v>2012</v>
      </c>
      <c r="AQ36" s="3071"/>
      <c r="AR36" s="3071"/>
      <c r="AS36" s="3072"/>
      <c r="AT36" s="3072"/>
      <c r="AU36" s="2938" t="str">
        <f aca="false">B36</f>
        <v>1322 - Pour Back Block Outs (3' x 3')</v>
      </c>
      <c r="AV36" s="1841" t="n">
        <f aca="false">130000+(100*$A36)+2</f>
        <v>132202</v>
      </c>
      <c r="AW36" s="1842" t="n">
        <f aca="false">Q36</f>
        <v>0</v>
      </c>
      <c r="AX36" s="1841" t="n">
        <f aca="false">130000+(100*$A36)+5</f>
        <v>132205</v>
      </c>
      <c r="AY36" s="1842" t="n">
        <f aca="false">S36</f>
        <v>0</v>
      </c>
      <c r="AZ36" s="1841" t="n">
        <f aca="false">130000+(100*$A36)+8</f>
        <v>132208</v>
      </c>
      <c r="BA36" s="1842" t="n">
        <f aca="false">R36</f>
        <v>0</v>
      </c>
      <c r="BB36" s="1841" t="n">
        <f aca="false">130000+(100*$A36)+40</f>
        <v>132240</v>
      </c>
      <c r="BC36" s="1842" t="n">
        <f aca="false">T36</f>
        <v>0</v>
      </c>
      <c r="BD36" s="1841" t="n">
        <f aca="false">130000+(100*$A36)+20</f>
        <v>132220</v>
      </c>
      <c r="BE36" s="1842" t="n">
        <f aca="false">U36</f>
        <v>0</v>
      </c>
      <c r="BF36" s="1841" t="n">
        <f aca="false">130000+(100*$A36)+60</f>
        <v>132260</v>
      </c>
      <c r="BG36" s="1842" t="n">
        <f aca="false">V36</f>
        <v>0</v>
      </c>
    </row>
    <row r="37" customFormat="false" ht="19.5" hidden="false" customHeight="true" outlineLevel="0" collapsed="false">
      <c r="A37" s="15" t="n">
        <v>23</v>
      </c>
      <c r="B37" s="1549" t="s">
        <v>2013</v>
      </c>
      <c r="C37" s="2927"/>
      <c r="D37" s="2927"/>
      <c r="E37" s="2928"/>
      <c r="F37" s="2930" t="s">
        <v>1306</v>
      </c>
      <c r="G37" s="2930"/>
      <c r="H37" s="3070" t="n">
        <v>550</v>
      </c>
      <c r="I37" s="2932" t="s">
        <v>1000</v>
      </c>
      <c r="J37" s="2933" t="n">
        <v>350</v>
      </c>
      <c r="K37" s="2912" t="n">
        <f aca="false">G37*H37</f>
        <v>0</v>
      </c>
      <c r="L37" s="2935" t="n">
        <v>60</v>
      </c>
      <c r="M37" s="2935" t="n">
        <v>60</v>
      </c>
      <c r="N37" s="2935" t="n">
        <v>4</v>
      </c>
      <c r="O37" s="2916" t="n">
        <f aca="false">L37*M37*N37/46656*G37*1.2</f>
        <v>0</v>
      </c>
      <c r="P37" s="3065" t="n">
        <f aca="false">R37*0.33/0.26*1.15</f>
        <v>0</v>
      </c>
      <c r="Q37" s="2918" t="n">
        <f aca="false">R37*0.5*1.0825</f>
        <v>0</v>
      </c>
      <c r="R37" s="2918" t="n">
        <f aca="false">O37*M$8*1.0825</f>
        <v>0</v>
      </c>
      <c r="S37" s="2918" t="n">
        <f aca="false">P37*Pricing!D$24*1.0825</f>
        <v>0</v>
      </c>
      <c r="T37" s="2918" t="n">
        <f aca="false">J37*G37</f>
        <v>0</v>
      </c>
      <c r="U37" s="2918" t="n">
        <v>0</v>
      </c>
      <c r="V37" s="2918" t="n">
        <v>0</v>
      </c>
      <c r="W37" s="2991" t="n">
        <f aca="false">(K37-X37)/(Summary!P$61+Summary!P$60)*Summary!P$60</f>
        <v>0</v>
      </c>
      <c r="X37" s="2994" t="n">
        <f aca="false">SUM(Q37:V37)</f>
        <v>0</v>
      </c>
      <c r="Y37" s="2994"/>
      <c r="Z37" s="2922" t="n">
        <f aca="false">IF(K37=0,0,1-X37/K37)</f>
        <v>0</v>
      </c>
      <c r="AG37" s="2939" t="n">
        <f aca="false">IF(F37="Y",T37,0)</f>
        <v>0</v>
      </c>
      <c r="AH37" s="16" t="n">
        <f aca="false">IF(F37="Y",0,T37)</f>
        <v>0</v>
      </c>
      <c r="AI37" s="16" t="n">
        <v>32</v>
      </c>
      <c r="AJ37" s="16" t="s">
        <v>2014</v>
      </c>
      <c r="AS37" s="905"/>
      <c r="AT37" s="905"/>
      <c r="AU37" s="1840" t="str">
        <f aca="false">B37</f>
        <v>1323 - ADA Ramps</v>
      </c>
      <c r="AV37" s="1841" t="n">
        <f aca="false">130000+(100*$A37)+2</f>
        <v>132302</v>
      </c>
      <c r="AW37" s="1842" t="n">
        <f aca="false">Q37</f>
        <v>0</v>
      </c>
      <c r="AX37" s="1841" t="n">
        <f aca="false">130000+(100*$A37)+5</f>
        <v>132305</v>
      </c>
      <c r="AY37" s="1842" t="n">
        <f aca="false">S37</f>
        <v>0</v>
      </c>
      <c r="AZ37" s="1841" t="n">
        <f aca="false">130000+(100*$A37)+8</f>
        <v>132308</v>
      </c>
      <c r="BA37" s="1842" t="n">
        <f aca="false">R37</f>
        <v>0</v>
      </c>
      <c r="BB37" s="1841" t="n">
        <f aca="false">130000+(100*$A37)+40</f>
        <v>132340</v>
      </c>
      <c r="BC37" s="1842" t="n">
        <f aca="false">T37</f>
        <v>0</v>
      </c>
      <c r="BD37" s="1841" t="n">
        <f aca="false">130000+(100*$A37)+20</f>
        <v>132320</v>
      </c>
      <c r="BE37" s="1842" t="n">
        <f aca="false">U37</f>
        <v>0</v>
      </c>
      <c r="BF37" s="1841" t="n">
        <f aca="false">130000+(100*$A37)+60</f>
        <v>132360</v>
      </c>
      <c r="BG37" s="1842" t="n">
        <f aca="false">V37</f>
        <v>0</v>
      </c>
    </row>
    <row r="38" customFormat="false" ht="19.5" hidden="false" customHeight="true" outlineLevel="0" collapsed="false">
      <c r="A38" s="15" t="n">
        <v>24</v>
      </c>
      <c r="B38" s="1549" t="s">
        <v>2015</v>
      </c>
      <c r="C38" s="2927"/>
      <c r="D38" s="2927"/>
      <c r="E38" s="2928"/>
      <c r="F38" s="2930" t="s">
        <v>1306</v>
      </c>
      <c r="G38" s="2930"/>
      <c r="H38" s="3070"/>
      <c r="I38" s="2932" t="s">
        <v>836</v>
      </c>
      <c r="J38" s="2933" t="n">
        <v>150</v>
      </c>
      <c r="K38" s="2912" t="n">
        <f aca="false">G38*H38</f>
        <v>0</v>
      </c>
      <c r="L38" s="2935" t="n">
        <v>48</v>
      </c>
      <c r="M38" s="2935" t="n">
        <v>36</v>
      </c>
      <c r="N38" s="2935" t="n">
        <v>8</v>
      </c>
      <c r="O38" s="2916" t="n">
        <f aca="false">L38*M38*N38/46656*G38*1.2</f>
        <v>0</v>
      </c>
      <c r="P38" s="3065" t="n">
        <f aca="false">R38*0.33/0.26*1.15</f>
        <v>0</v>
      </c>
      <c r="Q38" s="2918" t="n">
        <f aca="false">R38*0.5*1.0825</f>
        <v>0</v>
      </c>
      <c r="R38" s="2918" t="n">
        <f aca="false">O38*M$8*1.0825</f>
        <v>0</v>
      </c>
      <c r="S38" s="2918" t="n">
        <f aca="false">P38*Pricing!D$24*1.0825</f>
        <v>0</v>
      </c>
      <c r="T38" s="2918" t="n">
        <f aca="false">J38*G38</f>
        <v>0</v>
      </c>
      <c r="U38" s="2918" t="n">
        <f aca="false">T38</f>
        <v>0</v>
      </c>
      <c r="V38" s="2918" t="n">
        <f aca="false">IF(G38&gt;0,IF(G38&lt;11,300,G38*30),0)</f>
        <v>0</v>
      </c>
      <c r="W38" s="2991" t="n">
        <f aca="false">(K38-X38)/(Summary!P$61+Summary!P$60)*Summary!P$60</f>
        <v>0</v>
      </c>
      <c r="X38" s="2994" t="n">
        <f aca="false">SUM(Q38:V38)</f>
        <v>0</v>
      </c>
      <c r="Y38" s="2994"/>
      <c r="Z38" s="2922" t="n">
        <f aca="false">IF(K38=0,0,1-X38/K38)</f>
        <v>0</v>
      </c>
      <c r="AG38" s="2939" t="n">
        <f aca="false">IF(F38="Y",T38,0)</f>
        <v>0</v>
      </c>
      <c r="AH38" s="16" t="n">
        <f aca="false">IF(F38="Y",0,T38)</f>
        <v>0</v>
      </c>
      <c r="AI38" s="16" t="n">
        <v>33</v>
      </c>
      <c r="AJ38" s="16" t="s">
        <v>2016</v>
      </c>
      <c r="AR38" s="654"/>
      <c r="AS38" s="654"/>
      <c r="AT38" s="654"/>
      <c r="AU38" s="1840" t="str">
        <f aca="false">B38</f>
        <v>1324-</v>
      </c>
      <c r="AV38" s="1841" t="n">
        <f aca="false">130000+(100*$A38)+2</f>
        <v>132402</v>
      </c>
      <c r="AW38" s="1842" t="n">
        <f aca="false">Q38</f>
        <v>0</v>
      </c>
      <c r="AX38" s="1841" t="n">
        <f aca="false">130000+(100*$A38)+5</f>
        <v>132405</v>
      </c>
      <c r="AY38" s="1842" t="n">
        <f aca="false">S38</f>
        <v>0</v>
      </c>
      <c r="AZ38" s="1841" t="n">
        <f aca="false">130000+(100*$A38)+8</f>
        <v>132408</v>
      </c>
      <c r="BA38" s="1842" t="n">
        <f aca="false">R38</f>
        <v>0</v>
      </c>
      <c r="BB38" s="1841" t="n">
        <f aca="false">130000+(100*$A38)+40</f>
        <v>132440</v>
      </c>
      <c r="BC38" s="1842" t="n">
        <f aca="false">T38</f>
        <v>0</v>
      </c>
      <c r="BD38" s="1841" t="n">
        <f aca="false">130000+(100*$A38)+20</f>
        <v>132420</v>
      </c>
      <c r="BE38" s="1842" t="n">
        <f aca="false">U38</f>
        <v>0</v>
      </c>
      <c r="BF38" s="1841" t="n">
        <f aca="false">130000+(100*$A38)+60</f>
        <v>132460</v>
      </c>
      <c r="BG38" s="1842" t="n">
        <f aca="false">V38</f>
        <v>0</v>
      </c>
    </row>
    <row r="39" s="654" customFormat="true" ht="19.5" hidden="false" customHeight="true" outlineLevel="0" collapsed="false">
      <c r="A39" s="15" t="n">
        <v>25</v>
      </c>
      <c r="B39" s="1549" t="s">
        <v>2017</v>
      </c>
      <c r="C39" s="2927"/>
      <c r="D39" s="2927"/>
      <c r="E39" s="2928"/>
      <c r="F39" s="2930" t="s">
        <v>1306</v>
      </c>
      <c r="G39" s="2930"/>
      <c r="H39" s="3070"/>
      <c r="I39" s="2932" t="s">
        <v>836</v>
      </c>
      <c r="J39" s="2933" t="n">
        <v>300</v>
      </c>
      <c r="K39" s="2912" t="n">
        <f aca="false">G39*H39</f>
        <v>0</v>
      </c>
      <c r="L39" s="2935" t="n">
        <v>48</v>
      </c>
      <c r="M39" s="2935" t="n">
        <v>36</v>
      </c>
      <c r="N39" s="2935" t="n">
        <v>4</v>
      </c>
      <c r="O39" s="2916" t="n">
        <f aca="false">L39*M39*N39/46656*G39*1.2</f>
        <v>0</v>
      </c>
      <c r="P39" s="3065" t="n">
        <f aca="false">R39*0.33/0.26*1.15</f>
        <v>0</v>
      </c>
      <c r="Q39" s="2918" t="n">
        <f aca="false">R39*0.5*1.0825</f>
        <v>0</v>
      </c>
      <c r="R39" s="2918" t="n">
        <f aca="false">O39*M$8*1.0825</f>
        <v>0</v>
      </c>
      <c r="S39" s="2918" t="n">
        <f aca="false">P39*Pricing!D$24*1.0825</f>
        <v>0</v>
      </c>
      <c r="T39" s="2918" t="n">
        <f aca="false">J39*G39</f>
        <v>0</v>
      </c>
      <c r="U39" s="2918" t="n">
        <f aca="false">T39</f>
        <v>0</v>
      </c>
      <c r="V39" s="2918" t="n">
        <f aca="false">IF(G39&gt;0,IF(G39&lt;11,300,G39*30),0)</f>
        <v>0</v>
      </c>
      <c r="W39" s="2991" t="n">
        <f aca="false">(K39-X39)/(Summary!P$61+Summary!P$60)*Summary!P$60</f>
        <v>0</v>
      </c>
      <c r="X39" s="2994" t="n">
        <f aca="false">SUM(Q39:V39)</f>
        <v>0</v>
      </c>
      <c r="Y39" s="2994"/>
      <c r="Z39" s="2922" t="n">
        <f aca="false">IF(K39=0,0,1-X39/K39)</f>
        <v>0</v>
      </c>
      <c r="AA39" s="16"/>
      <c r="AB39" s="16"/>
      <c r="AC39" s="16"/>
      <c r="AD39" s="16"/>
      <c r="AE39" s="16"/>
      <c r="AF39" s="16"/>
      <c r="AG39" s="2939" t="n">
        <f aca="false">IF(F39="Y",T39,0)</f>
        <v>0</v>
      </c>
      <c r="AH39" s="16" t="n">
        <f aca="false">IF(F39="Y",0,T39)</f>
        <v>0</v>
      </c>
      <c r="AI39" s="16" t="n">
        <v>34</v>
      </c>
      <c r="AJ39" s="16" t="s">
        <v>2018</v>
      </c>
      <c r="AK39" s="16"/>
      <c r="AL39" s="16"/>
      <c r="AM39" s="16"/>
      <c r="AN39" s="16"/>
      <c r="AO39" s="16"/>
      <c r="AP39" s="16"/>
      <c r="AQ39" s="16"/>
      <c r="AU39" s="1840" t="str">
        <f aca="false">B39</f>
        <v>1325-</v>
      </c>
      <c r="AV39" s="1841" t="n">
        <f aca="false">130000+(100*$A39)+2</f>
        <v>132502</v>
      </c>
      <c r="AW39" s="1842" t="n">
        <f aca="false">Q39</f>
        <v>0</v>
      </c>
      <c r="AX39" s="1841" t="n">
        <f aca="false">130000+(100*$A39)+5</f>
        <v>132505</v>
      </c>
      <c r="AY39" s="1842" t="n">
        <f aca="false">S39</f>
        <v>0</v>
      </c>
      <c r="AZ39" s="1841" t="n">
        <f aca="false">130000+(100*$A39)+8</f>
        <v>132508</v>
      </c>
      <c r="BA39" s="1842" t="n">
        <f aca="false">R39</f>
        <v>0</v>
      </c>
      <c r="BB39" s="1841" t="n">
        <f aca="false">130000+(100*$A39)+40</f>
        <v>132540</v>
      </c>
      <c r="BC39" s="1842" t="n">
        <f aca="false">T39</f>
        <v>0</v>
      </c>
      <c r="BD39" s="1841" t="n">
        <f aca="false">130000+(100*$A39)+20</f>
        <v>132520</v>
      </c>
      <c r="BE39" s="1842" t="n">
        <f aca="false">U39</f>
        <v>0</v>
      </c>
      <c r="BF39" s="1841" t="n">
        <f aca="false">130000+(100*$A39)+60</f>
        <v>132560</v>
      </c>
      <c r="BG39" s="1842" t="n">
        <f aca="false">V39</f>
        <v>0</v>
      </c>
    </row>
    <row r="40" s="654" customFormat="true" ht="19.5" hidden="false" customHeight="true" outlineLevel="0" collapsed="false">
      <c r="A40" s="15" t="n">
        <v>26</v>
      </c>
      <c r="B40" s="1599" t="s">
        <v>2019</v>
      </c>
      <c r="C40" s="1826"/>
      <c r="D40" s="1826"/>
      <c r="E40" s="1826"/>
      <c r="F40" s="2941" t="s">
        <v>1306</v>
      </c>
      <c r="G40" s="2941"/>
      <c r="H40" s="3073"/>
      <c r="I40" s="2943" t="s">
        <v>836</v>
      </c>
      <c r="J40" s="2944" t="n">
        <v>300</v>
      </c>
      <c r="K40" s="3011" t="n">
        <f aca="false">G40*H40</f>
        <v>0</v>
      </c>
      <c r="L40" s="3074" t="n">
        <v>8</v>
      </c>
      <c r="M40" s="3074" t="n">
        <v>6</v>
      </c>
      <c r="N40" s="2947" t="n">
        <v>4</v>
      </c>
      <c r="O40" s="3075" t="n">
        <f aca="false">L40*M40*N40/46656*G40*1.2</f>
        <v>0</v>
      </c>
      <c r="P40" s="3076" t="n">
        <f aca="false">R40*0.33/0.26*1.15</f>
        <v>0</v>
      </c>
      <c r="Q40" s="3017" t="n">
        <f aca="false">R40*0.5*1.0825</f>
        <v>0</v>
      </c>
      <c r="R40" s="3017" t="n">
        <f aca="false">O40*M$8*1.0825</f>
        <v>0</v>
      </c>
      <c r="S40" s="3017" t="n">
        <f aca="false">P40*Pricing!D$24*1.0825</f>
        <v>0</v>
      </c>
      <c r="T40" s="3017" t="n">
        <f aca="false">J40*G40</f>
        <v>0</v>
      </c>
      <c r="U40" s="3017" t="n">
        <f aca="false">T40</f>
        <v>0</v>
      </c>
      <c r="V40" s="3017" t="n">
        <f aca="false">IF(G40&gt;0,IF(G40&lt;11,300,G40*30),0)</f>
        <v>0</v>
      </c>
      <c r="W40" s="2991" t="n">
        <f aca="false">(K40-X40)/(Summary!P$61+Summary!P$60)*Summary!P$60</f>
        <v>0</v>
      </c>
      <c r="X40" s="3077"/>
      <c r="Y40" s="3077"/>
      <c r="Z40" s="16"/>
      <c r="AA40" s="16"/>
      <c r="AB40" s="16"/>
      <c r="AC40" s="16"/>
      <c r="AD40" s="16"/>
      <c r="AE40" s="16"/>
      <c r="AF40" s="16"/>
      <c r="AG40" s="2939" t="n">
        <f aca="false">IF(F40="Y",T40,0)</f>
        <v>0</v>
      </c>
      <c r="AH40" s="16" t="n">
        <f aca="false">IF(F40="Y",0,T40)</f>
        <v>0</v>
      </c>
      <c r="AI40" s="16" t="n">
        <v>35</v>
      </c>
      <c r="AJ40" s="16" t="s">
        <v>2020</v>
      </c>
      <c r="AK40" s="16"/>
      <c r="AL40" s="16"/>
      <c r="AM40" s="16"/>
      <c r="AN40" s="16"/>
      <c r="AO40" s="16"/>
      <c r="AP40" s="16"/>
      <c r="AQ40" s="16"/>
      <c r="AR40" s="16"/>
      <c r="AS40" s="16"/>
      <c r="AT40" s="16"/>
      <c r="AU40" s="3078" t="str">
        <f aca="false">B40</f>
        <v>1326-</v>
      </c>
      <c r="AV40" s="2958" t="n">
        <f aca="false">130000+(100*$A40)+2</f>
        <v>132602</v>
      </c>
      <c r="AW40" s="2959" t="n">
        <f aca="false">Q40</f>
        <v>0</v>
      </c>
      <c r="AX40" s="2958" t="n">
        <f aca="false">130000+(100*$A40)+5</f>
        <v>132605</v>
      </c>
      <c r="AY40" s="2959" t="n">
        <f aca="false">S40</f>
        <v>0</v>
      </c>
      <c r="AZ40" s="2958" t="n">
        <f aca="false">130000+(100*$A40)+8</f>
        <v>132608</v>
      </c>
      <c r="BA40" s="2959" t="n">
        <f aca="false">R40</f>
        <v>0</v>
      </c>
      <c r="BB40" s="2958" t="n">
        <f aca="false">130000+(100*$A40)+40</f>
        <v>132640</v>
      </c>
      <c r="BC40" s="2959" t="n">
        <f aca="false">T40</f>
        <v>0</v>
      </c>
      <c r="BD40" s="2958" t="n">
        <f aca="false">130000+(100*$A40)+20</f>
        <v>132620</v>
      </c>
      <c r="BE40" s="2959" t="n">
        <f aca="false">U40</f>
        <v>0</v>
      </c>
      <c r="BF40" s="2958" t="n">
        <f aca="false">130000+(100*$A40)+60</f>
        <v>132660</v>
      </c>
      <c r="BG40" s="2959" t="n">
        <f aca="false">V40</f>
        <v>0</v>
      </c>
    </row>
    <row r="41" s="654" customFormat="true" ht="15" hidden="false" customHeight="false" outlineLevel="0" collapsed="false">
      <c r="B41" s="1068"/>
      <c r="C41" s="1068"/>
      <c r="D41" s="1068"/>
      <c r="E41" s="1068"/>
      <c r="F41" s="1068"/>
      <c r="G41" s="1068"/>
      <c r="H41" s="1068"/>
      <c r="I41" s="695"/>
      <c r="J41" s="1068"/>
      <c r="K41" s="3079" t="n">
        <f aca="false">SUM(K10:K40)</f>
        <v>0</v>
      </c>
      <c r="L41" s="1068"/>
      <c r="M41" s="1068"/>
      <c r="N41" s="1068"/>
      <c r="O41" s="695" t="n">
        <f aca="false">SUM(O10:O40)</f>
        <v>0</v>
      </c>
      <c r="P41" s="3080" t="n">
        <f aca="false">SUM(P34:P40)+SUM(N25:N32)+SUM(P17:P22)+SUM(P9:P14)</f>
        <v>0</v>
      </c>
      <c r="Q41" s="3081" t="n">
        <f aca="false">SUM(Q10:Q40)</f>
        <v>0</v>
      </c>
      <c r="R41" s="3081" t="n">
        <f aca="false">SUM(R10:R40)</f>
        <v>0</v>
      </c>
      <c r="S41" s="3081" t="n">
        <f aca="false">SUM(S10:S40)</f>
        <v>0</v>
      </c>
      <c r="T41" s="3081" t="n">
        <f aca="false">SUM(T10:T40)</f>
        <v>0</v>
      </c>
      <c r="U41" s="3081" t="n">
        <f aca="false">SUM(U10:U40)</f>
        <v>0</v>
      </c>
      <c r="V41" s="3081" t="n">
        <f aca="false">SUM(V10:V40)</f>
        <v>0</v>
      </c>
      <c r="W41" s="3081" t="n">
        <f aca="false">SUM(W10:W40)</f>
        <v>0</v>
      </c>
      <c r="X41" s="1072" t="n">
        <f aca="false">SUM(X10:X40)</f>
        <v>0</v>
      </c>
      <c r="Y41" s="1072"/>
      <c r="AG41" s="654" t="n">
        <f aca="false">SUM(AG10:AG40)</f>
        <v>0</v>
      </c>
      <c r="AH41" s="654" t="n">
        <f aca="false">SUM(AH10:AH40)</f>
        <v>0</v>
      </c>
      <c r="AI41" s="16" t="n">
        <v>36</v>
      </c>
      <c r="AJ41" s="16" t="s">
        <v>2021</v>
      </c>
      <c r="AK41" s="16"/>
      <c r="AL41" s="16"/>
      <c r="AM41" s="16"/>
      <c r="AN41" s="16"/>
      <c r="AR41" s="16"/>
      <c r="AS41" s="16"/>
      <c r="AT41" s="16"/>
      <c r="AU41" s="685"/>
      <c r="AV41" s="726"/>
      <c r="AW41" s="726"/>
      <c r="AX41" s="726"/>
      <c r="AY41" s="726"/>
      <c r="AZ41" s="726"/>
      <c r="BA41" s="726"/>
      <c r="BB41" s="726"/>
      <c r="BC41" s="726"/>
      <c r="BD41" s="726"/>
      <c r="BE41" s="726"/>
      <c r="BF41" s="726"/>
      <c r="BG41" s="1258"/>
    </row>
    <row r="42" s="654" customFormat="true" ht="15" hidden="false" customHeight="false" outlineLevel="0" collapsed="false">
      <c r="B42" s="16" t="s">
        <v>1697</v>
      </c>
      <c r="C42" s="1271" t="s">
        <v>2022</v>
      </c>
      <c r="D42" s="1271"/>
      <c r="E42" s="1271"/>
      <c r="F42" s="1271"/>
      <c r="G42" s="1271"/>
      <c r="H42" s="1271"/>
      <c r="I42" s="2684"/>
      <c r="J42" s="1271"/>
      <c r="K42" s="1271"/>
      <c r="L42" s="1271"/>
      <c r="M42" s="1271"/>
      <c r="N42" s="1271"/>
      <c r="O42" s="1271"/>
      <c r="P42" s="1271"/>
      <c r="X42" s="632" t="n">
        <f aca="false">E47</f>
        <v>0</v>
      </c>
      <c r="Y42" s="632"/>
      <c r="AI42" s="16" t="n">
        <v>39</v>
      </c>
      <c r="AJ42" s="16" t="s">
        <v>2023</v>
      </c>
      <c r="AK42" s="16"/>
      <c r="AL42" s="16"/>
      <c r="AM42" s="16"/>
      <c r="AN42" s="2898" t="n">
        <f aca="false">AG35+AG34+AG28+AG27</f>
        <v>0</v>
      </c>
      <c r="AR42" s="16"/>
      <c r="AS42" s="16"/>
      <c r="AT42" s="16"/>
    </row>
    <row r="43" customFormat="false" ht="15" hidden="false" customHeight="false" outlineLevel="0" collapsed="false">
      <c r="A43" s="654"/>
      <c r="B43" s="654"/>
      <c r="C43" s="1271"/>
      <c r="D43" s="1271"/>
      <c r="E43" s="1271"/>
      <c r="F43" s="1271"/>
      <c r="G43" s="1271"/>
      <c r="H43" s="1271"/>
      <c r="I43" s="2684"/>
      <c r="J43" s="1271"/>
      <c r="K43" s="1271"/>
      <c r="L43" s="1271"/>
      <c r="M43" s="1271"/>
      <c r="N43" s="1271"/>
      <c r="O43" s="1271"/>
      <c r="P43" s="1271"/>
      <c r="Q43" s="654"/>
      <c r="R43" s="654"/>
      <c r="S43" s="654"/>
      <c r="T43" s="654"/>
      <c r="U43" s="654"/>
      <c r="V43" s="3082"/>
      <c r="W43" s="3083" t="s">
        <v>1191</v>
      </c>
      <c r="X43" s="3082"/>
      <c r="Y43" s="3082" t="n">
        <f aca="false">(K41-X41)/(Summary!P59+Summary!P60)*Summary!P60</f>
        <v>0</v>
      </c>
      <c r="Z43" s="654"/>
      <c r="AA43" s="654"/>
      <c r="AB43" s="654"/>
      <c r="AC43" s="654"/>
      <c r="AD43" s="654"/>
      <c r="AE43" s="654"/>
      <c r="AF43" s="654"/>
      <c r="AG43" s="654"/>
      <c r="AH43" s="654"/>
      <c r="AI43" s="16" t="n">
        <v>40</v>
      </c>
      <c r="AJ43" s="16" t="s">
        <v>2024</v>
      </c>
      <c r="AO43" s="654"/>
      <c r="AP43" s="654"/>
      <c r="AQ43" s="654"/>
      <c r="AU43" s="654"/>
      <c r="AV43" s="654"/>
      <c r="AW43" s="654"/>
      <c r="AX43" s="654"/>
      <c r="AY43" s="654"/>
      <c r="AZ43" s="654"/>
      <c r="BA43" s="654"/>
      <c r="BB43" s="654"/>
      <c r="BC43" s="654"/>
      <c r="BD43" s="654"/>
      <c r="BE43" s="654"/>
      <c r="BF43" s="654"/>
      <c r="BG43" s="654"/>
    </row>
    <row r="44" customFormat="false" ht="15" hidden="false" customHeight="false" outlineLevel="0" collapsed="false">
      <c r="A44" s="654"/>
      <c r="B44" s="654"/>
      <c r="C44" s="1271"/>
      <c r="D44" s="1271"/>
      <c r="E44" s="1271"/>
      <c r="F44" s="1271"/>
      <c r="G44" s="1271"/>
      <c r="H44" s="1271"/>
      <c r="I44" s="2684"/>
      <c r="J44" s="1271"/>
      <c r="K44" s="1271"/>
      <c r="L44" s="1271"/>
      <c r="M44" s="1271"/>
      <c r="N44" s="1271"/>
      <c r="O44" s="1271"/>
      <c r="P44" s="1271"/>
      <c r="Q44" s="654"/>
      <c r="R44" s="654"/>
      <c r="S44" s="654"/>
      <c r="T44" s="654"/>
      <c r="U44" s="654"/>
      <c r="V44" s="654"/>
      <c r="W44" s="654"/>
      <c r="X44" s="654"/>
      <c r="Y44" s="654"/>
      <c r="Z44" s="654"/>
      <c r="AA44" s="654"/>
      <c r="AB44" s="654"/>
      <c r="AC44" s="654"/>
      <c r="AD44" s="654"/>
      <c r="AE44" s="654"/>
      <c r="AF44" s="654"/>
      <c r="AG44" s="654"/>
      <c r="AH44" s="654"/>
      <c r="AI44" s="16" t="n">
        <v>41</v>
      </c>
      <c r="AJ44" s="16" t="s">
        <v>2025</v>
      </c>
      <c r="AO44" s="654"/>
      <c r="AP44" s="654"/>
      <c r="AQ44" s="654"/>
    </row>
    <row r="45" customFormat="false" ht="15" hidden="false" customHeight="false" outlineLevel="0" collapsed="false">
      <c r="C45" s="40"/>
      <c r="D45" s="40"/>
      <c r="E45" s="40"/>
      <c r="F45" s="40"/>
      <c r="G45" s="40"/>
      <c r="H45" s="40"/>
      <c r="I45" s="3084"/>
      <c r="J45" s="40"/>
      <c r="K45" s="40"/>
      <c r="L45" s="40"/>
      <c r="M45" s="40"/>
      <c r="N45" s="40"/>
      <c r="O45" s="40"/>
      <c r="P45" s="40"/>
      <c r="AI45" s="654" t="n">
        <v>42</v>
      </c>
      <c r="AJ45" s="654" t="s">
        <v>2026</v>
      </c>
      <c r="AK45" s="654"/>
      <c r="AL45" s="654"/>
      <c r="AM45" s="654"/>
      <c r="AN45" s="654"/>
    </row>
    <row r="46" s="16" customFormat="true" ht="15" hidden="false" customHeight="false" outlineLevel="0" collapsed="false">
      <c r="B46" s="713" t="s">
        <v>1055</v>
      </c>
      <c r="C46" s="725" t="s">
        <v>1067</v>
      </c>
      <c r="D46" s="412"/>
      <c r="E46" s="715" t="n">
        <f aca="false">E47-X42</f>
        <v>0</v>
      </c>
      <c r="M46" s="405"/>
      <c r="AI46" s="654" t="n">
        <v>44</v>
      </c>
      <c r="AJ46" s="654" t="s">
        <v>2027</v>
      </c>
      <c r="AK46" s="654"/>
      <c r="AL46" s="654"/>
      <c r="AM46" s="654"/>
      <c r="AN46" s="654" t="n">
        <f aca="false">AG10+AG13+AG14+AG15+AG19+AG20+AG22+AG23+AG25+AG26+AG29+AG32+AG36+AG37+AG38+AG39+AG40+AG11+AG12</f>
        <v>0</v>
      </c>
    </row>
    <row r="47" s="16" customFormat="true" ht="15" hidden="false" customHeight="false" outlineLevel="0" collapsed="false">
      <c r="B47" s="733" t="n">
        <v>13</v>
      </c>
      <c r="C47" s="694"/>
      <c r="D47" s="686"/>
      <c r="E47" s="2141" t="n">
        <f aca="false">SUM(E48:Z95)-E80-E90</f>
        <v>0</v>
      </c>
      <c r="M47" s="405"/>
      <c r="AI47" s="654" t="n">
        <v>45</v>
      </c>
      <c r="AJ47" s="654" t="s">
        <v>2028</v>
      </c>
      <c r="AK47" s="654"/>
      <c r="AL47" s="654"/>
      <c r="AM47" s="654"/>
      <c r="AN47" s="654"/>
    </row>
    <row r="48" customFormat="false" ht="15" hidden="false" customHeight="false" outlineLevel="0" collapsed="false">
      <c r="B48" s="1854" t="n">
        <f aca="false">Summary!BT74</f>
        <v>130001</v>
      </c>
      <c r="C48" s="741" t="str">
        <f aca="false">Summary!BU74</f>
        <v>General Requirements</v>
      </c>
      <c r="D48" s="318"/>
      <c r="E48" s="742"/>
      <c r="L48" s="405"/>
      <c r="AI48" s="654" t="n">
        <v>46</v>
      </c>
      <c r="AJ48" s="654" t="s">
        <v>2029</v>
      </c>
      <c r="AK48" s="654"/>
      <c r="AL48" s="654"/>
      <c r="AM48" s="654"/>
      <c r="AN48" s="654"/>
    </row>
    <row r="49" customFormat="false" ht="15" hidden="false" customHeight="false" outlineLevel="0" collapsed="false">
      <c r="B49" s="1854" t="n">
        <f aca="false">Summary!BT75</f>
        <v>130002</v>
      </c>
      <c r="C49" s="741" t="str">
        <f aca="false">Summary!BU75</f>
        <v>Lumber</v>
      </c>
      <c r="D49" s="318"/>
      <c r="E49" s="742" t="n">
        <f aca="false">SUM(R41)</f>
        <v>0</v>
      </c>
      <c r="L49" s="405"/>
      <c r="AI49" s="16" t="n">
        <v>47</v>
      </c>
      <c r="AJ49" s="16" t="s">
        <v>2030</v>
      </c>
    </row>
    <row r="50" customFormat="false" ht="15" hidden="false" customHeight="false" outlineLevel="0" collapsed="false">
      <c r="B50" s="1854" t="n">
        <f aca="false">Summary!BT76</f>
        <v>130003</v>
      </c>
      <c r="C50" s="741" t="str">
        <f aca="false">Summary!BU76</f>
        <v>Sand Material</v>
      </c>
      <c r="D50" s="318"/>
      <c r="E50" s="742"/>
      <c r="L50" s="405"/>
      <c r="AI50" s="16" t="n">
        <v>48</v>
      </c>
      <c r="AJ50" s="16" t="s">
        <v>2031</v>
      </c>
    </row>
    <row r="51" customFormat="false" ht="15" hidden="false" customHeight="false" outlineLevel="0" collapsed="false">
      <c r="B51" s="1854" t="n">
        <f aca="false">Summary!BT77</f>
        <v>130004</v>
      </c>
      <c r="C51" s="741" t="str">
        <f aca="false">Summary!BU77</f>
        <v>Rock Material</v>
      </c>
      <c r="D51" s="318"/>
      <c r="E51" s="742"/>
      <c r="L51" s="405"/>
      <c r="AI51" s="16" t="n">
        <v>49</v>
      </c>
      <c r="AJ51" s="16" t="s">
        <v>2032</v>
      </c>
    </row>
    <row r="52" customFormat="false" ht="15" hidden="false" customHeight="false" outlineLevel="0" collapsed="false">
      <c r="B52" s="1854" t="n">
        <f aca="false">Summary!BT78</f>
        <v>130005</v>
      </c>
      <c r="C52" s="741" t="str">
        <f aca="false">Summary!BU78</f>
        <v>Reinforcement Material</v>
      </c>
      <c r="D52" s="318"/>
      <c r="E52" s="742" t="n">
        <f aca="false">SUM(Q41)</f>
        <v>0</v>
      </c>
      <c r="L52" s="405"/>
      <c r="AI52" s="16" t="n">
        <v>50</v>
      </c>
    </row>
    <row r="53" customFormat="false" ht="15" hidden="false" customHeight="false" outlineLevel="0" collapsed="false">
      <c r="B53" s="1854" t="n">
        <f aca="false">Summary!BT79</f>
        <v>130006</v>
      </c>
      <c r="C53" s="741" t="str">
        <f aca="false">Summary!BU79</f>
        <v>Reinforcement Accessories</v>
      </c>
      <c r="D53" s="318"/>
      <c r="E53" s="742" t="n">
        <f aca="false">SUM(S41)</f>
        <v>0</v>
      </c>
      <c r="L53" s="405"/>
      <c r="AI53" s="16" t="n">
        <v>51</v>
      </c>
    </row>
    <row r="54" customFormat="false" ht="15" hidden="false" customHeight="false" outlineLevel="0" collapsed="false">
      <c r="B54" s="1854" t="n">
        <f aca="false">Summary!BT80</f>
        <v>130007</v>
      </c>
      <c r="C54" s="741" t="str">
        <f aca="false">Summary!BU80</f>
        <v>PT Cables</v>
      </c>
      <c r="D54" s="318"/>
      <c r="E54" s="742"/>
      <c r="L54" s="405"/>
      <c r="AI54" s="16" t="n">
        <v>52</v>
      </c>
      <c r="AJ54" s="16" t="s">
        <v>2033</v>
      </c>
    </row>
    <row r="55" customFormat="false" ht="15" hidden="false" customHeight="false" outlineLevel="0" collapsed="false">
      <c r="B55" s="1854" t="n">
        <f aca="false">Summary!BT81</f>
        <v>130008</v>
      </c>
      <c r="C55" s="741" t="str">
        <f aca="false">Summary!BU81</f>
        <v>Concrete Material</v>
      </c>
      <c r="D55" s="318"/>
      <c r="E55" s="742"/>
      <c r="L55" s="405"/>
      <c r="AI55" s="16" t="n">
        <v>53</v>
      </c>
      <c r="AJ55" s="16" t="s">
        <v>2034</v>
      </c>
    </row>
    <row r="56" customFormat="false" ht="15" hidden="false" customHeight="false" outlineLevel="0" collapsed="false">
      <c r="B56" s="1854" t="n">
        <f aca="false">Summary!BT82</f>
        <v>130009</v>
      </c>
      <c r="C56" s="741" t="str">
        <f aca="false">Summary!BU82</f>
        <v>Carton Forms</v>
      </c>
      <c r="D56" s="318"/>
      <c r="E56" s="742"/>
      <c r="M56" s="405"/>
      <c r="AI56" s="16" t="n">
        <v>54</v>
      </c>
      <c r="AJ56" s="16" t="s">
        <v>2035</v>
      </c>
    </row>
    <row r="57" customFormat="false" ht="15" hidden="false" customHeight="false" outlineLevel="0" collapsed="false">
      <c r="B57" s="1854" t="n">
        <f aca="false">Summary!BT83</f>
        <v>130010</v>
      </c>
      <c r="C57" s="741" t="str">
        <f aca="false">Summary!BU83</f>
        <v>Cure/Sealers</v>
      </c>
      <c r="D57" s="318"/>
      <c r="E57" s="742"/>
      <c r="M57" s="405"/>
      <c r="AI57" s="16" t="n">
        <v>55</v>
      </c>
      <c r="AJ57" s="16" t="s">
        <v>2036</v>
      </c>
    </row>
    <row r="58" customFormat="false" ht="15" hidden="false" customHeight="false" outlineLevel="0" collapsed="false">
      <c r="B58" s="1854" t="n">
        <f aca="false">Summary!BT84</f>
        <v>130011</v>
      </c>
      <c r="C58" s="741" t="str">
        <f aca="false">Summary!BU84</f>
        <v>Patch/Grout</v>
      </c>
      <c r="D58" s="318"/>
      <c r="E58" s="742"/>
      <c r="M58" s="405"/>
      <c r="AI58" s="16" t="n">
        <v>56</v>
      </c>
      <c r="AJ58" s="16" t="s">
        <v>2037</v>
      </c>
      <c r="AN58" s="373" t="n">
        <f aca="false">AG17+AG18</f>
        <v>0</v>
      </c>
    </row>
    <row r="59" customFormat="false" ht="15" hidden="false" customHeight="false" outlineLevel="0" collapsed="false">
      <c r="B59" s="1854" t="n">
        <f aca="false">Summary!BT85</f>
        <v>130012</v>
      </c>
      <c r="C59" s="741" t="str">
        <f aca="false">Summary!BU85</f>
        <v>Poly/Vapor Barrier</v>
      </c>
      <c r="D59" s="318"/>
      <c r="E59" s="742"/>
      <c r="M59" s="405"/>
      <c r="AI59" s="16" t="n">
        <v>57</v>
      </c>
      <c r="AJ59" s="16" t="s">
        <v>2038</v>
      </c>
    </row>
    <row r="60" customFormat="false" ht="15" hidden="false" customHeight="false" outlineLevel="0" collapsed="false">
      <c r="B60" s="1854" t="n">
        <f aca="false">Summary!BT86</f>
        <v>130013</v>
      </c>
      <c r="C60" s="741" t="str">
        <f aca="false">Summary!BU86</f>
        <v>Special Material</v>
      </c>
      <c r="D60" s="318"/>
      <c r="E60" s="742"/>
      <c r="M60" s="405"/>
    </row>
    <row r="61" customFormat="false" ht="15" hidden="false" customHeight="false" outlineLevel="0" collapsed="false">
      <c r="B61" s="1854" t="n">
        <f aca="false">Summary!BT87</f>
        <v>130014</v>
      </c>
      <c r="C61" s="741" t="str">
        <f aca="false">Summary!BU87</f>
        <v>Special Material</v>
      </c>
      <c r="D61" s="318"/>
      <c r="E61" s="742"/>
      <c r="M61" s="405"/>
    </row>
    <row r="62" customFormat="false" ht="15" hidden="false" customHeight="false" outlineLevel="0" collapsed="false">
      <c r="B62" s="1854" t="n">
        <f aca="false">Summary!BT88</f>
        <v>130015</v>
      </c>
      <c r="C62" s="741" t="str">
        <f aca="false">Summary!BU88</f>
        <v>PPE/Safety</v>
      </c>
      <c r="D62" s="318"/>
      <c r="E62" s="742"/>
      <c r="M62" s="405"/>
    </row>
    <row r="63" customFormat="false" ht="15" hidden="false" customHeight="false" outlineLevel="0" collapsed="false">
      <c r="B63" s="1854" t="n">
        <f aca="false">Summary!BT89</f>
        <v>130020</v>
      </c>
      <c r="C63" s="741" t="str">
        <f aca="false">Summary!BU89</f>
        <v>Supervision</v>
      </c>
      <c r="D63" s="318"/>
      <c r="E63" s="742" t="n">
        <f aca="false">SUM(U41)</f>
        <v>0</v>
      </c>
      <c r="M63" s="405"/>
      <c r="AI63" s="16" t="n">
        <v>58</v>
      </c>
      <c r="AJ63" s="16" t="s">
        <v>2039</v>
      </c>
    </row>
    <row r="64" customFormat="false" ht="15" hidden="false" customHeight="false" outlineLevel="0" collapsed="false">
      <c r="B64" s="1854" t="n">
        <f aca="false">Summary!BT90</f>
        <v>130021</v>
      </c>
      <c r="C64" s="741" t="str">
        <f aca="false">Summary!BU90</f>
        <v>Supervision Expense</v>
      </c>
      <c r="D64" s="318"/>
      <c r="E64" s="742"/>
      <c r="M64" s="405"/>
      <c r="AI64" s="16" t="n">
        <v>59</v>
      </c>
      <c r="AJ64" s="16" t="s">
        <v>2040</v>
      </c>
      <c r="AN64" s="16" t="n">
        <f aca="false">Y99</f>
        <v>0</v>
      </c>
    </row>
    <row r="65" customFormat="false" ht="15" hidden="false" customHeight="false" outlineLevel="0" collapsed="false">
      <c r="B65" s="1854" t="n">
        <f aca="false">Summary!BT91</f>
        <v>130022</v>
      </c>
      <c r="C65" s="741" t="str">
        <f aca="false">Summary!BU91</f>
        <v>Project Management</v>
      </c>
      <c r="D65" s="318"/>
      <c r="E65" s="742"/>
      <c r="M65" s="405"/>
      <c r="AI65" s="16" t="n">
        <v>60</v>
      </c>
      <c r="AJ65" s="16" t="s">
        <v>2041</v>
      </c>
      <c r="AN65" s="392" t="n">
        <f aca="false">SUM(V10:V40)</f>
        <v>0</v>
      </c>
    </row>
    <row r="66" customFormat="false" ht="15" hidden="false" customHeight="false" outlineLevel="0" collapsed="false">
      <c r="B66" s="1854" t="n">
        <f aca="false">Summary!BT92</f>
        <v>130023</v>
      </c>
      <c r="C66" s="741" t="str">
        <f aca="false">Summary!BU92</f>
        <v>Labor Grade, Poly, Reinf.</v>
      </c>
      <c r="D66" s="318"/>
      <c r="E66" s="742"/>
      <c r="M66" s="405"/>
      <c r="AI66" s="16" t="n">
        <v>65</v>
      </c>
      <c r="AJ66" s="16" t="s">
        <v>2042</v>
      </c>
      <c r="AN66" s="16" t="n">
        <f aca="false">T112</f>
        <v>0</v>
      </c>
    </row>
    <row r="67" customFormat="false" ht="15" hidden="false" customHeight="false" outlineLevel="0" collapsed="false">
      <c r="B67" s="1854" t="n">
        <f aca="false">Summary!BT93</f>
        <v>130024</v>
      </c>
      <c r="C67" s="741" t="str">
        <f aca="false">Summary!BU93</f>
        <v>Labor Place &amp; Finish</v>
      </c>
      <c r="D67" s="318"/>
      <c r="E67" s="742"/>
      <c r="M67" s="405"/>
    </row>
    <row r="68" customFormat="false" ht="15" hidden="false" customHeight="false" outlineLevel="0" collapsed="false">
      <c r="B68" s="1854" t="n">
        <f aca="false">Summary!BT94</f>
        <v>130025</v>
      </c>
      <c r="C68" s="741" t="str">
        <f aca="false">Summary!BU94</f>
        <v>Labor Drops</v>
      </c>
      <c r="D68" s="318"/>
      <c r="E68" s="742"/>
      <c r="M68" s="405"/>
      <c r="AN68" s="392" t="n">
        <f aca="false">SUM(AN9:AN66)</f>
        <v>0</v>
      </c>
    </row>
    <row r="69" s="16" customFormat="true" ht="15" hidden="false" customHeight="false" outlineLevel="0" collapsed="false">
      <c r="B69" s="1854" t="n">
        <f aca="false">Summary!BT95</f>
        <v>130026</v>
      </c>
      <c r="C69" s="741" t="str">
        <f aca="false">Summary!BU95</f>
        <v>Labor Strip Forms</v>
      </c>
      <c r="D69" s="318"/>
      <c r="E69" s="742"/>
      <c r="M69" s="405"/>
    </row>
    <row r="70" s="16" customFormat="true" ht="15" hidden="false" customHeight="false" outlineLevel="0" collapsed="false">
      <c r="B70" s="1854" t="n">
        <f aca="false">Summary!BT96</f>
        <v>130027</v>
      </c>
      <c r="C70" s="741" t="str">
        <f aca="false">Summary!BU96</f>
        <v>Labor Burden</v>
      </c>
      <c r="D70" s="318"/>
      <c r="E70" s="742"/>
      <c r="M70" s="405"/>
    </row>
    <row r="71" s="16" customFormat="true" ht="15" hidden="false" customHeight="false" outlineLevel="0" collapsed="false">
      <c r="B71" s="1854" t="n">
        <f aca="false">Summary!BT98</f>
        <v>130030</v>
      </c>
      <c r="C71" s="741" t="str">
        <f aca="false">Summary!BU98</f>
        <v>Pumping</v>
      </c>
      <c r="D71" s="318"/>
      <c r="E71" s="742"/>
      <c r="M71" s="405"/>
    </row>
    <row r="72" s="16" customFormat="true" ht="15" hidden="false" customHeight="false" outlineLevel="0" collapsed="false">
      <c r="B72" s="1854" t="n">
        <f aca="false">Summary!BT99</f>
        <v>130031</v>
      </c>
      <c r="C72" s="741" t="str">
        <f aca="false">Summary!BU99</f>
        <v>Earth Work/Excavation</v>
      </c>
      <c r="D72" s="318"/>
      <c r="E72" s="742"/>
      <c r="M72" s="405"/>
    </row>
    <row r="73" s="16" customFormat="true" ht="15" hidden="false" customHeight="false" outlineLevel="0" collapsed="false">
      <c r="B73" s="1854" t="n">
        <f aca="false">Summary!BT100</f>
        <v>130032</v>
      </c>
      <c r="C73" s="741" t="str">
        <f aca="false">Summary!BU100</f>
        <v>Drilling</v>
      </c>
      <c r="D73" s="318"/>
      <c r="E73" s="742"/>
      <c r="M73" s="405"/>
    </row>
    <row r="74" s="16" customFormat="true" ht="15" hidden="false" customHeight="false" outlineLevel="0" collapsed="false">
      <c r="B74" s="1854" t="n">
        <f aca="false">Summary!BT101</f>
        <v>130033</v>
      </c>
      <c r="C74" s="741" t="str">
        <f aca="false">Summary!BU101</f>
        <v>Haul off</v>
      </c>
      <c r="D74" s="318"/>
      <c r="E74" s="742"/>
      <c r="M74" s="405"/>
    </row>
    <row r="75" s="16" customFormat="true" ht="15" hidden="false" customHeight="false" outlineLevel="0" collapsed="false">
      <c r="B75" s="1854" t="n">
        <f aca="false">Summary!BT102</f>
        <v>130034</v>
      </c>
      <c r="C75" s="741" t="str">
        <f aca="false">Summary!BU102</f>
        <v>Saw Cutting/Sealing</v>
      </c>
      <c r="D75" s="318"/>
      <c r="E75" s="742"/>
      <c r="M75" s="405"/>
    </row>
    <row r="76" s="16" customFormat="true" ht="15" hidden="false" customHeight="false" outlineLevel="0" collapsed="false">
      <c r="B76" s="1854" t="n">
        <f aca="false">Summary!BT103</f>
        <v>130035</v>
      </c>
      <c r="C76" s="741" t="str">
        <f aca="false">Summary!BU103</f>
        <v>Demolition</v>
      </c>
      <c r="D76" s="318"/>
      <c r="E76" s="742"/>
      <c r="M76" s="405"/>
    </row>
    <row r="77" s="16" customFormat="true" ht="15" hidden="false" customHeight="false" outlineLevel="0" collapsed="false">
      <c r="B77" s="1854" t="n">
        <f aca="false">Summary!BT104</f>
        <v>130037</v>
      </c>
      <c r="C77" s="741" t="str">
        <f aca="false">Summary!BU104</f>
        <v>Waterproofing</v>
      </c>
      <c r="D77" s="318"/>
      <c r="E77" s="742"/>
      <c r="M77" s="405"/>
    </row>
    <row r="78" s="16" customFormat="true" ht="15" hidden="false" customHeight="false" outlineLevel="0" collapsed="false">
      <c r="B78" s="1854" t="n">
        <f aca="false">Summary!BT105</f>
        <v>130038</v>
      </c>
      <c r="C78" s="741" t="str">
        <f aca="false">Summary!BU105</f>
        <v>Crain/Hoisting</v>
      </c>
      <c r="D78" s="318"/>
      <c r="E78" s="742"/>
      <c r="M78" s="405"/>
    </row>
    <row r="79" s="16" customFormat="true" ht="15" hidden="false" customHeight="false" outlineLevel="0" collapsed="false">
      <c r="B79" s="1406" t="n">
        <f aca="false">Summary!BT106</f>
        <v>130039</v>
      </c>
      <c r="C79" s="788" t="str">
        <f aca="false">Summary!BU106</f>
        <v>Forming Systems</v>
      </c>
      <c r="D79" s="800"/>
      <c r="E79" s="756"/>
      <c r="M79" s="405"/>
    </row>
    <row r="80" s="16" customFormat="true" ht="15" hidden="false" customHeight="false" outlineLevel="0" collapsed="false">
      <c r="B80" s="1855" t="n">
        <f aca="false">Summary!BT107</f>
        <v>130040</v>
      </c>
      <c r="C80" s="770" t="str">
        <f aca="false">Summary!BU107</f>
        <v>Total Sub Labor</v>
      </c>
      <c r="D80" s="265"/>
      <c r="E80" s="772" t="n">
        <f aca="false">SUM(T41)</f>
        <v>0</v>
      </c>
      <c r="M80" s="405"/>
    </row>
    <row r="81" customFormat="false" ht="15" hidden="false" customHeight="false" outlineLevel="0" collapsed="false">
      <c r="B81" s="1404" t="n">
        <f aca="false">Summary!BT108</f>
        <v>130041</v>
      </c>
      <c r="C81" s="741" t="str">
        <f aca="false">Summary!BU108</f>
        <v>Labor Forming</v>
      </c>
      <c r="D81" s="318"/>
      <c r="E81" s="742" t="n">
        <f aca="false">E80/8</f>
        <v>0</v>
      </c>
    </row>
    <row r="82" customFormat="false" ht="15" hidden="false" customHeight="false" outlineLevel="0" collapsed="false">
      <c r="B82" s="1854" t="n">
        <f aca="false">Summary!BT109</f>
        <v>130042</v>
      </c>
      <c r="C82" s="741" t="str">
        <f aca="false">Summary!BU109</f>
        <v>Labor Grade, Poly, Reinf.</v>
      </c>
      <c r="D82" s="318"/>
      <c r="E82" s="742" t="n">
        <f aca="false">E80/8</f>
        <v>0</v>
      </c>
    </row>
    <row r="83" customFormat="false" ht="15" hidden="false" customHeight="false" outlineLevel="0" collapsed="false">
      <c r="B83" s="1854" t="n">
        <f aca="false">Summary!BT110</f>
        <v>130043</v>
      </c>
      <c r="C83" s="741" t="str">
        <f aca="false">Summary!BU110</f>
        <v>Labor Place &amp; Finish</v>
      </c>
      <c r="D83" s="318"/>
      <c r="E83" s="742" t="n">
        <f aca="false">E80/8</f>
        <v>0</v>
      </c>
    </row>
    <row r="84" customFormat="false" ht="15" hidden="false" customHeight="false" outlineLevel="0" collapsed="false">
      <c r="B84" s="1854" t="n">
        <f aca="false">Summary!BT111</f>
        <v>130044</v>
      </c>
      <c r="C84" s="741" t="str">
        <f aca="false">Summary!BU111</f>
        <v>Labor Drops</v>
      </c>
      <c r="D84" s="318"/>
      <c r="E84" s="742" t="n">
        <f aca="false">E80/8</f>
        <v>0</v>
      </c>
    </row>
    <row r="85" customFormat="false" ht="15" hidden="false" customHeight="false" outlineLevel="0" collapsed="false">
      <c r="B85" s="1854" t="n">
        <f aca="false">Summary!BT112</f>
        <v>130045</v>
      </c>
      <c r="C85" s="741" t="str">
        <f aca="false">Summary!BU112</f>
        <v>Labor Strip Forms</v>
      </c>
      <c r="D85" s="318"/>
      <c r="E85" s="742" t="n">
        <f aca="false">E80/8</f>
        <v>0</v>
      </c>
    </row>
    <row r="86" customFormat="false" ht="15" hidden="false" customHeight="false" outlineLevel="0" collapsed="false">
      <c r="B86" s="1854" t="n">
        <f aca="false">Summary!BT113</f>
        <v>130046</v>
      </c>
      <c r="C86" s="741" t="str">
        <f aca="false">Summary!BU113</f>
        <v>Labor Burden</v>
      </c>
      <c r="D86" s="318"/>
      <c r="E86" s="742" t="n">
        <f aca="false">E80/8</f>
        <v>0</v>
      </c>
    </row>
    <row r="87" customFormat="false" ht="15" hidden="false" customHeight="false" outlineLevel="0" collapsed="false">
      <c r="B87" s="1854" t="n">
        <f aca="false">Summary!BT114</f>
        <v>130047</v>
      </c>
      <c r="C87" s="741" t="str">
        <f aca="false">Summary!BU114</f>
        <v>Rebar</v>
      </c>
      <c r="D87" s="318"/>
      <c r="E87" s="742" t="n">
        <f aca="false">E80/8</f>
        <v>0</v>
      </c>
    </row>
    <row r="88" customFormat="false" ht="15" hidden="false" customHeight="false" outlineLevel="0" collapsed="false">
      <c r="B88" s="1406" t="n">
        <f aca="false">Summary!BT115</f>
        <v>130048</v>
      </c>
      <c r="C88" s="788" t="str">
        <f aca="false">Summary!BU115</f>
        <v>PT Installation</v>
      </c>
      <c r="D88" s="800"/>
      <c r="E88" s="756" t="n">
        <f aca="false">E80/8</f>
        <v>0</v>
      </c>
    </row>
    <row r="89" customFormat="false" ht="15" hidden="false" customHeight="false" outlineLevel="0" collapsed="false">
      <c r="B89" s="1406" t="n">
        <f aca="false">Summary!BT116</f>
        <v>130049</v>
      </c>
      <c r="C89" s="788" t="str">
        <f aca="false">Summary!BU116</f>
        <v>Extra Hours</v>
      </c>
      <c r="D89" s="800"/>
      <c r="E89" s="756"/>
    </row>
    <row r="90" customFormat="false" ht="15" hidden="false" customHeight="false" outlineLevel="0" collapsed="false">
      <c r="B90" s="1855" t="n">
        <f aca="false">Summary!BT117</f>
        <v>130060</v>
      </c>
      <c r="C90" s="770" t="str">
        <f aca="false">Summary!BU117</f>
        <v>Total Equipment Rental</v>
      </c>
      <c r="D90" s="265"/>
      <c r="E90" s="772" t="n">
        <f aca="false">SUM(V41)</f>
        <v>0</v>
      </c>
    </row>
    <row r="91" customFormat="false" ht="15" hidden="false" customHeight="false" outlineLevel="0" collapsed="false">
      <c r="B91" s="1404" t="n">
        <f aca="false">Summary!BT118</f>
        <v>130061</v>
      </c>
      <c r="C91" s="741" t="str">
        <f aca="false">Summary!BU118</f>
        <v>SkyTrack</v>
      </c>
      <c r="D91" s="318"/>
      <c r="E91" s="742"/>
    </row>
    <row r="92" customFormat="false" ht="15" hidden="false" customHeight="false" outlineLevel="0" collapsed="false">
      <c r="B92" s="1854" t="n">
        <f aca="false">Summary!BT119</f>
        <v>130062</v>
      </c>
      <c r="C92" s="741" t="str">
        <f aca="false">Summary!BU119</f>
        <v>Mini Excavator</v>
      </c>
      <c r="D92" s="318"/>
      <c r="E92" s="742"/>
    </row>
    <row r="93" customFormat="false" ht="15" hidden="false" customHeight="false" outlineLevel="0" collapsed="false">
      <c r="B93" s="1854" t="n">
        <f aca="false">Summary!BT120</f>
        <v>130063</v>
      </c>
      <c r="C93" s="741" t="str">
        <f aca="false">Summary!BU120</f>
        <v>Trencher</v>
      </c>
      <c r="D93" s="318"/>
      <c r="E93" s="742"/>
    </row>
    <row r="94" customFormat="false" ht="15" hidden="false" customHeight="false" outlineLevel="0" collapsed="false">
      <c r="B94" s="1854" t="n">
        <f aca="false">Summary!BT121</f>
        <v>130064</v>
      </c>
      <c r="C94" s="741" t="str">
        <f aca="false">Summary!BU121</f>
        <v>Skid Steer</v>
      </c>
      <c r="D94" s="318"/>
      <c r="E94" s="742" t="n">
        <f aca="false">E90</f>
        <v>0</v>
      </c>
    </row>
    <row r="95" customFormat="false" ht="15" hidden="false" customHeight="false" outlineLevel="0" collapsed="false">
      <c r="B95" s="1854" t="n">
        <f aca="false">Summary!BT122</f>
        <v>130065</v>
      </c>
      <c r="C95" s="741" t="str">
        <f aca="false">Summary!BU122</f>
        <v>General Equipment Rental</v>
      </c>
      <c r="D95" s="318"/>
      <c r="E95" s="742"/>
    </row>
    <row r="96" customFormat="false" ht="15" hidden="false" customHeight="false" outlineLevel="0" collapsed="false">
      <c r="B96" s="1854" t="n">
        <f aca="false">Summary!BT123</f>
        <v>130066</v>
      </c>
      <c r="C96" s="741" t="str">
        <f aca="false">Summary!BU123</f>
        <v>Fuel</v>
      </c>
      <c r="D96" s="318"/>
      <c r="E96" s="742"/>
    </row>
    <row r="97" customFormat="false" ht="15" hidden="false" customHeight="false" outlineLevel="0" collapsed="false">
      <c r="B97" s="1854" t="n">
        <f aca="false">Summary!BT124</f>
        <v>130067</v>
      </c>
      <c r="C97" s="741" t="str">
        <f aca="false">Summary!BU124</f>
        <v>Purchased Tools</v>
      </c>
      <c r="D97" s="318"/>
      <c r="E97" s="742"/>
    </row>
    <row r="98" customFormat="false" ht="15" hidden="false" customHeight="false" outlineLevel="0" collapsed="false">
      <c r="B98" s="1854" t="n">
        <f aca="false">Summary!BT125</f>
        <v>130068</v>
      </c>
      <c r="C98" s="741" t="str">
        <f aca="false">Summary!BU125</f>
        <v>Stolen/Damaged</v>
      </c>
      <c r="D98" s="318"/>
      <c r="E98" s="742"/>
    </row>
    <row r="99" customFormat="false" ht="15" hidden="false" customHeight="false" outlineLevel="0" collapsed="false">
      <c r="B99" s="1854" t="n">
        <f aca="false">Summary!BT126</f>
        <v>130070</v>
      </c>
      <c r="C99" s="741" t="str">
        <f aca="false">Summary!BU126</f>
        <v>Out of Town Expense</v>
      </c>
      <c r="D99" s="318"/>
      <c r="E99" s="742"/>
    </row>
    <row r="100" customFormat="false" ht="15" hidden="false" customHeight="false" outlineLevel="0" collapsed="false">
      <c r="B100" s="1854" t="n">
        <f aca="false">Summary!BT127</f>
        <v>130071</v>
      </c>
      <c r="C100" s="741" t="str">
        <f aca="false">Summary!BU127</f>
        <v>Miscellaneous</v>
      </c>
      <c r="D100" s="318"/>
      <c r="E100" s="742"/>
    </row>
    <row r="101" customFormat="false" ht="15" hidden="false" customHeight="false" outlineLevel="0" collapsed="false">
      <c r="B101" s="1854" t="n">
        <f aca="false">Summary!BT130</f>
        <v>130090</v>
      </c>
      <c r="C101" s="741" t="str">
        <f aca="false">Summary!BU130</f>
        <v>Not Used</v>
      </c>
      <c r="D101" s="318"/>
      <c r="E101" s="742"/>
    </row>
    <row r="102" customFormat="false" ht="15" hidden="false" customHeight="false" outlineLevel="0" collapsed="false">
      <c r="B102" s="1854" t="n">
        <f aca="false">Summary!BT131</f>
        <v>130091</v>
      </c>
      <c r="C102" s="741" t="str">
        <f aca="false">Summary!BU131</f>
        <v>Margin Contingency</v>
      </c>
      <c r="D102" s="318"/>
      <c r="E102" s="742" t="n">
        <f aca="false">SUM(W41)</f>
        <v>0</v>
      </c>
    </row>
  </sheetData>
  <mergeCells count="69">
    <mergeCell ref="X1:Y1"/>
    <mergeCell ref="B2:E2"/>
    <mergeCell ref="P2:Q2"/>
    <mergeCell ref="R2:S2"/>
    <mergeCell ref="B3:E3"/>
    <mergeCell ref="K3:O3"/>
    <mergeCell ref="P3:Q3"/>
    <mergeCell ref="R3:S3"/>
    <mergeCell ref="B4:E4"/>
    <mergeCell ref="K4:O4"/>
    <mergeCell ref="P4:Q4"/>
    <mergeCell ref="R4:S4"/>
    <mergeCell ref="K5:O5"/>
    <mergeCell ref="P5:Q5"/>
    <mergeCell ref="R5:S5"/>
    <mergeCell ref="D6:E6"/>
    <mergeCell ref="K6:O6"/>
    <mergeCell ref="P6:Q6"/>
    <mergeCell ref="R6:S6"/>
    <mergeCell ref="D7:E7"/>
    <mergeCell ref="H7:K7"/>
    <mergeCell ref="L7:P7"/>
    <mergeCell ref="AV7:AV8"/>
    <mergeCell ref="AX7:AX8"/>
    <mergeCell ref="AZ7:AZ8"/>
    <mergeCell ref="BB7:BB8"/>
    <mergeCell ref="BD7:BD8"/>
    <mergeCell ref="BF7:BF8"/>
    <mergeCell ref="B8:D8"/>
    <mergeCell ref="J8:L8"/>
    <mergeCell ref="N8:P8"/>
    <mergeCell ref="R8:T8"/>
    <mergeCell ref="AQ8:AT8"/>
    <mergeCell ref="B9:E9"/>
    <mergeCell ref="X9:Y9"/>
    <mergeCell ref="X10:Y10"/>
    <mergeCell ref="X11:Y11"/>
    <mergeCell ref="X12:Y12"/>
    <mergeCell ref="X13:Y13"/>
    <mergeCell ref="X14:Y14"/>
    <mergeCell ref="B16:E16"/>
    <mergeCell ref="X16:Y16"/>
    <mergeCell ref="X17:Y17"/>
    <mergeCell ref="X18:Y18"/>
    <mergeCell ref="X19:Y19"/>
    <mergeCell ref="X20:Y20"/>
    <mergeCell ref="X21:Y21"/>
    <mergeCell ref="X22:Y22"/>
    <mergeCell ref="B24:E24"/>
    <mergeCell ref="X24:Y24"/>
    <mergeCell ref="X25:Y25"/>
    <mergeCell ref="X26:Y26"/>
    <mergeCell ref="X27:Y27"/>
    <mergeCell ref="X28:Y28"/>
    <mergeCell ref="X29:Y29"/>
    <mergeCell ref="X30:Y30"/>
    <mergeCell ref="X31:Y31"/>
    <mergeCell ref="X32:Y32"/>
    <mergeCell ref="B33:E33"/>
    <mergeCell ref="X33:Y33"/>
    <mergeCell ref="X34:Y34"/>
    <mergeCell ref="X35:Y35"/>
    <mergeCell ref="X36:Y36"/>
    <mergeCell ref="X37:Y37"/>
    <mergeCell ref="X38:Y38"/>
    <mergeCell ref="X39:Y39"/>
    <mergeCell ref="X40:Y40"/>
    <mergeCell ref="X41:Y41"/>
    <mergeCell ref="X42:Y42"/>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true"/>
  </sheetPr>
  <dimension ref="A1:BN180"/>
  <sheetViews>
    <sheetView showFormulas="false" showGridLines="true" showRowColHeaders="true" showZeros="true" rightToLeft="false" tabSelected="false" showOutlineSymbols="true" defaultGridColor="true" view="normal" topLeftCell="A1" colorId="64" zoomScale="55" zoomScaleNormal="55" zoomScalePageLayoutView="70" workbookViewId="0">
      <selection pane="topLeft" activeCell="G20" activeCellId="0" sqref="G20"/>
    </sheetView>
  </sheetViews>
  <sheetFormatPr defaultColWidth="2.453125" defaultRowHeight="15" customHeight="false" zeroHeight="false" outlineLevelRow="0" outlineLevelCol="0"/>
  <cols>
    <col collapsed="false" customWidth="true" hidden="false" outlineLevel="0" max="1" min="1" style="16" width="12"/>
    <col collapsed="false" customWidth="true" hidden="false" outlineLevel="0" max="2" min="2" style="16" width="10.45"/>
    <col collapsed="false" customWidth="true" hidden="false" outlineLevel="0" max="3" min="3" style="16" width="7.45"/>
    <col collapsed="false" customWidth="true" hidden="false" outlineLevel="0" max="4" min="4" style="16" width="10.82"/>
    <col collapsed="false" customWidth="true" hidden="false" outlineLevel="0" max="5" min="5" style="16" width="9.45"/>
    <col collapsed="false" customWidth="true" hidden="false" outlineLevel="0" max="6" min="6" style="16" width="13.54"/>
    <col collapsed="false" customWidth="true" hidden="false" outlineLevel="0" max="7" min="7" style="16" width="12.82"/>
    <col collapsed="false" customWidth="true" hidden="false" outlineLevel="0" max="18" min="8" style="16" width="9.82"/>
    <col collapsed="false" customWidth="true" hidden="false" outlineLevel="0" max="19" min="19" style="16" width="10.82"/>
    <col collapsed="false" customWidth="true" hidden="false" outlineLevel="0" max="20" min="20" style="16" width="8.82"/>
    <col collapsed="false" customWidth="true" hidden="false" outlineLevel="0" max="21" min="21" style="16" width="13"/>
    <col collapsed="false" customWidth="true" hidden="false" outlineLevel="0" max="22" min="22" style="16" width="13.18"/>
    <col collapsed="false" customWidth="true" hidden="false" outlineLevel="0" max="23" min="23" style="16" width="15.82"/>
    <col collapsed="false" customWidth="true" hidden="false" outlineLevel="0" max="24" min="24" style="0" width="15.45"/>
    <col collapsed="false" customWidth="true" hidden="false" outlineLevel="0" max="25" min="25" style="0" width="9.18"/>
    <col collapsed="false" customWidth="true" hidden="true" outlineLevel="0" max="30" min="26" style="0" width="9.18"/>
    <col collapsed="false" customWidth="true" hidden="true" outlineLevel="0" max="31" min="31" style="0" width="14.18"/>
    <col collapsed="false" customWidth="true" hidden="true" outlineLevel="0" max="42" min="32" style="0" width="9.18"/>
    <col collapsed="false" customWidth="true" hidden="true" outlineLevel="0" max="43" min="43" style="0" width="15.45"/>
    <col collapsed="false" customWidth="true" hidden="true" outlineLevel="0" max="46" min="44" style="0" width="9.18"/>
    <col collapsed="false" customWidth="true" hidden="true" outlineLevel="0" max="47" min="47" style="0" width="11.18"/>
    <col collapsed="false" customWidth="true" hidden="true" outlineLevel="0" max="48" min="48" style="0" width="9.82"/>
    <col collapsed="false" customWidth="true" hidden="true" outlineLevel="0" max="50" min="49" style="0" width="10.18"/>
    <col collapsed="false" customWidth="true" hidden="true" outlineLevel="0" max="51" min="51" style="0" width="11.82"/>
    <col collapsed="false" customWidth="true" hidden="true" outlineLevel="0" max="52" min="52" style="0" width="15.54"/>
    <col collapsed="false" customWidth="true" hidden="true" outlineLevel="0" max="53" min="53" style="0" width="9.18"/>
    <col collapsed="false" customWidth="true" hidden="true" outlineLevel="0" max="54" min="54" style="0" width="11.54"/>
    <col collapsed="false" customWidth="true" hidden="true" outlineLevel="0" max="55" min="55" style="0" width="20.82"/>
    <col collapsed="false" customWidth="true" hidden="true" outlineLevel="0" max="56" min="56" style="0" width="19"/>
    <col collapsed="false" customWidth="true" hidden="true" outlineLevel="0" max="57" min="57" style="0" width="20.82"/>
    <col collapsed="false" customWidth="true" hidden="true" outlineLevel="0" max="58" min="58" style="0" width="16.82"/>
    <col collapsed="false" customWidth="true" hidden="true" outlineLevel="0" max="59" min="59" style="0" width="13.82"/>
    <col collapsed="false" customWidth="true" hidden="true" outlineLevel="0" max="60" min="60" style="0" width="26.54"/>
    <col collapsed="false" customWidth="true" hidden="true" outlineLevel="0" max="61" min="61" style="0" width="10.82"/>
    <col collapsed="false" customWidth="true" hidden="true" outlineLevel="0" max="62" min="62" style="0" width="12.54"/>
    <col collapsed="false" customWidth="true" hidden="false" outlineLevel="0" max="63" min="63" style="0" width="12.54"/>
    <col collapsed="false" customWidth="true" hidden="false" outlineLevel="0" max="64" min="64" style="0" width="9.18"/>
    <col collapsed="false" customWidth="true" hidden="false" outlineLevel="0" max="65" min="65" style="0" width="11.82"/>
    <col collapsed="false" customWidth="true" hidden="false" outlineLevel="0" max="66" min="66" style="0" width="20.45"/>
    <col collapsed="false" customWidth="true" hidden="false" outlineLevel="0" max="255" min="67" style="0" width="9.18"/>
  </cols>
  <sheetData>
    <row r="1" customFormat="false" ht="15.75" hidden="false" customHeight="true" outlineLevel="0" collapsed="false">
      <c r="A1" s="710"/>
      <c r="B1" s="614"/>
      <c r="C1" s="614"/>
      <c r="D1" s="614"/>
      <c r="E1" s="614"/>
      <c r="F1" s="614"/>
      <c r="G1" s="614"/>
      <c r="H1" s="614"/>
      <c r="I1" s="614"/>
      <c r="J1" s="614"/>
      <c r="K1" s="614"/>
      <c r="L1" s="614"/>
      <c r="M1" s="614"/>
      <c r="N1" s="614"/>
      <c r="O1" s="614"/>
      <c r="P1" s="614"/>
      <c r="Q1" s="614"/>
      <c r="R1" s="614"/>
      <c r="S1" s="614"/>
      <c r="T1" s="1197" t="s">
        <v>1193</v>
      </c>
      <c r="U1" s="1197"/>
      <c r="V1" s="1198" t="n">
        <v>37456</v>
      </c>
      <c r="W1" s="1198"/>
      <c r="X1" s="1414"/>
      <c r="Y1" s="1414"/>
    </row>
    <row r="2" customFormat="false" ht="26.25" hidden="false" customHeight="true" outlineLevel="0" collapsed="false">
      <c r="A2" s="1200" t="str">
        <f aca="false">Summary!C1</f>
        <v>Trammell Crow – LBJ</v>
      </c>
      <c r="B2" s="1200"/>
      <c r="C2" s="1200"/>
      <c r="D2" s="1200"/>
      <c r="E2" s="654"/>
      <c r="F2" s="654"/>
      <c r="G2" s="836"/>
      <c r="H2" s="1419" t="s">
        <v>56</v>
      </c>
      <c r="I2" s="1068"/>
      <c r="J2" s="1202" t="s">
        <v>57</v>
      </c>
      <c r="K2" s="1068"/>
      <c r="L2" s="1068"/>
      <c r="M2" s="1068"/>
      <c r="N2" s="1202" t="s">
        <v>1</v>
      </c>
      <c r="O2" s="1202"/>
      <c r="P2" s="865" t="s">
        <v>1194</v>
      </c>
      <c r="Q2" s="865"/>
      <c r="R2" s="654"/>
      <c r="S2" s="654"/>
      <c r="T2" s="836" t="s">
        <v>957</v>
      </c>
      <c r="U2" s="695"/>
      <c r="V2" s="837" t="n">
        <f aca="false">Information!C7</f>
        <v>0</v>
      </c>
      <c r="W2" s="838"/>
      <c r="X2" s="1414"/>
      <c r="Y2" s="1414"/>
    </row>
    <row r="3" customFormat="false" ht="18" hidden="false" customHeight="true" outlineLevel="0" collapsed="false">
      <c r="A3" s="1204" t="n">
        <f aca="false">Summary!C2</f>
        <v>0</v>
      </c>
      <c r="B3" s="1204"/>
      <c r="C3" s="1204"/>
      <c r="D3" s="1204"/>
      <c r="E3" s="654"/>
      <c r="F3" s="654"/>
      <c r="G3" s="599"/>
      <c r="H3" s="833" t="s">
        <v>955</v>
      </c>
      <c r="I3" s="1876" t="n">
        <f aca="false">Summary!K2</f>
        <v>0</v>
      </c>
      <c r="J3" s="1876"/>
      <c r="K3" s="1876"/>
      <c r="L3" s="1876"/>
      <c r="M3" s="1876"/>
      <c r="N3" s="1878" t="n">
        <f aca="false">Summary!O2</f>
        <v>0</v>
      </c>
      <c r="O3" s="1878"/>
      <c r="P3" s="2144" t="n">
        <f aca="false">Summary!P2</f>
        <v>0</v>
      </c>
      <c r="Q3" s="2144"/>
      <c r="R3" s="654"/>
      <c r="S3" s="654"/>
      <c r="T3" s="599"/>
      <c r="W3" s="843"/>
      <c r="X3" s="1414"/>
      <c r="Y3" s="1414"/>
    </row>
    <row r="4" customFormat="false" ht="18" hidden="false" customHeight="true" outlineLevel="0" collapsed="false">
      <c r="A4" s="1208" t="str">
        <f aca="false">Summary!C3</f>
        <v>Dallas, TX</v>
      </c>
      <c r="B4" s="1208"/>
      <c r="C4" s="1208"/>
      <c r="D4" s="1208"/>
      <c r="E4" s="654"/>
      <c r="F4" s="654"/>
      <c r="G4" s="599"/>
      <c r="H4" s="833" t="s">
        <v>71</v>
      </c>
      <c r="I4" s="1879" t="n">
        <f aca="false">Summary!K3</f>
        <v>0</v>
      </c>
      <c r="J4" s="1879"/>
      <c r="K4" s="1879"/>
      <c r="L4" s="1879"/>
      <c r="M4" s="1879"/>
      <c r="N4" s="1881" t="n">
        <f aca="false">Summary!O3</f>
        <v>0</v>
      </c>
      <c r="O4" s="1881"/>
      <c r="P4" s="2145" t="n">
        <f aca="false">Summary!P3</f>
        <v>0</v>
      </c>
      <c r="Q4" s="2145"/>
      <c r="R4" s="654"/>
      <c r="S4" s="654"/>
      <c r="T4" s="599" t="s">
        <v>958</v>
      </c>
      <c r="V4" s="848"/>
      <c r="W4" s="849"/>
      <c r="X4" s="1414"/>
      <c r="Y4" s="1414"/>
    </row>
    <row r="5" customFormat="false" ht="18" hidden="false" customHeight="true" outlineLevel="0" collapsed="false">
      <c r="A5" s="1041" t="s">
        <v>0</v>
      </c>
      <c r="C5" s="405" t="s">
        <v>1</v>
      </c>
      <c r="E5" s="654"/>
      <c r="F5" s="654"/>
      <c r="G5" s="599"/>
      <c r="H5" s="833" t="s">
        <v>79</v>
      </c>
      <c r="I5" s="1882" t="n">
        <f aca="false">Summary!K4</f>
        <v>0</v>
      </c>
      <c r="J5" s="1882"/>
      <c r="K5" s="1882"/>
      <c r="L5" s="1882"/>
      <c r="M5" s="1882"/>
      <c r="N5" s="1432" t="n">
        <f aca="false">Summary!O4</f>
        <v>0</v>
      </c>
      <c r="O5" s="1432"/>
      <c r="P5" s="3085" t="n">
        <f aca="false">Summary!P4</f>
        <v>0</v>
      </c>
      <c r="Q5" s="3085"/>
      <c r="R5" s="654"/>
      <c r="S5" s="654"/>
      <c r="T5" s="599"/>
      <c r="W5" s="843"/>
      <c r="X5" s="1414"/>
      <c r="Y5" s="1414"/>
    </row>
    <row r="6" customFormat="false" ht="18" hidden="false" customHeight="true" outlineLevel="0" collapsed="false">
      <c r="A6" s="1211" t="n">
        <v>0</v>
      </c>
      <c r="B6" s="654"/>
      <c r="C6" s="3086" t="n">
        <v>0</v>
      </c>
      <c r="D6" s="3086"/>
      <c r="E6" s="654"/>
      <c r="F6" s="654"/>
      <c r="G6" s="602"/>
      <c r="H6" s="2351" t="s">
        <v>87</v>
      </c>
      <c r="I6" s="1886" t="n">
        <f aca="false">Summary!K5</f>
        <v>0</v>
      </c>
      <c r="J6" s="1886"/>
      <c r="K6" s="1886"/>
      <c r="L6" s="1886"/>
      <c r="M6" s="1886"/>
      <c r="N6" s="1888" t="n">
        <f aca="false">Summary!O5</f>
        <v>0</v>
      </c>
      <c r="O6" s="1888"/>
      <c r="P6" s="3087" t="n">
        <f aca="false">Summary!P5</f>
        <v>0</v>
      </c>
      <c r="Q6" s="3087"/>
      <c r="R6" s="654"/>
      <c r="S6" s="654"/>
      <c r="T6" s="602" t="s">
        <v>958</v>
      </c>
      <c r="U6" s="855"/>
      <c r="V6" s="855"/>
      <c r="W6" s="856"/>
      <c r="X6" s="1414"/>
      <c r="Y6" s="1414"/>
    </row>
    <row r="7" customFormat="false" ht="18" hidden="false" customHeight="true" outlineLevel="0" collapsed="false">
      <c r="A7" s="1214" t="n">
        <v>0</v>
      </c>
      <c r="B7" s="654"/>
      <c r="C7" s="3086" t="n">
        <v>0</v>
      </c>
      <c r="D7" s="3086"/>
      <c r="E7" s="654"/>
      <c r="F7" s="3088" t="s">
        <v>1196</v>
      </c>
      <c r="G7" s="3088"/>
      <c r="H7" s="3088"/>
      <c r="I7" s="2695" t="str">
        <f aca="false">Pricing!A3</f>
        <v>SRM</v>
      </c>
      <c r="J7" s="2695"/>
      <c r="K7" s="2695"/>
      <c r="L7" s="2695"/>
      <c r="M7" s="2695"/>
      <c r="N7" s="654"/>
      <c r="O7" s="654"/>
      <c r="P7" s="654"/>
      <c r="Q7" s="654"/>
      <c r="R7" s="654"/>
      <c r="S7" s="654"/>
      <c r="T7" s="654"/>
      <c r="U7" s="654"/>
      <c r="V7" s="654"/>
      <c r="W7" s="931"/>
      <c r="X7" s="1414"/>
      <c r="Y7" s="1414"/>
    </row>
    <row r="8" customFormat="false" ht="25.5" hidden="false" customHeight="true" outlineLevel="0" collapsed="false">
      <c r="A8" s="1219"/>
      <c r="B8" s="1220"/>
      <c r="C8" s="3089" t="s">
        <v>1209</v>
      </c>
      <c r="D8" s="3090" t="s">
        <v>2043</v>
      </c>
      <c r="E8" s="3090"/>
      <c r="F8" s="3090"/>
      <c r="G8" s="3090"/>
      <c r="H8" s="3091"/>
      <c r="I8" s="3092" t="s">
        <v>2044</v>
      </c>
      <c r="J8" s="3092"/>
      <c r="K8" s="863" t="s">
        <v>1663</v>
      </c>
      <c r="L8" s="863"/>
      <c r="M8" s="863"/>
      <c r="N8" s="1222" t="s">
        <v>1664</v>
      </c>
      <c r="O8" s="1222"/>
      <c r="P8" s="1222"/>
      <c r="Q8" s="2152" t="s">
        <v>2045</v>
      </c>
      <c r="R8" s="3093"/>
      <c r="S8" s="2152" t="s">
        <v>2046</v>
      </c>
      <c r="T8" s="3094"/>
      <c r="U8" s="1223" t="s">
        <v>2047</v>
      </c>
      <c r="V8" s="878" t="s">
        <v>2048</v>
      </c>
      <c r="W8" s="3095" t="s">
        <v>2049</v>
      </c>
      <c r="X8" s="3096" t="s">
        <v>2050</v>
      </c>
      <c r="AK8" s="0" t="s">
        <v>2051</v>
      </c>
    </row>
    <row r="9" customFormat="false" ht="39.75" hidden="false" customHeight="true" outlineLevel="0" collapsed="false">
      <c r="A9" s="1908" t="s">
        <v>1365</v>
      </c>
      <c r="B9" s="1908"/>
      <c r="C9" s="3089"/>
      <c r="D9" s="1476" t="s">
        <v>1366</v>
      </c>
      <c r="E9" s="1226" t="s">
        <v>1670</v>
      </c>
      <c r="F9" s="1226" t="s">
        <v>2052</v>
      </c>
      <c r="G9" s="1477" t="s">
        <v>2053</v>
      </c>
      <c r="H9" s="2072" t="s">
        <v>835</v>
      </c>
      <c r="I9" s="1226" t="s">
        <v>2054</v>
      </c>
      <c r="J9" s="1680" t="s">
        <v>2055</v>
      </c>
      <c r="K9" s="1227" t="s">
        <v>1216</v>
      </c>
      <c r="L9" s="1226" t="s">
        <v>1215</v>
      </c>
      <c r="M9" s="1477" t="s">
        <v>1671</v>
      </c>
      <c r="N9" s="1226" t="s">
        <v>1216</v>
      </c>
      <c r="O9" s="1227" t="s">
        <v>1215</v>
      </c>
      <c r="P9" s="1225" t="s">
        <v>1672</v>
      </c>
      <c r="Q9" s="2152"/>
      <c r="R9" s="1477" t="s">
        <v>1215</v>
      </c>
      <c r="S9" s="2152"/>
      <c r="T9" s="1680" t="s">
        <v>1215</v>
      </c>
      <c r="U9" s="1223"/>
      <c r="V9" s="878"/>
      <c r="W9" s="3095"/>
      <c r="X9" s="3096"/>
      <c r="Y9" s="179"/>
      <c r="AI9" s="0" t="s">
        <v>2056</v>
      </c>
      <c r="AJ9" s="0" t="s">
        <v>1374</v>
      </c>
      <c r="AK9" s="0" t="s">
        <v>1375</v>
      </c>
      <c r="AL9" s="0" t="s">
        <v>1376</v>
      </c>
      <c r="AM9" s="0" t="s">
        <v>1377</v>
      </c>
      <c r="AN9" s="0" t="s">
        <v>1378</v>
      </c>
      <c r="AO9" s="0" t="s">
        <v>1522</v>
      </c>
      <c r="AP9" s="0" t="s">
        <v>1384</v>
      </c>
      <c r="AQ9" s="0" t="s">
        <v>1385</v>
      </c>
      <c r="AR9" s="0" t="s">
        <v>1533</v>
      </c>
      <c r="AS9" s="0" t="s">
        <v>2057</v>
      </c>
      <c r="AT9" s="0" t="s">
        <v>2058</v>
      </c>
      <c r="AU9" s="0" t="s">
        <v>2059</v>
      </c>
      <c r="AV9" s="0" t="s">
        <v>2060</v>
      </c>
      <c r="AW9" s="0" t="s">
        <v>2061</v>
      </c>
      <c r="AX9" s="0" t="s">
        <v>577</v>
      </c>
      <c r="AY9" s="3097" t="s">
        <v>1388</v>
      </c>
      <c r="AZ9" s="3097" t="s">
        <v>2062</v>
      </c>
      <c r="BA9" s="3097" t="s">
        <v>2063</v>
      </c>
      <c r="BB9" s="3097" t="s">
        <v>1391</v>
      </c>
      <c r="BC9" s="3097" t="s">
        <v>1392</v>
      </c>
      <c r="BD9" s="3097" t="s">
        <v>2064</v>
      </c>
      <c r="BE9" s="3097" t="s">
        <v>1334</v>
      </c>
      <c r="BJ9" s="0" t="s">
        <v>1687</v>
      </c>
    </row>
    <row r="10" customFormat="false" ht="18" hidden="false" customHeight="true" outlineLevel="0" collapsed="false">
      <c r="A10" s="507"/>
      <c r="B10" s="1312"/>
      <c r="C10" s="1920"/>
      <c r="D10" s="3098"/>
      <c r="E10" s="3099"/>
      <c r="F10" s="3099"/>
      <c r="G10" s="900"/>
      <c r="H10" s="2082"/>
      <c r="I10" s="901"/>
      <c r="J10" s="898"/>
      <c r="K10" s="1234"/>
      <c r="L10" s="1234"/>
      <c r="M10" s="1235"/>
      <c r="N10" s="1236"/>
      <c r="O10" s="1234"/>
      <c r="P10" s="1235"/>
      <c r="Q10" s="1234"/>
      <c r="R10" s="1235"/>
      <c r="S10" s="1234"/>
      <c r="T10" s="3100"/>
      <c r="U10" s="3101" t="n">
        <f aca="false">IF(H10=0,0,(IF(K10=0,0,D10*(F10-G10)*12/K10*M10*(L10/16*L10/16*10.7028))+IF(N10=0,0,((F10-G10)*12/N10*D10*P10)*O10/16*O10/16*10.7028)+(Q10*D10+Q10*(F10-G10))*2*(R10/16*R10/16*10.7028)+IF(I10&gt;0,Q10*D10+Q10*(F10-G10)*2*(R10/16*R10/16*10.7028))+IF(H10=0,0,S10*4*T10/16*T10/16*10.7028))*(1+J$69))</f>
        <v>0</v>
      </c>
      <c r="V10" s="3102" t="n">
        <f aca="false">IF(H10=0,0,((D10*E10/12*(F10-G10)/27)-(I10*J10*E10/324))*(1+J$66))</f>
        <v>0</v>
      </c>
      <c r="W10" s="2181" t="n">
        <f aca="false">(F10-G10)*D10</f>
        <v>0</v>
      </c>
      <c r="X10" s="1518" t="n">
        <f aca="false">IF(H10=0,0,SUM(AY10:BE10)/H10)</f>
        <v>0</v>
      </c>
      <c r="Y10" s="16"/>
      <c r="AI10" s="0" t="n">
        <f aca="false">IF(H10&gt;0,1,0)</f>
        <v>0</v>
      </c>
      <c r="AJ10" s="0" t="n">
        <f aca="false">IF($C10=1,$V10*$H10,0)</f>
        <v>0</v>
      </c>
      <c r="AK10" s="0" t="n">
        <f aca="false">IF($C10=2,$V10*$H10,0)</f>
        <v>0</v>
      </c>
      <c r="AL10" s="0" t="n">
        <f aca="false">IF($C10=3,$V10*$H10,0)</f>
        <v>0</v>
      </c>
      <c r="AM10" s="0" t="n">
        <f aca="false">IF($C10=4,$V10*$H10,0)</f>
        <v>0</v>
      </c>
      <c r="AN10" s="0" t="n">
        <f aca="false">IF($C10=5,$V10*$H10,0)</f>
        <v>0</v>
      </c>
      <c r="AO10" s="0" t="n">
        <f aca="false">IF($C10=6,$V10*$H10,0)</f>
        <v>0</v>
      </c>
      <c r="AP10" s="0" t="n">
        <f aca="false">SUM(AJ10:AO10)</f>
        <v>0</v>
      </c>
      <c r="AQ10" s="1242" t="n">
        <f aca="false">U10*H10</f>
        <v>0</v>
      </c>
      <c r="AR10" s="908" t="n">
        <f aca="false">W10*H10</f>
        <v>0</v>
      </c>
      <c r="AS10" s="0" t="n">
        <f aca="false">H10</f>
        <v>0</v>
      </c>
      <c r="AT10" s="908" t="n">
        <f aca="false">(D10*2+(F10-G10)*2)*H10</f>
        <v>0</v>
      </c>
      <c r="AU10" s="0" t="n">
        <f aca="false">D10*H10</f>
        <v>0</v>
      </c>
      <c r="AV10" s="0" t="n">
        <f aca="false">IF(E10&gt;0,IF(E10&lt;6,AT10,0),0)</f>
        <v>0</v>
      </c>
      <c r="AW10" s="0" t="n">
        <f aca="false">IF(E10&gt;0,IF(E10&gt;5.5,AT10,0),0)</f>
        <v>0</v>
      </c>
      <c r="AX10" s="0" t="n">
        <f aca="false">U10*H10*F$69*IF(T$55="Y",1,(1+V$55))</f>
        <v>0</v>
      </c>
      <c r="AY10" s="3097" t="n">
        <f aca="false">(AJ10*Pricing!F$3+AK10*Pricing!G$3+AL10*Pricing!H$3+AM10*Pricing!I$3+AN10*Pricing!J$3+AO10*Pricing!K$3)*IF(T$55="Y",1,(1+V$55))</f>
        <v>0</v>
      </c>
      <c r="AZ10" s="3103" t="n">
        <f aca="false">AR10*(G$80+D$83)+IF(H$80=0,0,(K$79+N$79)/H$80*AR10)</f>
        <v>0</v>
      </c>
      <c r="BA10" s="3097" t="e">
        <f aca="false">L$89/AR$52*AR10</f>
        <v>#DIV/0!</v>
      </c>
      <c r="BB10" s="3103" t="n">
        <f aca="false">AQ10/2000*D$84</f>
        <v>0</v>
      </c>
      <c r="BC10" s="3103" t="n">
        <f aca="false">AU10*6.5*G$85/27*D$85</f>
        <v>0</v>
      </c>
      <c r="BD10" s="3104" t="e">
        <f aca="false">IF(AR$52=0,0,SUM(N$92:O$97)+SUM(N$99:O$104)+W$105)/AR$52*AR10</f>
        <v>#DIV/0!</v>
      </c>
      <c r="BE10" s="3105" t="e">
        <f aca="false">SUM(N$73:O$76)/AU$52*AU10</f>
        <v>#DIV/0!</v>
      </c>
    </row>
    <row r="11" customFormat="false" ht="18" hidden="false" customHeight="true" outlineLevel="0" collapsed="false">
      <c r="A11" s="507"/>
      <c r="B11" s="1312"/>
      <c r="C11" s="1920"/>
      <c r="D11" s="3106"/>
      <c r="E11" s="3099"/>
      <c r="F11" s="3099"/>
      <c r="G11" s="900"/>
      <c r="H11" s="2082"/>
      <c r="I11" s="901"/>
      <c r="J11" s="898"/>
      <c r="K11" s="1234"/>
      <c r="L11" s="1234"/>
      <c r="M11" s="1235"/>
      <c r="N11" s="1236"/>
      <c r="O11" s="1234"/>
      <c r="P11" s="1235"/>
      <c r="Q11" s="1234"/>
      <c r="R11" s="1235"/>
      <c r="S11" s="1234"/>
      <c r="T11" s="3100"/>
      <c r="U11" s="3101" t="n">
        <f aca="false">IF(H11=0,0,(IF(K11=0,0,D11*(F11-G11)*12/K11*M11*(L11/16*L11/16*10.7028))+IF(N11=0,0,((F11-G11)*12/N11*D11*P11)*O11/16*O11/16*10.7028)+(Q11*D11+Q11*(F11-G11))*2*(R11/16*R11/16*10.7028)+IF(I11&gt;0,Q11*D11+Q11*(F11-G11)*2*(R11/16*R11/16*10.7028))+IF(H11=0,0,S11*4*T11/16*T11/16*10.7028))*(1+J$69))</f>
        <v>0</v>
      </c>
      <c r="V11" s="3102" t="n">
        <f aca="false">IF(H11=0,0,((D11*E11/12*(F11-G11)/27)-(I11*J11*E11/324))*(1+J$66))</f>
        <v>0</v>
      </c>
      <c r="W11" s="2181" t="n">
        <f aca="false">(F11-G11)*D11</f>
        <v>0</v>
      </c>
      <c r="X11" s="1518" t="n">
        <f aca="false">IF(H11=0,0,SUM(AY11:BE11)/H11)</f>
        <v>0</v>
      </c>
      <c r="Y11" s="16"/>
      <c r="AI11" s="0" t="n">
        <f aca="false">IF(H11&gt;0,1,0)</f>
        <v>0</v>
      </c>
      <c r="AJ11" s="0" t="n">
        <f aca="false">IF($C11=1,$V11*$H11,0)</f>
        <v>0</v>
      </c>
      <c r="AK11" s="0" t="n">
        <f aca="false">IF($C11=2,$V11*$H11,0)</f>
        <v>0</v>
      </c>
      <c r="AL11" s="0" t="n">
        <f aca="false">IF($C11=3,$V11*$H11,0)</f>
        <v>0</v>
      </c>
      <c r="AM11" s="0" t="n">
        <f aca="false">IF($C11=4,$V11*$H11,0)</f>
        <v>0</v>
      </c>
      <c r="AN11" s="0" t="n">
        <f aca="false">IF($C11=5,$V11*$H11,0)</f>
        <v>0</v>
      </c>
      <c r="AO11" s="0" t="n">
        <f aca="false">IF($C11=6,$V11*$H11,0)</f>
        <v>0</v>
      </c>
      <c r="AP11" s="0" t="n">
        <f aca="false">SUM(AJ11:AO11)</f>
        <v>0</v>
      </c>
      <c r="AQ11" s="0" t="n">
        <f aca="false">U11*H11</f>
        <v>0</v>
      </c>
      <c r="AR11" s="908" t="n">
        <f aca="false">W11*H11</f>
        <v>0</v>
      </c>
      <c r="AS11" s="0" t="n">
        <f aca="false">H11</f>
        <v>0</v>
      </c>
      <c r="AT11" s="908" t="n">
        <f aca="false">(D11*2+(F11-G11)*2)*H11</f>
        <v>0</v>
      </c>
      <c r="AU11" s="0" t="n">
        <f aca="false">D11*H11</f>
        <v>0</v>
      </c>
      <c r="AV11" s="0" t="n">
        <f aca="false">IF(E11&gt;0,IF(E11&lt;6,AT11,0),0)</f>
        <v>0</v>
      </c>
      <c r="AW11" s="0" t="n">
        <f aca="false">IF(E11&gt;0,IF(E11&gt;5.5,AT11,0),0)</f>
        <v>0</v>
      </c>
      <c r="AX11" s="0" t="n">
        <f aca="false">U11*H11*F$69*IF(T$55="Y",1,(1+V$55))</f>
        <v>0</v>
      </c>
      <c r="AY11" s="3097" t="n">
        <f aca="false">(AJ11*Pricing!F$3+AK11*Pricing!G$3+AL11*Pricing!H$3+AM11*Pricing!I$3+AN11*Pricing!J$3+AO11*Pricing!K$3)*IF(T$55="Y",1,(1+V$55))</f>
        <v>0</v>
      </c>
      <c r="AZ11" s="3103" t="n">
        <f aca="false">AR11*(G$80+D$83)+IF(H$80=0,0,(K$79+N$79)/H$80*AR11)</f>
        <v>0</v>
      </c>
      <c r="BA11" s="3097" t="e">
        <f aca="false">L$89/AR$52*AR11</f>
        <v>#DIV/0!</v>
      </c>
      <c r="BB11" s="3103" t="n">
        <f aca="false">AQ11/2000*D$84</f>
        <v>0</v>
      </c>
      <c r="BC11" s="3103" t="n">
        <f aca="false">AU11*6.5*G$85/27*D$85</f>
        <v>0</v>
      </c>
      <c r="BD11" s="3104" t="e">
        <f aca="false">IF(AR$52=0,0,SUM(N$92:O$97)+SUM(N$99:O$104)+W$105)/AR$52*AR11</f>
        <v>#DIV/0!</v>
      </c>
      <c r="BE11" s="3105" t="e">
        <f aca="false">SUM(N$73:O$76)/AU$52*AU11</f>
        <v>#DIV/0!</v>
      </c>
    </row>
    <row r="12" customFormat="false" ht="18" hidden="false" customHeight="true" outlineLevel="0" collapsed="false">
      <c r="A12" s="507"/>
      <c r="B12" s="1312"/>
      <c r="C12" s="1920"/>
      <c r="D12" s="3106"/>
      <c r="E12" s="3099"/>
      <c r="F12" s="3099"/>
      <c r="G12" s="900"/>
      <c r="H12" s="2082"/>
      <c r="I12" s="901"/>
      <c r="J12" s="898"/>
      <c r="K12" s="1234"/>
      <c r="L12" s="1234"/>
      <c r="M12" s="1235"/>
      <c r="N12" s="1236"/>
      <c r="O12" s="1234"/>
      <c r="P12" s="1235"/>
      <c r="Q12" s="1234"/>
      <c r="R12" s="1235"/>
      <c r="S12" s="1234"/>
      <c r="T12" s="3100"/>
      <c r="U12" s="3101" t="n">
        <f aca="false">IF(H12=0,0,(IF(K12=0,0,D12*(F12-G12)*12/K12*M12*(L12/16*L12/16*10.7028))+IF(N12=0,0,((F12-G12)*12/N12*D12*P12)*O12/16*O12/16*10.7028)+(Q12*D12+Q12*(F12-G12))*2*(R12/16*R12/16*10.7028)+IF(I12&gt;0,Q12*D12+Q12*(F12-G12)*2*(R12/16*R12/16*10.7028))+IF(H12=0,0,S12*4*T12/16*T12/16*10.7028))*(1+J$69))</f>
        <v>0</v>
      </c>
      <c r="V12" s="3102" t="n">
        <f aca="false">IF(H12=0,0,((D12*E12/12*(F12-G12)/27)-(I12*J12*E12/324))*(1+J$66))</f>
        <v>0</v>
      </c>
      <c r="W12" s="2181" t="n">
        <f aca="false">(F12-G12)*D12</f>
        <v>0</v>
      </c>
      <c r="X12" s="1518" t="n">
        <f aca="false">IF(H12=0,0,SUM(AY12:BE12)/H12)</f>
        <v>0</v>
      </c>
      <c r="Y12" s="16"/>
      <c r="AI12" s="0" t="n">
        <f aca="false">IF(H12&gt;0,1,0)</f>
        <v>0</v>
      </c>
      <c r="AJ12" s="0" t="n">
        <f aca="false">IF($C12=1,$V12*$H12,0)</f>
        <v>0</v>
      </c>
      <c r="AK12" s="0" t="n">
        <f aca="false">IF($C12=2,$V12*$H12,0)</f>
        <v>0</v>
      </c>
      <c r="AL12" s="0" t="n">
        <f aca="false">IF($C12=3,$V12*$H12,0)</f>
        <v>0</v>
      </c>
      <c r="AM12" s="0" t="n">
        <f aca="false">IF($C12=4,$V12*$H12,0)</f>
        <v>0</v>
      </c>
      <c r="AN12" s="0" t="n">
        <f aca="false">IF($C12=5,$V12*$H12,0)</f>
        <v>0</v>
      </c>
      <c r="AO12" s="0" t="n">
        <f aca="false">IF($C12=6,$V12*$H12,0)</f>
        <v>0</v>
      </c>
      <c r="AP12" s="0" t="n">
        <f aca="false">SUM(AJ12:AO12)</f>
        <v>0</v>
      </c>
      <c r="AQ12" s="0" t="n">
        <f aca="false">U12*H12</f>
        <v>0</v>
      </c>
      <c r="AR12" s="908" t="n">
        <f aca="false">W12*H12</f>
        <v>0</v>
      </c>
      <c r="AS12" s="0" t="n">
        <f aca="false">H12</f>
        <v>0</v>
      </c>
      <c r="AT12" s="908" t="n">
        <f aca="false">(D12*2+(F12-G12)*2)*H12</f>
        <v>0</v>
      </c>
      <c r="AU12" s="0" t="n">
        <f aca="false">D12*H12</f>
        <v>0</v>
      </c>
      <c r="AV12" s="0" t="n">
        <f aca="false">IF(E12&gt;0,IF(E12&lt;6,AT12,0),0)</f>
        <v>0</v>
      </c>
      <c r="AW12" s="0" t="n">
        <f aca="false">IF(E12&gt;0,IF(E12&gt;5.5,AT12,0),0)</f>
        <v>0</v>
      </c>
      <c r="AX12" s="0" t="n">
        <f aca="false">U12*H12*F$69*IF(T$55="Y",1,(1+V$55))</f>
        <v>0</v>
      </c>
      <c r="AY12" s="3097" t="n">
        <f aca="false">(AJ12*Pricing!F$3+AK12*Pricing!G$3+AL12*Pricing!H$3+AM12*Pricing!I$3+AN12*Pricing!J$3+AO12*Pricing!K$3)*IF(T$55="Y",1,(1+V$55))</f>
        <v>0</v>
      </c>
      <c r="AZ12" s="3103" t="n">
        <f aca="false">AR12*(G$80+D$83)+IF(H$80=0,0,(K$79+N$79)/H$80*AR12)</f>
        <v>0</v>
      </c>
      <c r="BA12" s="3097" t="e">
        <f aca="false">L$89/AR$52*AR12</f>
        <v>#DIV/0!</v>
      </c>
      <c r="BB12" s="3103" t="n">
        <f aca="false">AQ12/2000*D$84</f>
        <v>0</v>
      </c>
      <c r="BC12" s="3103" t="n">
        <f aca="false">AU12*6.5*G$85/27*D$85</f>
        <v>0</v>
      </c>
      <c r="BD12" s="3104" t="e">
        <f aca="false">IF(AR$52=0,0,SUM(N$92:O$97)+SUM(N$99:O$104)+W$105)/AR$52*AR12</f>
        <v>#DIV/0!</v>
      </c>
      <c r="BE12" s="3105" t="e">
        <f aca="false">SUM(N$73:O$76)/AU$52*AU12</f>
        <v>#DIV/0!</v>
      </c>
    </row>
    <row r="13" customFormat="false" ht="18" hidden="false" customHeight="true" outlineLevel="0" collapsed="false">
      <c r="A13" s="507"/>
      <c r="B13" s="1312"/>
      <c r="C13" s="1920"/>
      <c r="D13" s="3106"/>
      <c r="E13" s="3099"/>
      <c r="F13" s="3099"/>
      <c r="G13" s="900"/>
      <c r="H13" s="2082"/>
      <c r="I13" s="901"/>
      <c r="J13" s="898"/>
      <c r="K13" s="1234"/>
      <c r="L13" s="1234"/>
      <c r="M13" s="1235"/>
      <c r="N13" s="1236"/>
      <c r="O13" s="1234"/>
      <c r="P13" s="1235"/>
      <c r="Q13" s="1234"/>
      <c r="R13" s="1235"/>
      <c r="S13" s="1234"/>
      <c r="T13" s="3100"/>
      <c r="U13" s="3101" t="n">
        <f aca="false">IF(H13=0,0,(IF(K13=0,0,D13*(F13-G13)*12/K13*M13*(L13/16*L13/16*10.7028))+IF(N13=0,0,((F13-G13)*12/N13*D13*P13)*O13/16*O13/16*10.7028)+(Q13*D13+Q13*(F13-G13))*2*(R13/16*R13/16*10.7028)+IF(I13&gt;0,Q13*D13+Q13*(F13-G13)*2*(R13/16*R13/16*10.7028))+IF(H13=0,0,S13*4*T13/16*T13/16*10.7028))*(1+J$69))</f>
        <v>0</v>
      </c>
      <c r="V13" s="3102" t="n">
        <f aca="false">IF(H13=0,0,((D13*E13/12*(F13-G13)/27)-(I13*J13*E13/324))*(1+J$66))</f>
        <v>0</v>
      </c>
      <c r="W13" s="2181" t="n">
        <f aca="false">(F13-G13)*D13</f>
        <v>0</v>
      </c>
      <c r="X13" s="1518" t="n">
        <f aca="false">IF(H13=0,0,SUM(AY13:BE13)/H13)</f>
        <v>0</v>
      </c>
      <c r="Y13" s="16"/>
      <c r="AI13" s="0" t="n">
        <f aca="false">IF(H13&gt;0,1,0)</f>
        <v>0</v>
      </c>
      <c r="AJ13" s="0" t="n">
        <f aca="false">IF($C13=1,$V13*$H13,0)</f>
        <v>0</v>
      </c>
      <c r="AK13" s="0" t="n">
        <f aca="false">IF($C13=2,$V13*$H13,0)</f>
        <v>0</v>
      </c>
      <c r="AL13" s="0" t="n">
        <f aca="false">IF($C13=3,$V13*$H13,0)</f>
        <v>0</v>
      </c>
      <c r="AM13" s="0" t="n">
        <f aca="false">IF($C13=4,$V13*$H13,0)</f>
        <v>0</v>
      </c>
      <c r="AN13" s="0" t="n">
        <f aca="false">IF($C13=5,$V13*$H13,0)</f>
        <v>0</v>
      </c>
      <c r="AO13" s="0" t="n">
        <f aca="false">IF($C13=6,$V13*$H13,0)</f>
        <v>0</v>
      </c>
      <c r="AP13" s="0" t="n">
        <f aca="false">SUM(AJ13:AO13)</f>
        <v>0</v>
      </c>
      <c r="AQ13" s="0" t="n">
        <f aca="false">U13*H13</f>
        <v>0</v>
      </c>
      <c r="AR13" s="908" t="n">
        <f aca="false">W13*H13</f>
        <v>0</v>
      </c>
      <c r="AS13" s="0" t="n">
        <f aca="false">H13</f>
        <v>0</v>
      </c>
      <c r="AT13" s="908" t="n">
        <f aca="false">(D13*2+(F13-G13)*2)*H13</f>
        <v>0</v>
      </c>
      <c r="AU13" s="0" t="n">
        <f aca="false">D13*H13</f>
        <v>0</v>
      </c>
      <c r="AV13" s="0" t="n">
        <f aca="false">IF(E13&gt;0,IF(E13&lt;6,AT13,0),0)</f>
        <v>0</v>
      </c>
      <c r="AW13" s="0" t="n">
        <f aca="false">IF(E13&gt;0,IF(E13&gt;5.5,AT13,0),0)</f>
        <v>0</v>
      </c>
      <c r="AX13" s="0" t="n">
        <f aca="false">U13*H13*F$69*IF(T$55="Y",1,(1+V$55))</f>
        <v>0</v>
      </c>
      <c r="AY13" s="3097" t="n">
        <f aca="false">(AJ13*Pricing!F$3+AK13*Pricing!G$3+AL13*Pricing!H$3+AM13*Pricing!I$3+AN13*Pricing!J$3+AO13*Pricing!K$3)*IF(T$55="Y",1,(1+V$55))</f>
        <v>0</v>
      </c>
      <c r="AZ13" s="3103" t="n">
        <f aca="false">AR13*(G$80+D$83)+IF(H$80=0,0,(K$79+N$79)/H$80*AR13)</f>
        <v>0</v>
      </c>
      <c r="BA13" s="3097" t="e">
        <f aca="false">L$89/AR$52*AR13</f>
        <v>#DIV/0!</v>
      </c>
      <c r="BB13" s="3103" t="n">
        <f aca="false">AQ13/2000*D$84</f>
        <v>0</v>
      </c>
      <c r="BC13" s="3103" t="n">
        <f aca="false">AU13*6.5*G$85/27*D$85</f>
        <v>0</v>
      </c>
      <c r="BD13" s="3104" t="e">
        <f aca="false">IF(AR$52=0,0,SUM(N$92:O$97)+SUM(N$99:O$104)+W$105)/AR$52*AR13</f>
        <v>#DIV/0!</v>
      </c>
      <c r="BE13" s="3105" t="e">
        <f aca="false">SUM(N$73:O$76)/AU$52*AU13</f>
        <v>#DIV/0!</v>
      </c>
    </row>
    <row r="14" customFormat="false" ht="18" hidden="false" customHeight="true" outlineLevel="0" collapsed="false">
      <c r="A14" s="507"/>
      <c r="B14" s="1312"/>
      <c r="C14" s="1920"/>
      <c r="D14" s="3106"/>
      <c r="E14" s="3099"/>
      <c r="F14" s="3099"/>
      <c r="G14" s="900"/>
      <c r="H14" s="2082"/>
      <c r="I14" s="901"/>
      <c r="J14" s="898"/>
      <c r="K14" s="1234"/>
      <c r="L14" s="1234"/>
      <c r="M14" s="1235"/>
      <c r="N14" s="1236"/>
      <c r="O14" s="1234"/>
      <c r="P14" s="1235"/>
      <c r="Q14" s="1234"/>
      <c r="R14" s="1235"/>
      <c r="S14" s="1234"/>
      <c r="T14" s="3100"/>
      <c r="U14" s="3101" t="n">
        <f aca="false">IF(H14=0,0,(IF(K14=0,0,D14*(F14-G14)*12/K14*M14*(L14/16*L14/16*10.7028))+IF(N14=0,0,((F14-G14)*12/N14*D14*P14)*O14/16*O14/16*10.7028)+(Q14*D14+Q14*(F14-G14))*2*(R14/16*R14/16*10.7028)+IF(I14&gt;0,Q14*D14+Q14*(F14-G14)*2*(R14/16*R14/16*10.7028))+IF(H14=0,0,S14*4*T14/16*T14/16*10.7028))*(1+J$69))</f>
        <v>0</v>
      </c>
      <c r="V14" s="3102" t="n">
        <f aca="false">IF(H14=0,0,((D14*E14/12*(F14-G14)/27)-(I14*J14*E14/324))*(1+J$66))</f>
        <v>0</v>
      </c>
      <c r="W14" s="2181" t="n">
        <f aca="false">(F14-G14)*D14</f>
        <v>0</v>
      </c>
      <c r="X14" s="1518" t="n">
        <f aca="false">IF(H14=0,0,SUM(AY14:BE14)/H14)</f>
        <v>0</v>
      </c>
      <c r="Y14" s="16"/>
      <c r="AI14" s="0" t="n">
        <f aca="false">IF(H14&gt;0,1,0)</f>
        <v>0</v>
      </c>
      <c r="AJ14" s="0" t="n">
        <f aca="false">IF($C14=1,$V14*$H14,0)</f>
        <v>0</v>
      </c>
      <c r="AK14" s="0" t="n">
        <f aca="false">IF($C14=2,$V14*$H14,0)</f>
        <v>0</v>
      </c>
      <c r="AL14" s="0" t="n">
        <f aca="false">IF($C14=3,$V14*$H14,0)</f>
        <v>0</v>
      </c>
      <c r="AM14" s="0" t="n">
        <f aca="false">IF($C14=4,$V14*$H14,0)</f>
        <v>0</v>
      </c>
      <c r="AN14" s="0" t="n">
        <f aca="false">IF($C14=5,$V14*$H14,0)</f>
        <v>0</v>
      </c>
      <c r="AO14" s="0" t="n">
        <f aca="false">IF($C14=6,$V14*$H14,0)</f>
        <v>0</v>
      </c>
      <c r="AP14" s="0" t="n">
        <f aca="false">SUM(AJ14:AO14)</f>
        <v>0</v>
      </c>
      <c r="AQ14" s="0" t="n">
        <f aca="false">U14*H14</f>
        <v>0</v>
      </c>
      <c r="AR14" s="908" t="n">
        <f aca="false">W14*H14</f>
        <v>0</v>
      </c>
      <c r="AS14" s="0" t="n">
        <f aca="false">H14</f>
        <v>0</v>
      </c>
      <c r="AT14" s="908" t="n">
        <f aca="false">(D14*2+(F14-G14)*2)*H14</f>
        <v>0</v>
      </c>
      <c r="AU14" s="0" t="n">
        <f aca="false">D14*H14</f>
        <v>0</v>
      </c>
      <c r="AV14" s="0" t="n">
        <f aca="false">IF(E14&gt;0,IF(E14&lt;6,AT14,0),0)</f>
        <v>0</v>
      </c>
      <c r="AW14" s="0" t="n">
        <f aca="false">IF(E14&gt;0,IF(E14&gt;5.5,AT14,0),0)</f>
        <v>0</v>
      </c>
      <c r="AX14" s="0" t="n">
        <f aca="false">U14*H14*F$69*IF(T$55="Y",1,(1+V$55))</f>
        <v>0</v>
      </c>
      <c r="AY14" s="3097" t="n">
        <f aca="false">(AJ14*Pricing!F$3+AK14*Pricing!G$3+AL14*Pricing!H$3+AM14*Pricing!I$3+AN14*Pricing!J$3+AO14*Pricing!K$3)*IF(T$55="Y",1,(1+V$55))</f>
        <v>0</v>
      </c>
      <c r="AZ14" s="3103" t="n">
        <f aca="false">AR14*(G$80+D$83)+IF(H$80=0,0,(K$79+N$79)/H$80*AR14)</f>
        <v>0</v>
      </c>
      <c r="BA14" s="3097" t="e">
        <f aca="false">L$89/AR$52*AR14</f>
        <v>#DIV/0!</v>
      </c>
      <c r="BB14" s="3103" t="n">
        <f aca="false">AQ14/2000*D$84</f>
        <v>0</v>
      </c>
      <c r="BC14" s="3103" t="n">
        <f aca="false">AU14*6.5*G$85/27*D$85</f>
        <v>0</v>
      </c>
      <c r="BD14" s="3104" t="e">
        <f aca="false">IF(AR$52=0,0,SUM(N$92:O$97)+SUM(N$99:O$104)+W$105)/AR$52*AR14</f>
        <v>#DIV/0!</v>
      </c>
      <c r="BE14" s="3105" t="e">
        <f aca="false">SUM(N$73:O$76)/AU$52*AU14</f>
        <v>#DIV/0!</v>
      </c>
    </row>
    <row r="15" customFormat="false" ht="18" hidden="false" customHeight="true" outlineLevel="0" collapsed="false">
      <c r="A15" s="507"/>
      <c r="B15" s="1312"/>
      <c r="C15" s="1920"/>
      <c r="D15" s="3106"/>
      <c r="E15" s="3099"/>
      <c r="F15" s="3099"/>
      <c r="G15" s="900"/>
      <c r="H15" s="2082"/>
      <c r="I15" s="901"/>
      <c r="J15" s="898"/>
      <c r="K15" s="1234"/>
      <c r="L15" s="1234"/>
      <c r="M15" s="1235"/>
      <c r="N15" s="1236"/>
      <c r="O15" s="1234"/>
      <c r="P15" s="1235"/>
      <c r="Q15" s="1234"/>
      <c r="R15" s="1235"/>
      <c r="S15" s="1234"/>
      <c r="T15" s="3100"/>
      <c r="U15" s="3101" t="n">
        <f aca="false">IF(H15=0,0,(IF(K15=0,0,D15*(F15-G15)*12/K15*M15*(L15/16*L15/16*10.7028))+IF(N15=0,0,((F15-G15)*12/N15*D15*P15)*O15/16*O15/16*10.7028)+(Q15*D15+Q15*(F15-G15))*2*(R15/16*R15/16*10.7028)+IF(I15&gt;0,Q15*D15+Q15*(F15-G15)*2*(R15/16*R15/16*10.7028))+IF(H15=0,0,S15*4*T15/16*T15/16*10.7028))*(1+J$69))</f>
        <v>0</v>
      </c>
      <c r="V15" s="3102" t="n">
        <f aca="false">IF(H15=0,0,((D15*E15/12*(F15-G15)/27)-(I15*J15*E15/324))*(1+J$66))</f>
        <v>0</v>
      </c>
      <c r="W15" s="2181" t="n">
        <f aca="false">(F15-G15)*D15</f>
        <v>0</v>
      </c>
      <c r="X15" s="1518" t="n">
        <f aca="false">IF(H15=0,0,SUM(AY15:BE15)/H15)</f>
        <v>0</v>
      </c>
      <c r="Y15" s="16"/>
      <c r="AI15" s="0" t="n">
        <f aca="false">IF(H15&gt;0,1,0)</f>
        <v>0</v>
      </c>
      <c r="AJ15" s="0" t="n">
        <f aca="false">IF($C15=1,$V15*$H15,0)</f>
        <v>0</v>
      </c>
      <c r="AK15" s="0" t="n">
        <f aca="false">IF($C15=2,$V15*$H15,0)</f>
        <v>0</v>
      </c>
      <c r="AL15" s="0" t="n">
        <f aca="false">IF($C15=3,$V15*$H15,0)</f>
        <v>0</v>
      </c>
      <c r="AM15" s="0" t="n">
        <f aca="false">IF($C15=4,$V15*$H15,0)</f>
        <v>0</v>
      </c>
      <c r="AN15" s="0" t="n">
        <f aca="false">IF($C15=5,$V15*$H15,0)</f>
        <v>0</v>
      </c>
      <c r="AO15" s="0" t="n">
        <f aca="false">IF($C15=6,$V15*$H15,0)</f>
        <v>0</v>
      </c>
      <c r="AP15" s="0" t="n">
        <f aca="false">SUM(AJ15:AO15)</f>
        <v>0</v>
      </c>
      <c r="AQ15" s="0" t="n">
        <f aca="false">U15*H15</f>
        <v>0</v>
      </c>
      <c r="AR15" s="908" t="n">
        <f aca="false">W15*H15</f>
        <v>0</v>
      </c>
      <c r="AS15" s="0" t="n">
        <f aca="false">H15</f>
        <v>0</v>
      </c>
      <c r="AT15" s="908" t="n">
        <f aca="false">(D15*2+(F15-G15)*2)*H15</f>
        <v>0</v>
      </c>
      <c r="AU15" s="0" t="n">
        <f aca="false">D15*H15</f>
        <v>0</v>
      </c>
      <c r="AV15" s="0" t="n">
        <f aca="false">IF(E15&gt;0,IF(E15&lt;6,AT15,0),0)</f>
        <v>0</v>
      </c>
      <c r="AW15" s="0" t="n">
        <f aca="false">IF(E15&gt;0,IF(E15&gt;5.5,AT15,0),0)</f>
        <v>0</v>
      </c>
      <c r="AX15" s="0" t="n">
        <f aca="false">U15*H15*F$69*IF(T$55="Y",1,(1+V$55))</f>
        <v>0</v>
      </c>
      <c r="AY15" s="3097" t="n">
        <f aca="false">(AJ15*Pricing!F$3+AK15*Pricing!G$3+AL15*Pricing!H$3+AM15*Pricing!I$3+AN15*Pricing!J$3+AO15*Pricing!K$3)*IF(T$55="Y",1,(1+V$55))</f>
        <v>0</v>
      </c>
      <c r="AZ15" s="3103" t="n">
        <f aca="false">AR15*(G$80+D$83)+IF(H$80=0,0,(K$79+N$79)/H$80*AR15)</f>
        <v>0</v>
      </c>
      <c r="BA15" s="3097" t="e">
        <f aca="false">L$89/AR$52*AR15</f>
        <v>#DIV/0!</v>
      </c>
      <c r="BB15" s="3103" t="n">
        <f aca="false">AQ15/2000*D$84</f>
        <v>0</v>
      </c>
      <c r="BC15" s="3103" t="n">
        <f aca="false">AU15*6.5*G$85/27*D$85</f>
        <v>0</v>
      </c>
      <c r="BD15" s="3104" t="e">
        <f aca="false">IF(AR$52=0,0,SUM(N$92:O$97)+SUM(N$99:O$104)+W$105)/AR$52*AR15</f>
        <v>#DIV/0!</v>
      </c>
      <c r="BE15" s="3105" t="e">
        <f aca="false">SUM(N$73:O$76)/AU$52*AU15</f>
        <v>#DIV/0!</v>
      </c>
    </row>
    <row r="16" customFormat="false" ht="18" hidden="false" customHeight="true" outlineLevel="0" collapsed="false">
      <c r="A16" s="507"/>
      <c r="B16" s="1312"/>
      <c r="C16" s="1920"/>
      <c r="D16" s="3106"/>
      <c r="E16" s="3099"/>
      <c r="F16" s="3099"/>
      <c r="G16" s="900"/>
      <c r="H16" s="2082"/>
      <c r="I16" s="901"/>
      <c r="J16" s="898"/>
      <c r="K16" s="1234"/>
      <c r="L16" s="1234"/>
      <c r="M16" s="1235"/>
      <c r="N16" s="1236"/>
      <c r="O16" s="1234"/>
      <c r="P16" s="1235"/>
      <c r="Q16" s="1234"/>
      <c r="R16" s="1235"/>
      <c r="S16" s="1234"/>
      <c r="T16" s="3100"/>
      <c r="U16" s="3101" t="n">
        <f aca="false">IF(H16=0,0,(IF(K16=0,0,D16*(F16-G16)*12/K16*M16*(L16/16*L16/16*10.7028))+IF(N16=0,0,((F16-G16)*12/N16*D16*P16)*O16/16*O16/16*10.7028)+(Q16*D16+Q16*(F16-G16))*2*(R16/16*R16/16*10.7028)+IF(I16&gt;0,Q16*D16+Q16*(F16-G16)*2*(R16/16*R16/16*10.7028))+IF(H16=0,0,S16*4*T16/16*T16/16*10.7028))*(1+J$69))</f>
        <v>0</v>
      </c>
      <c r="V16" s="3102" t="n">
        <f aca="false">IF(H16=0,0,((D16*E16/12*(F16-G16)/27)-(I16*J16*E16/324))*(1+J$66))</f>
        <v>0</v>
      </c>
      <c r="W16" s="2181" t="n">
        <f aca="false">(F16-G16)*D16</f>
        <v>0</v>
      </c>
      <c r="X16" s="1518" t="n">
        <f aca="false">IF(H16=0,0,SUM(AY16:BE16)/H16)</f>
        <v>0</v>
      </c>
      <c r="Y16" s="16"/>
      <c r="AI16" s="0" t="n">
        <f aca="false">IF(H16&gt;0,1,0)</f>
        <v>0</v>
      </c>
      <c r="AJ16" s="0" t="n">
        <f aca="false">IF($C16=1,$V16*$H16,0)</f>
        <v>0</v>
      </c>
      <c r="AK16" s="0" t="n">
        <f aca="false">IF($C16=2,$V16*$H16,0)</f>
        <v>0</v>
      </c>
      <c r="AL16" s="0" t="n">
        <f aca="false">IF($C16=3,$V16*$H16,0)</f>
        <v>0</v>
      </c>
      <c r="AM16" s="0" t="n">
        <f aca="false">IF($C16=4,$V16*$H16,0)</f>
        <v>0</v>
      </c>
      <c r="AN16" s="0" t="n">
        <f aca="false">IF($C16=5,$V16*$H16,0)</f>
        <v>0</v>
      </c>
      <c r="AO16" s="0" t="n">
        <f aca="false">IF($C16=6,$V16*$H16,0)</f>
        <v>0</v>
      </c>
      <c r="AP16" s="0" t="n">
        <f aca="false">SUM(AJ16:AO16)</f>
        <v>0</v>
      </c>
      <c r="AQ16" s="0" t="n">
        <f aca="false">U16*H16</f>
        <v>0</v>
      </c>
      <c r="AR16" s="908" t="n">
        <f aca="false">W16*H16</f>
        <v>0</v>
      </c>
      <c r="AS16" s="0" t="n">
        <f aca="false">H16</f>
        <v>0</v>
      </c>
      <c r="AT16" s="908" t="n">
        <f aca="false">(D16*2+(F16-G16)*2)*H16</f>
        <v>0</v>
      </c>
      <c r="AU16" s="0" t="n">
        <f aca="false">D16*H16</f>
        <v>0</v>
      </c>
      <c r="AV16" s="0" t="n">
        <f aca="false">IF(E16&gt;0,IF(E16&lt;6,AT16,0),0)</f>
        <v>0</v>
      </c>
      <c r="AW16" s="0" t="n">
        <f aca="false">IF(E16&gt;0,IF(E16&gt;5.5,AT16,0),0)</f>
        <v>0</v>
      </c>
      <c r="AX16" s="0" t="n">
        <f aca="false">U16*H16*F$69*IF(T$55="Y",1,(1+V$55))</f>
        <v>0</v>
      </c>
      <c r="AY16" s="3097" t="n">
        <f aca="false">(AJ16*Pricing!F$3+AK16*Pricing!G$3+AL16*Pricing!H$3+AM16*Pricing!I$3+AN16*Pricing!J$3+AO16*Pricing!K$3)*IF(T$55="Y",1,(1+V$55))</f>
        <v>0</v>
      </c>
      <c r="AZ16" s="3103" t="n">
        <f aca="false">AR16*(G$80+D$83)+IF(H$80=0,0,(K$79+N$79)/H$80*AR16)</f>
        <v>0</v>
      </c>
      <c r="BA16" s="3097" t="e">
        <f aca="false">L$89/AR$52*AR16</f>
        <v>#DIV/0!</v>
      </c>
      <c r="BB16" s="3103" t="n">
        <f aca="false">AQ16/2000*D$84</f>
        <v>0</v>
      </c>
      <c r="BC16" s="3103" t="n">
        <f aca="false">AU16*6.5*G$85/27*D$85</f>
        <v>0</v>
      </c>
      <c r="BD16" s="3104" t="e">
        <f aca="false">IF(AR$52=0,0,SUM(N$92:O$97)+SUM(N$99:O$104)+W$105)/AR$52*AR16</f>
        <v>#DIV/0!</v>
      </c>
      <c r="BE16" s="3105" t="e">
        <f aca="false">SUM(N$73:O$76)/AU$52*AU16</f>
        <v>#DIV/0!</v>
      </c>
    </row>
    <row r="17" customFormat="false" ht="18" hidden="false" customHeight="true" outlineLevel="0" collapsed="false">
      <c r="A17" s="507"/>
      <c r="B17" s="1312"/>
      <c r="C17" s="1920"/>
      <c r="D17" s="3106"/>
      <c r="E17" s="3099"/>
      <c r="F17" s="3099"/>
      <c r="G17" s="900"/>
      <c r="H17" s="2082"/>
      <c r="I17" s="901"/>
      <c r="J17" s="898"/>
      <c r="K17" s="1234"/>
      <c r="L17" s="1234"/>
      <c r="M17" s="1235"/>
      <c r="N17" s="1236"/>
      <c r="O17" s="1234"/>
      <c r="P17" s="1235"/>
      <c r="Q17" s="1234"/>
      <c r="R17" s="1235"/>
      <c r="S17" s="1234"/>
      <c r="T17" s="3100"/>
      <c r="U17" s="3101" t="n">
        <f aca="false">IF(H17=0,0,(IF(K17=0,0,D17*(F17-G17)*12/K17*M17*(L17/16*L17/16*10.7028))+IF(N17=0,0,((F17-G17)*12/N17*D17*P17)*O17/16*O17/16*10.7028)+(Q17*D17+Q17*(F17-G17))*2*(R17/16*R17/16*10.7028)+IF(I17&gt;0,Q17*D17+Q17*(F17-G17)*2*(R17/16*R17/16*10.7028))+IF(H17=0,0,S17*4*T17/16*T17/16*10.7028))*(1+J$69))</f>
        <v>0</v>
      </c>
      <c r="V17" s="3102" t="n">
        <f aca="false">IF(H17=0,0,((D17*E17/12*(F17-G17)/27)-(I17*J17*E17/324))*(1+J$66))</f>
        <v>0</v>
      </c>
      <c r="W17" s="2181" t="n">
        <f aca="false">(F17-G17)*D17</f>
        <v>0</v>
      </c>
      <c r="X17" s="1518" t="n">
        <f aca="false">IF(H17=0,0,SUM(AY17:BE17)/H17)</f>
        <v>0</v>
      </c>
      <c r="Y17" s="16"/>
      <c r="AI17" s="0" t="n">
        <f aca="false">IF(H17&gt;0,1,0)</f>
        <v>0</v>
      </c>
      <c r="AJ17" s="0" t="n">
        <f aca="false">IF($C17=1,$V17*$H17,0)</f>
        <v>0</v>
      </c>
      <c r="AK17" s="0" t="n">
        <f aca="false">IF($C17=2,$V17*$H17,0)</f>
        <v>0</v>
      </c>
      <c r="AL17" s="0" t="n">
        <f aca="false">IF($C17=3,$V17*$H17,0)</f>
        <v>0</v>
      </c>
      <c r="AM17" s="0" t="n">
        <f aca="false">IF($C17=4,$V17*$H17,0)</f>
        <v>0</v>
      </c>
      <c r="AN17" s="0" t="n">
        <f aca="false">IF($C17=5,$V17*$H17,0)</f>
        <v>0</v>
      </c>
      <c r="AO17" s="0" t="n">
        <f aca="false">IF($C17=6,$V17*$H17,0)</f>
        <v>0</v>
      </c>
      <c r="AP17" s="0" t="n">
        <f aca="false">SUM(AJ17:AO17)</f>
        <v>0</v>
      </c>
      <c r="AQ17" s="0" t="n">
        <f aca="false">U17*H17</f>
        <v>0</v>
      </c>
      <c r="AR17" s="908" t="n">
        <f aca="false">W17*H17</f>
        <v>0</v>
      </c>
      <c r="AS17" s="0" t="n">
        <f aca="false">H17</f>
        <v>0</v>
      </c>
      <c r="AT17" s="908" t="n">
        <f aca="false">(D17*2+(F17-G17)*2)*H17</f>
        <v>0</v>
      </c>
      <c r="AU17" s="0" t="n">
        <f aca="false">D17*H17</f>
        <v>0</v>
      </c>
      <c r="AV17" s="0" t="n">
        <f aca="false">IF(E17&gt;0,IF(E17&lt;6,AT17,0),0)</f>
        <v>0</v>
      </c>
      <c r="AW17" s="0" t="n">
        <f aca="false">IF(E17&gt;0,IF(E17&gt;5.5,AT17,0),0)</f>
        <v>0</v>
      </c>
      <c r="AX17" s="0" t="n">
        <f aca="false">U17*H17*F$69*IF(T$55="Y",1,(1+V$55))</f>
        <v>0</v>
      </c>
      <c r="AY17" s="3097" t="n">
        <f aca="false">(AJ17*Pricing!F$3+AK17*Pricing!G$3+AL17*Pricing!H$3+AM17*Pricing!I$3+AN17*Pricing!J$3+AO17*Pricing!K$3)*IF(T$55="Y",1,(1+V$55))</f>
        <v>0</v>
      </c>
      <c r="AZ17" s="3103" t="n">
        <f aca="false">AR17*(G$80+D$83)+IF(H$80=0,0,(K$79+N$79)/H$80*AR17)</f>
        <v>0</v>
      </c>
      <c r="BA17" s="3097" t="e">
        <f aca="false">L$89/AR$52*AR17</f>
        <v>#DIV/0!</v>
      </c>
      <c r="BB17" s="3103" t="n">
        <f aca="false">AQ17/2000*D$84</f>
        <v>0</v>
      </c>
      <c r="BC17" s="3103" t="n">
        <f aca="false">AU17*6.5*G$85/27*D$85</f>
        <v>0</v>
      </c>
      <c r="BD17" s="3104" t="e">
        <f aca="false">IF(AR$52=0,0,SUM(N$92:O$97)+SUM(N$99:O$104)+W$105)/AR$52*AR17</f>
        <v>#DIV/0!</v>
      </c>
      <c r="BE17" s="3105" t="e">
        <f aca="false">SUM(N$73:O$76)/AU$52*AU17</f>
        <v>#DIV/0!</v>
      </c>
    </row>
    <row r="18" customFormat="false" ht="18" hidden="false" customHeight="true" outlineLevel="0" collapsed="false">
      <c r="A18" s="507"/>
      <c r="B18" s="1312"/>
      <c r="C18" s="1920"/>
      <c r="D18" s="3106"/>
      <c r="E18" s="3099"/>
      <c r="F18" s="3099"/>
      <c r="G18" s="900"/>
      <c r="H18" s="2082"/>
      <c r="I18" s="901"/>
      <c r="J18" s="898"/>
      <c r="K18" s="1234"/>
      <c r="L18" s="1234"/>
      <c r="M18" s="1235"/>
      <c r="N18" s="1236"/>
      <c r="O18" s="1234"/>
      <c r="P18" s="1235"/>
      <c r="Q18" s="1234"/>
      <c r="R18" s="1235"/>
      <c r="S18" s="1234"/>
      <c r="T18" s="3100"/>
      <c r="U18" s="3101" t="n">
        <f aca="false">IF(H18=0,0,(IF(K18=0,0,D18*(F18-G18)*12/K18*M18*(L18/16*L18/16*10.7028))+IF(N18=0,0,((F18-G18)*12/N18*D18*P18)*O18/16*O18/16*10.7028)+(Q18*D18+Q18*(F18-G18))*2*(R18/16*R18/16*10.7028)+IF(I18&gt;0,Q18*D18+Q18*(F18-G18)*2*(R18/16*R18/16*10.7028))+IF(H18=0,0,S18*4*T18/16*T18/16*10.7028))*(1+J$69))</f>
        <v>0</v>
      </c>
      <c r="V18" s="3102" t="n">
        <f aca="false">IF(H18=0,0,((D18*E18/12*(F18-G18)/27)-(I18*J18*E18/324))*(1+J$66))</f>
        <v>0</v>
      </c>
      <c r="W18" s="2181" t="n">
        <f aca="false">(F18-G18)*D18</f>
        <v>0</v>
      </c>
      <c r="X18" s="1518" t="n">
        <f aca="false">IF(H18=0,0,SUM(AY18:BE18)/H18)</f>
        <v>0</v>
      </c>
      <c r="Y18" s="16"/>
      <c r="AI18" s="0" t="n">
        <f aca="false">IF(H18&gt;0,1,0)</f>
        <v>0</v>
      </c>
      <c r="AJ18" s="0" t="n">
        <f aca="false">IF($C18=1,$V18*$H18,0)</f>
        <v>0</v>
      </c>
      <c r="AK18" s="0" t="n">
        <f aca="false">IF($C18=2,$V18*$H18,0)</f>
        <v>0</v>
      </c>
      <c r="AL18" s="0" t="n">
        <f aca="false">IF($C18=3,$V18*$H18,0)</f>
        <v>0</v>
      </c>
      <c r="AM18" s="0" t="n">
        <f aca="false">IF($C18=4,$V18*$H18,0)</f>
        <v>0</v>
      </c>
      <c r="AN18" s="0" t="n">
        <f aca="false">IF($C18=5,$V18*$H18,0)</f>
        <v>0</v>
      </c>
      <c r="AO18" s="0" t="n">
        <f aca="false">IF($C18=6,$V18*$H18,0)</f>
        <v>0</v>
      </c>
      <c r="AP18" s="0" t="n">
        <f aca="false">SUM(AJ18:AO18)</f>
        <v>0</v>
      </c>
      <c r="AQ18" s="0" t="n">
        <f aca="false">U18*H18</f>
        <v>0</v>
      </c>
      <c r="AR18" s="908" t="n">
        <f aca="false">W18*H18</f>
        <v>0</v>
      </c>
      <c r="AS18" s="0" t="n">
        <f aca="false">H18</f>
        <v>0</v>
      </c>
      <c r="AT18" s="908" t="n">
        <f aca="false">(D18*2+(F18-G18)*2)*H18</f>
        <v>0</v>
      </c>
      <c r="AU18" s="0" t="n">
        <f aca="false">D18*H18</f>
        <v>0</v>
      </c>
      <c r="AV18" s="0" t="n">
        <f aca="false">IF(E18&gt;0,IF(E18&lt;6,AT18,0),0)</f>
        <v>0</v>
      </c>
      <c r="AW18" s="0" t="n">
        <f aca="false">IF(E18&gt;0,IF(E18&gt;5.5,AT18,0),0)</f>
        <v>0</v>
      </c>
      <c r="AX18" s="0" t="n">
        <f aca="false">U18*H18*F$69*IF(T$55="Y",1,(1+V$55))</f>
        <v>0</v>
      </c>
      <c r="AY18" s="3097" t="n">
        <f aca="false">(AJ18*Pricing!F$3+AK18*Pricing!G$3+AL18*Pricing!H$3+AM18*Pricing!I$3+AN18*Pricing!J$3+AO18*Pricing!K$3)*IF(T$55="Y",1,(1+V$55))</f>
        <v>0</v>
      </c>
      <c r="AZ18" s="3103" t="n">
        <f aca="false">AR18*(G$80+D$83)+IF(H$80=0,0,(K$79+N$79)/H$80*AR18)</f>
        <v>0</v>
      </c>
      <c r="BA18" s="3097" t="e">
        <f aca="false">L$89/AR$52*AR18</f>
        <v>#DIV/0!</v>
      </c>
      <c r="BB18" s="3103" t="n">
        <f aca="false">AQ18/2000*D$84</f>
        <v>0</v>
      </c>
      <c r="BC18" s="3103" t="n">
        <f aca="false">AU18*6.5*G$85/27*D$85</f>
        <v>0</v>
      </c>
      <c r="BD18" s="3104" t="e">
        <f aca="false">IF(AR$52=0,0,SUM(N$92:O$97)+SUM(N$99:O$104)+W$105)/AR$52*AR18</f>
        <v>#DIV/0!</v>
      </c>
      <c r="BE18" s="3105" t="e">
        <f aca="false">SUM(N$73:O$76)/AU$52*AU18</f>
        <v>#DIV/0!</v>
      </c>
    </row>
    <row r="19" customFormat="false" ht="18" hidden="false" customHeight="true" outlineLevel="0" collapsed="false">
      <c r="A19" s="507"/>
      <c r="B19" s="1312"/>
      <c r="C19" s="1920"/>
      <c r="D19" s="3106"/>
      <c r="E19" s="3099"/>
      <c r="F19" s="3099"/>
      <c r="G19" s="900"/>
      <c r="H19" s="2082"/>
      <c r="I19" s="901"/>
      <c r="J19" s="898"/>
      <c r="K19" s="1234"/>
      <c r="L19" s="1234"/>
      <c r="M19" s="1235"/>
      <c r="N19" s="1236"/>
      <c r="O19" s="1234"/>
      <c r="P19" s="1235"/>
      <c r="Q19" s="1234"/>
      <c r="R19" s="1235"/>
      <c r="S19" s="1234"/>
      <c r="T19" s="3100"/>
      <c r="U19" s="3101" t="n">
        <f aca="false">IF(H19=0,0,(IF(K19=0,0,D19*(F19-G19)*12/K19*M19*(L19/16*L19/16*10.7028))+IF(N19=0,0,((F19-G19)*12/N19*D19*P19)*O19/16*O19/16*10.7028)+(Q19*D19+Q19*(F19-G19))*2*(R19/16*R19/16*10.7028)+IF(I19&gt;0,Q19*D19+Q19*(F19-G19)*2*(R19/16*R19/16*10.7028))+IF(H19=0,0,S19*4*T19/16*T19/16*10.7028))*(1+J$69))</f>
        <v>0</v>
      </c>
      <c r="V19" s="3102" t="n">
        <f aca="false">IF(H19=0,0,((D19*E19/12*(F19-G19)/27)-(I19*J19*E19/324))*(1+J$66))</f>
        <v>0</v>
      </c>
      <c r="W19" s="2181" t="n">
        <f aca="false">(F19-G19)*D19</f>
        <v>0</v>
      </c>
      <c r="X19" s="1518" t="n">
        <f aca="false">IF(H19=0,0,SUM(AY19:BE19)/H19)</f>
        <v>0</v>
      </c>
      <c r="Y19" s="16"/>
      <c r="AI19" s="0" t="n">
        <f aca="false">IF(H19&gt;0,1,0)</f>
        <v>0</v>
      </c>
      <c r="AJ19" s="0" t="n">
        <f aca="false">IF($C19=1,$V19*$H19,0)</f>
        <v>0</v>
      </c>
      <c r="AK19" s="0" t="n">
        <f aca="false">IF($C19=2,$V19*$H19,0)</f>
        <v>0</v>
      </c>
      <c r="AL19" s="0" t="n">
        <f aca="false">IF($C19=3,$V19*$H19,0)</f>
        <v>0</v>
      </c>
      <c r="AM19" s="0" t="n">
        <f aca="false">IF($C19=4,$V19*$H19,0)</f>
        <v>0</v>
      </c>
      <c r="AN19" s="0" t="n">
        <f aca="false">IF($C19=5,$V19*$H19,0)</f>
        <v>0</v>
      </c>
      <c r="AO19" s="0" t="n">
        <f aca="false">IF($C19=6,$V19*$H19,0)</f>
        <v>0</v>
      </c>
      <c r="AP19" s="0" t="n">
        <f aca="false">SUM(AJ19:AO19)</f>
        <v>0</v>
      </c>
      <c r="AQ19" s="0" t="n">
        <f aca="false">U19*H19</f>
        <v>0</v>
      </c>
      <c r="AR19" s="908" t="n">
        <f aca="false">W19*H19</f>
        <v>0</v>
      </c>
      <c r="AS19" s="0" t="n">
        <f aca="false">H19</f>
        <v>0</v>
      </c>
      <c r="AT19" s="908" t="n">
        <f aca="false">(D19*2+(F19-G19)*2)*H19</f>
        <v>0</v>
      </c>
      <c r="AU19" s="0" t="n">
        <f aca="false">D19*H19</f>
        <v>0</v>
      </c>
      <c r="AV19" s="0" t="n">
        <f aca="false">IF(E19&gt;0,IF(E19&lt;6,AT19,0),0)</f>
        <v>0</v>
      </c>
      <c r="AW19" s="0" t="n">
        <f aca="false">IF(E19&gt;0,IF(E19&gt;5.5,AT19,0),0)</f>
        <v>0</v>
      </c>
      <c r="AX19" s="0" t="n">
        <f aca="false">U19*H19*F$69*IF(T$55="Y",1,(1+V$55))</f>
        <v>0</v>
      </c>
      <c r="AY19" s="3097" t="n">
        <f aca="false">(AJ19*Pricing!F$3+AK19*Pricing!G$3+AL19*Pricing!H$3+AM19*Pricing!I$3+AN19*Pricing!J$3+AO19*Pricing!K$3)*IF(T$55="Y",1,(1+V$55))</f>
        <v>0</v>
      </c>
      <c r="AZ19" s="3103" t="n">
        <f aca="false">AR19*(G$80+D$83)+IF(H$80=0,0,(K$79+N$79)/H$80*AR19)</f>
        <v>0</v>
      </c>
      <c r="BA19" s="3097" t="e">
        <f aca="false">L$89/AR$52*AR19</f>
        <v>#DIV/0!</v>
      </c>
      <c r="BB19" s="3103" t="n">
        <f aca="false">AQ19/2000*D$84</f>
        <v>0</v>
      </c>
      <c r="BC19" s="3103" t="n">
        <f aca="false">AU19*6.5*G$85/27*D$85</f>
        <v>0</v>
      </c>
      <c r="BD19" s="3104" t="e">
        <f aca="false">IF(AR$52=0,0,SUM(N$92:O$97)+SUM(N$99:O$104)+W$105)/AR$52*AR19</f>
        <v>#DIV/0!</v>
      </c>
      <c r="BE19" s="3105" t="e">
        <f aca="false">SUM(N$73:O$76)/AU$52*AU19</f>
        <v>#DIV/0!</v>
      </c>
    </row>
    <row r="20" customFormat="false" ht="18" hidden="false" customHeight="true" outlineLevel="0" collapsed="false">
      <c r="A20" s="507"/>
      <c r="B20" s="1312"/>
      <c r="C20" s="1920"/>
      <c r="D20" s="3106"/>
      <c r="E20" s="3099"/>
      <c r="F20" s="3099"/>
      <c r="G20" s="900"/>
      <c r="H20" s="2082"/>
      <c r="I20" s="901"/>
      <c r="J20" s="898"/>
      <c r="K20" s="1234"/>
      <c r="L20" s="1234"/>
      <c r="M20" s="1235"/>
      <c r="N20" s="1236"/>
      <c r="O20" s="1234"/>
      <c r="P20" s="1235"/>
      <c r="Q20" s="1234"/>
      <c r="R20" s="1235"/>
      <c r="S20" s="1234"/>
      <c r="T20" s="3100"/>
      <c r="U20" s="3101" t="n">
        <f aca="false">IF(H20=0,0,(IF(K20=0,0,D20*(F20-G20)*12/K20*M20*(L20/16*L20/16*10.7028))+IF(N20=0,0,((F20-G20)*12/N20*D20*P20)*O20/16*O20/16*10.7028)+(Q20*D20+Q20*(F20-G20))*2*(R20/16*R20/16*10.7028)+IF(I20&gt;0,Q20*D20+Q20*(F20-G20)*2*(R20/16*R20/16*10.7028))+IF(H20=0,0,S20*4*T20/16*T20/16*10.7028))*(1+J$69))</f>
        <v>0</v>
      </c>
      <c r="V20" s="3102" t="n">
        <f aca="false">IF(H20=0,0,((D20*E20/12*(F20-G20)/27)-(I20*J20*E20/324))*(1+J$66))</f>
        <v>0</v>
      </c>
      <c r="W20" s="2181" t="n">
        <f aca="false">(F20-G20)*D20</f>
        <v>0</v>
      </c>
      <c r="X20" s="1518" t="n">
        <f aca="false">IF(H20=0,0,SUM(AY20:BE20)/H20)</f>
        <v>0</v>
      </c>
      <c r="Y20" s="16"/>
      <c r="AI20" s="0" t="n">
        <f aca="false">IF(H20&gt;0,1,0)</f>
        <v>0</v>
      </c>
      <c r="AJ20" s="0" t="n">
        <f aca="false">IF($C20=1,$V20*$H20,0)</f>
        <v>0</v>
      </c>
      <c r="AK20" s="0" t="n">
        <f aca="false">IF($C20=2,$V20*$H20,0)</f>
        <v>0</v>
      </c>
      <c r="AL20" s="0" t="n">
        <f aca="false">IF($C20=3,$V20*$H20,0)</f>
        <v>0</v>
      </c>
      <c r="AM20" s="0" t="n">
        <f aca="false">IF($C20=4,$V20*$H20,0)</f>
        <v>0</v>
      </c>
      <c r="AN20" s="0" t="n">
        <f aca="false">IF($C20=5,$V20*$H20,0)</f>
        <v>0</v>
      </c>
      <c r="AO20" s="0" t="n">
        <f aca="false">IF($C20=6,$V20*$H20,0)</f>
        <v>0</v>
      </c>
      <c r="AP20" s="0" t="n">
        <f aca="false">SUM(AJ20:AO20)</f>
        <v>0</v>
      </c>
      <c r="AQ20" s="0" t="n">
        <f aca="false">U20*H20</f>
        <v>0</v>
      </c>
      <c r="AR20" s="908" t="n">
        <f aca="false">W20*H20</f>
        <v>0</v>
      </c>
      <c r="AS20" s="0" t="n">
        <f aca="false">H20</f>
        <v>0</v>
      </c>
      <c r="AT20" s="908" t="n">
        <f aca="false">(D20*2+(F20-G20)*2)*H20</f>
        <v>0</v>
      </c>
      <c r="AU20" s="0" t="n">
        <f aca="false">D20*H20</f>
        <v>0</v>
      </c>
      <c r="AV20" s="0" t="n">
        <f aca="false">IF(E20&gt;0,IF(E20&lt;6,AT20,0),0)</f>
        <v>0</v>
      </c>
      <c r="AW20" s="0" t="n">
        <f aca="false">IF(E20&gt;0,IF(E20&gt;5.5,AT20,0),0)</f>
        <v>0</v>
      </c>
      <c r="AX20" s="0" t="n">
        <f aca="false">U20*H20*F$69*IF(T$55="Y",1,(1+V$55))</f>
        <v>0</v>
      </c>
      <c r="AY20" s="3097" t="n">
        <f aca="false">(AJ20*Pricing!F$3+AK20*Pricing!G$3+AL20*Pricing!H$3+AM20*Pricing!I$3+AN20*Pricing!J$3+AO20*Pricing!K$3)*IF(T$55="Y",1,(1+V$55))</f>
        <v>0</v>
      </c>
      <c r="AZ20" s="3103" t="n">
        <f aca="false">AR20*(G$80+D$83)+IF(H$80=0,0,(K$79+N$79)/H$80*AR20)</f>
        <v>0</v>
      </c>
      <c r="BA20" s="3097" t="e">
        <f aca="false">L$89/AR$52*AR20</f>
        <v>#DIV/0!</v>
      </c>
      <c r="BB20" s="3103" t="n">
        <f aca="false">AQ20/2000*D$84</f>
        <v>0</v>
      </c>
      <c r="BC20" s="3103" t="n">
        <f aca="false">AU20*6.5*G$85/27*D$85</f>
        <v>0</v>
      </c>
      <c r="BD20" s="3104" t="e">
        <f aca="false">IF(AR$52=0,0,SUM(N$92:O$97)+SUM(N$99:O$104)+W$105)/AR$52*AR20</f>
        <v>#DIV/0!</v>
      </c>
      <c r="BE20" s="3105" t="e">
        <f aca="false">SUM(N$73:O$76)/AU$52*AU20</f>
        <v>#DIV/0!</v>
      </c>
    </row>
    <row r="21" customFormat="false" ht="18" hidden="false" customHeight="true" outlineLevel="0" collapsed="false">
      <c r="A21" s="507"/>
      <c r="B21" s="1312"/>
      <c r="C21" s="1920"/>
      <c r="D21" s="3106"/>
      <c r="E21" s="3099"/>
      <c r="F21" s="3099"/>
      <c r="G21" s="900"/>
      <c r="H21" s="2082"/>
      <c r="I21" s="901"/>
      <c r="J21" s="898"/>
      <c r="K21" s="1234"/>
      <c r="L21" s="1234"/>
      <c r="M21" s="1235"/>
      <c r="N21" s="1236"/>
      <c r="O21" s="1234"/>
      <c r="P21" s="1235"/>
      <c r="Q21" s="1234"/>
      <c r="R21" s="1235"/>
      <c r="S21" s="1234"/>
      <c r="T21" s="3100"/>
      <c r="U21" s="3101" t="n">
        <f aca="false">IF(H21=0,0,(IF(K21=0,0,D21*(F21-G21)*12/K21*M21*(L21/16*L21/16*10.7028))+IF(N21=0,0,((F21-G21)*12/N21*D21*P21)*O21/16*O21/16*10.7028)+(Q21*D21+Q21*(F21-G21))*2*(R21/16*R21/16*10.7028)+IF(I21&gt;0,Q21*D21+Q21*(F21-G21)*2*(R21/16*R21/16*10.7028))+IF(H21=0,0,S21*4*T21/16*T21/16*10.7028))*(1+J$69))</f>
        <v>0</v>
      </c>
      <c r="V21" s="3102" t="n">
        <f aca="false">IF(H21=0,0,((D21*E21/12*(F21-G21)/27)-(I21*J21*E21/324))*(1+J$66))</f>
        <v>0</v>
      </c>
      <c r="W21" s="2181" t="n">
        <f aca="false">(F21-G21)*D21</f>
        <v>0</v>
      </c>
      <c r="X21" s="1518" t="n">
        <f aca="false">IF(H21=0,0,SUM(AY21:BE21)/H21)</f>
        <v>0</v>
      </c>
      <c r="Y21" s="16"/>
      <c r="AI21" s="0" t="n">
        <f aca="false">IF(H21&gt;0,1,0)</f>
        <v>0</v>
      </c>
      <c r="AJ21" s="0" t="n">
        <f aca="false">IF($C21=1,$V21*$H21,0)</f>
        <v>0</v>
      </c>
      <c r="AK21" s="0" t="n">
        <f aca="false">IF($C21=2,$V21*$H21,0)</f>
        <v>0</v>
      </c>
      <c r="AL21" s="0" t="n">
        <f aca="false">IF($C21=3,$V21*$H21,0)</f>
        <v>0</v>
      </c>
      <c r="AM21" s="0" t="n">
        <f aca="false">IF($C21=4,$V21*$H21,0)</f>
        <v>0</v>
      </c>
      <c r="AN21" s="0" t="n">
        <f aca="false">IF($C21=5,$V21*$H21,0)</f>
        <v>0</v>
      </c>
      <c r="AO21" s="0" t="n">
        <f aca="false">IF($C21=6,$V21*$H21,0)</f>
        <v>0</v>
      </c>
      <c r="AP21" s="0" t="n">
        <f aca="false">SUM(AJ21:AO21)</f>
        <v>0</v>
      </c>
      <c r="AQ21" s="0" t="n">
        <f aca="false">U21*H21</f>
        <v>0</v>
      </c>
      <c r="AR21" s="908" t="n">
        <f aca="false">W21*H21</f>
        <v>0</v>
      </c>
      <c r="AS21" s="0" t="n">
        <f aca="false">H21</f>
        <v>0</v>
      </c>
      <c r="AT21" s="908" t="n">
        <f aca="false">(D21*2+(F21-G21)*2)*H21</f>
        <v>0</v>
      </c>
      <c r="AU21" s="0" t="n">
        <f aca="false">D21*H21</f>
        <v>0</v>
      </c>
      <c r="AV21" s="0" t="n">
        <f aca="false">IF(E21&gt;0,IF(E21&lt;6,AT21,0),0)</f>
        <v>0</v>
      </c>
      <c r="AW21" s="0" t="n">
        <f aca="false">IF(E21&gt;0,IF(E21&gt;5.5,AT21,0),0)</f>
        <v>0</v>
      </c>
      <c r="AX21" s="0" t="n">
        <f aca="false">U21*H21*F$69*IF(T$55="Y",1,(1+V$55))</f>
        <v>0</v>
      </c>
      <c r="AY21" s="3097" t="n">
        <f aca="false">(AJ21*Pricing!F$3+AK21*Pricing!G$3+AL21*Pricing!H$3+AM21*Pricing!I$3+AN21*Pricing!J$3+AO21*Pricing!K$3)*IF(T$55="Y",1,(1+V$55))</f>
        <v>0</v>
      </c>
      <c r="AZ21" s="3103" t="n">
        <f aca="false">AR21*(G$80+D$83)+IF(H$80=0,0,(K$79+N$79)/H$80*AR21)</f>
        <v>0</v>
      </c>
      <c r="BA21" s="3097" t="e">
        <f aca="false">L$89/AR$52*AR21</f>
        <v>#DIV/0!</v>
      </c>
      <c r="BB21" s="3103" t="n">
        <f aca="false">AQ21/2000*D$84</f>
        <v>0</v>
      </c>
      <c r="BC21" s="3103" t="n">
        <f aca="false">AU21*6.5*G$85/27*D$85</f>
        <v>0</v>
      </c>
      <c r="BD21" s="3104" t="e">
        <f aca="false">IF(AR$52=0,0,SUM(N$92:O$97)+SUM(N$99:O$104)+W$105)/AR$52*AR21</f>
        <v>#DIV/0!</v>
      </c>
      <c r="BE21" s="3105" t="e">
        <f aca="false">SUM(N$73:O$76)/AU$52*AU21</f>
        <v>#DIV/0!</v>
      </c>
    </row>
    <row r="22" customFormat="false" ht="18" hidden="false" customHeight="true" outlineLevel="0" collapsed="false">
      <c r="A22" s="507"/>
      <c r="B22" s="1312"/>
      <c r="C22" s="1920"/>
      <c r="D22" s="3106"/>
      <c r="E22" s="3099"/>
      <c r="F22" s="3099"/>
      <c r="G22" s="900"/>
      <c r="H22" s="2082"/>
      <c r="I22" s="901"/>
      <c r="J22" s="898"/>
      <c r="K22" s="1234"/>
      <c r="L22" s="1234"/>
      <c r="M22" s="1235"/>
      <c r="N22" s="1236"/>
      <c r="O22" s="1234"/>
      <c r="P22" s="1235"/>
      <c r="Q22" s="1234"/>
      <c r="R22" s="1235"/>
      <c r="S22" s="1234"/>
      <c r="T22" s="3100"/>
      <c r="U22" s="3101" t="n">
        <f aca="false">IF(H22=0,0,(IF(K22=0,0,D22*(F22-G22)*12/K22*M22*(L22/16*L22/16*10.7028))+IF(N22=0,0,((F22-G22)*12/N22*D22*P22)*O22/16*O22/16*10.7028)+(Q22*D22+Q22*(F22-G22))*2*(R22/16*R22/16*10.7028)+IF(I22&gt;0,Q22*D22+Q22*(F22-G22)*2*(R22/16*R22/16*10.7028))+IF(H22=0,0,S22*4*T22/16*T22/16*10.7028))*(1+J$69))</f>
        <v>0</v>
      </c>
      <c r="V22" s="3102" t="n">
        <f aca="false">IF(H22=0,0,((D22*E22/12*(F22-G22)/27)-(I22*J22*E22/324))*(1+J$66))</f>
        <v>0</v>
      </c>
      <c r="W22" s="2181" t="n">
        <f aca="false">(F22-G22)*D22</f>
        <v>0</v>
      </c>
      <c r="X22" s="1518" t="n">
        <f aca="false">IF(H22=0,0,SUM(AY22:BE22)/H22)</f>
        <v>0</v>
      </c>
      <c r="Y22" s="16"/>
      <c r="AI22" s="0" t="n">
        <f aca="false">IF(H22&gt;0,1,0)</f>
        <v>0</v>
      </c>
      <c r="AJ22" s="0" t="n">
        <f aca="false">IF($C22=1,$V22*$H22,0)</f>
        <v>0</v>
      </c>
      <c r="AK22" s="0" t="n">
        <f aca="false">IF($C22=2,$V22*$H22,0)</f>
        <v>0</v>
      </c>
      <c r="AL22" s="0" t="n">
        <f aca="false">IF($C22=3,$V22*$H22,0)</f>
        <v>0</v>
      </c>
      <c r="AM22" s="0" t="n">
        <f aca="false">IF($C22=4,$V22*$H22,0)</f>
        <v>0</v>
      </c>
      <c r="AN22" s="0" t="n">
        <f aca="false">IF($C22=5,$V22*$H22,0)</f>
        <v>0</v>
      </c>
      <c r="AO22" s="0" t="n">
        <f aca="false">IF($C22=6,$V22*$H22,0)</f>
        <v>0</v>
      </c>
      <c r="AP22" s="0" t="n">
        <f aca="false">SUM(AJ22:AO22)</f>
        <v>0</v>
      </c>
      <c r="AQ22" s="0" t="n">
        <f aca="false">U22*H22</f>
        <v>0</v>
      </c>
      <c r="AR22" s="908" t="n">
        <f aca="false">W22*H22</f>
        <v>0</v>
      </c>
      <c r="AS22" s="0" t="n">
        <f aca="false">H22</f>
        <v>0</v>
      </c>
      <c r="AT22" s="908" t="n">
        <f aca="false">(D22*2+(F22-G22)*2)*H22</f>
        <v>0</v>
      </c>
      <c r="AU22" s="0" t="n">
        <f aca="false">D22*H22</f>
        <v>0</v>
      </c>
      <c r="AV22" s="0" t="n">
        <f aca="false">IF(E22&gt;0,IF(E22&lt;6,AT22,0),0)</f>
        <v>0</v>
      </c>
      <c r="AW22" s="0" t="n">
        <f aca="false">IF(E22&gt;0,IF(E22&gt;5.5,AT22,0),0)</f>
        <v>0</v>
      </c>
      <c r="AX22" s="0" t="n">
        <f aca="false">U22*H22*F$69*IF(T$55="Y",1,(1+V$55))</f>
        <v>0</v>
      </c>
      <c r="AY22" s="3097" t="n">
        <f aca="false">(AJ22*Pricing!F$3+AK22*Pricing!G$3+AL22*Pricing!H$3+AM22*Pricing!I$3+AN22*Pricing!J$3+AO22*Pricing!K$3)*IF(T$55="Y",1,(1+V$55))</f>
        <v>0</v>
      </c>
      <c r="AZ22" s="3103" t="n">
        <f aca="false">AR22*(G$80+D$83)+IF(H$80=0,0,(K$79+N$79)/H$80*AR22)</f>
        <v>0</v>
      </c>
      <c r="BA22" s="3097" t="e">
        <f aca="false">L$89/AR$52*AR22</f>
        <v>#DIV/0!</v>
      </c>
      <c r="BB22" s="3103" t="n">
        <f aca="false">AQ22/2000*D$84</f>
        <v>0</v>
      </c>
      <c r="BC22" s="3103" t="n">
        <f aca="false">AU22*6.5*G$85/27*D$85</f>
        <v>0</v>
      </c>
      <c r="BD22" s="3104" t="e">
        <f aca="false">IF(AR$52=0,0,SUM(N$92:O$97)+SUM(N$99:O$104)+W$105)/AR$52*AR22</f>
        <v>#DIV/0!</v>
      </c>
      <c r="BE22" s="3105" t="e">
        <f aca="false">SUM(N$73:O$76)/AU$52*AU22</f>
        <v>#DIV/0!</v>
      </c>
    </row>
    <row r="23" customFormat="false" ht="18" hidden="false" customHeight="true" outlineLevel="0" collapsed="false">
      <c r="A23" s="507"/>
      <c r="B23" s="1312"/>
      <c r="C23" s="1920"/>
      <c r="D23" s="3106"/>
      <c r="E23" s="3099"/>
      <c r="F23" s="3099"/>
      <c r="G23" s="900"/>
      <c r="H23" s="2082"/>
      <c r="I23" s="901"/>
      <c r="J23" s="898"/>
      <c r="K23" s="1234"/>
      <c r="L23" s="1234"/>
      <c r="M23" s="1235"/>
      <c r="N23" s="1236"/>
      <c r="O23" s="1234"/>
      <c r="P23" s="1235"/>
      <c r="Q23" s="1234"/>
      <c r="R23" s="1235"/>
      <c r="S23" s="1234"/>
      <c r="T23" s="3100"/>
      <c r="U23" s="3101" t="n">
        <f aca="false">IF(H23=0,0,(IF(K23=0,0,D23*(F23-G23)*12/K23*M23*(L23/16*L23/16*10.7028))+IF(N23=0,0,((F23-G23)*12/N23*D23*P23)*O23/16*O23/16*10.7028)+(Q23*D23+Q23*(F23-G23))*2*(R23/16*R23/16*10.7028)+IF(I23&gt;0,Q23*D23+Q23*(F23-G23)*2*(R23/16*R23/16*10.7028))+IF(H23=0,0,S23*4*T23/16*T23/16*10.7028))*(1+J$69))</f>
        <v>0</v>
      </c>
      <c r="V23" s="3102" t="n">
        <f aca="false">IF(H23=0,0,((D23*E23/12*(F23-G23)/27)-(I23*J23*E23/324))*(1+J$66))</f>
        <v>0</v>
      </c>
      <c r="W23" s="2181" t="n">
        <f aca="false">(F23-G23)*D23</f>
        <v>0</v>
      </c>
      <c r="X23" s="1518" t="n">
        <f aca="false">IF(H23=0,0,SUM(AY23:BE23)/H23)</f>
        <v>0</v>
      </c>
      <c r="Y23" s="16"/>
      <c r="AI23" s="0" t="n">
        <f aca="false">IF(H23&gt;0,1,0)</f>
        <v>0</v>
      </c>
      <c r="AJ23" s="0" t="n">
        <f aca="false">IF($C23=1,$V23*$H23,0)</f>
        <v>0</v>
      </c>
      <c r="AK23" s="0" t="n">
        <f aca="false">IF($C23=2,$V23*$H23,0)</f>
        <v>0</v>
      </c>
      <c r="AL23" s="0" t="n">
        <f aca="false">IF($C23=3,$V23*$H23,0)</f>
        <v>0</v>
      </c>
      <c r="AM23" s="0" t="n">
        <f aca="false">IF($C23=4,$V23*$H23,0)</f>
        <v>0</v>
      </c>
      <c r="AN23" s="0" t="n">
        <f aca="false">IF($C23=5,$V23*$H23,0)</f>
        <v>0</v>
      </c>
      <c r="AO23" s="0" t="n">
        <f aca="false">IF($C23=6,$V23*$H23,0)</f>
        <v>0</v>
      </c>
      <c r="AP23" s="0" t="n">
        <f aca="false">SUM(AJ23:AO23)</f>
        <v>0</v>
      </c>
      <c r="AQ23" s="0" t="n">
        <f aca="false">U23*H23</f>
        <v>0</v>
      </c>
      <c r="AR23" s="908" t="n">
        <f aca="false">W23*H23</f>
        <v>0</v>
      </c>
      <c r="AS23" s="0" t="n">
        <f aca="false">H23</f>
        <v>0</v>
      </c>
      <c r="AT23" s="908" t="n">
        <f aca="false">(D23*2+(F23-G23)*2)*H23</f>
        <v>0</v>
      </c>
      <c r="AU23" s="0" t="n">
        <f aca="false">D23*H23</f>
        <v>0</v>
      </c>
      <c r="AV23" s="0" t="n">
        <f aca="false">IF(E23&gt;0,IF(E23&lt;6,AT23,0),0)</f>
        <v>0</v>
      </c>
      <c r="AW23" s="0" t="n">
        <f aca="false">IF(E23&gt;0,IF(E23&gt;5.5,AT23,0),0)</f>
        <v>0</v>
      </c>
      <c r="AX23" s="0" t="n">
        <f aca="false">U23*H23*F$69*IF(T$55="Y",1,(1+V$55))</f>
        <v>0</v>
      </c>
      <c r="AY23" s="3097" t="n">
        <f aca="false">(AJ23*Pricing!F$3+AK23*Pricing!G$3+AL23*Pricing!H$3+AM23*Pricing!I$3+AN23*Pricing!J$3+AO23*Pricing!K$3)*IF(T$55="Y",1,(1+V$55))</f>
        <v>0</v>
      </c>
      <c r="AZ23" s="3103" t="n">
        <f aca="false">AR23*(G$80+D$83)+IF(H$80=0,0,(K$79+N$79)/H$80*AR23)</f>
        <v>0</v>
      </c>
      <c r="BA23" s="3097" t="e">
        <f aca="false">L$89/AR$52*AR23</f>
        <v>#DIV/0!</v>
      </c>
      <c r="BB23" s="3103" t="n">
        <f aca="false">AQ23/2000*D$84</f>
        <v>0</v>
      </c>
      <c r="BC23" s="3103" t="n">
        <f aca="false">AU23*6.5*G$85/27*D$85</f>
        <v>0</v>
      </c>
      <c r="BD23" s="3104" t="e">
        <f aca="false">IF(AR$52=0,0,SUM(N$92:O$97)+SUM(N$99:O$104)+W$105)/AR$52*AR23</f>
        <v>#DIV/0!</v>
      </c>
      <c r="BE23" s="3105" t="e">
        <f aca="false">SUM(N$73:O$76)/AU$52*AU23</f>
        <v>#DIV/0!</v>
      </c>
    </row>
    <row r="24" customFormat="false" ht="18" hidden="false" customHeight="true" outlineLevel="0" collapsed="false">
      <c r="A24" s="507"/>
      <c r="B24" s="1312"/>
      <c r="C24" s="1920"/>
      <c r="D24" s="3106"/>
      <c r="E24" s="3099"/>
      <c r="F24" s="3099"/>
      <c r="G24" s="900"/>
      <c r="H24" s="2082"/>
      <c r="I24" s="901"/>
      <c r="J24" s="898"/>
      <c r="K24" s="1234"/>
      <c r="L24" s="1234"/>
      <c r="M24" s="1235"/>
      <c r="N24" s="1236"/>
      <c r="O24" s="1234"/>
      <c r="P24" s="1235"/>
      <c r="Q24" s="1234"/>
      <c r="R24" s="1235"/>
      <c r="S24" s="1234"/>
      <c r="T24" s="3100"/>
      <c r="U24" s="3101" t="n">
        <f aca="false">IF(H24=0,0,(IF(K24=0,0,D24*(F24-G24)*12/K24*M24*(L24/16*L24/16*10.7028))+IF(N24=0,0,((F24-G24)*12/N24*D24*P24)*O24/16*O24/16*10.7028)+(Q24*D24+Q24*(F24-G24))*2*(R24/16*R24/16*10.7028)+IF(I24&gt;0,Q24*D24+Q24*(F24-G24)*2*(R24/16*R24/16*10.7028))+IF(H24=0,0,S24*4*T24/16*T24/16*10.7028))*(1+J$69))</f>
        <v>0</v>
      </c>
      <c r="V24" s="3102" t="n">
        <f aca="false">IF(H24=0,0,((D24*E24/12*(F24-G24)/27)-(I24*J24*E24/324))*(1+J$66))</f>
        <v>0</v>
      </c>
      <c r="W24" s="2181" t="n">
        <f aca="false">(F24-G24)*D24</f>
        <v>0</v>
      </c>
      <c r="X24" s="1518" t="n">
        <f aca="false">IF(H24=0,0,SUM(AY24:BE24)/H24)</f>
        <v>0</v>
      </c>
      <c r="Y24" s="16"/>
      <c r="AI24" s="0" t="n">
        <f aca="false">IF(H24&gt;0,1,0)</f>
        <v>0</v>
      </c>
      <c r="AJ24" s="0" t="n">
        <f aca="false">IF($C24=1,$V24*$H24,0)</f>
        <v>0</v>
      </c>
      <c r="AK24" s="0" t="n">
        <f aca="false">IF($C24=2,$V24*$H24,0)</f>
        <v>0</v>
      </c>
      <c r="AL24" s="0" t="n">
        <f aca="false">IF($C24=3,$V24*$H24,0)</f>
        <v>0</v>
      </c>
      <c r="AM24" s="0" t="n">
        <f aca="false">IF($C24=4,$V24*$H24,0)</f>
        <v>0</v>
      </c>
      <c r="AN24" s="0" t="n">
        <f aca="false">IF($C24=5,$V24*$H24,0)</f>
        <v>0</v>
      </c>
      <c r="AO24" s="0" t="n">
        <f aca="false">IF($C24=6,$V24*$H24,0)</f>
        <v>0</v>
      </c>
      <c r="AP24" s="0" t="n">
        <f aca="false">SUM(AJ24:AO24)</f>
        <v>0</v>
      </c>
      <c r="AQ24" s="0" t="n">
        <f aca="false">U24*H24</f>
        <v>0</v>
      </c>
      <c r="AR24" s="908" t="n">
        <f aca="false">W24*H24</f>
        <v>0</v>
      </c>
      <c r="AS24" s="0" t="n">
        <f aca="false">H24</f>
        <v>0</v>
      </c>
      <c r="AT24" s="908" t="n">
        <f aca="false">(D24*2+(F24-G24)*2)*H24</f>
        <v>0</v>
      </c>
      <c r="AU24" s="0" t="n">
        <f aca="false">D24*H24</f>
        <v>0</v>
      </c>
      <c r="AV24" s="0" t="n">
        <f aca="false">IF(E24&gt;0,IF(E24&lt;6,AT24,0),0)</f>
        <v>0</v>
      </c>
      <c r="AW24" s="0" t="n">
        <f aca="false">IF(E24&gt;0,IF(E24&gt;5.5,AT24,0),0)</f>
        <v>0</v>
      </c>
      <c r="AX24" s="0" t="n">
        <f aca="false">U24*H24*F$69*IF(T$55="Y",1,(1+V$55))</f>
        <v>0</v>
      </c>
      <c r="AY24" s="3097" t="n">
        <f aca="false">(AJ24*Pricing!F$3+AK24*Pricing!G$3+AL24*Pricing!H$3+AM24*Pricing!I$3+AN24*Pricing!J$3+AO24*Pricing!K$3)*IF(T$55="Y",1,(1+V$55))</f>
        <v>0</v>
      </c>
      <c r="AZ24" s="3103" t="n">
        <f aca="false">AR24*(G$80+D$83)+IF(H$80=0,0,(K$79+N$79)/H$80*AR24)</f>
        <v>0</v>
      </c>
      <c r="BA24" s="3097" t="e">
        <f aca="false">L$89/AR$52*AR24</f>
        <v>#DIV/0!</v>
      </c>
      <c r="BB24" s="3103" t="n">
        <f aca="false">AQ24/2000*D$84</f>
        <v>0</v>
      </c>
      <c r="BC24" s="3103" t="n">
        <f aca="false">AU24*6.5*G$85/27*D$85</f>
        <v>0</v>
      </c>
      <c r="BD24" s="3104" t="e">
        <f aca="false">IF(AR$52=0,0,SUM(N$92:O$97)+SUM(N$99:O$104)+W$105)/AR$52*AR24</f>
        <v>#DIV/0!</v>
      </c>
      <c r="BE24" s="3105" t="e">
        <f aca="false">SUM(N$73:O$76)/AU$52*AU24</f>
        <v>#DIV/0!</v>
      </c>
    </row>
    <row r="25" customFormat="false" ht="18" hidden="false" customHeight="true" outlineLevel="0" collapsed="false">
      <c r="A25" s="507"/>
      <c r="B25" s="1312"/>
      <c r="C25" s="1920"/>
      <c r="D25" s="3106"/>
      <c r="E25" s="3099"/>
      <c r="F25" s="3099"/>
      <c r="G25" s="900"/>
      <c r="H25" s="2082"/>
      <c r="I25" s="901"/>
      <c r="J25" s="898"/>
      <c r="K25" s="1234"/>
      <c r="L25" s="1234"/>
      <c r="M25" s="1235"/>
      <c r="N25" s="1236"/>
      <c r="O25" s="1234"/>
      <c r="P25" s="1235"/>
      <c r="Q25" s="1234"/>
      <c r="R25" s="1235"/>
      <c r="S25" s="1234"/>
      <c r="T25" s="3100"/>
      <c r="U25" s="3101" t="n">
        <f aca="false">IF(H25=0,0,(IF(K25=0,0,D25*(F25-G25)*12/K25*M25*(L25/16*L25/16*10.7028))+IF(N25=0,0,((F25-G25)*12/N25*D25*P25)*O25/16*O25/16*10.7028)+(Q25*D25+Q25*(F25-G25))*2*(R25/16*R25/16*10.7028)+IF(I25&gt;0,Q25*D25+Q25*(F25-G25)*2*(R25/16*R25/16*10.7028))+IF(H25=0,0,S25*4*T25/16*T25/16*10.7028))*(1+J$69))</f>
        <v>0</v>
      </c>
      <c r="V25" s="3102" t="n">
        <f aca="false">IF(H25=0,0,((D25*E25/12*(F25-G25)/27)-(I25*J25*E25/324))*(1+J$66))</f>
        <v>0</v>
      </c>
      <c r="W25" s="2181" t="n">
        <f aca="false">(F25-G25)*D25</f>
        <v>0</v>
      </c>
      <c r="X25" s="1518" t="n">
        <f aca="false">IF(H25=0,0,SUM(AY25:BE25)/H25)</f>
        <v>0</v>
      </c>
      <c r="Y25" s="16"/>
      <c r="AI25" s="0" t="n">
        <f aca="false">IF(H25&gt;0,1,0)</f>
        <v>0</v>
      </c>
      <c r="AJ25" s="0" t="n">
        <f aca="false">IF($C25=1,$V25*$H25,0)</f>
        <v>0</v>
      </c>
      <c r="AK25" s="0" t="n">
        <f aca="false">IF($C25=2,$V25*$H25,0)</f>
        <v>0</v>
      </c>
      <c r="AL25" s="0" t="n">
        <f aca="false">IF($C25=3,$V25*$H25,0)</f>
        <v>0</v>
      </c>
      <c r="AM25" s="0" t="n">
        <f aca="false">IF($C25=4,$V25*$H25,0)</f>
        <v>0</v>
      </c>
      <c r="AN25" s="0" t="n">
        <f aca="false">IF($C25=5,$V25*$H25,0)</f>
        <v>0</v>
      </c>
      <c r="AO25" s="0" t="n">
        <f aca="false">IF($C25=6,$V25*$H25,0)</f>
        <v>0</v>
      </c>
      <c r="AP25" s="0" t="n">
        <f aca="false">SUM(AJ25:AO25)</f>
        <v>0</v>
      </c>
      <c r="AQ25" s="0" t="n">
        <f aca="false">U25*H25</f>
        <v>0</v>
      </c>
      <c r="AR25" s="908" t="n">
        <f aca="false">W25*H25</f>
        <v>0</v>
      </c>
      <c r="AS25" s="0" t="n">
        <f aca="false">H25</f>
        <v>0</v>
      </c>
      <c r="AT25" s="908" t="n">
        <f aca="false">(D25*2+(F25-G25)*2)*H25</f>
        <v>0</v>
      </c>
      <c r="AU25" s="0" t="n">
        <f aca="false">D25*H25</f>
        <v>0</v>
      </c>
      <c r="AV25" s="0" t="n">
        <f aca="false">IF(E25&gt;0,IF(E25&lt;6,AT25,0),0)</f>
        <v>0</v>
      </c>
      <c r="AW25" s="0" t="n">
        <f aca="false">IF(E25&gt;0,IF(E25&gt;5.5,AT25,0),0)</f>
        <v>0</v>
      </c>
      <c r="AX25" s="0" t="n">
        <f aca="false">U25*H25*F$69*IF(T$55="Y",1,(1+V$55))</f>
        <v>0</v>
      </c>
      <c r="AY25" s="3097" t="n">
        <f aca="false">(AJ25*Pricing!F$3+AK25*Pricing!G$3+AL25*Pricing!H$3+AM25*Pricing!I$3+AN25*Pricing!J$3+AO25*Pricing!K$3)*IF(T$55="Y",1,(1+V$55))</f>
        <v>0</v>
      </c>
      <c r="AZ25" s="3103" t="n">
        <f aca="false">AR25*(G$80+D$83)+IF(H$80=0,0,(K$79+N$79)/H$80*AR25)</f>
        <v>0</v>
      </c>
      <c r="BA25" s="3097" t="e">
        <f aca="false">L$89/AR$52*AR25</f>
        <v>#DIV/0!</v>
      </c>
      <c r="BB25" s="3103" t="n">
        <f aca="false">AQ25/2000*D$84</f>
        <v>0</v>
      </c>
      <c r="BC25" s="3103" t="n">
        <f aca="false">AU25*6.5*G$85/27*D$85</f>
        <v>0</v>
      </c>
      <c r="BD25" s="3104" t="e">
        <f aca="false">IF(AR$52=0,0,SUM(N$92:O$97)+SUM(N$99:O$104)+W$105)/AR$52*AR25</f>
        <v>#DIV/0!</v>
      </c>
      <c r="BE25" s="3105" t="e">
        <f aca="false">SUM(N$73:O$76)/AU$52*AU25</f>
        <v>#DIV/0!</v>
      </c>
    </row>
    <row r="26" customFormat="false" ht="18" hidden="false" customHeight="true" outlineLevel="0" collapsed="false">
      <c r="A26" s="507"/>
      <c r="B26" s="1312"/>
      <c r="C26" s="1920"/>
      <c r="D26" s="3106"/>
      <c r="E26" s="3099"/>
      <c r="F26" s="3099"/>
      <c r="G26" s="900"/>
      <c r="H26" s="2082"/>
      <c r="I26" s="901"/>
      <c r="J26" s="898"/>
      <c r="K26" s="1234"/>
      <c r="L26" s="1234"/>
      <c r="M26" s="1235"/>
      <c r="N26" s="1236"/>
      <c r="O26" s="1234"/>
      <c r="P26" s="1235"/>
      <c r="Q26" s="1234"/>
      <c r="R26" s="1235"/>
      <c r="S26" s="1234"/>
      <c r="T26" s="3100"/>
      <c r="U26" s="3101" t="n">
        <f aca="false">IF(H26=0,0,(IF(K26=0,0,D26*(F26-G26)*12/K26*M26*(L26/16*L26/16*10.7028))+IF(N26=0,0,((F26-G26)*12/N26*D26*P26)*O26/16*O26/16*10.7028)+(Q26*D26+Q26*(F26-G26))*2*(R26/16*R26/16*10.7028)+IF(I26&gt;0,Q26*D26+Q26*(F26-G26)*2*(R26/16*R26/16*10.7028))+IF(H26=0,0,S26*4*T26/16*T26/16*10.7028))*(1+J$69))</f>
        <v>0</v>
      </c>
      <c r="V26" s="3102" t="n">
        <f aca="false">IF(H26=0,0,((D26*E26/12*(F26-G26)/27)-(I26*J26*E26/324))*(1+J$66))</f>
        <v>0</v>
      </c>
      <c r="W26" s="2181" t="n">
        <f aca="false">(F26-G26)*D26</f>
        <v>0</v>
      </c>
      <c r="X26" s="1518" t="n">
        <f aca="false">IF(H26=0,0,SUM(AY26:BE26)/H26)</f>
        <v>0</v>
      </c>
      <c r="Y26" s="16"/>
      <c r="AI26" s="0" t="n">
        <f aca="false">IF(H26&gt;0,1,0)</f>
        <v>0</v>
      </c>
      <c r="AJ26" s="0" t="n">
        <f aca="false">IF($C26=1,$V26*$H26,0)</f>
        <v>0</v>
      </c>
      <c r="AK26" s="0" t="n">
        <f aca="false">IF($C26=2,$V26*$H26,0)</f>
        <v>0</v>
      </c>
      <c r="AL26" s="0" t="n">
        <f aca="false">IF($C26=3,$V26*$H26,0)</f>
        <v>0</v>
      </c>
      <c r="AM26" s="0" t="n">
        <f aca="false">IF($C26=4,$V26*$H26,0)</f>
        <v>0</v>
      </c>
      <c r="AN26" s="0" t="n">
        <f aca="false">IF($C26=5,$V26*$H26,0)</f>
        <v>0</v>
      </c>
      <c r="AO26" s="0" t="n">
        <f aca="false">IF($C26=6,$V26*$H26,0)</f>
        <v>0</v>
      </c>
      <c r="AP26" s="0" t="n">
        <f aca="false">SUM(AJ26:AO26)</f>
        <v>0</v>
      </c>
      <c r="AQ26" s="0" t="n">
        <f aca="false">U26*H26</f>
        <v>0</v>
      </c>
      <c r="AR26" s="908" t="n">
        <f aca="false">W26*H26</f>
        <v>0</v>
      </c>
      <c r="AS26" s="0" t="n">
        <f aca="false">H26</f>
        <v>0</v>
      </c>
      <c r="AT26" s="908" t="n">
        <f aca="false">(D26*2+(F26-G26)*2)*H26</f>
        <v>0</v>
      </c>
      <c r="AU26" s="0" t="n">
        <f aca="false">D26*H26</f>
        <v>0</v>
      </c>
      <c r="AV26" s="0" t="n">
        <f aca="false">IF(E26&gt;0,IF(E26&lt;6,AT26,0),0)</f>
        <v>0</v>
      </c>
      <c r="AW26" s="0" t="n">
        <f aca="false">IF(E26&gt;0,IF(E26&gt;5.5,AT26,0),0)</f>
        <v>0</v>
      </c>
      <c r="AX26" s="0" t="n">
        <f aca="false">U26*H26*F$69*IF(T$55="Y",1,(1+V$55))</f>
        <v>0</v>
      </c>
      <c r="AY26" s="3097" t="n">
        <f aca="false">(AJ26*Pricing!F$3+AK26*Pricing!G$3+AL26*Pricing!H$3+AM26*Pricing!I$3+AN26*Pricing!J$3+AO26*Pricing!K$3)*IF(T$55="Y",1,(1+V$55))</f>
        <v>0</v>
      </c>
      <c r="AZ26" s="3103" t="n">
        <f aca="false">AR26*(G$80+D$83)+IF(H$80=0,0,(K$79+N$79)/H$80*AR26)</f>
        <v>0</v>
      </c>
      <c r="BA26" s="3097" t="e">
        <f aca="false">L$89/AR$52*AR26</f>
        <v>#DIV/0!</v>
      </c>
      <c r="BB26" s="3103" t="n">
        <f aca="false">AQ26/2000*D$84</f>
        <v>0</v>
      </c>
      <c r="BC26" s="3103" t="n">
        <f aca="false">AU26*6.5*G$85/27*D$85</f>
        <v>0</v>
      </c>
      <c r="BD26" s="3104" t="e">
        <f aca="false">IF(AR$52=0,0,SUM(N$92:O$97)+SUM(N$99:O$104)+W$105)/AR$52*AR26</f>
        <v>#DIV/0!</v>
      </c>
      <c r="BE26" s="3105" t="e">
        <f aca="false">SUM(N$73:O$76)/AU$52*AU26</f>
        <v>#DIV/0!</v>
      </c>
    </row>
    <row r="27" customFormat="false" ht="18" hidden="false" customHeight="true" outlineLevel="0" collapsed="false">
      <c r="A27" s="507"/>
      <c r="B27" s="1312"/>
      <c r="C27" s="1920"/>
      <c r="D27" s="3106"/>
      <c r="E27" s="3099"/>
      <c r="F27" s="3099"/>
      <c r="G27" s="900"/>
      <c r="H27" s="2082"/>
      <c r="I27" s="901"/>
      <c r="J27" s="898"/>
      <c r="K27" s="1234"/>
      <c r="L27" s="1234"/>
      <c r="M27" s="1235"/>
      <c r="N27" s="1236"/>
      <c r="O27" s="1234"/>
      <c r="P27" s="1235"/>
      <c r="Q27" s="1234"/>
      <c r="R27" s="1235"/>
      <c r="S27" s="1234"/>
      <c r="T27" s="3100"/>
      <c r="U27" s="3101" t="n">
        <f aca="false">IF(H27=0,0,(IF(K27=0,0,D27*(F27-G27)*12/K27*M27*(L27/16*L27/16*10.7028))+IF(N27=0,0,((F27-G27)*12/N27*D27*P27)*O27/16*O27/16*10.7028)+(Q27*D27+Q27*(F27-G27))*2*(R27/16*R27/16*10.7028)+IF(I27&gt;0,Q27*D27+Q27*(F27-G27)*2*(R27/16*R27/16*10.7028))+IF(H27=0,0,S27*4*T27/16*T27/16*10.7028))*(1+J$69))</f>
        <v>0</v>
      </c>
      <c r="V27" s="3102" t="n">
        <f aca="false">IF(H27=0,0,((D27*E27/12*(F27-G27)/27)-(I27*J27*E27/324))*(1+J$66))</f>
        <v>0</v>
      </c>
      <c r="W27" s="2181" t="n">
        <f aca="false">(F27-G27)*D27</f>
        <v>0</v>
      </c>
      <c r="X27" s="1518" t="n">
        <f aca="false">IF(H27=0,0,SUM(AY27:BE27)/H27)</f>
        <v>0</v>
      </c>
      <c r="Y27" s="16"/>
      <c r="AI27" s="0" t="n">
        <f aca="false">IF(H27&gt;0,1,0)</f>
        <v>0</v>
      </c>
      <c r="AJ27" s="0" t="n">
        <f aca="false">IF($C27=1,$V27*$H27,0)</f>
        <v>0</v>
      </c>
      <c r="AK27" s="0" t="n">
        <f aca="false">IF($C27=2,$V27*$H27,0)</f>
        <v>0</v>
      </c>
      <c r="AL27" s="0" t="n">
        <f aca="false">IF($C27=3,$V27*$H27,0)</f>
        <v>0</v>
      </c>
      <c r="AM27" s="0" t="n">
        <f aca="false">IF($C27=4,$V27*$H27,0)</f>
        <v>0</v>
      </c>
      <c r="AN27" s="0" t="n">
        <f aca="false">IF($C27=5,$V27*$H27,0)</f>
        <v>0</v>
      </c>
      <c r="AO27" s="0" t="n">
        <f aca="false">IF($C27=6,$V27*$H27,0)</f>
        <v>0</v>
      </c>
      <c r="AP27" s="0" t="n">
        <f aca="false">SUM(AJ27:AO27)</f>
        <v>0</v>
      </c>
      <c r="AQ27" s="0" t="n">
        <f aca="false">U27*H27</f>
        <v>0</v>
      </c>
      <c r="AR27" s="908" t="n">
        <f aca="false">W27*H27</f>
        <v>0</v>
      </c>
      <c r="AS27" s="0" t="n">
        <f aca="false">H27</f>
        <v>0</v>
      </c>
      <c r="AT27" s="908" t="n">
        <f aca="false">(D27*2+(F27-G27)*2)*H27</f>
        <v>0</v>
      </c>
      <c r="AU27" s="0" t="n">
        <f aca="false">D27*H27</f>
        <v>0</v>
      </c>
      <c r="AV27" s="0" t="n">
        <f aca="false">IF(E27&gt;0,IF(E27&lt;6,AT27,0),0)</f>
        <v>0</v>
      </c>
      <c r="AW27" s="0" t="n">
        <f aca="false">IF(E27&gt;0,IF(E27&gt;5.5,AT27,0),0)</f>
        <v>0</v>
      </c>
      <c r="AX27" s="0" t="n">
        <f aca="false">U27*H27*F$69*IF(T$55="Y",1,(1+V$55))</f>
        <v>0</v>
      </c>
      <c r="AY27" s="3097" t="n">
        <f aca="false">(AJ27*Pricing!F$3+AK27*Pricing!G$3+AL27*Pricing!H$3+AM27*Pricing!I$3+AN27*Pricing!J$3+AO27*Pricing!K$3)*IF(T$55="Y",1,(1+V$55))</f>
        <v>0</v>
      </c>
      <c r="AZ27" s="3103" t="n">
        <f aca="false">AR27*(G$80+D$83)+IF(H$80=0,0,(K$79+N$79)/H$80*AR27)</f>
        <v>0</v>
      </c>
      <c r="BA27" s="3097" t="e">
        <f aca="false">L$89/AR$52*AR27</f>
        <v>#DIV/0!</v>
      </c>
      <c r="BB27" s="3103" t="n">
        <f aca="false">AQ27/2000*D$84</f>
        <v>0</v>
      </c>
      <c r="BC27" s="3103" t="n">
        <f aca="false">AU27*6.5*G$85/27*D$85</f>
        <v>0</v>
      </c>
      <c r="BD27" s="3104" t="e">
        <f aca="false">IF(AR$52=0,0,SUM(N$92:O$97)+SUM(N$99:O$104)+W$105)/AR$52*AR27</f>
        <v>#DIV/0!</v>
      </c>
      <c r="BE27" s="3105" t="e">
        <f aca="false">SUM(N$73:O$76)/AU$52*AU27</f>
        <v>#DIV/0!</v>
      </c>
    </row>
    <row r="28" customFormat="false" ht="18" hidden="false" customHeight="true" outlineLevel="0" collapsed="false">
      <c r="A28" s="507"/>
      <c r="B28" s="1312"/>
      <c r="C28" s="1920"/>
      <c r="D28" s="3106"/>
      <c r="E28" s="3099"/>
      <c r="F28" s="3099"/>
      <c r="G28" s="900"/>
      <c r="H28" s="2082"/>
      <c r="I28" s="901"/>
      <c r="J28" s="898"/>
      <c r="K28" s="1234"/>
      <c r="L28" s="1234"/>
      <c r="M28" s="1235"/>
      <c r="N28" s="1236"/>
      <c r="O28" s="1234"/>
      <c r="P28" s="1235"/>
      <c r="Q28" s="1234"/>
      <c r="R28" s="1235"/>
      <c r="S28" s="1234"/>
      <c r="T28" s="3100"/>
      <c r="U28" s="3101" t="n">
        <f aca="false">IF(H28=0,0,(IF(K28=0,0,D28*(F28-G28)*12/K28*M28*(L28/16*L28/16*10.7028))+IF(N28=0,0,((F28-G28)*12/N28*D28*P28)*O28/16*O28/16*10.7028)+(Q28*D28+Q28*(F28-G28))*2*(R28/16*R28/16*10.7028)+IF(I28&gt;0,Q28*D28+Q28*(F28-G28)*2*(R28/16*R28/16*10.7028))+IF(H28=0,0,S28*4*T28/16*T28/16*10.7028))*(1+J$69))</f>
        <v>0</v>
      </c>
      <c r="V28" s="3102" t="n">
        <f aca="false">IF(H28=0,0,((D28*E28/12*(F28-G28)/27)-(I28*J28*E28/324))*(1+J$66))</f>
        <v>0</v>
      </c>
      <c r="W28" s="2181" t="n">
        <f aca="false">(F28-G28)*D28</f>
        <v>0</v>
      </c>
      <c r="X28" s="1518" t="n">
        <f aca="false">IF(H28=0,0,SUM(AY28:BE28)/H28)</f>
        <v>0</v>
      </c>
      <c r="Y28" s="16"/>
      <c r="AI28" s="0" t="n">
        <f aca="false">IF(H28&gt;0,1,0)</f>
        <v>0</v>
      </c>
      <c r="AJ28" s="0" t="n">
        <f aca="false">IF($C28=1,$V28*$H28,0)</f>
        <v>0</v>
      </c>
      <c r="AK28" s="0" t="n">
        <f aca="false">IF($C28=2,$V28*$H28,0)</f>
        <v>0</v>
      </c>
      <c r="AL28" s="0" t="n">
        <f aca="false">IF($C28=3,$V28*$H28,0)</f>
        <v>0</v>
      </c>
      <c r="AM28" s="0" t="n">
        <f aca="false">IF($C28=4,$V28*$H28,0)</f>
        <v>0</v>
      </c>
      <c r="AN28" s="0" t="n">
        <f aca="false">IF($C28=5,$V28*$H28,0)</f>
        <v>0</v>
      </c>
      <c r="AO28" s="0" t="n">
        <f aca="false">IF($C28=6,$V28*$H28,0)</f>
        <v>0</v>
      </c>
      <c r="AP28" s="0" t="n">
        <f aca="false">SUM(AJ28:AO28)</f>
        <v>0</v>
      </c>
      <c r="AQ28" s="0" t="n">
        <f aca="false">U28*H28</f>
        <v>0</v>
      </c>
      <c r="AR28" s="908" t="n">
        <f aca="false">W28*H28</f>
        <v>0</v>
      </c>
      <c r="AS28" s="0" t="n">
        <f aca="false">H28</f>
        <v>0</v>
      </c>
      <c r="AT28" s="908" t="n">
        <f aca="false">(D28*2+(F28-G28)*2)*H28</f>
        <v>0</v>
      </c>
      <c r="AU28" s="0" t="n">
        <f aca="false">D28*H28</f>
        <v>0</v>
      </c>
      <c r="AV28" s="0" t="n">
        <f aca="false">IF(E28&gt;0,IF(E28&lt;6,AT28,0),0)</f>
        <v>0</v>
      </c>
      <c r="AW28" s="0" t="n">
        <f aca="false">IF(E28&gt;0,IF(E28&gt;5.5,AT28,0),0)</f>
        <v>0</v>
      </c>
      <c r="AX28" s="0" t="n">
        <f aca="false">U28*H28*F$69*IF(T$55="Y",1,(1+V$55))</f>
        <v>0</v>
      </c>
      <c r="AY28" s="3097" t="n">
        <f aca="false">(AJ28*Pricing!F$3+AK28*Pricing!G$3+AL28*Pricing!H$3+AM28*Pricing!I$3+AN28*Pricing!J$3+AO28*Pricing!K$3)*IF(T$55="Y",1,(1+V$55))</f>
        <v>0</v>
      </c>
      <c r="AZ28" s="3103" t="n">
        <f aca="false">AR28*(G$80+D$83)+IF(H$80=0,0,(K$79+N$79)/H$80*AR28)</f>
        <v>0</v>
      </c>
      <c r="BA28" s="3097" t="e">
        <f aca="false">L$89/AR$52*AR28</f>
        <v>#DIV/0!</v>
      </c>
      <c r="BB28" s="3103" t="n">
        <f aca="false">AQ28/2000*D$84</f>
        <v>0</v>
      </c>
      <c r="BC28" s="3103" t="n">
        <f aca="false">AU28*6.5*G$85/27*D$85</f>
        <v>0</v>
      </c>
      <c r="BD28" s="3104" t="e">
        <f aca="false">IF(AR$52=0,0,SUM(N$92:O$97)+SUM(N$99:O$104)+W$105)/AR$52*AR28</f>
        <v>#DIV/0!</v>
      </c>
      <c r="BE28" s="3105" t="e">
        <f aca="false">SUM(N$73:O$76)/AU$52*AU28</f>
        <v>#DIV/0!</v>
      </c>
    </row>
    <row r="29" customFormat="false" ht="18" hidden="false" customHeight="true" outlineLevel="0" collapsed="false">
      <c r="A29" s="507"/>
      <c r="B29" s="1312"/>
      <c r="C29" s="1920"/>
      <c r="D29" s="3106"/>
      <c r="E29" s="3099"/>
      <c r="F29" s="3099"/>
      <c r="G29" s="900"/>
      <c r="H29" s="2082"/>
      <c r="I29" s="901"/>
      <c r="J29" s="898"/>
      <c r="K29" s="1234"/>
      <c r="L29" s="1234"/>
      <c r="M29" s="1235"/>
      <c r="N29" s="1236"/>
      <c r="O29" s="1234"/>
      <c r="P29" s="1235"/>
      <c r="Q29" s="1234"/>
      <c r="R29" s="1235"/>
      <c r="S29" s="1234"/>
      <c r="T29" s="3100"/>
      <c r="U29" s="3101" t="n">
        <f aca="false">IF(H29=0,0,(IF(K29=0,0,D29*(F29-G29)*12/K29*M29*(L29/16*L29/16*10.7028))+IF(N29=0,0,((F29-G29)*12/N29*D29*P29)*O29/16*O29/16*10.7028)+(Q29*D29+Q29*(F29-G29))*2*(R29/16*R29/16*10.7028)+IF(I29&gt;0,Q29*D29+Q29*(F29-G29)*2*(R29/16*R29/16*10.7028))+IF(H29=0,0,S29*4*T29/16*T29/16*10.7028))*(1+J$69))</f>
        <v>0</v>
      </c>
      <c r="V29" s="3102" t="n">
        <f aca="false">IF(H29=0,0,((D29*E29/12*(F29-G29)/27)-(I29*J29*E29/324))*(1+J$66))</f>
        <v>0</v>
      </c>
      <c r="W29" s="2181" t="n">
        <f aca="false">(F29-G29)*D29</f>
        <v>0</v>
      </c>
      <c r="X29" s="1518" t="n">
        <f aca="false">IF(H29=0,0,SUM(AY29:BE29)/H29)</f>
        <v>0</v>
      </c>
      <c r="Y29" s="16"/>
      <c r="AI29" s="0" t="n">
        <f aca="false">IF(H29&gt;0,1,0)</f>
        <v>0</v>
      </c>
      <c r="AJ29" s="0" t="n">
        <f aca="false">IF($C29=1,$V29*$H29,0)</f>
        <v>0</v>
      </c>
      <c r="AK29" s="0" t="n">
        <f aca="false">IF($C29=2,$V29*$H29,0)</f>
        <v>0</v>
      </c>
      <c r="AL29" s="0" t="n">
        <f aca="false">IF($C29=3,$V29*$H29,0)</f>
        <v>0</v>
      </c>
      <c r="AM29" s="0" t="n">
        <f aca="false">IF($C29=4,$V29*$H29,0)</f>
        <v>0</v>
      </c>
      <c r="AN29" s="0" t="n">
        <f aca="false">IF($C29=5,$V29*$H29,0)</f>
        <v>0</v>
      </c>
      <c r="AO29" s="0" t="n">
        <f aca="false">IF($C29=6,$V29*$H29,0)</f>
        <v>0</v>
      </c>
      <c r="AP29" s="0" t="n">
        <f aca="false">SUM(AJ29:AO29)</f>
        <v>0</v>
      </c>
      <c r="AQ29" s="0" t="n">
        <f aca="false">U29*H29</f>
        <v>0</v>
      </c>
      <c r="AR29" s="908" t="n">
        <f aca="false">W29*H29</f>
        <v>0</v>
      </c>
      <c r="AS29" s="0" t="n">
        <f aca="false">H29</f>
        <v>0</v>
      </c>
      <c r="AT29" s="908" t="n">
        <f aca="false">(D29*2+(F29-G29)*2)*H29</f>
        <v>0</v>
      </c>
      <c r="AU29" s="0" t="n">
        <f aca="false">D29*H29</f>
        <v>0</v>
      </c>
      <c r="AV29" s="0" t="n">
        <f aca="false">IF(E29&gt;0,IF(E29&lt;6,AT29,0),0)</f>
        <v>0</v>
      </c>
      <c r="AW29" s="0" t="n">
        <f aca="false">IF(E29&gt;0,IF(E29&gt;5.5,AT29,0),0)</f>
        <v>0</v>
      </c>
      <c r="AX29" s="0" t="n">
        <f aca="false">U29*H29*F$69*IF(T$55="Y",1,(1+V$55))</f>
        <v>0</v>
      </c>
      <c r="AY29" s="3097" t="n">
        <f aca="false">(AJ29*Pricing!F$3+AK29*Pricing!G$3+AL29*Pricing!H$3+AM29*Pricing!I$3+AN29*Pricing!J$3+AO29*Pricing!K$3)*IF(T$55="Y",1,(1+V$55))</f>
        <v>0</v>
      </c>
      <c r="AZ29" s="3103" t="n">
        <f aca="false">AR29*(G$80+D$83)+IF(H$80=0,0,(K$79+N$79)/H$80*AR29)</f>
        <v>0</v>
      </c>
      <c r="BA29" s="3097" t="e">
        <f aca="false">L$89/AR$52*AR29</f>
        <v>#DIV/0!</v>
      </c>
      <c r="BB29" s="3103" t="n">
        <f aca="false">AQ29/2000*D$84</f>
        <v>0</v>
      </c>
      <c r="BC29" s="3103" t="n">
        <f aca="false">AU29*6.5*G$85/27*D$85</f>
        <v>0</v>
      </c>
      <c r="BD29" s="3104" t="e">
        <f aca="false">IF(AR$52=0,0,SUM(N$92:O$97)+SUM(N$99:O$104)+W$105)/AR$52*AR29</f>
        <v>#DIV/0!</v>
      </c>
      <c r="BE29" s="3105" t="e">
        <f aca="false">SUM(N$73:O$76)/AU$52*AU29</f>
        <v>#DIV/0!</v>
      </c>
    </row>
    <row r="30" customFormat="false" ht="18" hidden="false" customHeight="true" outlineLevel="0" collapsed="false">
      <c r="A30" s="507"/>
      <c r="B30" s="1312"/>
      <c r="C30" s="1920"/>
      <c r="D30" s="3106"/>
      <c r="E30" s="3099"/>
      <c r="F30" s="3099"/>
      <c r="G30" s="900"/>
      <c r="H30" s="2082"/>
      <c r="I30" s="901"/>
      <c r="J30" s="898"/>
      <c r="K30" s="1234"/>
      <c r="L30" s="1234"/>
      <c r="M30" s="1235"/>
      <c r="N30" s="1236"/>
      <c r="O30" s="1234"/>
      <c r="P30" s="1235"/>
      <c r="Q30" s="1234"/>
      <c r="R30" s="1235"/>
      <c r="S30" s="1234"/>
      <c r="T30" s="3100"/>
      <c r="U30" s="3101" t="n">
        <f aca="false">IF(H30=0,0,(IF(K30=0,0,D30*(F30-G30)*12/K30*M30*(L30/16*L30/16*10.7028))+IF(N30=0,0,((F30-G30)*12/N30*D30*P30)*O30/16*O30/16*10.7028)+(Q30*D30+Q30*(F30-G30))*2*(R30/16*R30/16*10.7028)+IF(I30&gt;0,Q30*D30+Q30*(F30-G30)*2*(R30/16*R30/16*10.7028))+IF(H30=0,0,S30*4*T30/16*T30/16*10.7028))*(1+J$69))</f>
        <v>0</v>
      </c>
      <c r="V30" s="3102" t="n">
        <f aca="false">IF(H30=0,0,((D30*E30/12*(F30-G30)/27)-(I30*J30*E30/324))*(1+J$66))</f>
        <v>0</v>
      </c>
      <c r="W30" s="2181" t="n">
        <f aca="false">(F30-G30)*D30</f>
        <v>0</v>
      </c>
      <c r="X30" s="1518" t="n">
        <f aca="false">IF(H30=0,0,SUM(AY30:BE30)/H30)</f>
        <v>0</v>
      </c>
      <c r="Y30" s="16"/>
      <c r="AI30" s="0" t="n">
        <f aca="false">IF(H30&gt;0,1,0)</f>
        <v>0</v>
      </c>
      <c r="AJ30" s="0" t="n">
        <f aca="false">IF($C30=1,$V30*$H30,0)</f>
        <v>0</v>
      </c>
      <c r="AK30" s="0" t="n">
        <f aca="false">IF($C30=2,$V30*$H30,0)</f>
        <v>0</v>
      </c>
      <c r="AL30" s="0" t="n">
        <f aca="false">IF($C30=3,$V30*$H30,0)</f>
        <v>0</v>
      </c>
      <c r="AM30" s="0" t="n">
        <f aca="false">IF($C30=4,$V30*$H30,0)</f>
        <v>0</v>
      </c>
      <c r="AN30" s="0" t="n">
        <f aca="false">IF($C30=5,$V30*$H30,0)</f>
        <v>0</v>
      </c>
      <c r="AO30" s="0" t="n">
        <f aca="false">IF($C30=6,$V30*$H30,0)</f>
        <v>0</v>
      </c>
      <c r="AP30" s="0" t="n">
        <f aca="false">SUM(AJ30:AO30)</f>
        <v>0</v>
      </c>
      <c r="AQ30" s="0" t="n">
        <f aca="false">U30*H30</f>
        <v>0</v>
      </c>
      <c r="AR30" s="908" t="n">
        <f aca="false">W30*H30</f>
        <v>0</v>
      </c>
      <c r="AS30" s="0" t="n">
        <f aca="false">H30</f>
        <v>0</v>
      </c>
      <c r="AT30" s="908" t="n">
        <f aca="false">(D30*2+(F30-G30)*2)*H30</f>
        <v>0</v>
      </c>
      <c r="AU30" s="0" t="n">
        <f aca="false">D30*H30</f>
        <v>0</v>
      </c>
      <c r="AV30" s="0" t="n">
        <f aca="false">IF(E30&gt;0,IF(E30&lt;6,AT30,0),0)</f>
        <v>0</v>
      </c>
      <c r="AW30" s="0" t="n">
        <f aca="false">IF(E30&gt;0,IF(E30&gt;5.5,AT30,0),0)</f>
        <v>0</v>
      </c>
      <c r="AX30" s="0" t="n">
        <f aca="false">U30*H30*F$69*IF(T$55="Y",1,(1+V$55))</f>
        <v>0</v>
      </c>
      <c r="AY30" s="3097" t="n">
        <f aca="false">(AJ30*Pricing!F$3+AK30*Pricing!G$3+AL30*Pricing!H$3+AM30*Pricing!I$3+AN30*Pricing!J$3+AO30*Pricing!K$3)*IF(T$55="Y",1,(1+V$55))</f>
        <v>0</v>
      </c>
      <c r="AZ30" s="3103" t="n">
        <f aca="false">AR30*(G$80+D$83)+IF(H$80=0,0,(K$79+N$79)/H$80*AR30)</f>
        <v>0</v>
      </c>
      <c r="BA30" s="3097" t="e">
        <f aca="false">L$89/AR$52*AR30</f>
        <v>#DIV/0!</v>
      </c>
      <c r="BB30" s="3103" t="n">
        <f aca="false">AQ30/2000*D$84</f>
        <v>0</v>
      </c>
      <c r="BC30" s="3103" t="n">
        <f aca="false">AU30*6.5*G$85/27*D$85</f>
        <v>0</v>
      </c>
      <c r="BD30" s="3104" t="e">
        <f aca="false">IF(AR$52=0,0,SUM(N$92:O$97)+SUM(N$99:O$104)+W$105)/AR$52*AR30</f>
        <v>#DIV/0!</v>
      </c>
      <c r="BE30" s="3105" t="e">
        <f aca="false">SUM(N$73:O$76)/AU$52*AU30</f>
        <v>#DIV/0!</v>
      </c>
    </row>
    <row r="31" customFormat="false" ht="18" hidden="false" customHeight="true" outlineLevel="0" collapsed="false">
      <c r="A31" s="507"/>
      <c r="B31" s="1312"/>
      <c r="C31" s="1920"/>
      <c r="D31" s="3106"/>
      <c r="E31" s="3099"/>
      <c r="F31" s="3099"/>
      <c r="G31" s="900"/>
      <c r="H31" s="2082"/>
      <c r="I31" s="901"/>
      <c r="J31" s="898"/>
      <c r="K31" s="1234"/>
      <c r="L31" s="1234"/>
      <c r="M31" s="1235"/>
      <c r="N31" s="1236"/>
      <c r="O31" s="1234"/>
      <c r="P31" s="1235"/>
      <c r="Q31" s="1234"/>
      <c r="R31" s="1235"/>
      <c r="S31" s="1234"/>
      <c r="T31" s="3100"/>
      <c r="U31" s="3101" t="n">
        <f aca="false">IF(H31=0,0,(IF(K31=0,0,D31*(F31-G31)*12/K31*M31*(L31/16*L31/16*10.7028))+IF(N31=0,0,((F31-G31)*12/N31*D31*P31)*O31/16*O31/16*10.7028)+(Q31*D31+Q31*(F31-G31))*2*(R31/16*R31/16*10.7028)+IF(I31&gt;0,Q31*D31+Q31*(F31-G31)*2*(R31/16*R31/16*10.7028))+IF(H31=0,0,S31*4*T31/16*T31/16*10.7028))*(1+J$69))</f>
        <v>0</v>
      </c>
      <c r="V31" s="3102" t="n">
        <f aca="false">IF(H31=0,0,((D31*E31/12*(F31-G31)/27)-(I31*J31*E31/324))*(1+J$66))</f>
        <v>0</v>
      </c>
      <c r="W31" s="2181" t="n">
        <f aca="false">(F31-G31)*D31</f>
        <v>0</v>
      </c>
      <c r="X31" s="1518" t="n">
        <f aca="false">IF(H31=0,0,SUM(AY31:BE31)/H31)</f>
        <v>0</v>
      </c>
      <c r="Y31" s="16"/>
      <c r="AI31" s="0" t="n">
        <f aca="false">IF(H31&gt;0,1,0)</f>
        <v>0</v>
      </c>
      <c r="AJ31" s="0" t="n">
        <f aca="false">IF($C31=1,$V31*$H31,0)</f>
        <v>0</v>
      </c>
      <c r="AK31" s="0" t="n">
        <f aca="false">IF($C31=2,$V31*$H31,0)</f>
        <v>0</v>
      </c>
      <c r="AL31" s="0" t="n">
        <f aca="false">IF($C31=3,$V31*$H31,0)</f>
        <v>0</v>
      </c>
      <c r="AM31" s="0" t="n">
        <f aca="false">IF($C31=4,$V31*$H31,0)</f>
        <v>0</v>
      </c>
      <c r="AN31" s="0" t="n">
        <f aca="false">IF($C31=5,$V31*$H31,0)</f>
        <v>0</v>
      </c>
      <c r="AO31" s="0" t="n">
        <f aca="false">IF($C31=6,$V31*$H31,0)</f>
        <v>0</v>
      </c>
      <c r="AP31" s="0" t="n">
        <f aca="false">SUM(AJ31:AO31)</f>
        <v>0</v>
      </c>
      <c r="AQ31" s="0" t="n">
        <f aca="false">U31*H31</f>
        <v>0</v>
      </c>
      <c r="AR31" s="908" t="n">
        <f aca="false">W31*H31</f>
        <v>0</v>
      </c>
      <c r="AS31" s="0" t="n">
        <f aca="false">H31</f>
        <v>0</v>
      </c>
      <c r="AT31" s="908" t="n">
        <f aca="false">(D31*2+(F31-G31)*2)*H31</f>
        <v>0</v>
      </c>
      <c r="AU31" s="0" t="n">
        <f aca="false">D31*H31</f>
        <v>0</v>
      </c>
      <c r="AV31" s="0" t="n">
        <f aca="false">IF(E31&gt;0,IF(E31&lt;6,AT31,0),0)</f>
        <v>0</v>
      </c>
      <c r="AW31" s="0" t="n">
        <f aca="false">IF(E31&gt;0,IF(E31&gt;5.5,AT31,0),0)</f>
        <v>0</v>
      </c>
      <c r="AX31" s="0" t="n">
        <f aca="false">U31*H31*F$69*IF(T$55="Y",1,(1+V$55))</f>
        <v>0</v>
      </c>
      <c r="AY31" s="3097" t="n">
        <f aca="false">(AJ31*Pricing!F$3+AK31*Pricing!G$3+AL31*Pricing!H$3+AM31*Pricing!I$3+AN31*Pricing!J$3+AO31*Pricing!K$3)*IF(T$55="Y",1,(1+V$55))</f>
        <v>0</v>
      </c>
      <c r="AZ31" s="3103" t="n">
        <f aca="false">AR31*(G$80+D$83)+IF(H$80=0,0,(K$79+N$79)/H$80*AR31)</f>
        <v>0</v>
      </c>
      <c r="BA31" s="3097" t="e">
        <f aca="false">L$89/AR$52*AR31</f>
        <v>#DIV/0!</v>
      </c>
      <c r="BB31" s="3103" t="n">
        <f aca="false">AQ31/2000*D$84</f>
        <v>0</v>
      </c>
      <c r="BC31" s="3103" t="n">
        <f aca="false">AU31*6.5*G$85/27*D$85</f>
        <v>0</v>
      </c>
      <c r="BD31" s="3104" t="e">
        <f aca="false">IF(AR$52=0,0,SUM(N$92:O$97)+SUM(N$99:O$104)+W$105)/AR$52*AR31</f>
        <v>#DIV/0!</v>
      </c>
      <c r="BE31" s="3105" t="e">
        <f aca="false">SUM(N$73:O$76)/AU$52*AU31</f>
        <v>#DIV/0!</v>
      </c>
    </row>
    <row r="32" customFormat="false" ht="18" hidden="false" customHeight="true" outlineLevel="0" collapsed="false">
      <c r="A32" s="507"/>
      <c r="B32" s="1312"/>
      <c r="C32" s="1920"/>
      <c r="D32" s="3106"/>
      <c r="E32" s="3099"/>
      <c r="F32" s="3099"/>
      <c r="G32" s="900"/>
      <c r="H32" s="2082"/>
      <c r="I32" s="901"/>
      <c r="J32" s="898"/>
      <c r="K32" s="1234"/>
      <c r="L32" s="1234"/>
      <c r="M32" s="1235"/>
      <c r="N32" s="1236"/>
      <c r="O32" s="1234"/>
      <c r="P32" s="1235"/>
      <c r="Q32" s="1234"/>
      <c r="R32" s="1235"/>
      <c r="S32" s="1234"/>
      <c r="T32" s="3100"/>
      <c r="U32" s="3101" t="n">
        <f aca="false">IF(H32=0,0,(IF(K32=0,0,D32*(F32-G32)*12/K32*M32*(L32/16*L32/16*10.7028))+IF(N32=0,0,((F32-G32)*12/N32*D32*P32)*O32/16*O32/16*10.7028)+(Q32*D32+Q32*(F32-G32))*2*(R32/16*R32/16*10.7028)+IF(I32&gt;0,Q32*D32+Q32*(F32-G32)*2*(R32/16*R32/16*10.7028))+IF(H32=0,0,S32*4*T32/16*T32/16*10.7028))*(1+J$69))</f>
        <v>0</v>
      </c>
      <c r="V32" s="3102" t="n">
        <f aca="false">IF(H32=0,0,((D32*E32/12*(F32-G32)/27)-(I32*J32*E32/324))*(1+J$66))</f>
        <v>0</v>
      </c>
      <c r="W32" s="2181" t="n">
        <f aca="false">(F32-G32)*D32</f>
        <v>0</v>
      </c>
      <c r="X32" s="1518" t="n">
        <f aca="false">IF(H32=0,0,SUM(AY32:BE32)/H32)</f>
        <v>0</v>
      </c>
      <c r="Y32" s="16"/>
      <c r="AI32" s="0" t="n">
        <f aca="false">IF(H32&gt;0,1,0)</f>
        <v>0</v>
      </c>
      <c r="AJ32" s="0" t="n">
        <f aca="false">IF($C32=1,$V32*$H32,0)</f>
        <v>0</v>
      </c>
      <c r="AK32" s="0" t="n">
        <f aca="false">IF($C32=2,$V32*$H32,0)</f>
        <v>0</v>
      </c>
      <c r="AL32" s="0" t="n">
        <f aca="false">IF($C32=3,$V32*$H32,0)</f>
        <v>0</v>
      </c>
      <c r="AM32" s="0" t="n">
        <f aca="false">IF($C32=4,$V32*$H32,0)</f>
        <v>0</v>
      </c>
      <c r="AN32" s="0" t="n">
        <f aca="false">IF($C32=5,$V32*$H32,0)</f>
        <v>0</v>
      </c>
      <c r="AO32" s="0" t="n">
        <f aca="false">IF($C32=6,$V32*$H32,0)</f>
        <v>0</v>
      </c>
      <c r="AP32" s="0" t="n">
        <f aca="false">SUM(AJ32:AO32)</f>
        <v>0</v>
      </c>
      <c r="AQ32" s="0" t="n">
        <f aca="false">U32*H32</f>
        <v>0</v>
      </c>
      <c r="AR32" s="908" t="n">
        <f aca="false">W32*H32</f>
        <v>0</v>
      </c>
      <c r="AS32" s="0" t="n">
        <f aca="false">H32</f>
        <v>0</v>
      </c>
      <c r="AT32" s="908" t="n">
        <f aca="false">(D32*2+(F32-G32)*2)*H32</f>
        <v>0</v>
      </c>
      <c r="AU32" s="0" t="n">
        <f aca="false">D32*H32</f>
        <v>0</v>
      </c>
      <c r="AV32" s="0" t="n">
        <f aca="false">IF(E32&gt;0,IF(E32&lt;6,AT32,0),0)</f>
        <v>0</v>
      </c>
      <c r="AW32" s="0" t="n">
        <f aca="false">IF(E32&gt;0,IF(E32&gt;5.5,AT32,0),0)</f>
        <v>0</v>
      </c>
      <c r="AX32" s="0" t="n">
        <f aca="false">U32*H32*F$69*IF(T$55="Y",1,(1+V$55))</f>
        <v>0</v>
      </c>
      <c r="AY32" s="3097" t="n">
        <f aca="false">(AJ32*Pricing!F$3+AK32*Pricing!G$3+AL32*Pricing!H$3+AM32*Pricing!I$3+AN32*Pricing!J$3+AO32*Pricing!K$3)*IF(T$55="Y",1,(1+V$55))</f>
        <v>0</v>
      </c>
      <c r="AZ32" s="3103" t="n">
        <f aca="false">AR32*(G$80+D$83)+IF(H$80=0,0,(K$79+N$79)/H$80*AR32)</f>
        <v>0</v>
      </c>
      <c r="BA32" s="3097" t="e">
        <f aca="false">L$89/AR$52*AR32</f>
        <v>#DIV/0!</v>
      </c>
      <c r="BB32" s="3103" t="n">
        <f aca="false">AQ32/2000*D$84</f>
        <v>0</v>
      </c>
      <c r="BC32" s="3103" t="n">
        <f aca="false">AU32*6.5*G$85/27*D$85</f>
        <v>0</v>
      </c>
      <c r="BD32" s="3104" t="e">
        <f aca="false">IF(AR$52=0,0,SUM(N$92:O$97)+SUM(N$99:O$104)+W$105)/AR$52*AR32</f>
        <v>#DIV/0!</v>
      </c>
      <c r="BE32" s="3105" t="e">
        <f aca="false">SUM(N$73:O$76)/AU$52*AU32</f>
        <v>#DIV/0!</v>
      </c>
    </row>
    <row r="33" customFormat="false" ht="18" hidden="false" customHeight="true" outlineLevel="0" collapsed="false">
      <c r="A33" s="507"/>
      <c r="B33" s="1312"/>
      <c r="C33" s="1920"/>
      <c r="D33" s="3106"/>
      <c r="E33" s="3099"/>
      <c r="F33" s="3099"/>
      <c r="G33" s="900"/>
      <c r="H33" s="2082"/>
      <c r="I33" s="901"/>
      <c r="J33" s="898"/>
      <c r="K33" s="1234"/>
      <c r="L33" s="1234"/>
      <c r="M33" s="1235"/>
      <c r="N33" s="1236"/>
      <c r="O33" s="1234"/>
      <c r="P33" s="1235"/>
      <c r="Q33" s="1234"/>
      <c r="R33" s="1235"/>
      <c r="S33" s="1234"/>
      <c r="T33" s="3100"/>
      <c r="U33" s="3101" t="n">
        <f aca="false">IF(H33=0,0,(IF(K33=0,0,D33*(F33-G33)*12/K33*M33*(L33/16*L33/16*10.7028))+IF(N33=0,0,((F33-G33)*12/N33*D33*P33)*O33/16*O33/16*10.7028)+(Q33*D33+Q33*(F33-G33))*2*(R33/16*R33/16*10.7028)+IF(I33&gt;0,Q33*D33+Q33*(F33-G33)*2*(R33/16*R33/16*10.7028))+IF(H33=0,0,S33*4*T33/16*T33/16*10.7028))*(1+J$69))</f>
        <v>0</v>
      </c>
      <c r="V33" s="3102" t="n">
        <f aca="false">IF(H33=0,0,((D33*E33/12*(F33-G33)/27)-(I33*J33*E33/324))*(1+J$66))</f>
        <v>0</v>
      </c>
      <c r="W33" s="2181" t="n">
        <f aca="false">(F33-G33)*D33</f>
        <v>0</v>
      </c>
      <c r="X33" s="1518" t="n">
        <f aca="false">IF(H33=0,0,SUM(AY33:BE33)/H33)</f>
        <v>0</v>
      </c>
      <c r="Y33" s="16"/>
      <c r="AI33" s="0" t="n">
        <f aca="false">IF(H33&gt;0,1,0)</f>
        <v>0</v>
      </c>
      <c r="AJ33" s="0" t="n">
        <f aca="false">IF($C33=1,$V33*$H33,0)</f>
        <v>0</v>
      </c>
      <c r="AK33" s="0" t="n">
        <f aca="false">IF($C33=2,$V33*$H33,0)</f>
        <v>0</v>
      </c>
      <c r="AL33" s="0" t="n">
        <f aca="false">IF($C33=3,$V33*$H33,0)</f>
        <v>0</v>
      </c>
      <c r="AM33" s="0" t="n">
        <f aca="false">IF($C33=4,$V33*$H33,0)</f>
        <v>0</v>
      </c>
      <c r="AN33" s="0" t="n">
        <f aca="false">IF($C33=5,$V33*$H33,0)</f>
        <v>0</v>
      </c>
      <c r="AO33" s="0" t="n">
        <f aca="false">IF($C33=6,$V33*$H33,0)</f>
        <v>0</v>
      </c>
      <c r="AP33" s="0" t="n">
        <f aca="false">SUM(AJ33:AO33)</f>
        <v>0</v>
      </c>
      <c r="AQ33" s="0" t="n">
        <f aca="false">U33*H33</f>
        <v>0</v>
      </c>
      <c r="AR33" s="908" t="n">
        <f aca="false">W33*H33</f>
        <v>0</v>
      </c>
      <c r="AS33" s="0" t="n">
        <f aca="false">H33</f>
        <v>0</v>
      </c>
      <c r="AT33" s="908" t="n">
        <f aca="false">(D33*2+(F33-G33)*2)*H33</f>
        <v>0</v>
      </c>
      <c r="AU33" s="0" t="n">
        <f aca="false">D33*H33</f>
        <v>0</v>
      </c>
      <c r="AV33" s="0" t="n">
        <f aca="false">IF(E33&gt;0,IF(E33&lt;6,AT33,0),0)</f>
        <v>0</v>
      </c>
      <c r="AW33" s="0" t="n">
        <f aca="false">IF(E33&gt;0,IF(E33&gt;5.5,AT33,0),0)</f>
        <v>0</v>
      </c>
      <c r="AX33" s="0" t="n">
        <f aca="false">U33*H33*F$69*IF(T$55="Y",1,(1+V$55))</f>
        <v>0</v>
      </c>
      <c r="AY33" s="3097" t="n">
        <f aca="false">(AJ33*Pricing!F$3+AK33*Pricing!G$3+AL33*Pricing!H$3+AM33*Pricing!I$3+AN33*Pricing!J$3+AO33*Pricing!K$3)*IF(T$55="Y",1,(1+V$55))</f>
        <v>0</v>
      </c>
      <c r="AZ33" s="3103" t="n">
        <f aca="false">AR33*(G$80+D$83)+IF(H$80=0,0,(K$79+N$79)/H$80*AR33)</f>
        <v>0</v>
      </c>
      <c r="BA33" s="3097" t="e">
        <f aca="false">L$89/AR$52*AR33</f>
        <v>#DIV/0!</v>
      </c>
      <c r="BB33" s="3103" t="n">
        <f aca="false">AQ33/2000*D$84</f>
        <v>0</v>
      </c>
      <c r="BC33" s="3103" t="n">
        <f aca="false">AU33*6.5*G$85/27*D$85</f>
        <v>0</v>
      </c>
      <c r="BD33" s="3104" t="e">
        <f aca="false">IF(AR$52=0,0,SUM(N$92:O$97)+SUM(N$99:O$104)+W$105)/AR$52*AR33</f>
        <v>#DIV/0!</v>
      </c>
      <c r="BE33" s="3105" t="e">
        <f aca="false">SUM(N$73:O$76)/AU$52*AU33</f>
        <v>#DIV/0!</v>
      </c>
    </row>
    <row r="34" customFormat="false" ht="18" hidden="false" customHeight="true" outlineLevel="0" collapsed="false">
      <c r="A34" s="507"/>
      <c r="B34" s="1312"/>
      <c r="C34" s="1920"/>
      <c r="D34" s="3106"/>
      <c r="E34" s="3099"/>
      <c r="F34" s="3099"/>
      <c r="G34" s="900"/>
      <c r="H34" s="2082"/>
      <c r="I34" s="901"/>
      <c r="J34" s="898"/>
      <c r="K34" s="1234"/>
      <c r="L34" s="1234"/>
      <c r="M34" s="1235"/>
      <c r="N34" s="1236"/>
      <c r="O34" s="1234"/>
      <c r="P34" s="1235"/>
      <c r="Q34" s="1234"/>
      <c r="R34" s="1235"/>
      <c r="S34" s="1234"/>
      <c r="T34" s="3100"/>
      <c r="U34" s="3101" t="n">
        <f aca="false">IF(H34=0,0,(IF(K34=0,0,D34*(F34-G34)*12/K34*M34*(L34/16*L34/16*10.7028))+IF(N34=0,0,((F34-G34)*12/N34*D34*P34)*O34/16*O34/16*10.7028)+(Q34*D34+Q34*(F34-G34))*2*(R34/16*R34/16*10.7028)+IF(I34&gt;0,Q34*D34+Q34*(F34-G34)*2*(R34/16*R34/16*10.7028))+IF(H34=0,0,S34*4*T34/16*T34/16*10.7028))*(1+J$69))</f>
        <v>0</v>
      </c>
      <c r="V34" s="3102" t="n">
        <f aca="false">IF(H34=0,0,((D34*E34/12*(F34-G34)/27)-(I34*J34*E34/324))*(1+J$66))</f>
        <v>0</v>
      </c>
      <c r="W34" s="2181" t="n">
        <f aca="false">(F34-G34)*D34</f>
        <v>0</v>
      </c>
      <c r="X34" s="1518" t="n">
        <f aca="false">IF(H34=0,0,SUM(AY34:BE34)/H34)</f>
        <v>0</v>
      </c>
      <c r="Y34" s="16"/>
      <c r="AI34" s="0" t="n">
        <f aca="false">IF(H34&gt;0,1,0)</f>
        <v>0</v>
      </c>
      <c r="AJ34" s="0" t="n">
        <f aca="false">IF($C34=1,$V34*$H34,0)</f>
        <v>0</v>
      </c>
      <c r="AK34" s="0" t="n">
        <f aca="false">IF($C34=2,$V34*$H34,0)</f>
        <v>0</v>
      </c>
      <c r="AL34" s="0" t="n">
        <f aca="false">IF($C34=3,$V34*$H34,0)</f>
        <v>0</v>
      </c>
      <c r="AM34" s="0" t="n">
        <f aca="false">IF($C34=4,$V34*$H34,0)</f>
        <v>0</v>
      </c>
      <c r="AN34" s="0" t="n">
        <f aca="false">IF($C34=5,$V34*$H34,0)</f>
        <v>0</v>
      </c>
      <c r="AO34" s="0" t="n">
        <f aca="false">IF($C34=6,$V34*$H34,0)</f>
        <v>0</v>
      </c>
      <c r="AP34" s="0" t="n">
        <f aca="false">SUM(AJ34:AO34)</f>
        <v>0</v>
      </c>
      <c r="AQ34" s="0" t="n">
        <f aca="false">U34*H34</f>
        <v>0</v>
      </c>
      <c r="AR34" s="908" t="n">
        <f aca="false">W34*H34</f>
        <v>0</v>
      </c>
      <c r="AS34" s="0" t="n">
        <f aca="false">H34</f>
        <v>0</v>
      </c>
      <c r="AT34" s="908" t="n">
        <f aca="false">(D34*2+(F34-G34)*2)*H34</f>
        <v>0</v>
      </c>
      <c r="AU34" s="0" t="n">
        <f aca="false">D34*H34</f>
        <v>0</v>
      </c>
      <c r="AV34" s="0" t="n">
        <f aca="false">IF(E34&gt;0,IF(E34&lt;6,AT34,0),0)</f>
        <v>0</v>
      </c>
      <c r="AW34" s="0" t="n">
        <f aca="false">IF(E34&gt;0,IF(E34&gt;5.5,AT34,0),0)</f>
        <v>0</v>
      </c>
      <c r="AX34" s="0" t="n">
        <f aca="false">U34*H34*F$69*IF(T$55="Y",1,(1+V$55))</f>
        <v>0</v>
      </c>
      <c r="AY34" s="3097" t="n">
        <f aca="false">(AJ34*Pricing!F$3+AK34*Pricing!G$3+AL34*Pricing!H$3+AM34*Pricing!I$3+AN34*Pricing!J$3+AO34*Pricing!K$3)*IF(T$55="Y",1,(1+V$55))</f>
        <v>0</v>
      </c>
      <c r="AZ34" s="3103" t="n">
        <f aca="false">AR34*(G$80+D$83)+IF(H$80=0,0,(K$79+N$79)/H$80*AR34)</f>
        <v>0</v>
      </c>
      <c r="BA34" s="3097" t="e">
        <f aca="false">L$89/AR$52*AR34</f>
        <v>#DIV/0!</v>
      </c>
      <c r="BB34" s="3103" t="n">
        <f aca="false">AQ34/2000*D$84</f>
        <v>0</v>
      </c>
      <c r="BC34" s="3103" t="n">
        <f aca="false">AU34*6.5*G$85/27*D$85</f>
        <v>0</v>
      </c>
      <c r="BD34" s="3104" t="e">
        <f aca="false">IF(AR$52=0,0,SUM(N$92:O$97)+SUM(N$99:O$104)+W$105)/AR$52*AR34</f>
        <v>#DIV/0!</v>
      </c>
      <c r="BE34" s="3105" t="e">
        <f aca="false">SUM(N$73:O$76)/AU$52*AU34</f>
        <v>#DIV/0!</v>
      </c>
    </row>
    <row r="35" customFormat="false" ht="18" hidden="false" customHeight="true" outlineLevel="0" collapsed="false">
      <c r="A35" s="507"/>
      <c r="B35" s="1312"/>
      <c r="C35" s="1920"/>
      <c r="D35" s="3106"/>
      <c r="E35" s="3099"/>
      <c r="F35" s="3099"/>
      <c r="G35" s="900"/>
      <c r="H35" s="2082"/>
      <c r="I35" s="901"/>
      <c r="J35" s="898"/>
      <c r="K35" s="1234"/>
      <c r="L35" s="1234"/>
      <c r="M35" s="1235"/>
      <c r="N35" s="1236"/>
      <c r="O35" s="1234"/>
      <c r="P35" s="1235"/>
      <c r="Q35" s="1234"/>
      <c r="R35" s="1235"/>
      <c r="S35" s="1234"/>
      <c r="T35" s="3100"/>
      <c r="U35" s="3101" t="n">
        <f aca="false">IF(H35=0,0,(IF(K35=0,0,D35*(F35-G35)*12/K35*M35*(L35/16*L35/16*10.7028))+IF(N35=0,0,((F35-G35)*12/N35*D35*P35)*O35/16*O35/16*10.7028)+(Q35*D35+Q35*(F35-G35))*2*(R35/16*R35/16*10.7028)+IF(I35&gt;0,Q35*D35+Q35*(F35-G35)*2*(R35/16*R35/16*10.7028))+IF(H35=0,0,S35*4*T35/16*T35/16*10.7028))*(1+J$69))</f>
        <v>0</v>
      </c>
      <c r="V35" s="3102" t="n">
        <f aca="false">IF(H35=0,0,((D35*E35/12*(F35-G35)/27)-(I35*J35*E35/324))*(1+J$66))</f>
        <v>0</v>
      </c>
      <c r="W35" s="2181" t="n">
        <f aca="false">(F35-G35)*D35</f>
        <v>0</v>
      </c>
      <c r="X35" s="1518" t="n">
        <f aca="false">IF(H35=0,0,SUM(AY35:BE35)/H35)</f>
        <v>0</v>
      </c>
      <c r="Y35" s="16"/>
      <c r="AI35" s="0" t="n">
        <f aca="false">IF(H35&gt;0,1,0)</f>
        <v>0</v>
      </c>
      <c r="AJ35" s="0" t="n">
        <f aca="false">IF($C35=1,$V35*$H35,0)</f>
        <v>0</v>
      </c>
      <c r="AK35" s="0" t="n">
        <f aca="false">IF($C35=2,$V35*$H35,0)</f>
        <v>0</v>
      </c>
      <c r="AL35" s="0" t="n">
        <f aca="false">IF($C35=3,$V35*$H35,0)</f>
        <v>0</v>
      </c>
      <c r="AM35" s="0" t="n">
        <f aca="false">IF($C35=4,$V35*$H35,0)</f>
        <v>0</v>
      </c>
      <c r="AN35" s="0" t="n">
        <f aca="false">IF($C35=5,$V35*$H35,0)</f>
        <v>0</v>
      </c>
      <c r="AO35" s="0" t="n">
        <f aca="false">IF($C35=6,$V35*$H35,0)</f>
        <v>0</v>
      </c>
      <c r="AP35" s="0" t="n">
        <f aca="false">SUM(AJ35:AO35)</f>
        <v>0</v>
      </c>
      <c r="AQ35" s="0" t="n">
        <f aca="false">U35*H35</f>
        <v>0</v>
      </c>
      <c r="AR35" s="908" t="n">
        <f aca="false">W35*H35</f>
        <v>0</v>
      </c>
      <c r="AS35" s="0" t="n">
        <f aca="false">H35</f>
        <v>0</v>
      </c>
      <c r="AT35" s="908" t="n">
        <f aca="false">(D35*2+(F35-G35)*2)*H35</f>
        <v>0</v>
      </c>
      <c r="AU35" s="0" t="n">
        <f aca="false">D35*H35</f>
        <v>0</v>
      </c>
      <c r="AV35" s="0" t="n">
        <f aca="false">IF(E35&gt;0,IF(E35&lt;6,AT35,0),0)</f>
        <v>0</v>
      </c>
      <c r="AW35" s="0" t="n">
        <f aca="false">IF(E35&gt;0,IF(E35&gt;5.5,AT35,0),0)</f>
        <v>0</v>
      </c>
      <c r="AX35" s="0" t="n">
        <f aca="false">U35*H35*F$69*IF(T$55="Y",1,(1+V$55))</f>
        <v>0</v>
      </c>
      <c r="AY35" s="3097" t="n">
        <f aca="false">(AJ35*Pricing!F$3+AK35*Pricing!G$3+AL35*Pricing!H$3+AM35*Pricing!I$3+AN35*Pricing!J$3+AO35*Pricing!K$3)*IF(T$55="Y",1,(1+V$55))</f>
        <v>0</v>
      </c>
      <c r="AZ35" s="3103" t="n">
        <f aca="false">AR35*(G$80+D$83)+IF(H$80=0,0,(K$79+N$79)/H$80*AR35)</f>
        <v>0</v>
      </c>
      <c r="BA35" s="3097" t="e">
        <f aca="false">L$89/AR$52*AR35</f>
        <v>#DIV/0!</v>
      </c>
      <c r="BB35" s="3103" t="n">
        <f aca="false">AQ35/2000*D$84</f>
        <v>0</v>
      </c>
      <c r="BC35" s="3103" t="n">
        <f aca="false">AU35*6.5*G$85/27*D$85</f>
        <v>0</v>
      </c>
      <c r="BD35" s="3104" t="e">
        <f aca="false">IF(AR$52=0,0,SUM(N$92:O$97)+SUM(N$99:O$104)+W$105)/AR$52*AR35</f>
        <v>#DIV/0!</v>
      </c>
      <c r="BE35" s="3105" t="e">
        <f aca="false">SUM(N$73:O$76)/AU$52*AU35</f>
        <v>#DIV/0!</v>
      </c>
    </row>
    <row r="36" customFormat="false" ht="18" hidden="false" customHeight="true" outlineLevel="0" collapsed="false">
      <c r="A36" s="507"/>
      <c r="B36" s="1312"/>
      <c r="C36" s="1920"/>
      <c r="D36" s="3106"/>
      <c r="E36" s="3099"/>
      <c r="F36" s="3099"/>
      <c r="G36" s="900"/>
      <c r="H36" s="2082"/>
      <c r="I36" s="901"/>
      <c r="J36" s="898"/>
      <c r="K36" s="1234"/>
      <c r="L36" s="1234"/>
      <c r="M36" s="1235"/>
      <c r="N36" s="1236"/>
      <c r="O36" s="1234"/>
      <c r="P36" s="1235"/>
      <c r="Q36" s="1234"/>
      <c r="R36" s="1235"/>
      <c r="S36" s="1234"/>
      <c r="T36" s="3100"/>
      <c r="U36" s="3101" t="n">
        <f aca="false">IF(H36=0,0,(IF(K36=0,0,D36*(F36-G36)*12/K36*M36*(L36/16*L36/16*10.7028))+IF(N36=0,0,((F36-G36)*12/N36*D36*P36)*O36/16*O36/16*10.7028)+(Q36*D36+Q36*(F36-G36))*2*(R36/16*R36/16*10.7028)+IF(I36&gt;0,Q36*D36+Q36*(F36-G36)*2*(R36/16*R36/16*10.7028))+IF(H36=0,0,S36*4*T36/16*T36/16*10.7028))*(1+J$69))</f>
        <v>0</v>
      </c>
      <c r="V36" s="3102" t="n">
        <f aca="false">IF(H36=0,0,((D36*E36/12*(F36-G36)/27)-(I36*J36*E36/324))*(1+J$66))</f>
        <v>0</v>
      </c>
      <c r="W36" s="2181" t="n">
        <f aca="false">(F36-G36)*D36</f>
        <v>0</v>
      </c>
      <c r="X36" s="1518" t="n">
        <f aca="false">IF(H36=0,0,SUM(AY36:BE36)/H36)</f>
        <v>0</v>
      </c>
      <c r="Y36" s="16"/>
      <c r="AI36" s="0" t="n">
        <f aca="false">IF(H36&gt;0,1,0)</f>
        <v>0</v>
      </c>
      <c r="AJ36" s="0" t="n">
        <f aca="false">IF($C36=1,$V36*$H36,0)</f>
        <v>0</v>
      </c>
      <c r="AK36" s="0" t="n">
        <f aca="false">IF($C36=2,$V36*$H36,0)</f>
        <v>0</v>
      </c>
      <c r="AL36" s="0" t="n">
        <f aca="false">IF($C36=3,$V36*$H36,0)</f>
        <v>0</v>
      </c>
      <c r="AM36" s="0" t="n">
        <f aca="false">IF($C36=4,$V36*$H36,0)</f>
        <v>0</v>
      </c>
      <c r="AN36" s="0" t="n">
        <f aca="false">IF($C36=5,$V36*$H36,0)</f>
        <v>0</v>
      </c>
      <c r="AO36" s="0" t="n">
        <f aca="false">IF($C36=6,$V36*$H36,0)</f>
        <v>0</v>
      </c>
      <c r="AP36" s="0" t="n">
        <f aca="false">SUM(AJ36:AO36)</f>
        <v>0</v>
      </c>
      <c r="AQ36" s="0" t="n">
        <f aca="false">U36*H36</f>
        <v>0</v>
      </c>
      <c r="AR36" s="908" t="n">
        <f aca="false">W36*H36</f>
        <v>0</v>
      </c>
      <c r="AS36" s="0" t="n">
        <f aca="false">H36</f>
        <v>0</v>
      </c>
      <c r="AT36" s="908" t="n">
        <f aca="false">(D36*2+(F36-G36)*2)*H36</f>
        <v>0</v>
      </c>
      <c r="AU36" s="0" t="n">
        <f aca="false">D36*H36</f>
        <v>0</v>
      </c>
      <c r="AV36" s="0" t="n">
        <f aca="false">IF(E36&gt;0,IF(E36&lt;6,AT36,0),0)</f>
        <v>0</v>
      </c>
      <c r="AW36" s="0" t="n">
        <f aca="false">IF(E36&gt;0,IF(E36&gt;5.5,AT36,0),0)</f>
        <v>0</v>
      </c>
      <c r="AX36" s="0" t="n">
        <f aca="false">U36*H36*F$69*IF(T$55="Y",1,(1+V$55))</f>
        <v>0</v>
      </c>
      <c r="AY36" s="3097" t="n">
        <f aca="false">(AJ36*Pricing!F$3+AK36*Pricing!G$3+AL36*Pricing!H$3+AM36*Pricing!I$3+AN36*Pricing!J$3+AO36*Pricing!K$3)*IF(T$55="Y",1,(1+V$55))</f>
        <v>0</v>
      </c>
      <c r="AZ36" s="3103" t="n">
        <f aca="false">AR36*(G$80+D$83)+IF(H$80=0,0,(K$79+N$79)/H$80*AR36)</f>
        <v>0</v>
      </c>
      <c r="BA36" s="3097" t="e">
        <f aca="false">L$89/AR$52*AR36</f>
        <v>#DIV/0!</v>
      </c>
      <c r="BB36" s="3103" t="n">
        <f aca="false">AQ36/2000*D$84</f>
        <v>0</v>
      </c>
      <c r="BC36" s="3103" t="n">
        <f aca="false">AU36*6.5*G$85/27*D$85</f>
        <v>0</v>
      </c>
      <c r="BD36" s="3104" t="e">
        <f aca="false">IF(AR$52=0,0,SUM(N$92:O$97)+SUM(N$99:O$104)+W$105)/AR$52*AR36</f>
        <v>#DIV/0!</v>
      </c>
      <c r="BE36" s="3105" t="e">
        <f aca="false">SUM(N$73:O$76)/AU$52*AU36</f>
        <v>#DIV/0!</v>
      </c>
    </row>
    <row r="37" customFormat="false" ht="18" hidden="false" customHeight="true" outlineLevel="0" collapsed="false">
      <c r="A37" s="507"/>
      <c r="B37" s="1312"/>
      <c r="C37" s="1920"/>
      <c r="D37" s="3106"/>
      <c r="E37" s="3099"/>
      <c r="F37" s="3099"/>
      <c r="G37" s="900"/>
      <c r="H37" s="2082"/>
      <c r="I37" s="901"/>
      <c r="J37" s="898"/>
      <c r="K37" s="1234"/>
      <c r="L37" s="1234"/>
      <c r="M37" s="1235"/>
      <c r="N37" s="1236"/>
      <c r="O37" s="1234"/>
      <c r="P37" s="1235"/>
      <c r="Q37" s="1234"/>
      <c r="R37" s="1235"/>
      <c r="S37" s="1234"/>
      <c r="T37" s="3100"/>
      <c r="U37" s="3101" t="n">
        <f aca="false">IF(H37=0,0,(IF(K37=0,0,D37*(F37-G37)*12/K37*M37*(L37/16*L37/16*10.7028))+IF(N37=0,0,((F37-G37)*12/N37*D37*P37)*O37/16*O37/16*10.7028)+(Q37*D37+Q37*(F37-G37))*2*(R37/16*R37/16*10.7028)+IF(I37&gt;0,Q37*D37+Q37*(F37-G37)*2*(R37/16*R37/16*10.7028))+IF(H37=0,0,S37*4*T37/16*T37/16*10.7028))*(1+J$69))</f>
        <v>0</v>
      </c>
      <c r="V37" s="3102" t="n">
        <f aca="false">IF(H37=0,0,((D37*E37/12*(F37-G37)/27)-(I37*J37*E37/324))*(1+J$66))</f>
        <v>0</v>
      </c>
      <c r="W37" s="2181" t="n">
        <f aca="false">(F37-G37)*D37</f>
        <v>0</v>
      </c>
      <c r="X37" s="1518" t="n">
        <f aca="false">IF(H37=0,0,SUM(AY37:BE37)/H37)</f>
        <v>0</v>
      </c>
      <c r="Y37" s="16"/>
      <c r="AI37" s="0" t="n">
        <f aca="false">IF(H37&gt;0,1,0)</f>
        <v>0</v>
      </c>
      <c r="AJ37" s="0" t="n">
        <f aca="false">IF($C37=1,$V37*$H37,0)</f>
        <v>0</v>
      </c>
      <c r="AK37" s="0" t="n">
        <f aca="false">IF($C37=2,$V37*$H37,0)</f>
        <v>0</v>
      </c>
      <c r="AL37" s="0" t="n">
        <f aca="false">IF($C37=3,$V37*$H37,0)</f>
        <v>0</v>
      </c>
      <c r="AM37" s="0" t="n">
        <f aca="false">IF($C37=4,$V37*$H37,0)</f>
        <v>0</v>
      </c>
      <c r="AN37" s="0" t="n">
        <f aca="false">IF($C37=5,$V37*$H37,0)</f>
        <v>0</v>
      </c>
      <c r="AO37" s="0" t="n">
        <f aca="false">IF($C37=6,$V37*$H37,0)</f>
        <v>0</v>
      </c>
      <c r="AP37" s="0" t="n">
        <f aca="false">SUM(AJ37:AO37)</f>
        <v>0</v>
      </c>
      <c r="AQ37" s="0" t="n">
        <f aca="false">U37*H37</f>
        <v>0</v>
      </c>
      <c r="AR37" s="908" t="n">
        <f aca="false">W37*H37</f>
        <v>0</v>
      </c>
      <c r="AS37" s="0" t="n">
        <f aca="false">H37</f>
        <v>0</v>
      </c>
      <c r="AT37" s="908" t="n">
        <f aca="false">(D37*2+(F37-G37)*2)*H37</f>
        <v>0</v>
      </c>
      <c r="AU37" s="0" t="n">
        <f aca="false">D37*H37</f>
        <v>0</v>
      </c>
      <c r="AV37" s="0" t="n">
        <f aca="false">IF(E37&gt;0,IF(E37&lt;6,AT37,0),0)</f>
        <v>0</v>
      </c>
      <c r="AW37" s="0" t="n">
        <f aca="false">IF(E37&gt;0,IF(E37&gt;5.5,AT37,0),0)</f>
        <v>0</v>
      </c>
      <c r="AX37" s="0" t="n">
        <f aca="false">U37*H37*F$69*IF(T$55="Y",1,(1+V$55))</f>
        <v>0</v>
      </c>
      <c r="AY37" s="3097" t="n">
        <f aca="false">(AJ37*Pricing!F$3+AK37*Pricing!G$3+AL37*Pricing!H$3+AM37*Pricing!I$3+AN37*Pricing!J$3+AO37*Pricing!K$3)*IF(T$55="Y",1,(1+V$55))</f>
        <v>0</v>
      </c>
      <c r="AZ37" s="3103" t="n">
        <f aca="false">AR37*(G$80+D$83)+IF(H$80=0,0,(K$79+N$79)/H$80*AR37)</f>
        <v>0</v>
      </c>
      <c r="BA37" s="3097" t="e">
        <f aca="false">L$89/AR$52*AR37</f>
        <v>#DIV/0!</v>
      </c>
      <c r="BB37" s="3103" t="n">
        <f aca="false">AQ37/2000*D$84</f>
        <v>0</v>
      </c>
      <c r="BC37" s="3103" t="n">
        <f aca="false">AU37*6.5*G$85/27*D$85</f>
        <v>0</v>
      </c>
      <c r="BD37" s="3104" t="e">
        <f aca="false">IF(AR$52=0,0,SUM(N$92:O$97)+SUM(N$99:O$104)+W$105)/AR$52*AR37</f>
        <v>#DIV/0!</v>
      </c>
      <c r="BE37" s="3105" t="e">
        <f aca="false">SUM(N$73:O$76)/AU$52*AU37</f>
        <v>#DIV/0!</v>
      </c>
    </row>
    <row r="38" customFormat="false" ht="18" hidden="false" customHeight="true" outlineLevel="0" collapsed="false">
      <c r="A38" s="507"/>
      <c r="B38" s="1312"/>
      <c r="C38" s="1920"/>
      <c r="D38" s="3106"/>
      <c r="E38" s="3099"/>
      <c r="F38" s="3099"/>
      <c r="G38" s="900"/>
      <c r="H38" s="2082"/>
      <c r="I38" s="901"/>
      <c r="J38" s="898"/>
      <c r="K38" s="1234"/>
      <c r="L38" s="1234"/>
      <c r="M38" s="1235"/>
      <c r="N38" s="1236"/>
      <c r="O38" s="1234"/>
      <c r="P38" s="1235"/>
      <c r="Q38" s="1234"/>
      <c r="R38" s="1235"/>
      <c r="S38" s="1234"/>
      <c r="T38" s="3100"/>
      <c r="U38" s="3101" t="n">
        <f aca="false">IF(H38=0,0,(IF(K38=0,0,D38*(F38-G38)*12/K38*M38*(L38/16*L38/16*10.7028))+IF(N38=0,0,((F38-G38)*12/N38*D38*P38)*O38/16*O38/16*10.7028)+(Q38*D38+Q38*(F38-G38))*2*(R38/16*R38/16*10.7028)+IF(I38&gt;0,Q38*D38+Q38*(F38-G38)*2*(R38/16*R38/16*10.7028))+IF(H38=0,0,S38*4*T38/16*T38/16*10.7028))*(1+J$69))</f>
        <v>0</v>
      </c>
      <c r="V38" s="3102" t="n">
        <f aca="false">IF(H38=0,0,((D38*E38/12*(F38-G38)/27)-(I38*J38*E38/324))*(1+J$66))</f>
        <v>0</v>
      </c>
      <c r="W38" s="2181" t="n">
        <f aca="false">(F38-G38)*D38</f>
        <v>0</v>
      </c>
      <c r="X38" s="1518" t="n">
        <f aca="false">IF(H38=0,0,SUM(AY38:BE38)/H38)</f>
        <v>0</v>
      </c>
      <c r="Y38" s="16"/>
      <c r="AI38" s="0" t="n">
        <f aca="false">IF(H38&gt;0,1,0)</f>
        <v>0</v>
      </c>
      <c r="AJ38" s="0" t="n">
        <f aca="false">IF($C38=1,$V38*$H38,0)</f>
        <v>0</v>
      </c>
      <c r="AK38" s="0" t="n">
        <f aca="false">IF($C38=2,$V38*$H38,0)</f>
        <v>0</v>
      </c>
      <c r="AL38" s="0" t="n">
        <f aca="false">IF($C38=3,$V38*$H38,0)</f>
        <v>0</v>
      </c>
      <c r="AM38" s="0" t="n">
        <f aca="false">IF($C38=4,$V38*$H38,0)</f>
        <v>0</v>
      </c>
      <c r="AN38" s="0" t="n">
        <f aca="false">IF($C38=5,$V38*$H38,0)</f>
        <v>0</v>
      </c>
      <c r="AO38" s="0" t="n">
        <f aca="false">IF($C38=6,$V38*$H38,0)</f>
        <v>0</v>
      </c>
      <c r="AP38" s="0" t="n">
        <f aca="false">SUM(AJ38:AO38)</f>
        <v>0</v>
      </c>
      <c r="AQ38" s="0" t="n">
        <f aca="false">U38*H38</f>
        <v>0</v>
      </c>
      <c r="AR38" s="908" t="n">
        <f aca="false">W38*H38</f>
        <v>0</v>
      </c>
      <c r="AS38" s="0" t="n">
        <f aca="false">H38</f>
        <v>0</v>
      </c>
      <c r="AT38" s="908" t="n">
        <f aca="false">(D38*2+(F38-G38)*2)*H38</f>
        <v>0</v>
      </c>
      <c r="AU38" s="0" t="n">
        <f aca="false">D38*H38</f>
        <v>0</v>
      </c>
      <c r="AV38" s="0" t="n">
        <f aca="false">IF(E38&gt;0,IF(E38&lt;6,AT38,0),0)</f>
        <v>0</v>
      </c>
      <c r="AW38" s="0" t="n">
        <f aca="false">IF(E38&gt;0,IF(E38&gt;5.5,AT38,0),0)</f>
        <v>0</v>
      </c>
      <c r="AX38" s="0" t="n">
        <f aca="false">U38*H38*F$69*IF(T$55="Y",1,(1+V$55))</f>
        <v>0</v>
      </c>
      <c r="AY38" s="3097" t="n">
        <f aca="false">(AJ38*Pricing!F$3+AK38*Pricing!G$3+AL38*Pricing!H$3+AM38*Pricing!I$3+AN38*Pricing!J$3+AO38*Pricing!K$3)*IF(T$55="Y",1,(1+V$55))</f>
        <v>0</v>
      </c>
      <c r="AZ38" s="3103" t="n">
        <f aca="false">AR38*(G$80+D$83)+IF(H$80=0,0,(K$79+N$79)/H$80*AR38)</f>
        <v>0</v>
      </c>
      <c r="BA38" s="3097" t="e">
        <f aca="false">L$89/AR$52*AR38</f>
        <v>#DIV/0!</v>
      </c>
      <c r="BB38" s="3103" t="n">
        <f aca="false">AQ38/2000*D$84</f>
        <v>0</v>
      </c>
      <c r="BC38" s="3103" t="n">
        <f aca="false">AU38*6.5*G$85/27*D$85</f>
        <v>0</v>
      </c>
      <c r="BD38" s="3104" t="e">
        <f aca="false">IF(AR$52=0,0,SUM(N$92:O$97)+SUM(N$99:O$104)+W$105)/AR$52*AR38</f>
        <v>#DIV/0!</v>
      </c>
      <c r="BE38" s="3105" t="e">
        <f aca="false">SUM(N$73:O$76)/AU$52*AU38</f>
        <v>#DIV/0!</v>
      </c>
    </row>
    <row r="39" customFormat="false" ht="18" hidden="false" customHeight="true" outlineLevel="0" collapsed="false">
      <c r="A39" s="507"/>
      <c r="B39" s="1312"/>
      <c r="C39" s="1920"/>
      <c r="D39" s="3106"/>
      <c r="E39" s="3099"/>
      <c r="F39" s="3099"/>
      <c r="G39" s="900"/>
      <c r="H39" s="2082"/>
      <c r="I39" s="901"/>
      <c r="J39" s="898"/>
      <c r="K39" s="1234"/>
      <c r="L39" s="1234"/>
      <c r="M39" s="1235"/>
      <c r="N39" s="1236"/>
      <c r="O39" s="1234"/>
      <c r="P39" s="1235"/>
      <c r="Q39" s="1234"/>
      <c r="R39" s="1235"/>
      <c r="S39" s="1234"/>
      <c r="T39" s="3100"/>
      <c r="U39" s="3101" t="n">
        <f aca="false">IF(H39=0,0,(IF(K39=0,0,D39*(F39-G39)*12/K39*M39*(L39/16*L39/16*10.7028))+IF(N39=0,0,((F39-G39)*12/N39*D39*P39)*O39/16*O39/16*10.7028)+(Q39*D39+Q39*(F39-G39))*2*(R39/16*R39/16*10.7028)+IF(I39&gt;0,Q39*D39+Q39*(F39-G39)*2*(R39/16*R39/16*10.7028))+IF(H39=0,0,S39*4*T39/16*T39/16*10.7028))*(1+J$69))</f>
        <v>0</v>
      </c>
      <c r="V39" s="3102" t="n">
        <f aca="false">IF(H39=0,0,((D39*E39/12*(F39-G39)/27)-(I39*J39*E39/324))*(1+J$66))</f>
        <v>0</v>
      </c>
      <c r="W39" s="2181" t="n">
        <f aca="false">(F39-G39)*D39</f>
        <v>0</v>
      </c>
      <c r="X39" s="1518" t="n">
        <f aca="false">IF(H39=0,0,SUM(AY39:BE39)/H39)</f>
        <v>0</v>
      </c>
      <c r="Y39" s="16"/>
      <c r="AI39" s="0" t="n">
        <f aca="false">IF(H39&gt;0,1,0)</f>
        <v>0</v>
      </c>
      <c r="AJ39" s="0" t="n">
        <f aca="false">IF($C39=1,$V39*$H39,0)</f>
        <v>0</v>
      </c>
      <c r="AK39" s="0" t="n">
        <f aca="false">IF($C39=2,$V39*$H39,0)</f>
        <v>0</v>
      </c>
      <c r="AL39" s="0" t="n">
        <f aca="false">IF($C39=3,$V39*$H39,0)</f>
        <v>0</v>
      </c>
      <c r="AM39" s="0" t="n">
        <f aca="false">IF($C39=4,$V39*$H39,0)</f>
        <v>0</v>
      </c>
      <c r="AN39" s="0" t="n">
        <f aca="false">IF($C39=5,$V39*$H39,0)</f>
        <v>0</v>
      </c>
      <c r="AO39" s="0" t="n">
        <f aca="false">IF($C39=6,$V39*$H39,0)</f>
        <v>0</v>
      </c>
      <c r="AP39" s="0" t="n">
        <f aca="false">SUM(AJ39:AO39)</f>
        <v>0</v>
      </c>
      <c r="AQ39" s="0" t="n">
        <f aca="false">U39*H39</f>
        <v>0</v>
      </c>
      <c r="AR39" s="908" t="n">
        <f aca="false">W39*H39</f>
        <v>0</v>
      </c>
      <c r="AS39" s="0" t="n">
        <f aca="false">H39</f>
        <v>0</v>
      </c>
      <c r="AT39" s="908" t="n">
        <f aca="false">(D39*2+(F39-G39)*2)*H39</f>
        <v>0</v>
      </c>
      <c r="AU39" s="0" t="n">
        <f aca="false">D39*H39</f>
        <v>0</v>
      </c>
      <c r="AV39" s="0" t="n">
        <f aca="false">IF(E39&gt;0,IF(E39&lt;6,AT39,0),0)</f>
        <v>0</v>
      </c>
      <c r="AW39" s="0" t="n">
        <f aca="false">IF(E39&gt;0,IF(E39&gt;5.5,AT39,0),0)</f>
        <v>0</v>
      </c>
      <c r="AX39" s="0" t="n">
        <f aca="false">U39*H39*F$69*IF(T$55="Y",1,(1+V$55))</f>
        <v>0</v>
      </c>
      <c r="AY39" s="3097" t="n">
        <f aca="false">(AJ39*Pricing!F$3+AK39*Pricing!G$3+AL39*Pricing!H$3+AM39*Pricing!I$3+AN39*Pricing!J$3+AO39*Pricing!K$3)*IF(T$55="Y",1,(1+V$55))</f>
        <v>0</v>
      </c>
      <c r="AZ39" s="3103" t="n">
        <f aca="false">AR39*(G$80+D$83)+IF(H$80=0,0,(K$79+N$79)/H$80*AR39)</f>
        <v>0</v>
      </c>
      <c r="BA39" s="3097" t="e">
        <f aca="false">L$89/AR$52*AR39</f>
        <v>#DIV/0!</v>
      </c>
      <c r="BB39" s="3103" t="n">
        <f aca="false">AQ39/2000*D$84</f>
        <v>0</v>
      </c>
      <c r="BC39" s="3103" t="n">
        <f aca="false">AU39*6.5*G$85/27*D$85</f>
        <v>0</v>
      </c>
      <c r="BD39" s="3104" t="e">
        <f aca="false">IF(AR$52=0,0,SUM(N$92:O$97)+SUM(N$99:O$104)+W$105)/AR$52*AR39</f>
        <v>#DIV/0!</v>
      </c>
      <c r="BE39" s="3105" t="e">
        <f aca="false">SUM(N$73:O$76)/AU$52*AU39</f>
        <v>#DIV/0!</v>
      </c>
    </row>
    <row r="40" customFormat="false" ht="18" hidden="false" customHeight="true" outlineLevel="0" collapsed="false">
      <c r="A40" s="507"/>
      <c r="B40" s="1312"/>
      <c r="C40" s="1920"/>
      <c r="D40" s="3106"/>
      <c r="E40" s="3099"/>
      <c r="F40" s="3099"/>
      <c r="G40" s="900"/>
      <c r="H40" s="2082"/>
      <c r="I40" s="901"/>
      <c r="J40" s="898"/>
      <c r="K40" s="1234"/>
      <c r="L40" s="1234"/>
      <c r="M40" s="1235"/>
      <c r="N40" s="1236"/>
      <c r="O40" s="1234"/>
      <c r="P40" s="1235"/>
      <c r="Q40" s="1234"/>
      <c r="R40" s="1235"/>
      <c r="S40" s="1234"/>
      <c r="T40" s="3100"/>
      <c r="U40" s="3101" t="n">
        <f aca="false">IF(H40=0,0,(IF(K40=0,0,D40*(F40-G40)*12/K40*M40*(L40/16*L40/16*10.7028))+IF(N40=0,0,((F40-G40)*12/N40*D40*P40)*O40/16*O40/16*10.7028)+(Q40*D40+Q40*(F40-G40))*2*(R40/16*R40/16*10.7028)+IF(I40&gt;0,Q40*D40+Q40*(F40-G40)*2*(R40/16*R40/16*10.7028))+IF(H40=0,0,S40*4*T40/16*T40/16*10.7028))*(1+J$69))</f>
        <v>0</v>
      </c>
      <c r="V40" s="3102" t="n">
        <f aca="false">IF(H40=0,0,((D40*E40/12*(F40-G40)/27)-(I40*J40*E40/324))*(1+J$66))</f>
        <v>0</v>
      </c>
      <c r="W40" s="2181" t="n">
        <f aca="false">(F40-G40)*D40</f>
        <v>0</v>
      </c>
      <c r="X40" s="1518" t="n">
        <f aca="false">IF(H40=0,0,SUM(AY40:BE40)/H40)</f>
        <v>0</v>
      </c>
      <c r="Y40" s="16"/>
      <c r="AI40" s="0" t="n">
        <f aca="false">IF(H40&gt;0,1,0)</f>
        <v>0</v>
      </c>
      <c r="AJ40" s="0" t="n">
        <f aca="false">IF($C40=1,$V40*$H40,0)</f>
        <v>0</v>
      </c>
      <c r="AK40" s="0" t="n">
        <f aca="false">IF($C40=2,$V40*$H40,0)</f>
        <v>0</v>
      </c>
      <c r="AL40" s="0" t="n">
        <f aca="false">IF($C40=3,$V40*$H40,0)</f>
        <v>0</v>
      </c>
      <c r="AM40" s="0" t="n">
        <f aca="false">IF($C40=4,$V40*$H40,0)</f>
        <v>0</v>
      </c>
      <c r="AN40" s="0" t="n">
        <f aca="false">IF($C40=5,$V40*$H40,0)</f>
        <v>0</v>
      </c>
      <c r="AO40" s="0" t="n">
        <f aca="false">IF($C40=6,$V40*$H40,0)</f>
        <v>0</v>
      </c>
      <c r="AP40" s="0" t="n">
        <f aca="false">SUM(AJ40:AO40)</f>
        <v>0</v>
      </c>
      <c r="AQ40" s="0" t="n">
        <f aca="false">U40*H40</f>
        <v>0</v>
      </c>
      <c r="AR40" s="908" t="n">
        <f aca="false">W40*H40</f>
        <v>0</v>
      </c>
      <c r="AS40" s="0" t="n">
        <f aca="false">H40</f>
        <v>0</v>
      </c>
      <c r="AT40" s="908" t="n">
        <f aca="false">(D40*2+(F40-G40)*2)*H40</f>
        <v>0</v>
      </c>
      <c r="AU40" s="0" t="n">
        <f aca="false">D40*H40</f>
        <v>0</v>
      </c>
      <c r="AV40" s="0" t="n">
        <f aca="false">IF(E40&gt;0,IF(E40&lt;6,AT40,0),0)</f>
        <v>0</v>
      </c>
      <c r="AW40" s="0" t="n">
        <f aca="false">IF(E40&gt;0,IF(E40&gt;5.5,AT40,0),0)</f>
        <v>0</v>
      </c>
      <c r="AX40" s="0" t="n">
        <f aca="false">U40*H40*F$69*IF(T$55="Y",1,(1+V$55))</f>
        <v>0</v>
      </c>
      <c r="AY40" s="3097" t="n">
        <f aca="false">(AJ40*Pricing!F$3+AK40*Pricing!G$3+AL40*Pricing!H$3+AM40*Pricing!I$3+AN40*Pricing!J$3+AO40*Pricing!K$3)*IF(T$55="Y",1,(1+V$55))</f>
        <v>0</v>
      </c>
      <c r="AZ40" s="3103" t="n">
        <f aca="false">AR40*(G$80+D$83)+IF(H$80=0,0,(K$79+N$79)/H$80*AR40)</f>
        <v>0</v>
      </c>
      <c r="BA40" s="3097" t="e">
        <f aca="false">L$89/AR$52*AR40</f>
        <v>#DIV/0!</v>
      </c>
      <c r="BB40" s="3103" t="n">
        <f aca="false">AQ40/2000*D$84</f>
        <v>0</v>
      </c>
      <c r="BC40" s="3103" t="n">
        <f aca="false">AU40*6.5*G$85/27*D$85</f>
        <v>0</v>
      </c>
      <c r="BD40" s="3104" t="e">
        <f aca="false">IF(AR$52=0,0,SUM(N$92:O$97)+SUM(N$99:O$104)+W$105)/AR$52*AR40</f>
        <v>#DIV/0!</v>
      </c>
      <c r="BE40" s="3105" t="e">
        <f aca="false">SUM(N$73:O$76)/AU$52*AU40</f>
        <v>#DIV/0!</v>
      </c>
    </row>
    <row r="41" customFormat="false" ht="18" hidden="false" customHeight="true" outlineLevel="0" collapsed="false">
      <c r="A41" s="507"/>
      <c r="B41" s="1312"/>
      <c r="C41" s="1920"/>
      <c r="D41" s="3106"/>
      <c r="E41" s="3099"/>
      <c r="F41" s="3099"/>
      <c r="G41" s="900"/>
      <c r="H41" s="2082"/>
      <c r="I41" s="901"/>
      <c r="J41" s="898"/>
      <c r="K41" s="1234"/>
      <c r="L41" s="1234"/>
      <c r="M41" s="1235"/>
      <c r="N41" s="1236"/>
      <c r="O41" s="1234"/>
      <c r="P41" s="1235"/>
      <c r="Q41" s="1234"/>
      <c r="R41" s="1235"/>
      <c r="S41" s="1234"/>
      <c r="T41" s="3100"/>
      <c r="U41" s="3101" t="n">
        <f aca="false">IF(H41=0,0,(IF(K41=0,0,D41*(F41-G41)*12/K41*M41*(L41/16*L41/16*10.7028))+IF(N41=0,0,((F41-G41)*12/N41*D41*P41)*O41/16*O41/16*10.7028)+(Q41*D41+Q41*(F41-G41))*2*(R41/16*R41/16*10.7028)+IF(I41&gt;0,Q41*D41+Q41*(F41-G41)*2*(R41/16*R41/16*10.7028))+IF(H41=0,0,S41*4*T41/16*T41/16*10.7028))*(1+J$69))</f>
        <v>0</v>
      </c>
      <c r="V41" s="3102" t="n">
        <f aca="false">IF(H41=0,0,((D41*E41/12*(F41-G41)/27)-(I41*J41*E41/324))*(1+J$66))</f>
        <v>0</v>
      </c>
      <c r="W41" s="2181" t="n">
        <f aca="false">(F41-G41)*D41</f>
        <v>0</v>
      </c>
      <c r="X41" s="1518" t="n">
        <f aca="false">IF(H41=0,0,SUM(AY41:BE41)/H41)</f>
        <v>0</v>
      </c>
      <c r="Y41" s="16"/>
      <c r="AI41" s="0" t="n">
        <f aca="false">IF(H41&gt;0,1,0)</f>
        <v>0</v>
      </c>
      <c r="AJ41" s="0" t="n">
        <f aca="false">IF($C41=1,$V41*$H41,0)</f>
        <v>0</v>
      </c>
      <c r="AK41" s="0" t="n">
        <f aca="false">IF($C41=2,$V41*$H41,0)</f>
        <v>0</v>
      </c>
      <c r="AL41" s="0" t="n">
        <f aca="false">IF($C41=3,$V41*$H41,0)</f>
        <v>0</v>
      </c>
      <c r="AM41" s="0" t="n">
        <f aca="false">IF($C41=4,$V41*$H41,0)</f>
        <v>0</v>
      </c>
      <c r="AN41" s="0" t="n">
        <f aca="false">IF($C41=5,$V41*$H41,0)</f>
        <v>0</v>
      </c>
      <c r="AO41" s="0" t="n">
        <f aca="false">IF($C41=6,$V41*$H41,0)</f>
        <v>0</v>
      </c>
      <c r="AP41" s="0" t="n">
        <f aca="false">SUM(AJ41:AO41)</f>
        <v>0</v>
      </c>
      <c r="AQ41" s="0" t="n">
        <f aca="false">U41*H41</f>
        <v>0</v>
      </c>
      <c r="AR41" s="908" t="n">
        <f aca="false">W41*H41</f>
        <v>0</v>
      </c>
      <c r="AS41" s="0" t="n">
        <f aca="false">H41</f>
        <v>0</v>
      </c>
      <c r="AT41" s="908" t="n">
        <f aca="false">(D41*2+(F41-G41)*2)*H41</f>
        <v>0</v>
      </c>
      <c r="AU41" s="0" t="n">
        <f aca="false">D41*H41</f>
        <v>0</v>
      </c>
      <c r="AV41" s="0" t="n">
        <f aca="false">IF(E41&gt;0,IF(E41&lt;6,AT41,0),0)</f>
        <v>0</v>
      </c>
      <c r="AW41" s="0" t="n">
        <f aca="false">IF(E41&gt;0,IF(E41&gt;5.5,AT41,0),0)</f>
        <v>0</v>
      </c>
      <c r="AX41" s="0" t="n">
        <f aca="false">U41*H41*F$69*IF(T$55="Y",1,(1+V$55))</f>
        <v>0</v>
      </c>
      <c r="AY41" s="3097" t="n">
        <f aca="false">(AJ41*Pricing!F$3+AK41*Pricing!G$3+AL41*Pricing!H$3+AM41*Pricing!I$3+AN41*Pricing!J$3+AO41*Pricing!K$3)*IF(T$55="Y",1,(1+V$55))</f>
        <v>0</v>
      </c>
      <c r="AZ41" s="3103" t="n">
        <f aca="false">AR41*(G$80+D$83)+IF(H$80=0,0,(K$79+N$79)/H$80*AR41)</f>
        <v>0</v>
      </c>
      <c r="BA41" s="3097" t="e">
        <f aca="false">L$89/AR$52*AR41</f>
        <v>#DIV/0!</v>
      </c>
      <c r="BB41" s="3103" t="n">
        <f aca="false">AQ41/2000*D$84</f>
        <v>0</v>
      </c>
      <c r="BC41" s="3103" t="n">
        <f aca="false">AU41*6.5*G$85/27*D$85</f>
        <v>0</v>
      </c>
      <c r="BD41" s="3104" t="e">
        <f aca="false">IF(AR$52=0,0,SUM(N$92:O$97)+SUM(N$99:O$104)+W$105)/AR$52*AR41</f>
        <v>#DIV/0!</v>
      </c>
      <c r="BE41" s="3105" t="e">
        <f aca="false">SUM(N$73:O$76)/AU$52*AU41</f>
        <v>#DIV/0!</v>
      </c>
    </row>
    <row r="42" customFormat="false" ht="18" hidden="false" customHeight="true" outlineLevel="0" collapsed="false">
      <c r="A42" s="507"/>
      <c r="B42" s="1312"/>
      <c r="C42" s="1920"/>
      <c r="D42" s="3106"/>
      <c r="E42" s="3099"/>
      <c r="F42" s="3099"/>
      <c r="G42" s="900"/>
      <c r="H42" s="2082"/>
      <c r="I42" s="901"/>
      <c r="J42" s="898"/>
      <c r="K42" s="1234"/>
      <c r="L42" s="1234"/>
      <c r="M42" s="1235"/>
      <c r="N42" s="1236"/>
      <c r="O42" s="1234"/>
      <c r="P42" s="1235"/>
      <c r="Q42" s="1234"/>
      <c r="R42" s="1235"/>
      <c r="S42" s="1234"/>
      <c r="T42" s="3100"/>
      <c r="U42" s="3101" t="n">
        <f aca="false">IF(H42=0,0,(IF(K42=0,0,D42*(F42-G42)*12/K42*M42*(L42/16*L42/16*10.7028))+IF(N42=0,0,((F42-G42)*12/N42*D42*P42)*O42/16*O42/16*10.7028)+(Q42*D42+Q42*(F42-G42))*2*(R42/16*R42/16*10.7028)+IF(I42&gt;0,Q42*D42+Q42*(F42-G42)*2*(R42/16*R42/16*10.7028))+IF(H42=0,0,S42*4*T42/16*T42/16*10.7028))*(1+J$69))</f>
        <v>0</v>
      </c>
      <c r="V42" s="3102" t="n">
        <f aca="false">IF(H42=0,0,((D42*E42/12*(F42-G42)/27)-(I42*J42*E42/324))*(1+J$66))</f>
        <v>0</v>
      </c>
      <c r="W42" s="2181" t="n">
        <f aca="false">(F42-G42)*D42</f>
        <v>0</v>
      </c>
      <c r="X42" s="1518" t="n">
        <f aca="false">IF(H42=0,0,SUM(AY42:BE42)/H42)</f>
        <v>0</v>
      </c>
      <c r="Y42" s="16"/>
      <c r="AI42" s="0" t="n">
        <f aca="false">IF(H42&gt;0,1,0)</f>
        <v>0</v>
      </c>
      <c r="AJ42" s="0" t="n">
        <f aca="false">IF($C42=1,$V42*$H42,0)</f>
        <v>0</v>
      </c>
      <c r="AK42" s="0" t="n">
        <f aca="false">IF($C42=2,$V42*$H42,0)</f>
        <v>0</v>
      </c>
      <c r="AL42" s="0" t="n">
        <f aca="false">IF($C42=3,$V42*$H42,0)</f>
        <v>0</v>
      </c>
      <c r="AM42" s="0" t="n">
        <f aca="false">IF($C42=4,$V42*$H42,0)</f>
        <v>0</v>
      </c>
      <c r="AN42" s="0" t="n">
        <f aca="false">IF($C42=5,$V42*$H42,0)</f>
        <v>0</v>
      </c>
      <c r="AO42" s="0" t="n">
        <f aca="false">IF($C42=6,$V42*$H42,0)</f>
        <v>0</v>
      </c>
      <c r="AP42" s="0" t="n">
        <f aca="false">SUM(AJ42:AO42)</f>
        <v>0</v>
      </c>
      <c r="AQ42" s="0" t="n">
        <f aca="false">U42*H42</f>
        <v>0</v>
      </c>
      <c r="AR42" s="908" t="n">
        <f aca="false">W42*H42</f>
        <v>0</v>
      </c>
      <c r="AS42" s="0" t="n">
        <f aca="false">H42</f>
        <v>0</v>
      </c>
      <c r="AT42" s="908" t="n">
        <f aca="false">(D42*2+(F42-G42)*2)*H42</f>
        <v>0</v>
      </c>
      <c r="AU42" s="0" t="n">
        <f aca="false">D42*H42</f>
        <v>0</v>
      </c>
      <c r="AV42" s="0" t="n">
        <f aca="false">IF(E42&gt;0,IF(E42&lt;6,AT42,0),0)</f>
        <v>0</v>
      </c>
      <c r="AW42" s="0" t="n">
        <f aca="false">IF(E42&gt;0,IF(E42&gt;5.5,AT42,0),0)</f>
        <v>0</v>
      </c>
      <c r="AX42" s="0" t="n">
        <f aca="false">U42*H42*F$69*IF(T$55="Y",1,(1+V$55))</f>
        <v>0</v>
      </c>
      <c r="AY42" s="3097" t="n">
        <f aca="false">(AJ42*Pricing!F$3+AK42*Pricing!G$3+AL42*Pricing!H$3+AM42*Pricing!I$3+AN42*Pricing!J$3+AO42*Pricing!K$3)*IF(T$55="Y",1,(1+V$55))</f>
        <v>0</v>
      </c>
      <c r="AZ42" s="3103" t="n">
        <f aca="false">AR42*(G$80+D$83)+IF(H$80=0,0,(K$79+N$79)/H$80*AR42)</f>
        <v>0</v>
      </c>
      <c r="BA42" s="3097" t="e">
        <f aca="false">L$89/AR$52*AR42</f>
        <v>#DIV/0!</v>
      </c>
      <c r="BB42" s="3103" t="n">
        <f aca="false">AQ42/2000*D$84</f>
        <v>0</v>
      </c>
      <c r="BC42" s="3103" t="n">
        <f aca="false">AU42*6.5*G$85/27*D$85</f>
        <v>0</v>
      </c>
      <c r="BD42" s="3104" t="e">
        <f aca="false">IF(AR$52=0,0,SUM(N$92:O$97)+SUM(N$99:O$104)+W$105)/AR$52*AR42</f>
        <v>#DIV/0!</v>
      </c>
      <c r="BE42" s="3105" t="e">
        <f aca="false">SUM(N$73:O$76)/AU$52*AU42</f>
        <v>#DIV/0!</v>
      </c>
    </row>
    <row r="43" customFormat="false" ht="18" hidden="false" customHeight="true" outlineLevel="0" collapsed="false">
      <c r="A43" s="507"/>
      <c r="B43" s="1312"/>
      <c r="C43" s="1920"/>
      <c r="D43" s="3107"/>
      <c r="E43" s="3099"/>
      <c r="F43" s="3099"/>
      <c r="G43" s="900"/>
      <c r="H43" s="2082"/>
      <c r="I43" s="901"/>
      <c r="J43" s="898"/>
      <c r="K43" s="1234"/>
      <c r="L43" s="1234"/>
      <c r="M43" s="1235"/>
      <c r="N43" s="1236"/>
      <c r="O43" s="1234"/>
      <c r="P43" s="1235"/>
      <c r="Q43" s="1234"/>
      <c r="R43" s="1235"/>
      <c r="S43" s="1234"/>
      <c r="T43" s="3100"/>
      <c r="U43" s="3101" t="n">
        <f aca="false">IF(H43=0,0,(IF(K43=0,0,D43*(F43-G43)*12/K43*M43*(L43/16*L43/16*10.7028))+IF(N43=0,0,((F43-G43)*12/N43*D43*P43)*O43/16*O43/16*10.7028)+(Q43*D43+Q43*(F43-G43))*2*(R43/16*R43/16*10.7028)+IF(I43&gt;0,Q43*D43+Q43*(F43-G43)*2*(R43/16*R43/16*10.7028))+IF(H43=0,0,S43*4*T43/16*T43/16*10.7028))*(1+J$69))</f>
        <v>0</v>
      </c>
      <c r="V43" s="3102" t="n">
        <f aca="false">IF(H43=0,0,((D43*E43/12*(F43-G43)/27)-(I43*J43*E43/324))*(1+J$66))</f>
        <v>0</v>
      </c>
      <c r="W43" s="2181" t="n">
        <f aca="false">(F43-G43)*D43</f>
        <v>0</v>
      </c>
      <c r="X43" s="1518" t="n">
        <f aca="false">IF(H43=0,0,SUM(AY43:BE43)/H43)</f>
        <v>0</v>
      </c>
      <c r="Y43" s="16"/>
      <c r="AI43" s="0" t="n">
        <f aca="false">IF(H43&gt;0,1,0)</f>
        <v>0</v>
      </c>
      <c r="AJ43" s="0" t="n">
        <f aca="false">IF($C43=1,$V43*$H43,0)</f>
        <v>0</v>
      </c>
      <c r="AK43" s="0" t="n">
        <f aca="false">IF($C43=2,$V43*$H43,0)</f>
        <v>0</v>
      </c>
      <c r="AL43" s="0" t="n">
        <f aca="false">IF($C43=3,$V43*$H43,0)</f>
        <v>0</v>
      </c>
      <c r="AM43" s="0" t="n">
        <f aca="false">IF($C43=4,$V43*$H43,0)</f>
        <v>0</v>
      </c>
      <c r="AN43" s="0" t="n">
        <f aca="false">IF($C43=5,$V43*$H43,0)</f>
        <v>0</v>
      </c>
      <c r="AO43" s="0" t="n">
        <f aca="false">IF($C43=6,$V43*$H43,0)</f>
        <v>0</v>
      </c>
      <c r="AP43" s="0" t="n">
        <f aca="false">SUM(AJ43:AO43)</f>
        <v>0</v>
      </c>
      <c r="AQ43" s="0" t="n">
        <f aca="false">U43*H43</f>
        <v>0</v>
      </c>
      <c r="AR43" s="908" t="n">
        <f aca="false">W43*H43</f>
        <v>0</v>
      </c>
      <c r="AS43" s="0" t="n">
        <f aca="false">H43</f>
        <v>0</v>
      </c>
      <c r="AT43" s="908" t="n">
        <f aca="false">(D43*2+(F43-G43)*2)*H43</f>
        <v>0</v>
      </c>
      <c r="AU43" s="0" t="n">
        <f aca="false">D43*H43</f>
        <v>0</v>
      </c>
      <c r="AV43" s="0" t="n">
        <f aca="false">IF(E43&gt;0,IF(E43&lt;6,AT43,0),0)</f>
        <v>0</v>
      </c>
      <c r="AW43" s="0" t="n">
        <f aca="false">IF(E43&gt;0,IF(E43&gt;5.5,AT43,0),0)</f>
        <v>0</v>
      </c>
      <c r="AX43" s="0" t="n">
        <f aca="false">U43*H43*F$69*IF(T$55="Y",1,(1+V$55))</f>
        <v>0</v>
      </c>
      <c r="AY43" s="3097" t="n">
        <f aca="false">(AJ43*Pricing!F$3+AK43*Pricing!G$3+AL43*Pricing!H$3+AM43*Pricing!I$3+AN43*Pricing!J$3+AO43*Pricing!K$3)*IF(T$55="Y",1,(1+V$55))</f>
        <v>0</v>
      </c>
      <c r="AZ43" s="3103" t="n">
        <f aca="false">AR43*(G$80+D$83)+IF(H$80=0,0,(K$79+N$79)/H$80*AR43)</f>
        <v>0</v>
      </c>
      <c r="BA43" s="3097" t="e">
        <f aca="false">L$89/AR$52*AR43</f>
        <v>#DIV/0!</v>
      </c>
      <c r="BB43" s="3103" t="n">
        <f aca="false">AQ43/2000*D$84</f>
        <v>0</v>
      </c>
      <c r="BC43" s="3103" t="n">
        <f aca="false">AU43*6.5*G$85/27*D$85</f>
        <v>0</v>
      </c>
      <c r="BD43" s="3104" t="e">
        <f aca="false">IF(AR$52=0,0,SUM(N$92:O$97)+SUM(N$99:O$104)+W$105)/AR$52*AR43</f>
        <v>#DIV/0!</v>
      </c>
      <c r="BE43" s="3105" t="e">
        <f aca="false">SUM(N$73:O$76)/AU$52*AU43</f>
        <v>#DIV/0!</v>
      </c>
    </row>
    <row r="44" customFormat="false" ht="18" hidden="false" customHeight="true" outlineLevel="0" collapsed="false">
      <c r="A44" s="507"/>
      <c r="B44" s="1312"/>
      <c r="C44" s="1920"/>
      <c r="D44" s="3107"/>
      <c r="E44" s="3099"/>
      <c r="F44" s="3099"/>
      <c r="G44" s="900"/>
      <c r="H44" s="2082"/>
      <c r="I44" s="901"/>
      <c r="J44" s="898"/>
      <c r="K44" s="1234"/>
      <c r="L44" s="1234"/>
      <c r="M44" s="1235"/>
      <c r="N44" s="1236"/>
      <c r="O44" s="1234"/>
      <c r="P44" s="1235"/>
      <c r="Q44" s="1234"/>
      <c r="R44" s="1235"/>
      <c r="S44" s="1234"/>
      <c r="T44" s="3100"/>
      <c r="U44" s="3101" t="n">
        <f aca="false">IF(H44=0,0,(IF(K44=0,0,D44*(F44-G44)*12/K44*M44*(L44/16*L44/16*10.7028))+IF(N44=0,0,((F44-G44)*12/N44*D44*P44)*O44/16*O44/16*10.7028)+(Q44*D44+Q44*(F44-G44))*2*(R44/16*R44/16*10.7028)+IF(I44&gt;0,Q44*D44+Q44*(F44-G44)*2*(R44/16*R44/16*10.7028))+IF(H44=0,0,S44*4*T44/16*T44/16*10.7028))*(1+J$69))</f>
        <v>0</v>
      </c>
      <c r="V44" s="3102" t="n">
        <f aca="false">IF(H44=0,0,((D44*E44/12*(F44-G44)/27)-(I44*J44*E44/324))*(1+J$66))</f>
        <v>0</v>
      </c>
      <c r="W44" s="2181" t="n">
        <f aca="false">(F44-G44)*D44</f>
        <v>0</v>
      </c>
      <c r="X44" s="1518" t="n">
        <f aca="false">IF(H44=0,0,SUM(AY44:BE44)/H44)</f>
        <v>0</v>
      </c>
      <c r="Y44" s="16"/>
      <c r="AI44" s="0" t="n">
        <f aca="false">IF(H44&gt;0,1,0)</f>
        <v>0</v>
      </c>
      <c r="AJ44" s="0" t="n">
        <f aca="false">IF($C44=1,$V44*$H44,0)</f>
        <v>0</v>
      </c>
      <c r="AK44" s="0" t="n">
        <f aca="false">IF($C44=2,$V44*$H44,0)</f>
        <v>0</v>
      </c>
      <c r="AL44" s="0" t="n">
        <f aca="false">IF($C44=3,$V44*$H44,0)</f>
        <v>0</v>
      </c>
      <c r="AM44" s="0" t="n">
        <f aca="false">IF($C44=4,$V44*$H44,0)</f>
        <v>0</v>
      </c>
      <c r="AN44" s="0" t="n">
        <f aca="false">IF($C44=5,$V44*$H44,0)</f>
        <v>0</v>
      </c>
      <c r="AO44" s="0" t="n">
        <f aca="false">IF($C44=6,$V44*$H44,0)</f>
        <v>0</v>
      </c>
      <c r="AP44" s="0" t="n">
        <f aca="false">SUM(AJ44:AO44)</f>
        <v>0</v>
      </c>
      <c r="AQ44" s="0" t="n">
        <f aca="false">U44*H44</f>
        <v>0</v>
      </c>
      <c r="AR44" s="908" t="n">
        <f aca="false">W44*H44</f>
        <v>0</v>
      </c>
      <c r="AS44" s="0" t="n">
        <f aca="false">H44</f>
        <v>0</v>
      </c>
      <c r="AT44" s="908" t="n">
        <f aca="false">(D44*2+(F44-G44)*2)*H44</f>
        <v>0</v>
      </c>
      <c r="AU44" s="0" t="n">
        <f aca="false">D44*H44</f>
        <v>0</v>
      </c>
      <c r="AV44" s="0" t="n">
        <f aca="false">IF(E44&gt;0,IF(E44&lt;6,AT44,0),0)</f>
        <v>0</v>
      </c>
      <c r="AW44" s="0" t="n">
        <f aca="false">IF(E44&gt;0,IF(E44&gt;5.5,AT44,0),0)</f>
        <v>0</v>
      </c>
      <c r="AX44" s="0" t="n">
        <f aca="false">U44*H44*F$69*IF(T$55="Y",1,(1+V$55))</f>
        <v>0</v>
      </c>
      <c r="AY44" s="3097" t="n">
        <f aca="false">(AJ44*Pricing!F$3+AK44*Pricing!G$3+AL44*Pricing!H$3+AM44*Pricing!I$3+AN44*Pricing!J$3+AO44*Pricing!K$3)*IF(T$55="Y",1,(1+V$55))</f>
        <v>0</v>
      </c>
      <c r="AZ44" s="3103" t="n">
        <f aca="false">AR44*(G$80+D$83)+IF(H$80=0,0,(K$79+N$79)/H$80*AR44)</f>
        <v>0</v>
      </c>
      <c r="BA44" s="3097" t="e">
        <f aca="false">L$89/AR$52*AR44</f>
        <v>#DIV/0!</v>
      </c>
      <c r="BB44" s="3103" t="n">
        <f aca="false">AQ44/2000*D$84</f>
        <v>0</v>
      </c>
      <c r="BC44" s="3103" t="n">
        <f aca="false">AU44*6.5*G$85/27*D$85</f>
        <v>0</v>
      </c>
      <c r="BD44" s="3104" t="e">
        <f aca="false">IF(AR$52=0,0,SUM(N$92:O$97)+SUM(N$99:O$104)+W$105)/AR$52*AR44</f>
        <v>#DIV/0!</v>
      </c>
      <c r="BE44" s="3105" t="e">
        <f aca="false">SUM(N$73:O$76)/AU$52*AU44</f>
        <v>#DIV/0!</v>
      </c>
    </row>
    <row r="45" customFormat="false" ht="18" hidden="false" customHeight="true" outlineLevel="0" collapsed="false">
      <c r="A45" s="507"/>
      <c r="B45" s="1312"/>
      <c r="C45" s="1920"/>
      <c r="D45" s="3107"/>
      <c r="E45" s="3099"/>
      <c r="F45" s="3099"/>
      <c r="G45" s="900"/>
      <c r="H45" s="2082"/>
      <c r="I45" s="901"/>
      <c r="J45" s="898"/>
      <c r="K45" s="1234"/>
      <c r="L45" s="1234"/>
      <c r="M45" s="1235"/>
      <c r="N45" s="1236"/>
      <c r="O45" s="1234"/>
      <c r="P45" s="1235"/>
      <c r="Q45" s="1234"/>
      <c r="R45" s="1235"/>
      <c r="S45" s="1234"/>
      <c r="T45" s="3100"/>
      <c r="U45" s="3101" t="n">
        <f aca="false">IF(H45=0,0,(IF(K45=0,0,D45*(F45-G45)*12/K45*M45*(L45/16*L45/16*10.7028))+IF(N45=0,0,((F45-G45)*12/N45*D45*P45)*O45/16*O45/16*10.7028)+(Q45*D45+Q45*(F45-G45))*2*(R45/16*R45/16*10.7028)+IF(I45&gt;0,Q45*D45+Q45*(F45-G45)*2*(R45/16*R45/16*10.7028))+IF(H45=0,0,S45*4*T45/16*T45/16*10.7028))*(1+J$69))</f>
        <v>0</v>
      </c>
      <c r="V45" s="3102" t="n">
        <f aca="false">IF(H45=0,0,((D45*E45/12*(F45-G45)/27)-(I45*J45*E45/324))*(1+J$66))</f>
        <v>0</v>
      </c>
      <c r="W45" s="2181" t="n">
        <f aca="false">(F45-G45)*D45</f>
        <v>0</v>
      </c>
      <c r="X45" s="1518" t="n">
        <f aca="false">IF(H45=0,0,SUM(AY45:BE45)/H45)</f>
        <v>0</v>
      </c>
      <c r="Y45" s="16"/>
      <c r="AI45" s="0" t="n">
        <f aca="false">IF(H45&gt;0,1,0)</f>
        <v>0</v>
      </c>
      <c r="AJ45" s="0" t="n">
        <f aca="false">IF($C45=1,$V45*$H45,0)</f>
        <v>0</v>
      </c>
      <c r="AK45" s="0" t="n">
        <f aca="false">IF($C45=2,$V45*$H45,0)</f>
        <v>0</v>
      </c>
      <c r="AL45" s="0" t="n">
        <f aca="false">IF($C45=3,$V45*$H45,0)</f>
        <v>0</v>
      </c>
      <c r="AM45" s="0" t="n">
        <f aca="false">IF($C45=4,$V45*$H45,0)</f>
        <v>0</v>
      </c>
      <c r="AN45" s="0" t="n">
        <f aca="false">IF($C45=5,$V45*$H45,0)</f>
        <v>0</v>
      </c>
      <c r="AO45" s="0" t="n">
        <f aca="false">IF($C45=6,$V45*$H45,0)</f>
        <v>0</v>
      </c>
      <c r="AP45" s="0" t="n">
        <f aca="false">SUM(AJ45:AO45)</f>
        <v>0</v>
      </c>
      <c r="AQ45" s="0" t="n">
        <f aca="false">U45*H45</f>
        <v>0</v>
      </c>
      <c r="AR45" s="908" t="n">
        <f aca="false">W45*H45</f>
        <v>0</v>
      </c>
      <c r="AS45" s="0" t="n">
        <f aca="false">H45</f>
        <v>0</v>
      </c>
      <c r="AT45" s="908" t="n">
        <f aca="false">(D45*2+(F45-G45)*2)*H45</f>
        <v>0</v>
      </c>
      <c r="AU45" s="0" t="n">
        <f aca="false">D45*H45</f>
        <v>0</v>
      </c>
      <c r="AV45" s="0" t="n">
        <f aca="false">IF(E45&gt;0,IF(E45&lt;6,AT45,0),0)</f>
        <v>0</v>
      </c>
      <c r="AW45" s="0" t="n">
        <f aca="false">IF(E45&gt;0,IF(E45&gt;5.5,AT45,0),0)</f>
        <v>0</v>
      </c>
      <c r="AX45" s="0" t="n">
        <f aca="false">U45*H45*F$69*IF(T$55="Y",1,(1+V$55))</f>
        <v>0</v>
      </c>
      <c r="AY45" s="3097" t="n">
        <f aca="false">(AJ45*Pricing!F$3+AK45*Pricing!G$3+AL45*Pricing!H$3+AM45*Pricing!I$3+AN45*Pricing!J$3+AO45*Pricing!K$3)*IF(T$55="Y",1,(1+V$55))</f>
        <v>0</v>
      </c>
      <c r="AZ45" s="3103" t="n">
        <f aca="false">AR45*(G$80+D$83)+IF(H$80=0,0,(K$79+N$79)/H$80*AR45)</f>
        <v>0</v>
      </c>
      <c r="BA45" s="3097" t="e">
        <f aca="false">L$89/AR$52*AR45</f>
        <v>#DIV/0!</v>
      </c>
      <c r="BB45" s="3103" t="n">
        <f aca="false">AQ45/2000*D$84</f>
        <v>0</v>
      </c>
      <c r="BC45" s="3103" t="n">
        <f aca="false">AU45*6.5*G$85/27*D$85</f>
        <v>0</v>
      </c>
      <c r="BD45" s="3104" t="e">
        <f aca="false">IF(AR$52=0,0,SUM(N$92:O$97)+SUM(N$99:O$104)+W$105)/AR$52*AR45</f>
        <v>#DIV/0!</v>
      </c>
      <c r="BE45" s="3105" t="e">
        <f aca="false">SUM(N$73:O$76)/AU$52*AU45</f>
        <v>#DIV/0!</v>
      </c>
    </row>
    <row r="46" customFormat="false" ht="18" hidden="false" customHeight="true" outlineLevel="0" collapsed="false">
      <c r="A46" s="507"/>
      <c r="B46" s="1312"/>
      <c r="C46" s="1920"/>
      <c r="D46" s="3107"/>
      <c r="E46" s="3099"/>
      <c r="F46" s="3099"/>
      <c r="G46" s="900"/>
      <c r="H46" s="2082"/>
      <c r="I46" s="901"/>
      <c r="J46" s="898"/>
      <c r="K46" s="1234"/>
      <c r="L46" s="1234"/>
      <c r="M46" s="1235"/>
      <c r="N46" s="1236"/>
      <c r="O46" s="1234"/>
      <c r="P46" s="1235"/>
      <c r="Q46" s="1234"/>
      <c r="R46" s="1235"/>
      <c r="S46" s="1234"/>
      <c r="T46" s="3100"/>
      <c r="U46" s="3101" t="n">
        <f aca="false">IF(H46=0,0,(IF(K46=0,0,D46*(F46-G46)*12/K46*M46*(L46/16*L46/16*10.7028))+IF(N46=0,0,((F46-G46)*12/N46*D46*P46)*O46/16*O46/16*10.7028)+(Q46*D46+Q46*(F46-G46))*2*(R46/16*R46/16*10.7028)+IF(I46&gt;0,Q46*D46+Q46*(F46-G46)*2*(R46/16*R46/16*10.7028))+IF(H46=0,0,S46*4*T46/16*T46/16*10.7028))*(1+J$69))</f>
        <v>0</v>
      </c>
      <c r="V46" s="3102" t="n">
        <f aca="false">IF(H46=0,0,((D46*E46/12*(F46-G46)/27)-(I46*J46*E46/324))*(1+J$66))</f>
        <v>0</v>
      </c>
      <c r="W46" s="2181" t="n">
        <f aca="false">(F46-G46)*D46</f>
        <v>0</v>
      </c>
      <c r="X46" s="1518" t="n">
        <f aca="false">IF(H46=0,0,SUM(AY46:BE46)/H46)</f>
        <v>0</v>
      </c>
      <c r="Y46" s="16"/>
      <c r="AI46" s="0" t="n">
        <f aca="false">IF(H46&gt;0,1,0)</f>
        <v>0</v>
      </c>
      <c r="AJ46" s="0" t="n">
        <f aca="false">IF($C46=1,$V46*$H46,0)</f>
        <v>0</v>
      </c>
      <c r="AK46" s="0" t="n">
        <f aca="false">IF($C46=2,$V46*$H46,0)</f>
        <v>0</v>
      </c>
      <c r="AL46" s="0" t="n">
        <f aca="false">IF($C46=3,$V46*$H46,0)</f>
        <v>0</v>
      </c>
      <c r="AM46" s="0" t="n">
        <f aca="false">IF($C46=4,$V46*$H46,0)</f>
        <v>0</v>
      </c>
      <c r="AN46" s="0" t="n">
        <f aca="false">IF($C46=5,$V46*$H46,0)</f>
        <v>0</v>
      </c>
      <c r="AO46" s="0" t="n">
        <f aca="false">IF($C46=6,$V46*$H46,0)</f>
        <v>0</v>
      </c>
      <c r="AP46" s="0" t="n">
        <f aca="false">SUM(AJ46:AO46)</f>
        <v>0</v>
      </c>
      <c r="AQ46" s="0" t="n">
        <f aca="false">U46*H46</f>
        <v>0</v>
      </c>
      <c r="AR46" s="908" t="n">
        <f aca="false">W46*H46</f>
        <v>0</v>
      </c>
      <c r="AS46" s="0" t="n">
        <f aca="false">H46</f>
        <v>0</v>
      </c>
      <c r="AT46" s="908" t="n">
        <f aca="false">(D46*2+(F46-G46)*2)*H46</f>
        <v>0</v>
      </c>
      <c r="AU46" s="0" t="n">
        <f aca="false">D46*H46</f>
        <v>0</v>
      </c>
      <c r="AV46" s="0" t="n">
        <f aca="false">IF(E46&gt;0,IF(E46&lt;6,AT46,0),0)</f>
        <v>0</v>
      </c>
      <c r="AW46" s="0" t="n">
        <f aca="false">IF(E46&gt;0,IF(E46&gt;5.5,AT46,0),0)</f>
        <v>0</v>
      </c>
      <c r="AX46" s="0" t="n">
        <f aca="false">U46*H46*F$69*IF(T$55="Y",1,(1+V$55))</f>
        <v>0</v>
      </c>
      <c r="AY46" s="3097" t="n">
        <f aca="false">(AJ46*Pricing!F$3+AK46*Pricing!G$3+AL46*Pricing!H$3+AM46*Pricing!I$3+AN46*Pricing!J$3+AO46*Pricing!K$3)*IF(T$55="Y",1,(1+V$55))</f>
        <v>0</v>
      </c>
      <c r="AZ46" s="3103" t="n">
        <f aca="false">AR46*(G$80+D$83)+IF(H$80=0,0,(K$79+N$79)/H$80*AR46)</f>
        <v>0</v>
      </c>
      <c r="BA46" s="3097" t="e">
        <f aca="false">L$89/AR$52*AR46</f>
        <v>#DIV/0!</v>
      </c>
      <c r="BB46" s="3103" t="n">
        <f aca="false">AQ46/2000*D$84</f>
        <v>0</v>
      </c>
      <c r="BC46" s="3103" t="n">
        <f aca="false">AU46*6.5*G$85/27*D$85</f>
        <v>0</v>
      </c>
      <c r="BD46" s="3104" t="e">
        <f aca="false">IF(AR$52=0,0,SUM(N$92:O$97)+SUM(N$99:O$104)+W$105)/AR$52*AR46</f>
        <v>#DIV/0!</v>
      </c>
      <c r="BE46" s="3105" t="e">
        <f aca="false">SUM(N$73:O$76)/AU$52*AU46</f>
        <v>#DIV/0!</v>
      </c>
    </row>
    <row r="47" customFormat="false" ht="18" hidden="false" customHeight="true" outlineLevel="0" collapsed="false">
      <c r="A47" s="507"/>
      <c r="B47" s="1312"/>
      <c r="C47" s="1920"/>
      <c r="D47" s="3107"/>
      <c r="E47" s="3099"/>
      <c r="F47" s="3099"/>
      <c r="G47" s="900"/>
      <c r="H47" s="2082"/>
      <c r="I47" s="901"/>
      <c r="J47" s="898"/>
      <c r="K47" s="1234"/>
      <c r="L47" s="1234"/>
      <c r="M47" s="1235"/>
      <c r="N47" s="1236"/>
      <c r="O47" s="1234"/>
      <c r="P47" s="1235"/>
      <c r="Q47" s="1234"/>
      <c r="R47" s="1235"/>
      <c r="S47" s="1234"/>
      <c r="T47" s="3100"/>
      <c r="U47" s="3101" t="n">
        <f aca="false">IF(H47=0,0,(IF(K47=0,0,D47*(F47-G47)*12/K47*M47*(L47/16*L47/16*10.7028))+IF(N47=0,0,((F47-G47)*12/N47*D47*P47)*O47/16*O47/16*10.7028)+(Q47*D47+Q47*(F47-G47))*2*(R47/16*R47/16*10.7028)+IF(I47&gt;0,Q47*D47+Q47*(F47-G47)*2*(R47/16*R47/16*10.7028))+IF(H47=0,0,S47*4*T47/16*T47/16*10.7028))*(1+J$69))</f>
        <v>0</v>
      </c>
      <c r="V47" s="3102" t="n">
        <f aca="false">IF(H47=0,0,((D47*E47/12*(F47-G47)/27)-(I47*J47*E47/324))*(1+J$66))</f>
        <v>0</v>
      </c>
      <c r="W47" s="2181" t="n">
        <f aca="false">(F47-G47)*D47</f>
        <v>0</v>
      </c>
      <c r="X47" s="1518" t="n">
        <f aca="false">IF(H47=0,0,SUM(AY47:BE47)/H47)</f>
        <v>0</v>
      </c>
      <c r="Y47" s="16"/>
      <c r="AI47" s="0" t="n">
        <f aca="false">IF(H47&gt;0,1,0)</f>
        <v>0</v>
      </c>
      <c r="AJ47" s="0" t="n">
        <f aca="false">IF($C47=1,$V47*$H47,0)</f>
        <v>0</v>
      </c>
      <c r="AK47" s="0" t="n">
        <f aca="false">IF($C47=2,$V47*$H47,0)</f>
        <v>0</v>
      </c>
      <c r="AL47" s="0" t="n">
        <f aca="false">IF($C47=3,$V47*$H47,0)</f>
        <v>0</v>
      </c>
      <c r="AM47" s="0" t="n">
        <f aca="false">IF($C47=4,$V47*$H47,0)</f>
        <v>0</v>
      </c>
      <c r="AN47" s="0" t="n">
        <f aca="false">IF($C47=5,$V47*$H47,0)</f>
        <v>0</v>
      </c>
      <c r="AO47" s="0" t="n">
        <f aca="false">IF($C47=6,$V47*$H47,0)</f>
        <v>0</v>
      </c>
      <c r="AP47" s="0" t="n">
        <f aca="false">SUM(AJ47:AO47)</f>
        <v>0</v>
      </c>
      <c r="AQ47" s="0" t="n">
        <f aca="false">U47*H47</f>
        <v>0</v>
      </c>
      <c r="AR47" s="908" t="n">
        <f aca="false">W47*H47</f>
        <v>0</v>
      </c>
      <c r="AS47" s="0" t="n">
        <f aca="false">H47</f>
        <v>0</v>
      </c>
      <c r="AT47" s="908" t="n">
        <f aca="false">(D47*2+(F47-G47)*2)*H47</f>
        <v>0</v>
      </c>
      <c r="AU47" s="0" t="n">
        <f aca="false">D47*H47</f>
        <v>0</v>
      </c>
      <c r="AV47" s="0" t="n">
        <f aca="false">IF(E47&gt;0,IF(E47&lt;6,AT47,0),0)</f>
        <v>0</v>
      </c>
      <c r="AW47" s="0" t="n">
        <f aca="false">IF(E47&gt;0,IF(E47&gt;5.5,AT47,0),0)</f>
        <v>0</v>
      </c>
      <c r="AX47" s="0" t="n">
        <f aca="false">U47*H47*F$69*IF(T$55="Y",1,(1+V$55))</f>
        <v>0</v>
      </c>
      <c r="AY47" s="3097" t="n">
        <f aca="false">(AJ47*Pricing!F$3+AK47*Pricing!G$3+AL47*Pricing!H$3+AM47*Pricing!I$3+AN47*Pricing!J$3+AO47*Pricing!K$3)*IF(T$55="Y",1,(1+V$55))</f>
        <v>0</v>
      </c>
      <c r="AZ47" s="3103" t="n">
        <f aca="false">AR47*(G$80+D$83)+IF(H$80=0,0,(K$79+N$79)/H$80*AR47)</f>
        <v>0</v>
      </c>
      <c r="BA47" s="3097" t="e">
        <f aca="false">L$89/AR$52*AR47</f>
        <v>#DIV/0!</v>
      </c>
      <c r="BB47" s="3103" t="n">
        <f aca="false">AQ47/2000*D$84</f>
        <v>0</v>
      </c>
      <c r="BC47" s="3103" t="n">
        <f aca="false">AU47*6.5*G$85/27*D$85</f>
        <v>0</v>
      </c>
      <c r="BD47" s="3104" t="e">
        <f aca="false">IF(AR$52=0,0,SUM(N$92:O$97)+SUM(N$99:O$104)+W$105)/AR$52*AR47</f>
        <v>#DIV/0!</v>
      </c>
      <c r="BE47" s="3105" t="e">
        <f aca="false">SUM(N$73:O$76)/AU$52*AU47</f>
        <v>#DIV/0!</v>
      </c>
    </row>
    <row r="48" customFormat="false" ht="18" hidden="false" customHeight="true" outlineLevel="0" collapsed="false">
      <c r="A48" s="507"/>
      <c r="B48" s="1312"/>
      <c r="C48" s="1920"/>
      <c r="D48" s="3107"/>
      <c r="E48" s="3099"/>
      <c r="F48" s="3099"/>
      <c r="G48" s="900"/>
      <c r="H48" s="2082"/>
      <c r="I48" s="901"/>
      <c r="J48" s="898"/>
      <c r="K48" s="1234"/>
      <c r="L48" s="1234"/>
      <c r="M48" s="1235"/>
      <c r="N48" s="1236"/>
      <c r="O48" s="1234"/>
      <c r="P48" s="1235"/>
      <c r="Q48" s="1234"/>
      <c r="R48" s="1235"/>
      <c r="S48" s="1234"/>
      <c r="T48" s="3100"/>
      <c r="U48" s="3101" t="n">
        <f aca="false">IF(H48=0,0,(IF(K48=0,0,D48*(F48-G48)*12/K48*M48*(L48/16*L48/16*10.7028))+IF(N48=0,0,((F48-G48)*12/N48*D48*P48)*O48/16*O48/16*10.7028)+(Q48*D48+Q48*(F48-G48))*2*(R48/16*R48/16*10.7028)+IF(I48&gt;0,Q48*D48+Q48*(F48-G48)*2*(R48/16*R48/16*10.7028))+IF(H48=0,0,S48*4*T48/16*T48/16*10.7028))*(1+J$69))</f>
        <v>0</v>
      </c>
      <c r="V48" s="3102" t="n">
        <f aca="false">IF(H48=0,0,((D48*E48/12*(F48-G48)/27)-(I48*J48*E48/324))*(1+J$66))</f>
        <v>0</v>
      </c>
      <c r="W48" s="2181" t="n">
        <f aca="false">(F48-G48)*D48</f>
        <v>0</v>
      </c>
      <c r="X48" s="1518" t="n">
        <f aca="false">IF(H48=0,0,SUM(AY48:BE48)/H48)</f>
        <v>0</v>
      </c>
      <c r="Y48" s="16"/>
      <c r="AI48" s="0" t="n">
        <f aca="false">IF(H48&gt;0,1,0)</f>
        <v>0</v>
      </c>
      <c r="AJ48" s="0" t="n">
        <f aca="false">IF($C48=1,$V48*$H48,0)</f>
        <v>0</v>
      </c>
      <c r="AK48" s="0" t="n">
        <f aca="false">IF($C48=2,$V48*$H48,0)</f>
        <v>0</v>
      </c>
      <c r="AL48" s="0" t="n">
        <f aca="false">IF($C48=3,$V48*$H48,0)</f>
        <v>0</v>
      </c>
      <c r="AM48" s="0" t="n">
        <f aca="false">IF($C48=4,$V48*$H48,0)</f>
        <v>0</v>
      </c>
      <c r="AN48" s="0" t="n">
        <f aca="false">IF($C48=5,$V48*$H48,0)</f>
        <v>0</v>
      </c>
      <c r="AO48" s="0" t="n">
        <f aca="false">IF($C48=6,$V48*$H48,0)</f>
        <v>0</v>
      </c>
      <c r="AP48" s="0" t="n">
        <f aca="false">SUM(AJ48:AO48)</f>
        <v>0</v>
      </c>
      <c r="AQ48" s="0" t="n">
        <f aca="false">U48*H48</f>
        <v>0</v>
      </c>
      <c r="AR48" s="908" t="n">
        <f aca="false">W48*H48</f>
        <v>0</v>
      </c>
      <c r="AS48" s="0" t="n">
        <f aca="false">H48</f>
        <v>0</v>
      </c>
      <c r="AT48" s="908" t="n">
        <f aca="false">(D48*2+(F48-G48)*2)*H48</f>
        <v>0</v>
      </c>
      <c r="AU48" s="0" t="n">
        <f aca="false">D48*H48</f>
        <v>0</v>
      </c>
      <c r="AV48" s="0" t="n">
        <f aca="false">IF(E48&gt;0,IF(E48&lt;6,AT48,0),0)</f>
        <v>0</v>
      </c>
      <c r="AW48" s="0" t="n">
        <f aca="false">IF(E48&gt;0,IF(E48&gt;5.5,AT48,0),0)</f>
        <v>0</v>
      </c>
      <c r="AX48" s="0" t="n">
        <f aca="false">U48*H48*F$69*IF(T$55="Y",1,(1+V$55))</f>
        <v>0</v>
      </c>
      <c r="AY48" s="3097" t="n">
        <f aca="false">(AJ48*Pricing!F$3+AK48*Pricing!G$3+AL48*Pricing!H$3+AM48*Pricing!I$3+AN48*Pricing!J$3+AO48*Pricing!K$3)*IF(T$55="Y",1,(1+V$55))</f>
        <v>0</v>
      </c>
      <c r="AZ48" s="3103" t="n">
        <f aca="false">AR48*(G$80+D$83)+IF(H$80=0,0,(K$79+N$79)/H$80*AR48)</f>
        <v>0</v>
      </c>
      <c r="BA48" s="3097" t="e">
        <f aca="false">L$89/AR$52*AR48</f>
        <v>#DIV/0!</v>
      </c>
      <c r="BB48" s="3103" t="n">
        <f aca="false">AQ48/2000*D$84</f>
        <v>0</v>
      </c>
      <c r="BC48" s="3103" t="n">
        <f aca="false">AU48*6.5*G$85/27*D$85</f>
        <v>0</v>
      </c>
      <c r="BD48" s="3104" t="e">
        <f aca="false">IF(AR$52=0,0,SUM(N$92:O$97)+SUM(N$99:O$104)+W$105)/AR$52*AR48</f>
        <v>#DIV/0!</v>
      </c>
      <c r="BE48" s="3105" t="e">
        <f aca="false">SUM(N$73:O$76)/AU$52*AU48</f>
        <v>#DIV/0!</v>
      </c>
    </row>
    <row r="49" customFormat="false" ht="18" hidden="false" customHeight="true" outlineLevel="0" collapsed="false">
      <c r="A49" s="507"/>
      <c r="B49" s="1312"/>
      <c r="C49" s="1920"/>
      <c r="D49" s="3107"/>
      <c r="E49" s="3099"/>
      <c r="F49" s="3099"/>
      <c r="G49" s="900"/>
      <c r="H49" s="2082"/>
      <c r="I49" s="901"/>
      <c r="J49" s="898"/>
      <c r="K49" s="1234"/>
      <c r="L49" s="1234"/>
      <c r="M49" s="1235"/>
      <c r="N49" s="1236"/>
      <c r="O49" s="1234"/>
      <c r="P49" s="1235"/>
      <c r="Q49" s="1234"/>
      <c r="R49" s="1235"/>
      <c r="S49" s="1234"/>
      <c r="T49" s="3100"/>
      <c r="U49" s="3101" t="n">
        <f aca="false">IF(H49=0,0,(IF(K49=0,0,D49*(F49-G49)*12/K49*M49*(L49/16*L49/16*10.7028))+IF(N49=0,0,((F49-G49)*12/N49*D49*P49)*O49/16*O49/16*10.7028)+(Q49*D49+Q49*(F49-G49))*2*(R49/16*R49/16*10.7028)+IF(I49&gt;0,Q49*D49+Q49*(F49-G49)*2*(R49/16*R49/16*10.7028))+IF(H49=0,0,S49*4*T49/16*T49/16*10.7028))*(1+J$69))</f>
        <v>0</v>
      </c>
      <c r="V49" s="3102" t="n">
        <f aca="false">IF(H49=0,0,((D49*E49/12*(F49-G49)/27)-(I49*J49*E49/324))*(1+J$66))</f>
        <v>0</v>
      </c>
      <c r="W49" s="2181" t="n">
        <f aca="false">(F49-G49)*D49</f>
        <v>0</v>
      </c>
      <c r="X49" s="1518" t="n">
        <f aca="false">IF(H49=0,0,SUM(AY49:BE49)/H49)</f>
        <v>0</v>
      </c>
      <c r="Y49" s="16"/>
      <c r="AI49" s="0" t="n">
        <f aca="false">IF(H49&gt;0,1,0)</f>
        <v>0</v>
      </c>
      <c r="AJ49" s="0" t="n">
        <f aca="false">IF($C49=1,$V49*$H49,0)</f>
        <v>0</v>
      </c>
      <c r="AK49" s="0" t="n">
        <f aca="false">IF($C49=2,$V49*$H49,0)</f>
        <v>0</v>
      </c>
      <c r="AL49" s="0" t="n">
        <f aca="false">IF($C49=3,$V49*$H49,0)</f>
        <v>0</v>
      </c>
      <c r="AM49" s="0" t="n">
        <f aca="false">IF($C49=4,$V49*$H49,0)</f>
        <v>0</v>
      </c>
      <c r="AN49" s="0" t="n">
        <f aca="false">IF($C49=5,$V49*$H49,0)</f>
        <v>0</v>
      </c>
      <c r="AO49" s="0" t="n">
        <f aca="false">IF($C49=6,$V49*$H49,0)</f>
        <v>0</v>
      </c>
      <c r="AP49" s="0" t="n">
        <f aca="false">SUM(AJ49:AO49)</f>
        <v>0</v>
      </c>
      <c r="AQ49" s="0" t="n">
        <f aca="false">U49*H49</f>
        <v>0</v>
      </c>
      <c r="AR49" s="908" t="n">
        <f aca="false">W49*H49</f>
        <v>0</v>
      </c>
      <c r="AS49" s="0" t="n">
        <f aca="false">H49</f>
        <v>0</v>
      </c>
      <c r="AT49" s="908" t="n">
        <f aca="false">(D49*2+(F49-G49)*2)*H49</f>
        <v>0</v>
      </c>
      <c r="AU49" s="0" t="n">
        <f aca="false">D49*H49</f>
        <v>0</v>
      </c>
      <c r="AV49" s="0" t="n">
        <f aca="false">IF(E49&gt;0,IF(E49&lt;6,AT49,0),0)</f>
        <v>0</v>
      </c>
      <c r="AW49" s="0" t="n">
        <f aca="false">IF(E49&gt;0,IF(E49&gt;5.5,AT49,0),0)</f>
        <v>0</v>
      </c>
      <c r="AX49" s="0" t="n">
        <f aca="false">U49*H49*F$69*IF(T$55="Y",1,(1+V$55))</f>
        <v>0</v>
      </c>
      <c r="AY49" s="3097" t="n">
        <f aca="false">(AJ49*Pricing!F$3+AK49*Pricing!G$3+AL49*Pricing!H$3+AM49*Pricing!I$3+AN49*Pricing!J$3+AO49*Pricing!K$3)*IF(T$55="Y",1,(1+V$55))</f>
        <v>0</v>
      </c>
      <c r="AZ49" s="3103" t="n">
        <f aca="false">AR49*(G$80+D$83)+IF(H$80=0,0,(K$79+N$79)/H$80*AR49)</f>
        <v>0</v>
      </c>
      <c r="BA49" s="3097" t="e">
        <f aca="false">L$89/AR$52*AR49</f>
        <v>#DIV/0!</v>
      </c>
      <c r="BB49" s="3103" t="n">
        <f aca="false">AQ49/2000*D$84</f>
        <v>0</v>
      </c>
      <c r="BC49" s="3103" t="n">
        <f aca="false">AU49*6.5*G$85/27*D$85</f>
        <v>0</v>
      </c>
      <c r="BD49" s="3104" t="e">
        <f aca="false">IF(AR$52=0,0,SUM(N$92:O$97)+SUM(N$99:O$104)+W$105)/AR$52*AR49</f>
        <v>#DIV/0!</v>
      </c>
      <c r="BE49" s="3105" t="e">
        <f aca="false">SUM(N$73:O$76)/AU$52*AU49</f>
        <v>#DIV/0!</v>
      </c>
    </row>
    <row r="50" customFormat="false" ht="18" hidden="false" customHeight="true" outlineLevel="0" collapsed="false">
      <c r="A50" s="507"/>
      <c r="B50" s="1312"/>
      <c r="C50" s="1920"/>
      <c r="D50" s="3107"/>
      <c r="E50" s="3099"/>
      <c r="F50" s="3099"/>
      <c r="G50" s="900"/>
      <c r="H50" s="2082"/>
      <c r="I50" s="901"/>
      <c r="J50" s="898"/>
      <c r="K50" s="1234"/>
      <c r="L50" s="1234"/>
      <c r="M50" s="1235"/>
      <c r="N50" s="1236"/>
      <c r="O50" s="1234"/>
      <c r="P50" s="1235"/>
      <c r="Q50" s="1234"/>
      <c r="R50" s="1235"/>
      <c r="S50" s="1234"/>
      <c r="T50" s="3100"/>
      <c r="U50" s="3101" t="n">
        <f aca="false">IF(H50=0,0,(IF(K50=0,0,D50*(F50-G50)*12/K50*M50*(L50/16*L50/16*10.7028))+IF(N50=0,0,((F50-G50)*12/N50*D50*P50)*O50/16*O50/16*10.7028)+(Q50*D50+Q50*(F50-G50))*2*(R50/16*R50/16*10.7028)+IF(I50&gt;0,Q50*D50+Q50*(F50-G50)*2*(R50/16*R50/16*10.7028))+IF(H50=0,0,S50*4*T50/16*T50/16*10.7028))*(1+J$69))</f>
        <v>0</v>
      </c>
      <c r="V50" s="3102" t="n">
        <f aca="false">IF(H50=0,0,((D50*E50/12*(F50-G50)/27)-(I50*J50*E50/324))*(1+J$66))</f>
        <v>0</v>
      </c>
      <c r="W50" s="2181" t="n">
        <f aca="false">(F50-G50)*D50</f>
        <v>0</v>
      </c>
      <c r="X50" s="1518" t="n">
        <f aca="false">IF(H50=0,0,SUM(AY50:BE50)/H50)</f>
        <v>0</v>
      </c>
      <c r="Y50" s="16"/>
      <c r="AI50" s="0" t="n">
        <f aca="false">IF(H50&gt;0,1,0)</f>
        <v>0</v>
      </c>
      <c r="AJ50" s="0" t="n">
        <f aca="false">IF($C50=1,$V50*$H50,0)</f>
        <v>0</v>
      </c>
      <c r="AK50" s="0" t="n">
        <f aca="false">IF($C50=2,$V50*$H50,0)</f>
        <v>0</v>
      </c>
      <c r="AL50" s="0" t="n">
        <f aca="false">IF($C50=3,$V50*$H50,0)</f>
        <v>0</v>
      </c>
      <c r="AM50" s="0" t="n">
        <f aca="false">IF($C50=4,$V50*$H50,0)</f>
        <v>0</v>
      </c>
      <c r="AN50" s="0" t="n">
        <f aca="false">IF($C50=5,$V50*$H50,0)</f>
        <v>0</v>
      </c>
      <c r="AO50" s="0" t="n">
        <f aca="false">IF($C50=6,$V50*$H50,0)</f>
        <v>0</v>
      </c>
      <c r="AP50" s="0" t="n">
        <f aca="false">SUM(AJ50:AO50)</f>
        <v>0</v>
      </c>
      <c r="AQ50" s="0" t="n">
        <f aca="false">U50*H50</f>
        <v>0</v>
      </c>
      <c r="AR50" s="908" t="n">
        <f aca="false">W50*H50</f>
        <v>0</v>
      </c>
      <c r="AS50" s="0" t="n">
        <f aca="false">H50</f>
        <v>0</v>
      </c>
      <c r="AT50" s="908" t="n">
        <f aca="false">(D50*2+(F50-G50)*2)*H50</f>
        <v>0</v>
      </c>
      <c r="AU50" s="0" t="n">
        <f aca="false">D50*H50</f>
        <v>0</v>
      </c>
      <c r="AV50" s="0" t="n">
        <f aca="false">IF(E50&gt;0,IF(E50&lt;6,AT50,0),0)</f>
        <v>0</v>
      </c>
      <c r="AW50" s="0" t="n">
        <f aca="false">IF(E50&gt;0,IF(E50&gt;5.5,AT50,0),0)</f>
        <v>0</v>
      </c>
      <c r="AX50" s="0" t="n">
        <f aca="false">U50*H50*F$69*IF(T$55="Y",1,(1+V$55))</f>
        <v>0</v>
      </c>
      <c r="AY50" s="3097" t="n">
        <f aca="false">(AJ50*Pricing!F$3+AK50*Pricing!G$3+AL50*Pricing!H$3+AM50*Pricing!I$3+AN50*Pricing!J$3+AO50*Pricing!K$3)*IF(T$55="Y",1,(1+V$55))</f>
        <v>0</v>
      </c>
      <c r="AZ50" s="3103" t="n">
        <f aca="false">AR50*(G$80+D$83)+IF(H$80=0,0,(K$79+N$79)/H$80*AR50)</f>
        <v>0</v>
      </c>
      <c r="BA50" s="3097" t="e">
        <f aca="false">L$89/AR$52*AR50</f>
        <v>#DIV/0!</v>
      </c>
      <c r="BB50" s="3103" t="n">
        <f aca="false">AQ50/2000*D$84</f>
        <v>0</v>
      </c>
      <c r="BC50" s="3103" t="n">
        <f aca="false">AU50*6.5*G$85/27*D$85</f>
        <v>0</v>
      </c>
      <c r="BD50" s="3104" t="e">
        <f aca="false">IF(AR$52=0,0,SUM(N$92:O$97)+SUM(N$99:O$104)+W$105)/AR$52*AR50</f>
        <v>#DIV/0!</v>
      </c>
      <c r="BE50" s="3105" t="e">
        <f aca="false">SUM(N$73:O$76)/AU$52*AU50</f>
        <v>#DIV/0!</v>
      </c>
    </row>
    <row r="51" customFormat="false" ht="18" hidden="false" customHeight="true" outlineLevel="0" collapsed="false">
      <c r="A51" s="507"/>
      <c r="B51" s="507"/>
      <c r="C51" s="1920"/>
      <c r="D51" s="1685"/>
      <c r="E51" s="3099"/>
      <c r="F51" s="1234"/>
      <c r="G51" s="900"/>
      <c r="H51" s="2082"/>
      <c r="I51" s="901"/>
      <c r="J51" s="898"/>
      <c r="K51" s="1234"/>
      <c r="L51" s="1234"/>
      <c r="M51" s="1235"/>
      <c r="N51" s="1236"/>
      <c r="O51" s="1234"/>
      <c r="P51" s="1235"/>
      <c r="Q51" s="1234"/>
      <c r="R51" s="1235"/>
      <c r="S51" s="1234"/>
      <c r="T51" s="3100"/>
      <c r="U51" s="3101" t="n">
        <f aca="false">IF(H51=0,0,(IF(K51=0,0,D51*(F51-G51)*12/K51*M51*(L51/16*L51/16*10.7028))+IF(N51=0,0,((F51-G51)*12/N51*D51*P51)*O51/16*O51/16*10.7028)+(Q51*D51+Q51*(F51-G51))*2*(R51/16*R51/16*10.7028)+IF(I51&gt;0,Q51*D51+Q51*(F51-G51)*2*(R51/16*R51/16*10.7028))+IF(H51=0,0,S51*4*T51/16*T51/16*10.7028))*(1+J$69))</f>
        <v>0</v>
      </c>
      <c r="V51" s="3102" t="n">
        <f aca="false">IF(H51=0,0,((D51*E51/12*(F51-G51)/27)-(I51*J51*E51/324))*(1+J$66))</f>
        <v>0</v>
      </c>
      <c r="W51" s="2181" t="n">
        <f aca="false">(F51-G51)*D51</f>
        <v>0</v>
      </c>
      <c r="X51" s="1518" t="n">
        <f aca="false">IF(H51=0,0,SUM(AY51:BE51)/H51)</f>
        <v>0</v>
      </c>
      <c r="Y51" s="16"/>
      <c r="AI51" s="0" t="n">
        <f aca="false">IF(H51&gt;0,1,0)</f>
        <v>0</v>
      </c>
      <c r="AJ51" s="0" t="n">
        <f aca="false">IF($C51=1,$V51*$H51,0)</f>
        <v>0</v>
      </c>
      <c r="AK51" s="0" t="n">
        <f aca="false">IF($C51=2,$V51*$H51,0)</f>
        <v>0</v>
      </c>
      <c r="AL51" s="0" t="n">
        <f aca="false">IF($C51=3,$V51*$H51,0)</f>
        <v>0</v>
      </c>
      <c r="AM51" s="0" t="n">
        <f aca="false">IF($C51=4,$V51*$H51,0)</f>
        <v>0</v>
      </c>
      <c r="AN51" s="0" t="n">
        <f aca="false">IF($C51=5,$V51*$H51,0)</f>
        <v>0</v>
      </c>
      <c r="AO51" s="0" t="n">
        <f aca="false">IF($C51=6,$V51*$H51,0)</f>
        <v>0</v>
      </c>
      <c r="AP51" s="0" t="n">
        <f aca="false">SUM(AJ51:AO51)</f>
        <v>0</v>
      </c>
      <c r="AQ51" s="0" t="n">
        <f aca="false">U51*H51</f>
        <v>0</v>
      </c>
      <c r="AR51" s="908" t="n">
        <f aca="false">W51*H51</f>
        <v>0</v>
      </c>
      <c r="AS51" s="0" t="n">
        <f aca="false">H51</f>
        <v>0</v>
      </c>
      <c r="AT51" s="908" t="n">
        <f aca="false">(D51*2+(F51-G51)*2)*H51</f>
        <v>0</v>
      </c>
      <c r="AU51" s="0" t="n">
        <f aca="false">D51*H51</f>
        <v>0</v>
      </c>
      <c r="AV51" s="0" t="n">
        <f aca="false">IF(E51&gt;0,IF(E51&lt;6,AT51,0),0)</f>
        <v>0</v>
      </c>
      <c r="AW51" s="0" t="n">
        <f aca="false">IF(E51&gt;0,IF(E51&gt;5.5,AT51,0),0)</f>
        <v>0</v>
      </c>
      <c r="AX51" s="0" t="n">
        <f aca="false">U51*H51*F$69*IF(T$55="Y",1,(1+V$55))</f>
        <v>0</v>
      </c>
      <c r="AY51" s="3097" t="n">
        <f aca="false">(AJ51*Pricing!F$3+AK51*Pricing!G$3+AL51*Pricing!H$3+AM51*Pricing!I$3+AN51*Pricing!J$3+AO51*Pricing!K$3)*IF(T$55="Y",1,(1+V$55))</f>
        <v>0</v>
      </c>
      <c r="AZ51" s="3103" t="n">
        <f aca="false">AR51*(G$80+D$83)+IF(H$80=0,0,(K$79+N$79)/H$80*AR51)</f>
        <v>0</v>
      </c>
      <c r="BA51" s="3097" t="e">
        <f aca="false">L$89/AR$52*AR51</f>
        <v>#DIV/0!</v>
      </c>
      <c r="BB51" s="3103" t="n">
        <f aca="false">AQ51/2000*D$84</f>
        <v>0</v>
      </c>
      <c r="BC51" s="3103" t="n">
        <f aca="false">AU51*6.5*G$85/27*D$85</f>
        <v>0</v>
      </c>
      <c r="BD51" s="3104" t="e">
        <f aca="false">IF(AR$52=0,0,SUM(N$92:O$97)+SUM(N$99:O$104)+W$105)/AR$52*AR51</f>
        <v>#DIV/0!</v>
      </c>
      <c r="BE51" s="3105" t="e">
        <f aca="false">SUM(N$73:O$76)/AU$52*AU51</f>
        <v>#DIV/0!</v>
      </c>
    </row>
    <row r="52" customFormat="false" ht="15" hidden="false" customHeight="true" outlineLevel="0" collapsed="false">
      <c r="A52" s="599"/>
      <c r="D52" s="829" t="n">
        <f aca="false">SUM(D10:D51)</f>
        <v>0</v>
      </c>
      <c r="E52" s="835" t="s">
        <v>1398</v>
      </c>
      <c r="F52" s="835"/>
      <c r="G52" s="835"/>
      <c r="H52" s="835"/>
      <c r="P52" s="1184" t="s">
        <v>1399</v>
      </c>
      <c r="Q52" s="1184"/>
      <c r="R52" s="1184"/>
      <c r="S52" s="1184"/>
      <c r="V52" s="1037" t="n">
        <f aca="false">SUM(U10:U51)</f>
        <v>0</v>
      </c>
      <c r="W52" s="3108"/>
      <c r="X52" s="3108"/>
      <c r="AI52" s="908" t="n">
        <f aca="false">SUM(AI10:AI51)</f>
        <v>0</v>
      </c>
      <c r="AJ52" s="908" t="n">
        <f aca="false">SUM(AJ10:AJ51)</f>
        <v>0</v>
      </c>
      <c r="AK52" s="908" t="n">
        <f aca="false">SUM(AK10:AK51)</f>
        <v>0</v>
      </c>
      <c r="AL52" s="908" t="n">
        <f aca="false">SUM(AL10:AL51)</f>
        <v>0</v>
      </c>
      <c r="AM52" s="908" t="n">
        <f aca="false">SUM(AM10:AM51)</f>
        <v>0</v>
      </c>
      <c r="AN52" s="908" t="n">
        <f aca="false">SUM(AN10:AN51)</f>
        <v>0</v>
      </c>
      <c r="AO52" s="908" t="n">
        <f aca="false">SUM(AO10:AO51)</f>
        <v>0</v>
      </c>
      <c r="AP52" s="908" t="n">
        <f aca="false">SUM(AP10:AP51)</f>
        <v>0</v>
      </c>
      <c r="AQ52" s="908" t="n">
        <f aca="false">SUM(AQ10:AQ51)</f>
        <v>0</v>
      </c>
      <c r="AR52" s="908" t="n">
        <f aca="false">SUM(AR10:AR51)</f>
        <v>0</v>
      </c>
      <c r="AS52" s="908" t="n">
        <f aca="false">SUM(AS10:AS51)</f>
        <v>0</v>
      </c>
      <c r="AT52" s="908" t="n">
        <f aca="false">SUM(AT10:AT51)</f>
        <v>0</v>
      </c>
      <c r="AU52" s="908" t="n">
        <f aca="false">SUM(AU10:AU51)</f>
        <v>0</v>
      </c>
      <c r="AV52" s="908" t="n">
        <f aca="false">SUM(AV10:AV51)</f>
        <v>0</v>
      </c>
      <c r="AW52" s="908" t="n">
        <f aca="false">SUM(AW10:AW51)</f>
        <v>0</v>
      </c>
      <c r="AX52" s="908" t="n">
        <f aca="false">SUM(AX10:AX51)</f>
        <v>0</v>
      </c>
      <c r="AY52" s="3097"/>
      <c r="AZ52" s="3103"/>
      <c r="BA52" s="3097"/>
      <c r="BB52" s="3103"/>
      <c r="BC52" s="3103"/>
      <c r="BD52" s="3104"/>
      <c r="BE52" s="3105"/>
    </row>
    <row r="53" customFormat="false" ht="15" hidden="false" customHeight="true" outlineLevel="0" collapsed="false">
      <c r="A53" s="602"/>
      <c r="B53" s="1058"/>
      <c r="C53" s="1058"/>
      <c r="D53" s="1058"/>
      <c r="E53" s="1058"/>
      <c r="F53" s="1058"/>
      <c r="G53" s="1058"/>
      <c r="H53" s="1058"/>
      <c r="I53" s="1058"/>
      <c r="K53" s="1058"/>
      <c r="L53" s="1058"/>
      <c r="M53" s="1058"/>
      <c r="N53" s="1058"/>
      <c r="O53" s="1058"/>
      <c r="P53" s="731" t="s">
        <v>1400</v>
      </c>
      <c r="Q53" s="731"/>
      <c r="R53" s="731"/>
      <c r="S53" s="731"/>
      <c r="T53" s="1058"/>
      <c r="U53" s="1058"/>
      <c r="V53" s="3109" t="n">
        <f aca="false">ROUNDUP(V52/2000,0)</f>
        <v>0</v>
      </c>
      <c r="W53" s="1971"/>
      <c r="X53" s="1971"/>
      <c r="AR53" s="908"/>
      <c r="AT53" s="908"/>
      <c r="AY53" s="3097"/>
      <c r="AZ53" s="3103"/>
      <c r="BA53" s="3097"/>
      <c r="BB53" s="3103"/>
      <c r="BC53" s="3103"/>
      <c r="BD53" s="3104"/>
      <c r="BE53" s="3105"/>
    </row>
    <row r="54" customFormat="false" ht="18.75" hidden="false" customHeight="true" outlineLevel="0" collapsed="false">
      <c r="A54" s="949"/>
      <c r="B54" s="950"/>
      <c r="C54" s="950"/>
      <c r="D54" s="950"/>
      <c r="E54" s="950"/>
      <c r="F54" s="950"/>
      <c r="G54" s="950"/>
      <c r="H54" s="950"/>
      <c r="I54" s="950"/>
      <c r="J54" s="950"/>
      <c r="K54" s="954"/>
      <c r="L54" s="950"/>
      <c r="M54" s="950"/>
      <c r="N54" s="950"/>
      <c r="O54" s="950"/>
      <c r="P54" s="950"/>
      <c r="Q54" s="950"/>
      <c r="R54" s="950"/>
      <c r="S54" s="950"/>
      <c r="T54" s="950"/>
      <c r="U54" s="950"/>
      <c r="V54" s="950"/>
      <c r="W54" s="957"/>
      <c r="AY54" s="3105" t="n">
        <f aca="false">N66</f>
        <v>0</v>
      </c>
      <c r="AZ54" s="3103" t="n">
        <f aca="false">N80+N81+N82+N79+K83</f>
        <v>0</v>
      </c>
      <c r="BA54" s="3105" t="n">
        <f aca="false">L89</f>
        <v>0</v>
      </c>
      <c r="BB54" s="3103" t="n">
        <f aca="false">N84</f>
        <v>0</v>
      </c>
      <c r="BC54" s="3105" t="n">
        <f aca="false">K85</f>
        <v>0</v>
      </c>
      <c r="BD54" s="3097"/>
      <c r="BE54" s="3097"/>
    </row>
    <row r="55" customFormat="false" ht="15" hidden="false" customHeight="true" outlineLevel="0" collapsed="false">
      <c r="A55" s="958" t="s">
        <v>1262</v>
      </c>
      <c r="B55" s="958"/>
      <c r="C55" s="958"/>
      <c r="D55" s="958" t="s">
        <v>982</v>
      </c>
      <c r="E55" s="958"/>
      <c r="F55" s="958" t="s">
        <v>1263</v>
      </c>
      <c r="G55" s="958"/>
      <c r="H55" s="958"/>
      <c r="I55" s="959" t="s">
        <v>1264</v>
      </c>
      <c r="J55" s="959"/>
      <c r="K55" s="959"/>
      <c r="L55" s="1170" t="s">
        <v>1265</v>
      </c>
      <c r="M55" s="1170"/>
      <c r="N55" s="1171"/>
      <c r="O55" s="1172"/>
      <c r="P55" s="961"/>
      <c r="Q55" s="599" t="s">
        <v>1266</v>
      </c>
      <c r="S55" s="78" t="s">
        <v>1739</v>
      </c>
      <c r="T55" s="962" t="str">
        <f aca="false">Summary!P62</f>
        <v>N</v>
      </c>
      <c r="U55" s="833" t="s">
        <v>1268</v>
      </c>
      <c r="V55" s="1262" t="n">
        <f aca="false">Summary!R62</f>
        <v>0.0825</v>
      </c>
      <c r="W55" s="964"/>
      <c r="AY55" s="3097"/>
      <c r="AZ55" s="3097"/>
      <c r="BA55" s="3097"/>
      <c r="BB55" s="3097"/>
      <c r="BC55" s="3097" t="n">
        <f aca="false">SUM(AX52:BE52)</f>
        <v>0</v>
      </c>
      <c r="BD55" s="3097"/>
      <c r="BE55" s="3097"/>
    </row>
    <row r="56" customFormat="false" ht="27" hidden="false" customHeight="true" outlineLevel="0" collapsed="false">
      <c r="A56" s="965" t="s">
        <v>1269</v>
      </c>
      <c r="B56" s="966" t="n">
        <f aca="false">I56*(1+L56+Summary!P60)</f>
        <v>0</v>
      </c>
      <c r="C56" s="966"/>
      <c r="D56" s="3110" t="n">
        <f aca="false">T56*(1+L56+Summary!P60)</f>
        <v>0</v>
      </c>
      <c r="E56" s="3110"/>
      <c r="F56" s="968" t="n">
        <f aca="false">IF(D56=0,0,G56/D56)</f>
        <v>0</v>
      </c>
      <c r="G56" s="736" t="n">
        <f aca="false">(D56-T56)/(Summary!P59+Summary!P60)*Summary!P60</f>
        <v>0</v>
      </c>
      <c r="H56" s="736"/>
      <c r="I56" s="1264" t="n">
        <f aca="false">IF(H80=0,0,T56/H80)</f>
        <v>0</v>
      </c>
      <c r="J56" s="1264"/>
      <c r="K56" s="1264"/>
      <c r="L56" s="969" t="n">
        <f aca="false">Summary!P59</f>
        <v>0.18</v>
      </c>
      <c r="M56" s="969"/>
      <c r="N56" s="969"/>
      <c r="O56" s="969"/>
      <c r="P56" s="1265"/>
      <c r="Q56" s="970" t="s">
        <v>980</v>
      </c>
      <c r="T56" s="971" t="n">
        <f aca="false">SUM(N66:O76)+SUM(N79:O85)+SUM(N88:O90)+SUM(N92:O97)+SUM(N99:O104)+W105+N77+SUM(K79:L85)</f>
        <v>0</v>
      </c>
      <c r="U56" s="971"/>
      <c r="W56" s="964"/>
      <c r="X56" s="0" t="n">
        <f aca="false">BC55</f>
        <v>0</v>
      </c>
      <c r="AG56" s="373"/>
    </row>
    <row r="57" customFormat="false" ht="22.5" hidden="false" customHeight="true" outlineLevel="0" collapsed="false">
      <c r="A57" s="1972"/>
      <c r="B57" s="1973"/>
      <c r="C57" s="1973"/>
      <c r="D57" s="1974"/>
      <c r="E57" s="1974"/>
      <c r="F57" s="1973"/>
      <c r="G57" s="1973"/>
      <c r="H57" s="976" t="s">
        <v>1270</v>
      </c>
      <c r="I57" s="977"/>
      <c r="J57" s="978"/>
      <c r="K57" s="978"/>
      <c r="L57" s="979"/>
      <c r="M57" s="1665" t="n">
        <f aca="false">IF(J57&gt;0,(J57-D56)/(1+L56),0)</f>
        <v>0</v>
      </c>
      <c r="N57" s="1665"/>
      <c r="O57" s="973"/>
      <c r="P57" s="973"/>
      <c r="Q57" s="973"/>
      <c r="R57" s="973"/>
      <c r="S57" s="973"/>
      <c r="T57" s="983" t="n">
        <f aca="false">W114</f>
        <v>0</v>
      </c>
      <c r="U57" s="983"/>
      <c r="V57" s="973"/>
      <c r="W57" s="984"/>
      <c r="X57" s="373" t="n">
        <f aca="false">T56-X56</f>
        <v>0</v>
      </c>
    </row>
    <row r="58" customFormat="false" ht="15" hidden="false" customHeight="false" outlineLevel="0" collapsed="false">
      <c r="A58" s="654"/>
      <c r="B58" s="654"/>
      <c r="C58" s="654"/>
      <c r="D58" s="654"/>
      <c r="E58" s="654"/>
      <c r="F58" s="654"/>
      <c r="G58" s="654"/>
      <c r="H58" s="654"/>
      <c r="I58" s="654"/>
      <c r="J58" s="654"/>
      <c r="K58" s="654"/>
      <c r="L58" s="654"/>
      <c r="M58" s="654"/>
      <c r="N58" s="654"/>
      <c r="O58" s="654"/>
      <c r="P58" s="654"/>
      <c r="Q58" s="654"/>
      <c r="R58" s="1435" t="e">
        <f aca="false">K69/H80</f>
        <v>#DIV/0!</v>
      </c>
      <c r="S58" s="654" t="s">
        <v>2065</v>
      </c>
      <c r="T58" s="632"/>
      <c r="U58" s="632"/>
      <c r="V58" s="2253" t="n">
        <f aca="false">T56-T57</f>
        <v>0</v>
      </c>
      <c r="W58" s="2253"/>
    </row>
    <row r="59" customFormat="false" ht="15" hidden="false" customHeight="false" outlineLevel="0" collapsed="false">
      <c r="A59" s="654"/>
      <c r="B59" s="654"/>
      <c r="C59" s="654"/>
      <c r="D59" s="654"/>
      <c r="E59" s="654"/>
      <c r="F59" s="654"/>
      <c r="G59" s="654"/>
      <c r="H59" s="654"/>
      <c r="I59" s="654"/>
      <c r="J59" s="654"/>
      <c r="K59" s="654"/>
      <c r="L59" s="654"/>
      <c r="M59" s="654"/>
      <c r="N59" s="654"/>
      <c r="O59" s="654"/>
      <c r="P59" s="654"/>
      <c r="Q59" s="654"/>
      <c r="R59" s="654"/>
      <c r="S59" s="654"/>
      <c r="T59" s="654"/>
      <c r="U59" s="654"/>
      <c r="V59" s="654"/>
      <c r="W59" s="654"/>
    </row>
    <row r="60" customFormat="false" ht="32.25" hidden="false" customHeight="true" outlineLevel="0" collapsed="false">
      <c r="A60" s="654"/>
      <c r="B60" s="16" t="s">
        <v>1697</v>
      </c>
      <c r="C60" s="1271"/>
      <c r="D60" s="1271"/>
      <c r="E60" s="1271"/>
      <c r="F60" s="1271"/>
      <c r="G60" s="1271"/>
      <c r="H60" s="1271"/>
      <c r="I60" s="1271"/>
      <c r="J60" s="1271"/>
      <c r="K60" s="1271"/>
      <c r="L60" s="1271"/>
      <c r="M60" s="1271"/>
      <c r="N60" s="1271"/>
      <c r="O60" s="1271"/>
      <c r="P60" s="654"/>
      <c r="Q60" s="654"/>
      <c r="R60" s="654"/>
      <c r="S60" s="654"/>
      <c r="T60" s="654"/>
      <c r="U60" s="654"/>
      <c r="V60" s="654"/>
      <c r="W60" s="654"/>
    </row>
    <row r="61" customFormat="false" ht="18.75" hidden="false" customHeight="true" outlineLevel="0" collapsed="false">
      <c r="A61" s="654"/>
      <c r="B61" s="654"/>
      <c r="C61" s="1271"/>
      <c r="D61" s="1271"/>
      <c r="E61" s="1271"/>
      <c r="F61" s="1271"/>
      <c r="G61" s="1271"/>
      <c r="H61" s="1271"/>
      <c r="I61" s="1271"/>
      <c r="J61" s="1271"/>
      <c r="K61" s="1271"/>
      <c r="L61" s="1271"/>
      <c r="M61" s="1271"/>
      <c r="N61" s="1271"/>
      <c r="O61" s="1271"/>
      <c r="P61" s="654"/>
      <c r="Q61" s="654"/>
      <c r="R61" s="654"/>
      <c r="S61" s="654"/>
      <c r="T61" s="654"/>
      <c r="U61" s="654"/>
      <c r="V61" s="654"/>
      <c r="W61" s="654"/>
    </row>
    <row r="62" customFormat="false" ht="18.75" hidden="false" customHeight="true" outlineLevel="0" collapsed="false">
      <c r="A62" s="654"/>
      <c r="B62" s="654"/>
      <c r="C62" s="1271"/>
      <c r="D62" s="1271"/>
      <c r="E62" s="1271"/>
      <c r="F62" s="1271"/>
      <c r="G62" s="1271"/>
      <c r="H62" s="1271"/>
      <c r="I62" s="1271"/>
      <c r="J62" s="1271"/>
      <c r="K62" s="1271"/>
      <c r="L62" s="1271"/>
      <c r="M62" s="1271"/>
      <c r="N62" s="1271"/>
      <c r="O62" s="1271"/>
      <c r="P62" s="654"/>
      <c r="Q62" s="654"/>
      <c r="R62" s="654"/>
      <c r="S62" s="654"/>
      <c r="T62" s="654"/>
      <c r="U62" s="654"/>
      <c r="V62" s="654"/>
      <c r="W62" s="654"/>
    </row>
    <row r="63" customFormat="false" ht="18.75" hidden="false" customHeight="true" outlineLevel="0" collapsed="false">
      <c r="A63" s="654"/>
      <c r="B63" s="654"/>
      <c r="C63" s="3111"/>
      <c r="D63" s="3111"/>
      <c r="E63" s="3111"/>
      <c r="F63" s="3111"/>
      <c r="G63" s="3111"/>
      <c r="H63" s="3111"/>
      <c r="I63" s="3111"/>
      <c r="J63" s="3111"/>
      <c r="K63" s="3111"/>
      <c r="L63" s="3111"/>
      <c r="M63" s="3111"/>
      <c r="N63" s="3111"/>
      <c r="O63" s="3111"/>
      <c r="P63" s="654"/>
      <c r="Q63" s="654"/>
      <c r="R63" s="654"/>
      <c r="S63" s="654"/>
      <c r="T63" s="654"/>
      <c r="U63" s="654"/>
      <c r="V63" s="654"/>
      <c r="W63" s="654"/>
    </row>
    <row r="64" customFormat="false" ht="13.5" hidden="false" customHeight="true" outlineLevel="0" collapsed="false">
      <c r="A64" s="654"/>
      <c r="B64" s="654"/>
      <c r="C64" s="654"/>
      <c r="D64" s="654"/>
      <c r="E64" s="654"/>
      <c r="F64" s="654"/>
      <c r="G64" s="654"/>
      <c r="H64" s="654"/>
      <c r="I64" s="654"/>
      <c r="J64" s="654"/>
      <c r="K64" s="654"/>
      <c r="L64" s="654"/>
      <c r="M64" s="654"/>
      <c r="N64" s="654"/>
      <c r="O64" s="654"/>
      <c r="P64" s="654"/>
      <c r="Q64" s="654"/>
      <c r="R64" s="654"/>
      <c r="S64" s="726"/>
      <c r="T64" s="726"/>
      <c r="U64" s="726"/>
      <c r="V64" s="726"/>
      <c r="W64" s="654"/>
    </row>
    <row r="65" customFormat="false" ht="35.25" hidden="false" customHeight="true" outlineLevel="0" collapsed="false">
      <c r="A65" s="2816" t="s">
        <v>1280</v>
      </c>
      <c r="B65" s="1017" t="s">
        <v>1413</v>
      </c>
      <c r="C65" s="1017"/>
      <c r="D65" s="1017"/>
      <c r="E65" s="1017"/>
      <c r="F65" s="1017"/>
      <c r="G65" s="1017"/>
      <c r="H65" s="1017"/>
      <c r="I65" s="1017"/>
      <c r="J65" s="1017"/>
      <c r="K65" s="1017"/>
      <c r="L65" s="1017"/>
      <c r="M65" s="1017"/>
      <c r="N65" s="1017"/>
      <c r="O65" s="1017"/>
      <c r="P65" s="2488" t="s">
        <v>1284</v>
      </c>
      <c r="Q65" s="1022" t="s">
        <v>517</v>
      </c>
      <c r="R65" s="1022"/>
      <c r="S65" s="879" t="s">
        <v>835</v>
      </c>
      <c r="T65" s="1023"/>
      <c r="U65" s="1024" t="s">
        <v>518</v>
      </c>
      <c r="V65" s="1023"/>
      <c r="W65" s="1025"/>
      <c r="BK65" s="2107" t="n">
        <f aca="false">SUM(BN67:BN76)*(1+AW70)</f>
        <v>0</v>
      </c>
      <c r="BL65" s="427" t="s">
        <v>612</v>
      </c>
      <c r="BM65" s="1414"/>
      <c r="BN65" s="1414"/>
    </row>
    <row r="66" customFormat="false" ht="18.75" hidden="false" customHeight="true" outlineLevel="0" collapsed="false">
      <c r="A66" s="2004" t="n">
        <v>1</v>
      </c>
      <c r="B66" s="1028" t="str">
        <f aca="false">IF(A66=1,Pricing!F$2,IF(A66=2,Pricing!G$2,IF(A66=3,Pricing!H$2,IF(A66=4,Pricing!I$2,IF(A66=5,Pricing!J$2,IF(A66=6,Pricing!K$2,0))))))</f>
        <v>3,000 PSI 5sk /Ash and Air</v>
      </c>
      <c r="C66" s="1726"/>
      <c r="D66" s="1726"/>
      <c r="E66" s="1726"/>
      <c r="F66" s="1727" t="n">
        <f aca="false">IF(A66=1,Pricing!F$3,IF(A66=2,Pricing!G$3,IF(A66=3,Pricing!H$3,IF(A66=4,Pricing!I$3,IF(A66=5,Pricing!J$3,IF(A66=6,Pricing!K$3,0))))))</f>
        <v>134</v>
      </c>
      <c r="G66" s="1726" t="s">
        <v>2066</v>
      </c>
      <c r="H66" s="2005" t="s">
        <v>1929</v>
      </c>
      <c r="I66" s="2005"/>
      <c r="J66" s="1031" t="n">
        <v>0.04</v>
      </c>
      <c r="K66" s="1310" t="n">
        <f aca="false">IF(A66=1,AJ$52,IF(A66=2,AK$52,IF(A66=3,AL$52,IF(A66=4,AM$52,IF(A66=5,AN$52,IF(A66=6,AO$52))))))</f>
        <v>0</v>
      </c>
      <c r="L66" s="1310"/>
      <c r="M66" s="15" t="s">
        <v>2067</v>
      </c>
      <c r="N66" s="3112" t="n">
        <f aca="false">K66*F66*(IF(T$55="N",1+V$55,1))</f>
        <v>0</v>
      </c>
      <c r="O66" s="3112"/>
      <c r="P66" s="3113" t="n">
        <v>2</v>
      </c>
      <c r="Q66" s="920" t="s">
        <v>1415</v>
      </c>
      <c r="R66" s="78"/>
      <c r="S66" s="1307" t="n">
        <v>0.4</v>
      </c>
      <c r="T66" s="78"/>
      <c r="U66" s="1308" t="n">
        <f aca="false">BB84</f>
        <v>0</v>
      </c>
      <c r="V66" s="78"/>
      <c r="W66" s="3114"/>
      <c r="BK66" s="1301" t="s">
        <v>1259</v>
      </c>
      <c r="BL66" s="1302" t="s">
        <v>1215</v>
      </c>
      <c r="BM66" s="1303" t="s">
        <v>1369</v>
      </c>
      <c r="BN66" s="1304" t="s">
        <v>1414</v>
      </c>
    </row>
    <row r="67" customFormat="false" ht="18.75" hidden="false" customHeight="true" outlineLevel="0" collapsed="false">
      <c r="A67" s="2006" t="n">
        <v>2</v>
      </c>
      <c r="B67" s="599" t="str">
        <f aca="false">IF(A67=1,Pricing!F$2,IF(A67=2,Pricing!G$2,IF(A67=3,Pricing!H$2,IF(A67=4,Pricing!I$2,IF(A67=5,Pricing!J$2,IF(A67=6,Pricing!K$2,0))))))</f>
        <v>3,000 PSI / Ash no Air</v>
      </c>
      <c r="F67" s="1319" t="n">
        <f aca="false">IF(A67=1,Pricing!F$3,IF(A67=2,Pricing!G$3,IF(A67=3,Pricing!H$3,IF(A67=4,Pricing!I$3,IF(A67=5,Pricing!J$3,IF(A67=6,Pricing!K$3,0))))))</f>
        <v>145</v>
      </c>
      <c r="G67" s="16" t="s">
        <v>2066</v>
      </c>
      <c r="H67" s="2005"/>
      <c r="I67" s="2005"/>
      <c r="J67" s="1031"/>
      <c r="K67" s="1310" t="n">
        <f aca="false">IF(A67=1,AJ$52,IF(A67=2,AK$52,IF(A67=3,AL$52,IF(A67=4,AM$52,IF(A67=5,AN$52,IF(A67=6,AO$52))))))</f>
        <v>0</v>
      </c>
      <c r="L67" s="1310"/>
      <c r="M67" s="15" t="s">
        <v>2067</v>
      </c>
      <c r="N67" s="3112" t="n">
        <f aca="false">K67*F67*(IF(T$55="N",1+V$55,1))</f>
        <v>0</v>
      </c>
      <c r="O67" s="3112"/>
      <c r="P67" s="3113" t="n">
        <v>2</v>
      </c>
      <c r="Q67" s="920" t="s">
        <v>526</v>
      </c>
      <c r="R67" s="78"/>
      <c r="S67" s="1311" t="n">
        <f aca="false">AT52*S66</f>
        <v>0</v>
      </c>
      <c r="T67" s="1312" t="s">
        <v>1416</v>
      </c>
      <c r="U67" s="1308" t="n">
        <f aca="false">Pricing!Q4</f>
        <v>0.859375</v>
      </c>
      <c r="V67" s="78" t="s">
        <v>1417</v>
      </c>
      <c r="W67" s="3114" t="n">
        <f aca="false">IF(T$55="Y",U67*S67,U67*S67*(1+V$55))</f>
        <v>0</v>
      </c>
      <c r="BK67" s="149"/>
      <c r="BL67" s="150"/>
      <c r="BM67" s="151"/>
      <c r="BN67" s="152" t="n">
        <f aca="false">BK67*(BL67*BL67*0.04180884375)*BM67</f>
        <v>0</v>
      </c>
    </row>
    <row r="68" customFormat="false" ht="18.75" hidden="false" customHeight="true" outlineLevel="0" collapsed="false">
      <c r="A68" s="2008" t="n">
        <v>3</v>
      </c>
      <c r="B68" s="1044" t="str">
        <f aca="false">IF(A68=1,Pricing!F$2,IF(A68=2,Pricing!G$2,IF(A68=3,Pricing!H$2,IF(A68=4,Pricing!I$2,IF(A68=5,Pricing!J$2,IF(A68=6,Pricing!K$2,0))))))</f>
        <v>3,500 PSI 5.5sk /Ash and Air</v>
      </c>
      <c r="C68" s="397"/>
      <c r="D68" s="397"/>
      <c r="E68" s="397"/>
      <c r="F68" s="1315" t="n">
        <f aca="false">IF(A68=1,Pricing!F$3,IF(A68=2,Pricing!G$3,IF(A68=3,Pricing!H$3,IF(A68=4,Pricing!I$3,IF(A68=5,Pricing!J$3,IF(A68=6,Pricing!K$3,0))))))</f>
        <v>140</v>
      </c>
      <c r="G68" s="397" t="s">
        <v>2066</v>
      </c>
      <c r="H68" s="2005"/>
      <c r="I68" s="2005"/>
      <c r="J68" s="1031"/>
      <c r="K68" s="1310" t="n">
        <f aca="false">IF(A68=1,AJ$52,IF(A68=2,AK$52,IF(A68=3,AL$52,IF(A68=4,AM$52,IF(A68=5,AN$52,IF(A68=6,AO$52))))))</f>
        <v>0</v>
      </c>
      <c r="L68" s="1310"/>
      <c r="M68" s="1046" t="s">
        <v>2067</v>
      </c>
      <c r="N68" s="3115" t="n">
        <f aca="false">K68*F68*(IF(T$55="N",1+V$55,1))</f>
        <v>0</v>
      </c>
      <c r="O68" s="3115"/>
      <c r="P68" s="3113" t="n">
        <v>2</v>
      </c>
      <c r="Q68" s="920" t="s">
        <v>534</v>
      </c>
      <c r="R68" s="78"/>
      <c r="S68" s="1311" t="n">
        <f aca="false">(AV52*S66+AU52*2)</f>
        <v>0</v>
      </c>
      <c r="T68" s="1312" t="s">
        <v>1416</v>
      </c>
      <c r="U68" s="1308" t="n">
        <f aca="false">Pricing!Q5</f>
        <v>1.4453125</v>
      </c>
      <c r="V68" s="78" t="s">
        <v>1417</v>
      </c>
      <c r="W68" s="3114" t="n">
        <f aca="false">IF(T$55="Y",U68*S68,U68*S68*(1+V$55))</f>
        <v>0</v>
      </c>
      <c r="BK68" s="149"/>
      <c r="BL68" s="150"/>
      <c r="BM68" s="151"/>
      <c r="BN68" s="152" t="n">
        <f aca="false">BK68*(BL68*BL68*0.04180884375)*BM68</f>
        <v>0</v>
      </c>
    </row>
    <row r="69" customFormat="false" ht="18.75" hidden="false" customHeight="true" outlineLevel="0" collapsed="false">
      <c r="A69" s="599"/>
      <c r="B69" s="1041" t="s">
        <v>1287</v>
      </c>
      <c r="F69" s="1048" t="n">
        <f aca="false">Pricing!D23</f>
        <v>0.55</v>
      </c>
      <c r="G69" s="16" t="s">
        <v>555</v>
      </c>
      <c r="H69" s="3088" t="s">
        <v>1930</v>
      </c>
      <c r="I69" s="3088"/>
      <c r="J69" s="3116" t="n">
        <v>0.05</v>
      </c>
      <c r="K69" s="1051" t="n">
        <f aca="false">AQ52</f>
        <v>0</v>
      </c>
      <c r="L69" s="1051"/>
      <c r="M69" s="16" t="s">
        <v>1288</v>
      </c>
      <c r="N69" s="3112" t="n">
        <f aca="false">F69*K69*(IF(T55="N",1+V55,1))</f>
        <v>0</v>
      </c>
      <c r="O69" s="3112"/>
      <c r="P69" s="3113" t="n">
        <v>2</v>
      </c>
      <c r="Q69" s="920" t="s">
        <v>536</v>
      </c>
      <c r="R69" s="78"/>
      <c r="S69" s="1311" t="n">
        <f aca="false">(AW52*S66)</f>
        <v>0</v>
      </c>
      <c r="T69" s="1312" t="s">
        <v>1416</v>
      </c>
      <c r="U69" s="1308" t="n">
        <f aca="false">Pricing!Q6</f>
        <v>1.171875</v>
      </c>
      <c r="V69" s="78" t="s">
        <v>1417</v>
      </c>
      <c r="W69" s="3114" t="n">
        <f aca="false">IF(T$55="Y",U69*S69,U69*S69*(1+V$55))</f>
        <v>0</v>
      </c>
      <c r="BK69" s="149"/>
      <c r="BL69" s="150"/>
      <c r="BM69" s="151"/>
      <c r="BN69" s="152" t="n">
        <f aca="false">BK69*(BL69*BL69*0.04180884375)*BM69</f>
        <v>0</v>
      </c>
    </row>
    <row r="70" customFormat="false" ht="18.75" hidden="false" customHeight="true" outlineLevel="0" collapsed="false">
      <c r="A70" s="1205"/>
      <c r="B70" s="15" t="s">
        <v>1421</v>
      </c>
      <c r="F70" s="1328" t="n">
        <f aca="false">Pricing!D19</f>
        <v>25</v>
      </c>
      <c r="G70" s="16" t="s">
        <v>2068</v>
      </c>
      <c r="H70" s="1813" t="s">
        <v>1930</v>
      </c>
      <c r="I70" s="1813"/>
      <c r="J70" s="3117" t="n">
        <v>0.05</v>
      </c>
      <c r="K70" s="1310"/>
      <c r="L70" s="1310"/>
      <c r="M70" s="16" t="s">
        <v>2067</v>
      </c>
      <c r="N70" s="3112" t="n">
        <f aca="false">K70*F70*IF(T23="N",1+H23,1)</f>
        <v>0</v>
      </c>
      <c r="O70" s="3112"/>
      <c r="P70" s="3113" t="n">
        <v>2</v>
      </c>
      <c r="Q70" s="920" t="s">
        <v>538</v>
      </c>
      <c r="R70" s="78"/>
      <c r="S70" s="1311" t="n">
        <f aca="false">D52</f>
        <v>0</v>
      </c>
      <c r="T70" s="1312" t="s">
        <v>1416</v>
      </c>
      <c r="U70" s="1308" t="n">
        <f aca="false">Pricing!Q7</f>
        <v>1.09375</v>
      </c>
      <c r="V70" s="78" t="s">
        <v>1417</v>
      </c>
      <c r="W70" s="3114" t="n">
        <f aca="false">IF(T$55="Y",U70*S70,U70*S70*(1+V$55))</f>
        <v>0</v>
      </c>
      <c r="AG70" s="373"/>
      <c r="BK70" s="149"/>
      <c r="BL70" s="150"/>
      <c r="BM70" s="151"/>
      <c r="BN70" s="152" t="n">
        <f aca="false">BK70*(BL70*BL70*0.04180884375)*BM70</f>
        <v>0</v>
      </c>
    </row>
    <row r="71" customFormat="false" ht="18.75" hidden="false" customHeight="true" outlineLevel="0" collapsed="false">
      <c r="A71" s="599"/>
      <c r="B71" s="1041" t="s">
        <v>2069</v>
      </c>
      <c r="F71" s="1319" t="n">
        <f aca="false">Pricing!F6</f>
        <v>0</v>
      </c>
      <c r="G71" s="16" t="s">
        <v>600</v>
      </c>
      <c r="H71" s="1742" t="s">
        <v>1930</v>
      </c>
      <c r="I71" s="1742"/>
      <c r="J71" s="3118" t="n">
        <v>0.05</v>
      </c>
      <c r="K71" s="1310"/>
      <c r="L71" s="1310"/>
      <c r="M71" s="16" t="s">
        <v>1418</v>
      </c>
      <c r="N71" s="3112" t="n">
        <f aca="false">K71*F71*(IF(T55="N",1+V55,1))*(J71+1)</f>
        <v>0</v>
      </c>
      <c r="O71" s="3112"/>
      <c r="P71" s="3113" t="n">
        <v>2</v>
      </c>
      <c r="Q71" s="920" t="s">
        <v>540</v>
      </c>
      <c r="R71" s="78"/>
      <c r="S71" s="1311"/>
      <c r="T71" s="78" t="s">
        <v>1420</v>
      </c>
      <c r="U71" s="1308" t="n">
        <f aca="false">Pricing!Q8</f>
        <v>74.75</v>
      </c>
      <c r="V71" s="78" t="s">
        <v>541</v>
      </c>
      <c r="W71" s="3114" t="n">
        <f aca="false">IF(T$55="Y",U71*S71,U71*S71*(1+V$55))</f>
        <v>0</v>
      </c>
      <c r="BK71" s="1322"/>
      <c r="BL71" s="1323"/>
      <c r="BM71" s="1324"/>
      <c r="BN71" s="1325" t="n">
        <f aca="false">BK71*(BL71*BL71*0.04180884375)*BM71</f>
        <v>0</v>
      </c>
    </row>
    <row r="72" customFormat="false" ht="18.75" hidden="false" customHeight="true" outlineLevel="0" collapsed="false">
      <c r="A72" s="1205"/>
      <c r="B72" s="1081" t="s">
        <v>1424</v>
      </c>
      <c r="C72" s="397"/>
      <c r="D72" s="1330"/>
      <c r="E72" s="397"/>
      <c r="F72" s="1331" t="n">
        <v>15</v>
      </c>
      <c r="G72" s="397" t="s">
        <v>566</v>
      </c>
      <c r="H72" s="3119"/>
      <c r="I72" s="3120"/>
      <c r="J72" s="1031"/>
      <c r="K72" s="1316"/>
      <c r="L72" s="1316"/>
      <c r="M72" s="397" t="s">
        <v>1418</v>
      </c>
      <c r="N72" s="3115" t="n">
        <f aca="false">K72*F72</f>
        <v>0</v>
      </c>
      <c r="O72" s="3115"/>
      <c r="P72" s="3113" t="n">
        <v>2</v>
      </c>
      <c r="Q72" s="920" t="s">
        <v>1422</v>
      </c>
      <c r="R72" s="78"/>
      <c r="S72" s="1311" t="n">
        <f aca="false">S69/100*S66</f>
        <v>0</v>
      </c>
      <c r="T72" s="78" t="s">
        <v>1423</v>
      </c>
      <c r="U72" s="1308" t="n">
        <f aca="false">Pricing!Q15</f>
        <v>24</v>
      </c>
      <c r="V72" s="78" t="s">
        <v>1300</v>
      </c>
      <c r="W72" s="3114" t="n">
        <f aca="false">IF(T$55="Y",U72*S72,U72*S72*(1+V$55))</f>
        <v>0</v>
      </c>
      <c r="BK72" s="149"/>
      <c r="BL72" s="150"/>
      <c r="BM72" s="151"/>
      <c r="BN72" s="152" t="n">
        <f aca="false">BK72*(BL72*BL72*0.04180884375)*BM72</f>
        <v>0</v>
      </c>
    </row>
    <row r="73" customFormat="false" ht="18.75" hidden="false" customHeight="true" outlineLevel="0" collapsed="false">
      <c r="A73" s="599" t="s">
        <v>966</v>
      </c>
      <c r="B73" s="15"/>
      <c r="D73" s="833"/>
      <c r="F73" s="1333"/>
      <c r="G73" s="16" t="s">
        <v>1426</v>
      </c>
      <c r="K73" s="1310"/>
      <c r="L73" s="1310"/>
      <c r="M73" s="16" t="s">
        <v>1418</v>
      </c>
      <c r="N73" s="3114" t="n">
        <f aca="false">F73*K73</f>
        <v>0</v>
      </c>
      <c r="O73" s="3114"/>
      <c r="P73" s="3113" t="n">
        <v>2</v>
      </c>
      <c r="Q73" s="920" t="s">
        <v>561</v>
      </c>
      <c r="R73" s="78"/>
      <c r="S73" s="1311" t="n">
        <f aca="false">ROUNDUP((S69+S68)/S66/1800,0)</f>
        <v>0</v>
      </c>
      <c r="T73" s="78" t="s">
        <v>1425</v>
      </c>
      <c r="U73" s="1308" t="n">
        <f aca="false">Pricing!Q16</f>
        <v>68.2</v>
      </c>
      <c r="V73" s="78" t="s">
        <v>562</v>
      </c>
      <c r="W73" s="3114" t="n">
        <f aca="false">IF(T$55="Y",U73*S73,U73*S73*(1+V$55))</f>
        <v>0</v>
      </c>
      <c r="BK73" s="149"/>
      <c r="BL73" s="150"/>
      <c r="BM73" s="151"/>
      <c r="BN73" s="152" t="n">
        <f aca="false">BK73*(BL73*BL73*0.04180884375)*BM73</f>
        <v>0</v>
      </c>
    </row>
    <row r="74" customFormat="false" ht="18.75" hidden="false" customHeight="true" outlineLevel="0" collapsed="false">
      <c r="A74" s="15" t="s">
        <v>2070</v>
      </c>
      <c r="B74" s="599"/>
      <c r="F74" s="3121" t="n">
        <v>0.35</v>
      </c>
      <c r="G74" s="16" t="s">
        <v>600</v>
      </c>
      <c r="H74" s="16" t="s">
        <v>1291</v>
      </c>
      <c r="I74" s="3122" t="n">
        <v>0</v>
      </c>
      <c r="J74" s="3122"/>
      <c r="K74" s="1042"/>
      <c r="L74" s="1042"/>
      <c r="M74" s="16" t="s">
        <v>1259</v>
      </c>
      <c r="N74" s="3114" t="n">
        <f aca="false">IF(I74&gt;0,I74,0)</f>
        <v>0</v>
      </c>
      <c r="O74" s="3114"/>
      <c r="P74" s="3113" t="n">
        <v>2</v>
      </c>
      <c r="Q74" s="920" t="s">
        <v>563</v>
      </c>
      <c r="R74" s="78"/>
      <c r="S74" s="1311" t="n">
        <f aca="false">S73*0.6</f>
        <v>0</v>
      </c>
      <c r="T74" s="78" t="s">
        <v>1425</v>
      </c>
      <c r="U74" s="1308" t="n">
        <f aca="false">Pricing!Q17</f>
        <v>68.2</v>
      </c>
      <c r="V74" s="78" t="s">
        <v>562</v>
      </c>
      <c r="W74" s="3114" t="n">
        <f aca="false">IF(T$55="Y",U74*S74,U74*S74*(1+V$55))</f>
        <v>0</v>
      </c>
      <c r="BK74" s="149"/>
      <c r="BL74" s="150"/>
      <c r="BM74" s="151"/>
      <c r="BN74" s="152" t="n">
        <f aca="false">BK74*(BL74*BL74*0.04180884375)*BM74</f>
        <v>0</v>
      </c>
    </row>
    <row r="75" customFormat="false" ht="18.75" hidden="false" customHeight="true" outlineLevel="0" collapsed="false">
      <c r="A75" s="1041" t="s">
        <v>1334</v>
      </c>
      <c r="B75" s="15"/>
      <c r="C75" s="15"/>
      <c r="D75" s="833" t="s">
        <v>1428</v>
      </c>
      <c r="E75" s="1336" t="s">
        <v>1306</v>
      </c>
      <c r="F75" s="1337" t="n">
        <v>1</v>
      </c>
      <c r="G75" s="16" t="s">
        <v>600</v>
      </c>
      <c r="H75" s="1330" t="s">
        <v>1930</v>
      </c>
      <c r="I75" s="1330"/>
      <c r="J75" s="1751" t="n">
        <v>0.1</v>
      </c>
      <c r="K75" s="1310" t="n">
        <f aca="false">IF(E75="Y",AU52*(1+J75),0)</f>
        <v>0</v>
      </c>
      <c r="L75" s="1310"/>
      <c r="M75" s="16" t="s">
        <v>1259</v>
      </c>
      <c r="N75" s="3114" t="n">
        <f aca="false">IF(I$74&gt;0,0,K75*F75*(IF(T$55="Y",1,(1+V$55))))</f>
        <v>0</v>
      </c>
      <c r="O75" s="3114"/>
      <c r="P75" s="3113" t="n">
        <v>2</v>
      </c>
      <c r="Q75" s="920" t="s">
        <v>564</v>
      </c>
      <c r="R75" s="78"/>
      <c r="S75" s="1311" t="n">
        <f aca="false">S74</f>
        <v>0</v>
      </c>
      <c r="T75" s="78" t="s">
        <v>1425</v>
      </c>
      <c r="U75" s="1308" t="n">
        <f aca="false">Pricing!Q18</f>
        <v>68.2</v>
      </c>
      <c r="V75" s="78" t="s">
        <v>562</v>
      </c>
      <c r="W75" s="3114" t="n">
        <f aca="false">IF(T$55="Y",U75*S75,U75*S75*(1+V$55))</f>
        <v>0</v>
      </c>
      <c r="BK75" s="1335"/>
      <c r="BL75" s="150"/>
      <c r="BM75" s="151"/>
      <c r="BN75" s="152" t="n">
        <f aca="false">BK75*(BL75*BL75*0.04180884375)*BM75</f>
        <v>0</v>
      </c>
    </row>
    <row r="76" customFormat="false" ht="18.75" hidden="false" customHeight="true" outlineLevel="0" collapsed="false">
      <c r="A76" s="1041" t="s">
        <v>2071</v>
      </c>
      <c r="B76" s="15"/>
      <c r="C76" s="15"/>
      <c r="D76" s="1330" t="s">
        <v>1428</v>
      </c>
      <c r="E76" s="1338" t="str">
        <f aca="false">E75</f>
        <v>Y</v>
      </c>
      <c r="F76" s="1339" t="n">
        <v>1.8</v>
      </c>
      <c r="G76" s="397" t="s">
        <v>1430</v>
      </c>
      <c r="H76" s="1330"/>
      <c r="I76" s="1330"/>
      <c r="J76" s="1751"/>
      <c r="K76" s="1316" t="n">
        <f aca="false">K75*2</f>
        <v>0</v>
      </c>
      <c r="L76" s="1316"/>
      <c r="M76" s="397" t="s">
        <v>1259</v>
      </c>
      <c r="N76" s="3114" t="n">
        <f aca="false">IF(I$74&gt;0,0,K76*F76*(IF(T$55="Y",1,(1+V$55))))</f>
        <v>0</v>
      </c>
      <c r="O76" s="3114"/>
      <c r="P76" s="3113" t="n">
        <v>2</v>
      </c>
      <c r="Q76" s="920" t="s">
        <v>1310</v>
      </c>
      <c r="R76" s="78"/>
      <c r="S76" s="1311" t="n">
        <f aca="false">AN28*12/48/50</f>
        <v>0</v>
      </c>
      <c r="T76" s="78" t="s">
        <v>1425</v>
      </c>
      <c r="U76" s="1308" t="n">
        <f aca="false">Pricing!Q34</f>
        <v>45.24</v>
      </c>
      <c r="V76" s="78" t="s">
        <v>562</v>
      </c>
      <c r="W76" s="3114" t="n">
        <f aca="false">IF(T$55="Y",U76*S76,U76*S76*(1+V$55))</f>
        <v>0</v>
      </c>
      <c r="BK76" s="1322"/>
      <c r="BL76" s="1323"/>
      <c r="BM76" s="1324"/>
      <c r="BN76" s="1325" t="n">
        <f aca="false">BK76*(BL76*BL76*0.04180884375)*BM76</f>
        <v>0</v>
      </c>
    </row>
    <row r="77" customFormat="false" ht="18.75" hidden="false" customHeight="true" outlineLevel="0" collapsed="false">
      <c r="A77" s="602"/>
      <c r="B77" s="1058" t="s">
        <v>1431</v>
      </c>
      <c r="C77" s="1058"/>
      <c r="D77" s="1058"/>
      <c r="E77" s="1058"/>
      <c r="F77" s="1340" t="n">
        <v>0.65</v>
      </c>
      <c r="G77" s="1058" t="s">
        <v>1432</v>
      </c>
      <c r="H77" s="1341" t="s">
        <v>1433</v>
      </c>
      <c r="I77" s="1341"/>
      <c r="J77" s="3123" t="n">
        <v>0</v>
      </c>
      <c r="K77" s="1342"/>
      <c r="L77" s="1342"/>
      <c r="M77" s="1058" t="s">
        <v>1418</v>
      </c>
      <c r="N77" s="3124" t="n">
        <f aca="false">F77*J77*K77</f>
        <v>0</v>
      </c>
      <c r="O77" s="3124"/>
      <c r="P77" s="3113" t="n">
        <v>2</v>
      </c>
      <c r="Q77" s="920" t="s">
        <v>571</v>
      </c>
      <c r="R77" s="78"/>
      <c r="S77" s="1311" t="n">
        <f aca="false">BE66+AF102</f>
        <v>0</v>
      </c>
      <c r="T77" s="78" t="s">
        <v>1416</v>
      </c>
      <c r="U77" s="1308" t="n">
        <f aca="false">Pricing!Q19</f>
        <v>0.95</v>
      </c>
      <c r="V77" s="78" t="s">
        <v>1417</v>
      </c>
      <c r="W77" s="3114" t="n">
        <f aca="false">IF(T$55="Y",U77*S77,U77*S77*(1+V$55))</f>
        <v>0</v>
      </c>
    </row>
    <row r="78" customFormat="false" ht="18.75" hidden="false" customHeight="true" outlineLevel="0" collapsed="false">
      <c r="A78" s="1344" t="s">
        <v>1434</v>
      </c>
      <c r="B78" s="1345"/>
      <c r="C78" s="1345" t="s">
        <v>1296</v>
      </c>
      <c r="D78" s="1345"/>
      <c r="E78" s="1345"/>
      <c r="F78" s="1345"/>
      <c r="G78" s="1345"/>
      <c r="H78" s="1345"/>
      <c r="I78" s="1345"/>
      <c r="J78" s="1345"/>
      <c r="K78" s="1345" t="s">
        <v>973</v>
      </c>
      <c r="L78" s="1345"/>
      <c r="M78" s="2114" t="s">
        <v>1297</v>
      </c>
      <c r="N78" s="2114"/>
      <c r="O78" s="2114"/>
      <c r="P78" s="3113" t="n">
        <v>2</v>
      </c>
      <c r="Q78" s="920" t="s">
        <v>576</v>
      </c>
      <c r="R78" s="78"/>
      <c r="S78" s="1311" t="n">
        <f aca="false">AT52*2</f>
        <v>0</v>
      </c>
      <c r="T78" s="78" t="s">
        <v>1416</v>
      </c>
      <c r="U78" s="1308" t="n">
        <f aca="false">Pricing!Q20</f>
        <v>0.25</v>
      </c>
      <c r="V78" s="78" t="s">
        <v>1417</v>
      </c>
      <c r="W78" s="3114" t="n">
        <f aca="false">IF(T$55="Y",U78*S78,U78*S78*(1+V$55))</f>
        <v>0</v>
      </c>
    </row>
    <row r="79" customFormat="false" ht="18.75" hidden="false" customHeight="true" outlineLevel="0" collapsed="false">
      <c r="A79" s="1347" t="s">
        <v>2072</v>
      </c>
      <c r="B79" s="1068"/>
      <c r="C79" s="1066" t="s">
        <v>1047</v>
      </c>
      <c r="D79" s="1349" t="n">
        <v>1.5</v>
      </c>
      <c r="E79" s="1349"/>
      <c r="F79" s="1068" t="s">
        <v>1259</v>
      </c>
      <c r="G79" s="1068"/>
      <c r="H79" s="1350" t="n">
        <v>0</v>
      </c>
      <c r="I79" s="1350"/>
      <c r="J79" s="1068" t="s">
        <v>1259</v>
      </c>
      <c r="K79" s="3125" t="n">
        <f aca="false">IF(C79="N",D79*H79,0)</f>
        <v>0</v>
      </c>
      <c r="L79" s="3125"/>
      <c r="M79" s="175"/>
      <c r="N79" s="3126" t="n">
        <f aca="false">IF(C79="y",D79*H79,0)</f>
        <v>0</v>
      </c>
      <c r="O79" s="3126"/>
      <c r="P79" s="3113" t="n">
        <v>2</v>
      </c>
      <c r="Q79" s="920" t="s">
        <v>583</v>
      </c>
      <c r="R79" s="78"/>
      <c r="S79" s="1311"/>
      <c r="T79" s="78" t="s">
        <v>1425</v>
      </c>
      <c r="U79" s="1308" t="n">
        <f aca="false">Pricing!Q21</f>
        <v>45</v>
      </c>
      <c r="V79" s="78" t="s">
        <v>562</v>
      </c>
      <c r="W79" s="3114" t="n">
        <f aca="false">IF(T$55="Y",U79*S79,U79*S79*(1+V$55))</f>
        <v>0</v>
      </c>
    </row>
    <row r="80" customFormat="false" ht="18.75" hidden="false" customHeight="true" outlineLevel="0" collapsed="false">
      <c r="A80" s="599" t="s">
        <v>1437</v>
      </c>
      <c r="B80" s="405"/>
      <c r="C80" s="1352" t="s">
        <v>1306</v>
      </c>
      <c r="D80" s="1075" t="n">
        <v>0.35</v>
      </c>
      <c r="E80" s="1075"/>
      <c r="F80" s="16" t="s">
        <v>1618</v>
      </c>
      <c r="G80" s="1353" t="n">
        <f aca="false">SUM(D80:E82)</f>
        <v>1.25</v>
      </c>
      <c r="H80" s="3127" t="n">
        <f aca="false">AR52</f>
        <v>0</v>
      </c>
      <c r="I80" s="3127"/>
      <c r="J80" s="16" t="s">
        <v>1439</v>
      </c>
      <c r="K80" s="3128" t="n">
        <f aca="false">IF(C80="N",D80*H$80,0)</f>
        <v>0</v>
      </c>
      <c r="L80" s="3128"/>
      <c r="N80" s="3129" t="n">
        <f aca="false">IF(C80="y",H$80*D80,0)</f>
        <v>0</v>
      </c>
      <c r="O80" s="3129"/>
      <c r="P80" s="3113" t="n">
        <v>2</v>
      </c>
      <c r="Q80" s="920" t="s">
        <v>2073</v>
      </c>
      <c r="R80" s="78"/>
      <c r="S80" s="78" t="n">
        <v>0</v>
      </c>
      <c r="T80" s="78" t="s">
        <v>1259</v>
      </c>
      <c r="U80" s="1308" t="n">
        <v>2.5</v>
      </c>
      <c r="V80" s="78"/>
      <c r="W80" s="3114" t="n">
        <f aca="false">IF(T$55="Y",U80*S80,U80*S80*(1+V$55))</f>
        <v>0</v>
      </c>
    </row>
    <row r="81" customFormat="false" ht="18.75" hidden="false" customHeight="true" outlineLevel="0" collapsed="false">
      <c r="A81" s="1041" t="s">
        <v>1442</v>
      </c>
      <c r="B81" s="405"/>
      <c r="C81" s="1074" t="s">
        <v>1306</v>
      </c>
      <c r="D81" s="1075" t="n">
        <v>0.65</v>
      </c>
      <c r="E81" s="1075"/>
      <c r="F81" s="16" t="s">
        <v>1618</v>
      </c>
      <c r="G81" s="1353"/>
      <c r="H81" s="3127"/>
      <c r="I81" s="3127"/>
      <c r="J81" s="16" t="s">
        <v>1439</v>
      </c>
      <c r="K81" s="3128" t="n">
        <f aca="false">IF(C81="N",D81*H$80,0)</f>
        <v>0</v>
      </c>
      <c r="L81" s="3128"/>
      <c r="N81" s="3129" t="n">
        <f aca="false">IF(C81="y",H$80*D81,0)</f>
        <v>0</v>
      </c>
      <c r="O81" s="3129"/>
      <c r="P81" s="3113" t="n">
        <v>2</v>
      </c>
      <c r="Q81" s="920" t="s">
        <v>1453</v>
      </c>
      <c r="R81" s="78"/>
      <c r="S81" s="78"/>
      <c r="T81" s="78" t="s">
        <v>1454</v>
      </c>
      <c r="U81" s="1308" t="n">
        <f aca="false">BH76</f>
        <v>0</v>
      </c>
      <c r="V81" s="78" t="s">
        <v>630</v>
      </c>
      <c r="W81" s="3114" t="n">
        <f aca="false">IF(T$55="Y",U81*S81,U81*S81*(1+V$55))</f>
        <v>0</v>
      </c>
      <c r="AG81" s="373"/>
    </row>
    <row r="82" customFormat="false" ht="18.75" hidden="false" customHeight="true" outlineLevel="0" collapsed="false">
      <c r="A82" s="1041" t="s">
        <v>1443</v>
      </c>
      <c r="B82" s="405"/>
      <c r="C82" s="1074" t="s">
        <v>1306</v>
      </c>
      <c r="D82" s="1075" t="n">
        <v>0.25</v>
      </c>
      <c r="E82" s="1075"/>
      <c r="F82" s="16" t="s">
        <v>1618</v>
      </c>
      <c r="G82" s="1353"/>
      <c r="H82" s="3127"/>
      <c r="I82" s="3127"/>
      <c r="J82" s="16" t="s">
        <v>1439</v>
      </c>
      <c r="K82" s="3128" t="n">
        <f aca="false">IF(C82="N",D82*H$80,0)</f>
        <v>0</v>
      </c>
      <c r="L82" s="3128"/>
      <c r="N82" s="3129" t="n">
        <f aca="false">IF(C82="y",H$80*D82,0)</f>
        <v>0</v>
      </c>
      <c r="O82" s="3129"/>
      <c r="P82" s="3113" t="n">
        <v>2</v>
      </c>
      <c r="Q82" s="920"/>
      <c r="R82" s="78"/>
      <c r="S82" s="1311"/>
      <c r="T82" s="78"/>
      <c r="U82" s="1308" t="n">
        <v>0</v>
      </c>
      <c r="V82" s="78"/>
      <c r="W82" s="3114" t="n">
        <f aca="false">IF(T$55="Y",U82*S82,U82*S82*(1+V$55))</f>
        <v>0</v>
      </c>
    </row>
    <row r="83" customFormat="false" ht="18.75" hidden="false" customHeight="true" outlineLevel="0" collapsed="false">
      <c r="A83" s="1041" t="s">
        <v>1444</v>
      </c>
      <c r="B83" s="405"/>
      <c r="C83" s="1074" t="s">
        <v>1306</v>
      </c>
      <c r="D83" s="1075" t="n">
        <v>0.85</v>
      </c>
      <c r="E83" s="1075"/>
      <c r="F83" s="16" t="s">
        <v>1618</v>
      </c>
      <c r="H83" s="3127"/>
      <c r="I83" s="3127"/>
      <c r="J83" s="16" t="s">
        <v>1439</v>
      </c>
      <c r="K83" s="3128" t="n">
        <f aca="false">IF(C83="N",D83*H$80,0)</f>
        <v>0</v>
      </c>
      <c r="L83" s="3128"/>
      <c r="N83" s="3129" t="n">
        <f aca="false">IF(C83="y",H$80*D83,0)</f>
        <v>0</v>
      </c>
      <c r="O83" s="3129"/>
      <c r="P83" s="3113" t="n">
        <v>2</v>
      </c>
      <c r="Q83" s="1357"/>
      <c r="R83" s="1358"/>
      <c r="S83" s="1359"/>
      <c r="T83" s="1358"/>
      <c r="U83" s="1360" t="n">
        <v>0</v>
      </c>
      <c r="V83" s="1358"/>
      <c r="W83" s="3130" t="n">
        <f aca="false">IF(T$55="Y",U83*S83,U83*S83*(1+V$55))</f>
        <v>0</v>
      </c>
      <c r="AG83" s="373"/>
    </row>
    <row r="84" customFormat="false" ht="18.75" hidden="false" customHeight="true" outlineLevel="0" collapsed="false">
      <c r="A84" s="1041" t="s">
        <v>1307</v>
      </c>
      <c r="B84" s="405"/>
      <c r="C84" s="1074" t="s">
        <v>1306</v>
      </c>
      <c r="D84" s="1075" t="n">
        <v>450</v>
      </c>
      <c r="E84" s="1075"/>
      <c r="F84" s="16" t="s">
        <v>1308</v>
      </c>
      <c r="G84" s="405" t="s">
        <v>1964</v>
      </c>
      <c r="H84" s="1042" t="n">
        <f aca="false">(K69/2000)</f>
        <v>0</v>
      </c>
      <c r="I84" s="1042"/>
      <c r="J84" s="16" t="s">
        <v>1309</v>
      </c>
      <c r="K84" s="3128" t="n">
        <f aca="false">IF(C84="N",D84*H84,0)</f>
        <v>0</v>
      </c>
      <c r="L84" s="3128"/>
      <c r="N84" s="3129" t="n">
        <f aca="false">IF(C84="y",H84*D84,0)</f>
        <v>0</v>
      </c>
      <c r="O84" s="3129"/>
      <c r="P84" s="3113" t="n">
        <v>2</v>
      </c>
      <c r="Q84" s="920" t="s">
        <v>1453</v>
      </c>
      <c r="R84" s="78"/>
      <c r="S84" s="1311" t="n">
        <f aca="false">BE71+BM71</f>
        <v>0</v>
      </c>
      <c r="T84" s="78"/>
      <c r="U84" s="1308" t="n">
        <f aca="false">BH71</f>
        <v>0</v>
      </c>
      <c r="V84" s="78"/>
      <c r="W84" s="3114" t="n">
        <f aca="false">IF(T$55="Y",U84*S84,U84*S84*(1+V$55))</f>
        <v>0</v>
      </c>
    </row>
    <row r="85" customFormat="false" ht="18.75" hidden="false" customHeight="true" outlineLevel="0" collapsed="false">
      <c r="A85" s="3131" t="s">
        <v>2074</v>
      </c>
      <c r="B85" s="848"/>
      <c r="C85" s="1074" t="s">
        <v>1306</v>
      </c>
      <c r="D85" s="3132" t="n">
        <v>8</v>
      </c>
      <c r="E85" s="3132"/>
      <c r="F85" s="782" t="s">
        <v>2075</v>
      </c>
      <c r="G85" s="1553" t="n">
        <v>2</v>
      </c>
      <c r="H85" s="3133" t="n">
        <f aca="false">AU52*6.5*G85/27</f>
        <v>0</v>
      </c>
      <c r="I85" s="3133"/>
      <c r="J85" s="782" t="s">
        <v>2076</v>
      </c>
      <c r="K85" s="3134" t="n">
        <f aca="false">IF(C85="N",D85*H85,0)</f>
        <v>0</v>
      </c>
      <c r="L85" s="3134"/>
      <c r="M85" s="318"/>
      <c r="N85" s="3135" t="n">
        <f aca="false">IF(C85="y",H85*D85,0)</f>
        <v>0</v>
      </c>
      <c r="O85" s="3135"/>
      <c r="P85" s="3113" t="n">
        <v>2</v>
      </c>
      <c r="Q85" s="920"/>
      <c r="R85" s="78"/>
      <c r="S85" s="1311" t="n">
        <f aca="false">BE73+BM73</f>
        <v>0</v>
      </c>
      <c r="T85" s="78"/>
      <c r="U85" s="1308" t="n">
        <f aca="false">BH73</f>
        <v>0</v>
      </c>
      <c r="V85" s="78"/>
      <c r="W85" s="3114" t="n">
        <f aca="false">IF(T$55="Y",U85*S85,U85*S85*(1+V$55))</f>
        <v>0</v>
      </c>
    </row>
    <row r="86" customFormat="false" ht="18.75" hidden="false" customHeight="true" outlineLevel="0" collapsed="false">
      <c r="A86" s="1087" t="s">
        <v>1447</v>
      </c>
      <c r="B86" s="1088"/>
      <c r="C86" s="1089"/>
      <c r="D86" s="1090" t="n">
        <f aca="false">IF(H80=0,0,(N86+K86)/H80)</f>
        <v>0</v>
      </c>
      <c r="E86" s="1090"/>
      <c r="F86" s="855"/>
      <c r="G86" s="1058"/>
      <c r="H86" s="3136" t="s">
        <v>980</v>
      </c>
      <c r="I86" s="3136"/>
      <c r="J86" s="3136"/>
      <c r="K86" s="1091" t="n">
        <f aca="false">SUM(K79:L85)</f>
        <v>0</v>
      </c>
      <c r="L86" s="1091"/>
      <c r="M86" s="246"/>
      <c r="N86" s="1366" t="n">
        <f aca="false">SUM(N79:O85)</f>
        <v>0</v>
      </c>
      <c r="O86" s="1366"/>
      <c r="P86" s="3113" t="n">
        <v>2</v>
      </c>
      <c r="Q86" s="1357"/>
      <c r="R86" s="1358"/>
      <c r="S86" s="1359" t="n">
        <f aca="false">BE74+BM74</f>
        <v>0</v>
      </c>
      <c r="T86" s="2021"/>
      <c r="U86" s="1360" t="n">
        <f aca="false">BH74</f>
        <v>0</v>
      </c>
      <c r="V86" s="1358"/>
      <c r="W86" s="3130" t="n">
        <f aca="false">IF(T$55="Y",U86*S86,U86*S86*(1+V$55))</f>
        <v>0</v>
      </c>
    </row>
    <row r="87" customFormat="false" ht="18.75" hidden="false" customHeight="true" outlineLevel="0" collapsed="false">
      <c r="A87" s="3137" t="s">
        <v>1449</v>
      </c>
      <c r="B87" s="1063"/>
      <c r="C87" s="1063"/>
      <c r="D87" s="1063"/>
      <c r="E87" s="1063"/>
      <c r="F87" s="1063"/>
      <c r="G87" s="1063"/>
      <c r="H87" s="1063"/>
      <c r="I87" s="1063"/>
      <c r="J87" s="1063"/>
      <c r="K87" s="1063"/>
      <c r="L87" s="1063"/>
      <c r="M87" s="1063"/>
      <c r="N87" s="1063"/>
      <c r="O87" s="1063"/>
      <c r="P87" s="3113" t="n">
        <v>2</v>
      </c>
      <c r="Q87" s="920" t="s">
        <v>2077</v>
      </c>
      <c r="R87" s="78"/>
      <c r="S87" s="1311"/>
      <c r="T87" s="78"/>
      <c r="U87" s="1308" t="n">
        <v>25</v>
      </c>
      <c r="V87" s="78" t="s">
        <v>1312</v>
      </c>
      <c r="W87" s="3114" t="n">
        <f aca="false">IF(T$55="Y",U87*S87,U87*S87*(1+V$55))</f>
        <v>0</v>
      </c>
    </row>
    <row r="88" customFormat="false" ht="18.75" hidden="false" customHeight="true" outlineLevel="0" collapsed="false">
      <c r="A88" s="1794" t="s">
        <v>1316</v>
      </c>
      <c r="B88" s="2016"/>
      <c r="C88" s="1097"/>
      <c r="D88" s="1098"/>
      <c r="E88" s="2016" t="s">
        <v>1317</v>
      </c>
      <c r="F88" s="1368" t="n">
        <v>350</v>
      </c>
      <c r="G88" s="2024" t="s">
        <v>1450</v>
      </c>
      <c r="H88" s="1068"/>
      <c r="I88" s="1068"/>
      <c r="J88" s="1068"/>
      <c r="K88" s="1068"/>
      <c r="L88" s="1101" t="n">
        <f aca="false">IF(D56=0,0,(SUM(N88:O90))/D56)</f>
        <v>0</v>
      </c>
      <c r="M88" s="1101"/>
      <c r="N88" s="3138" t="n">
        <f aca="false">D88*F88</f>
        <v>0</v>
      </c>
      <c r="O88" s="3138"/>
      <c r="P88" s="3113" t="n">
        <v>2</v>
      </c>
      <c r="Q88" s="1357" t="s">
        <v>604</v>
      </c>
      <c r="R88" s="1358"/>
      <c r="S88" s="1359"/>
      <c r="T88" s="1358"/>
      <c r="U88" s="1360" t="n">
        <f aca="false">Pricing!Q5</f>
        <v>1.4453125</v>
      </c>
      <c r="V88" s="1358" t="s">
        <v>1312</v>
      </c>
      <c r="W88" s="3130" t="n">
        <f aca="false">IF(T$55="Y",U88*S88,U88*S88*(1+V$55))</f>
        <v>0</v>
      </c>
    </row>
    <row r="89" customFormat="false" ht="18.75" hidden="false" customHeight="true" outlineLevel="0" collapsed="false">
      <c r="A89" s="507" t="s">
        <v>1318</v>
      </c>
      <c r="B89" s="78"/>
      <c r="C89" s="78"/>
      <c r="D89" s="1103" t="n">
        <f aca="false">D88</f>
        <v>0</v>
      </c>
      <c r="E89" s="2026" t="s">
        <v>1317</v>
      </c>
      <c r="F89" s="1370" t="n">
        <v>250</v>
      </c>
      <c r="G89" s="2028" t="s">
        <v>1450</v>
      </c>
      <c r="L89" s="1106" t="n">
        <f aca="false">SUM(N88:O90)</f>
        <v>0</v>
      </c>
      <c r="M89" s="1106"/>
      <c r="N89" s="3114" t="n">
        <f aca="false">D89*F89</f>
        <v>0</v>
      </c>
      <c r="O89" s="3114"/>
      <c r="P89" s="3113" t="n">
        <v>2</v>
      </c>
      <c r="Q89" s="920" t="s">
        <v>2078</v>
      </c>
      <c r="R89" s="78"/>
      <c r="S89" s="1311" t="n">
        <f aca="false">H80/250</f>
        <v>0</v>
      </c>
      <c r="T89" s="78" t="s">
        <v>1452</v>
      </c>
      <c r="U89" s="1308" t="n">
        <f aca="false">Pricing!Q28</f>
        <v>45</v>
      </c>
      <c r="V89" s="78" t="s">
        <v>607</v>
      </c>
      <c r="W89" s="3114" t="n">
        <f aca="false">IF(T$55="Y",U89*S89,U89*S89*(1+V$55))</f>
        <v>0</v>
      </c>
    </row>
    <row r="90" customFormat="false" ht="18.75" hidden="false" customHeight="true" outlineLevel="0" collapsed="false">
      <c r="A90" s="1798" t="s">
        <v>1320</v>
      </c>
      <c r="B90" s="1826"/>
      <c r="C90" s="1826"/>
      <c r="D90" s="1110" t="n">
        <f aca="false">IF(D88=0,D89,D88)</f>
        <v>0</v>
      </c>
      <c r="E90" s="1826" t="s">
        <v>1317</v>
      </c>
      <c r="F90" s="1371" t="n">
        <v>100</v>
      </c>
      <c r="G90" s="1826" t="s">
        <v>1450</v>
      </c>
      <c r="H90" s="1058"/>
      <c r="I90" s="1058"/>
      <c r="J90" s="1058"/>
      <c r="K90" s="1058"/>
      <c r="L90" s="1058"/>
      <c r="M90" s="1058"/>
      <c r="N90" s="3139" t="n">
        <f aca="false">D90*F90</f>
        <v>0</v>
      </c>
      <c r="O90" s="3139"/>
      <c r="P90" s="3113" t="n">
        <v>2</v>
      </c>
      <c r="Q90" s="920" t="s">
        <v>2079</v>
      </c>
      <c r="R90" s="78"/>
      <c r="S90" s="1311" t="n">
        <f aca="false">BE73+BM73</f>
        <v>0</v>
      </c>
      <c r="T90" s="78" t="s">
        <v>2080</v>
      </c>
      <c r="U90" s="1308" t="n">
        <v>0</v>
      </c>
      <c r="V90" s="78"/>
      <c r="W90" s="3114" t="n">
        <f aca="false">IF(T$55="Y",U90*S90,U90*S90*(1+V$55))</f>
        <v>0</v>
      </c>
    </row>
    <row r="91" customFormat="false" ht="18.75" hidden="false" customHeight="true" outlineLevel="0" collapsed="false">
      <c r="A91" s="3137" t="s">
        <v>1325</v>
      </c>
      <c r="B91" s="1063"/>
      <c r="C91" s="1063"/>
      <c r="D91" s="1063"/>
      <c r="E91" s="1063"/>
      <c r="F91" s="1063"/>
      <c r="G91" s="1063"/>
      <c r="H91" s="1063"/>
      <c r="I91" s="1063"/>
      <c r="J91" s="1063"/>
      <c r="K91" s="1063"/>
      <c r="L91" s="1063"/>
      <c r="M91" s="1063"/>
      <c r="N91" s="1063"/>
      <c r="O91" s="1063"/>
      <c r="P91" s="3113" t="n">
        <v>2</v>
      </c>
      <c r="Q91" s="1357" t="s">
        <v>1108</v>
      </c>
      <c r="R91" s="265"/>
      <c r="S91" s="265" t="n">
        <v>0</v>
      </c>
      <c r="T91" s="814" t="s">
        <v>1018</v>
      </c>
      <c r="U91" s="3140" t="n">
        <v>0</v>
      </c>
      <c r="V91" s="265"/>
      <c r="W91" s="3130" t="n">
        <f aca="false">IF(T$55="Y",U91*S91,U91*S91*(1+V$55))</f>
        <v>0</v>
      </c>
    </row>
    <row r="92" customFormat="false" ht="18.75" hidden="false" customHeight="true" outlineLevel="0" collapsed="false">
      <c r="A92" s="1794" t="s">
        <v>619</v>
      </c>
      <c r="B92" s="1799"/>
      <c r="C92" s="1800"/>
      <c r="D92" s="1098" t="n">
        <f aca="false">D93</f>
        <v>0</v>
      </c>
      <c r="E92" s="2016" t="s">
        <v>1327</v>
      </c>
      <c r="F92" s="1368" t="n">
        <f aca="false">Pricing!D44</f>
        <v>425</v>
      </c>
      <c r="G92" s="2016" t="s">
        <v>1450</v>
      </c>
      <c r="H92" s="1068"/>
      <c r="I92" s="1068"/>
      <c r="J92" s="1068"/>
      <c r="K92" s="1068"/>
      <c r="L92" s="1068"/>
      <c r="M92" s="1068"/>
      <c r="N92" s="3138" t="n">
        <f aca="false">(IF(AND(D92&gt;0,D92&lt;4),D92*F92,0)+IF(AND(D92&gt;3,D92&lt;8),F92*3,0)+IF(AND(D92&gt;7,D92&lt;21),D92/7*F92*3,0)+IF(AND(D92&gt;20,D92&lt;30),F92*9,0)+IF(D92&gt;29,D92/30*F92*9,0))*(1+V$55+I$94)</f>
        <v>0</v>
      </c>
      <c r="O92" s="3138"/>
      <c r="P92" s="3113" t="n">
        <v>6</v>
      </c>
      <c r="Q92" s="920" t="s">
        <v>2081</v>
      </c>
      <c r="R92" s="78"/>
      <c r="S92" s="78" t="n">
        <f aca="false">ROUNDUP(H80/6000,0)</f>
        <v>0</v>
      </c>
      <c r="T92" s="78" t="s">
        <v>1303</v>
      </c>
      <c r="U92" s="1308" t="n">
        <f aca="false">Pricing!Q24</f>
        <v>45</v>
      </c>
      <c r="V92" s="78" t="s">
        <v>562</v>
      </c>
      <c r="W92" s="3114" t="n">
        <f aca="false">IF(T$55="Y",U92*S92,U92*S92*(1+V$55))</f>
        <v>0</v>
      </c>
      <c r="AG92" s="910"/>
    </row>
    <row r="93" customFormat="false" ht="18.75" hidden="false" customHeight="true" outlineLevel="0" collapsed="false">
      <c r="A93" s="507" t="s">
        <v>1165</v>
      </c>
      <c r="B93" s="1312"/>
      <c r="C93" s="1801"/>
      <c r="D93" s="1115" t="n">
        <f aca="false">IF(D$90&gt;0,IF(D$90&lt;=3,D$90,7),0)+IF(D$90&gt;5,IF(D$90&lt;=10,7,0),0)+IF(D$90&gt;10,IF(D$90&lt;=15,14,0),0)+IF(D$90&gt;15,IF(D$90&lt;=20,23,0),0)+IF(D$90&gt;20,IF(D$90&lt;=40,53,0),0)+IF(D$90&gt;40,IF(D$90&lt;=60,83,0),0)+IF(D$90&gt;60,IF(D$90&lt;=80,113,0),0)+IF(D$90&gt;80,IF(D$90&lt;=100,143,0),0)</f>
        <v>0</v>
      </c>
      <c r="E93" s="78" t="s">
        <v>1327</v>
      </c>
      <c r="F93" s="1375" t="n">
        <v>425</v>
      </c>
      <c r="G93" s="78" t="s">
        <v>1450</v>
      </c>
      <c r="I93" s="1118" t="s">
        <v>1936</v>
      </c>
      <c r="J93" s="1118"/>
      <c r="L93" s="1119" t="n">
        <f aca="false">IF(D56=0,0,(SUM(N92:O97))/D56)</f>
        <v>0</v>
      </c>
      <c r="M93" s="1119"/>
      <c r="N93" s="3114" t="n">
        <f aca="false">(IF(AND(D93&gt;0,D93&lt;4),D93*F93,0)+IF(AND(D93&gt;3,D93&lt;8),F93*3,0)+IF(AND(D93&gt;7,D93&lt;21),D93/7*F93*3,0)+IF(AND(D93&gt;20,D93&lt;30),F93*9,0)+IF(D93&gt;29,D93/30*F93*9,0))*(1+V$55+I$94)</f>
        <v>0</v>
      </c>
      <c r="O93" s="3114"/>
      <c r="P93" s="3113" t="n">
        <v>6</v>
      </c>
      <c r="Q93" s="920" t="s">
        <v>621</v>
      </c>
      <c r="R93" s="78"/>
      <c r="S93" s="78"/>
      <c r="T93" s="78"/>
      <c r="U93" s="1308" t="n">
        <v>0</v>
      </c>
      <c r="V93" s="78" t="s">
        <v>1417</v>
      </c>
      <c r="W93" s="3114" t="n">
        <f aca="false">IF(T$55="Y",U93*S93,U93*S93*(1+V$55))</f>
        <v>0</v>
      </c>
    </row>
    <row r="94" customFormat="false" ht="18.75" hidden="false" customHeight="true" outlineLevel="0" collapsed="false">
      <c r="A94" s="507" t="s">
        <v>1168</v>
      </c>
      <c r="B94" s="1312"/>
      <c r="C94" s="1801"/>
      <c r="D94" s="1115"/>
      <c r="E94" s="78" t="s">
        <v>1327</v>
      </c>
      <c r="F94" s="1375" t="n">
        <f aca="false">Pricing!D34</f>
        <v>325</v>
      </c>
      <c r="G94" s="78" t="s">
        <v>1450</v>
      </c>
      <c r="I94" s="1122" t="n">
        <v>0.5</v>
      </c>
      <c r="J94" s="1122"/>
      <c r="L94" s="1106" t="n">
        <f aca="false">SUM(N92:O97)</f>
        <v>0</v>
      </c>
      <c r="M94" s="1106"/>
      <c r="N94" s="3114" t="n">
        <f aca="false">(IF(AND(D94&gt;0,D94&lt;4),D94*F94,0)+IF(AND(D94&gt;3,D94&lt;8),F94*3,0)+IF(AND(D94&gt;7,D94&lt;21),D94/7*F94*3,0)+IF(AND(D94&gt;20,D94&lt;30),F94*9,0)+IF(D94&gt;29,D94/30*F94*9,0))*(1+V$55+I$94)</f>
        <v>0</v>
      </c>
      <c r="O94" s="3114"/>
      <c r="P94" s="3113" t="n">
        <v>6</v>
      </c>
      <c r="Q94" s="920" t="s">
        <v>554</v>
      </c>
      <c r="R94" s="78"/>
      <c r="S94" s="2382" t="n">
        <f aca="false">K69</f>
        <v>0</v>
      </c>
      <c r="T94" s="78" t="s">
        <v>1288</v>
      </c>
      <c r="U94" s="1308" t="n">
        <v>0.04</v>
      </c>
      <c r="V94" s="78" t="s">
        <v>555</v>
      </c>
      <c r="W94" s="3114" t="n">
        <f aca="false">IF(T$55="Y",U94*S94,U94*S94*(1+V$55))</f>
        <v>0</v>
      </c>
    </row>
    <row r="95" customFormat="false" ht="18.75" hidden="false" customHeight="true" outlineLevel="0" collapsed="false">
      <c r="A95" s="507" t="s">
        <v>1170</v>
      </c>
      <c r="B95" s="1312"/>
      <c r="C95" s="1801"/>
      <c r="D95" s="1115" t="n">
        <f aca="false">IF(D$90&gt;0,IF(D$90&lt;=3,D$90,7),0)+IF(D$90&gt;5,IF(D$90&lt;=10,7,0),0)+IF(D$90&gt;10,IF(D$90&lt;=15,14,0),0)+IF(D$90&gt;15,IF(D$90&lt;=20,23,0),0)+IF(D$90&gt;20,IF(D$90&lt;=40,53,0),0)+IF(D$90&gt;40,IF(D$90&lt;=60,83,0),0)+IF(D$90&gt;60,IF(D$90&lt;=80,113,0),0)+IF(D$90&gt;80,IF(D$90&lt;=100,143,0),0)</f>
        <v>0</v>
      </c>
      <c r="E95" s="78" t="s">
        <v>1327</v>
      </c>
      <c r="F95" s="1375" t="n">
        <v>325</v>
      </c>
      <c r="G95" s="78" t="s">
        <v>1450</v>
      </c>
      <c r="I95" s="1122"/>
      <c r="J95" s="1122"/>
      <c r="N95" s="3114" t="n">
        <f aca="false">(IF(AND(D95&gt;0,D95&lt;4),D95*F95,0)+IF(AND(D95&gt;3,D95&lt;8),F95*3,0)+IF(AND(D95&gt;7,D95&lt;21),D95/7*F95*3,0)+IF(AND(D95&gt;20,D95&lt;30),F95*9,0)+IF(D95&gt;29,D95/30*F95*9,0))*(1+V$55+I$94)</f>
        <v>0</v>
      </c>
      <c r="O95" s="3114"/>
      <c r="P95" s="3113" t="n">
        <v>6</v>
      </c>
      <c r="Q95" s="920" t="s">
        <v>2082</v>
      </c>
      <c r="R95" s="78"/>
      <c r="S95" s="78" t="n">
        <f aca="false">SUM(H10:H51)*8</f>
        <v>0</v>
      </c>
      <c r="T95" s="78" t="s">
        <v>1354</v>
      </c>
      <c r="U95" s="1308" t="n">
        <f aca="false">Pricing!Q25</f>
        <v>12</v>
      </c>
      <c r="V95" s="78"/>
      <c r="W95" s="3114" t="n">
        <f aca="false">IF(T$55="Y",U95*S95,U95*S95*(1+V$55))</f>
        <v>0</v>
      </c>
    </row>
    <row r="96" customFormat="false" ht="18.75" hidden="false" customHeight="true" outlineLevel="0" collapsed="false">
      <c r="A96" s="507" t="s">
        <v>2083</v>
      </c>
      <c r="B96" s="1312"/>
      <c r="C96" s="1801"/>
      <c r="D96" s="1115" t="n">
        <f aca="false">D95</f>
        <v>0</v>
      </c>
      <c r="E96" s="78" t="s">
        <v>1327</v>
      </c>
      <c r="F96" s="1375" t="n">
        <v>125</v>
      </c>
      <c r="G96" s="78" t="s">
        <v>1450</v>
      </c>
      <c r="N96" s="3114" t="n">
        <f aca="false">(IF(AND(D96&gt;0,D96&lt;4),D96*F96,0)+IF(AND(D96&gt;3,D96&lt;8),F96*3,0)+IF(AND(D96&gt;7,D96&lt;21),D96/7*F96*3,0)+IF(AND(D96&gt;20,D96&lt;30),F96*9,0)+IF(D96&gt;29,D96/30*F96*9,0))*(1+V$55+I$94)</f>
        <v>0</v>
      </c>
      <c r="O96" s="3114"/>
      <c r="P96" s="3113" t="n">
        <v>6</v>
      </c>
      <c r="Q96" s="920" t="s">
        <v>2084</v>
      </c>
      <c r="R96" s="78"/>
      <c r="S96" s="78" t="n">
        <f aca="false">SUM(H10:H51)*3</f>
        <v>0</v>
      </c>
      <c r="T96" s="78" t="s">
        <v>1354</v>
      </c>
      <c r="U96" s="1308" t="n">
        <f aca="false">Pricing!Q33</f>
        <v>8</v>
      </c>
      <c r="V96" s="78"/>
      <c r="W96" s="3114" t="n">
        <f aca="false">IF(T$55="Y",U96*S96,U96*S96*(1+V$55))</f>
        <v>0</v>
      </c>
    </row>
    <row r="97" customFormat="false" ht="18.75" hidden="false" customHeight="true" outlineLevel="0" collapsed="false">
      <c r="A97" s="1798" t="s">
        <v>1938</v>
      </c>
      <c r="B97" s="1804"/>
      <c r="C97" s="1805"/>
      <c r="D97" s="2037" t="n">
        <f aca="false">IF(D$90&gt;0,IF(D$90&lt;=3,D$90,7),0)+IF(D$90&gt;5,IF(D$90&lt;=10,7,0),0)+IF(D$90&gt;10,IF(D$90&lt;=15,14,0),0)+IF(D$90&gt;15,IF(D$90&lt;=20,23,0),0)+IF(D$90&gt;20,IF(D$90&lt;=40,53,0),0)+IF(D$90&gt;40,IF(D$90&lt;=60,83,0),0)+IF(D$90&gt;60,IF(D$90&lt;=80,113,0),0)+IF(D$90&gt;80,IF(D$90&lt;=100,143,0),0)</f>
        <v>0</v>
      </c>
      <c r="E97" s="1826" t="s">
        <v>1327</v>
      </c>
      <c r="F97" s="1379" t="n">
        <v>35</v>
      </c>
      <c r="G97" s="1826" t="s">
        <v>1450</v>
      </c>
      <c r="H97" s="1058"/>
      <c r="I97" s="1058"/>
      <c r="J97" s="1058"/>
      <c r="K97" s="1058"/>
      <c r="L97" s="1127"/>
      <c r="M97" s="1058"/>
      <c r="N97" s="3139" t="n">
        <f aca="false">(IF(AND(D97&gt;0,D97&lt;4),D97*F97,0)+IF(AND(D97&gt;3,D97&lt;8),F97*3,0)+IF(AND(D97&gt;7,D97&lt;21),D97/7*F97*3,0)+IF(AND(D97&gt;20,D97&lt;30),F97*9,0)+IF(D97&gt;29,D97/30*F97*9,0))</f>
        <v>0</v>
      </c>
      <c r="O97" s="3139"/>
      <c r="P97" s="3113" t="n">
        <v>6</v>
      </c>
      <c r="Q97" s="920"/>
      <c r="R97" s="78"/>
      <c r="S97" s="78"/>
      <c r="T97" s="78"/>
      <c r="U97" s="1308"/>
      <c r="V97" s="78"/>
      <c r="W97" s="3114" t="n">
        <f aca="false">IF(T$55="Y",U97*S97,U97*S97*(1+V$55))</f>
        <v>0</v>
      </c>
      <c r="AG97" s="910"/>
    </row>
    <row r="98" customFormat="false" ht="18.75" hidden="false" customHeight="true" outlineLevel="0" collapsed="false">
      <c r="A98" s="3137" t="s">
        <v>1940</v>
      </c>
      <c r="B98" s="1063"/>
      <c r="C98" s="1063"/>
      <c r="D98" s="1063"/>
      <c r="E98" s="1063"/>
      <c r="F98" s="1063"/>
      <c r="G98" s="1063"/>
      <c r="H98" s="1063"/>
      <c r="I98" s="1063"/>
      <c r="J98" s="1063"/>
      <c r="K98" s="1063"/>
      <c r="L98" s="1063"/>
      <c r="M98" s="1345"/>
      <c r="N98" s="1063"/>
      <c r="O98" s="1063"/>
      <c r="P98" s="3113" t="n">
        <v>10</v>
      </c>
      <c r="Q98" s="1357"/>
      <c r="R98" s="1358"/>
      <c r="S98" s="1358"/>
      <c r="T98" s="1358"/>
      <c r="U98" s="1360" t="n">
        <v>0</v>
      </c>
      <c r="V98" s="1358"/>
      <c r="W98" s="3130" t="n">
        <f aca="false">IF(T$55="Y",U98*S98,U98*S98*(1+V$55))</f>
        <v>0</v>
      </c>
    </row>
    <row r="99" customFormat="false" ht="18.75" hidden="false" customHeight="true" outlineLevel="0" collapsed="false">
      <c r="A99" s="1794" t="s">
        <v>1458</v>
      </c>
      <c r="B99" s="2038"/>
      <c r="C99" s="2039"/>
      <c r="D99" s="1132" t="n">
        <v>20</v>
      </c>
      <c r="E99" s="1800" t="s">
        <v>2085</v>
      </c>
      <c r="F99" s="3141" t="n">
        <f aca="false">SUM(K66:L68)</f>
        <v>0</v>
      </c>
      <c r="G99" s="2016" t="s">
        <v>2086</v>
      </c>
      <c r="H99" s="1068"/>
      <c r="I99" s="1068"/>
      <c r="J99" s="1068"/>
      <c r="K99" s="1068"/>
      <c r="L99" s="1068"/>
      <c r="M99" s="170"/>
      <c r="N99" s="3138" t="n">
        <f aca="false">D99*F99</f>
        <v>0</v>
      </c>
      <c r="O99" s="3138"/>
      <c r="P99" s="3113" t="n">
        <v>10</v>
      </c>
      <c r="Q99" s="920"/>
      <c r="R99" s="78"/>
      <c r="S99" s="78"/>
      <c r="T99" s="78"/>
      <c r="U99" s="1308" t="n">
        <f aca="false">BB83</f>
        <v>0</v>
      </c>
      <c r="V99" s="78"/>
      <c r="W99" s="3142" t="n">
        <f aca="false">IF(T$55="Y",U99*S99,U99*S99*(1+V$55))</f>
        <v>0</v>
      </c>
    </row>
    <row r="100" customFormat="false" ht="18.75" hidden="false" customHeight="true" outlineLevel="0" collapsed="false">
      <c r="A100" s="507" t="s">
        <v>2087</v>
      </c>
      <c r="B100" s="528"/>
      <c r="C100" s="895"/>
      <c r="D100" s="857" t="n">
        <v>90</v>
      </c>
      <c r="E100" s="78" t="s">
        <v>595</v>
      </c>
      <c r="F100" s="3143" t="n">
        <f aca="false">AI52</f>
        <v>0</v>
      </c>
      <c r="G100" s="78" t="s">
        <v>2088</v>
      </c>
      <c r="M100" s="170"/>
      <c r="N100" s="3114" t="n">
        <f aca="false">D100*F100</f>
        <v>0</v>
      </c>
      <c r="O100" s="3114"/>
      <c r="P100" s="3113" t="n">
        <v>10</v>
      </c>
      <c r="Q100" s="920" t="s">
        <v>646</v>
      </c>
      <c r="R100" s="78"/>
      <c r="S100" s="1531" t="n">
        <f aca="false">ROUNDUP(H80/300/55,0)</f>
        <v>0</v>
      </c>
      <c r="T100" s="78" t="s">
        <v>1460</v>
      </c>
      <c r="U100" s="1308" t="n">
        <f aca="false">Pricing!Q44</f>
        <v>567.5</v>
      </c>
      <c r="V100" s="78" t="s">
        <v>647</v>
      </c>
      <c r="W100" s="3114" t="n">
        <f aca="false">IF(T$55="Y",U100*S100,U100*S100*(1+V$55))</f>
        <v>0</v>
      </c>
    </row>
    <row r="101" customFormat="false" ht="18.75" hidden="false" customHeight="true" outlineLevel="0" collapsed="false">
      <c r="A101" s="507" t="s">
        <v>1461</v>
      </c>
      <c r="B101" s="528"/>
      <c r="C101" s="895"/>
      <c r="D101" s="3144"/>
      <c r="E101" s="2046"/>
      <c r="F101" s="3143"/>
      <c r="G101" s="2048" t="s">
        <v>1348</v>
      </c>
      <c r="M101" s="170"/>
      <c r="N101" s="3114" t="n">
        <f aca="false">D101*F101</f>
        <v>0</v>
      </c>
      <c r="O101" s="3114"/>
      <c r="Q101" s="1357" t="s">
        <v>651</v>
      </c>
      <c r="R101" s="1358"/>
      <c r="S101" s="3145" t="n">
        <f aca="false">H80/200/55</f>
        <v>0</v>
      </c>
      <c r="T101" s="1358" t="s">
        <v>1460</v>
      </c>
      <c r="U101" s="1386" t="n">
        <f aca="false">Pricing!Q46</f>
        <v>635</v>
      </c>
      <c r="V101" s="1358" t="s">
        <v>647</v>
      </c>
      <c r="W101" s="3130" t="n">
        <f aca="false">IF(T$55="Y",U101*S101,U101*S101*(1+V$55))</f>
        <v>0</v>
      </c>
    </row>
    <row r="102" customFormat="false" ht="18.75" hidden="false" customHeight="true" outlineLevel="0" collapsed="false">
      <c r="A102" s="507" t="s">
        <v>1462</v>
      </c>
      <c r="B102" s="528"/>
      <c r="C102" s="895"/>
      <c r="D102" s="857"/>
      <c r="E102" s="2026" t="s">
        <v>1341</v>
      </c>
      <c r="F102" s="3143"/>
      <c r="G102" s="78" t="s">
        <v>1259</v>
      </c>
      <c r="M102" s="170"/>
      <c r="N102" s="3114" t="n">
        <f aca="false">D102*F102</f>
        <v>0</v>
      </c>
      <c r="O102" s="3114"/>
      <c r="Q102" s="1822" t="s">
        <v>1349</v>
      </c>
      <c r="R102" s="1822"/>
      <c r="S102" s="78" t="n">
        <v>18</v>
      </c>
      <c r="T102" s="78" t="s">
        <v>1350</v>
      </c>
      <c r="U102" s="78"/>
      <c r="V102" s="78"/>
      <c r="W102" s="3146"/>
    </row>
    <row r="103" customFormat="false" ht="18.75" hidden="false" customHeight="true" outlineLevel="0" collapsed="false">
      <c r="A103" s="507" t="s">
        <v>1234</v>
      </c>
      <c r="B103" s="528"/>
      <c r="C103" s="895"/>
      <c r="D103" s="1389"/>
      <c r="E103" s="1308" t="s">
        <v>2089</v>
      </c>
      <c r="F103" s="3147" t="n">
        <v>6</v>
      </c>
      <c r="G103" s="78" t="s">
        <v>566</v>
      </c>
      <c r="M103" s="170"/>
      <c r="N103" s="3114" t="n">
        <f aca="false">D103*F103</f>
        <v>0</v>
      </c>
      <c r="O103" s="3114"/>
      <c r="Q103" s="920" t="s">
        <v>2079</v>
      </c>
      <c r="R103" s="78"/>
      <c r="S103" s="78" t="n">
        <v>0</v>
      </c>
      <c r="T103" s="78" t="s">
        <v>2080</v>
      </c>
      <c r="U103" s="1308" t="n">
        <v>0</v>
      </c>
      <c r="V103" s="78" t="s">
        <v>2090</v>
      </c>
      <c r="W103" s="3114" t="n">
        <f aca="false">IF(T$55="Y",U103*S103,U103*S103*(1+V$55))</f>
        <v>0</v>
      </c>
    </row>
    <row r="104" customFormat="false" ht="15" hidden="false" customHeight="false" outlineLevel="0" collapsed="false">
      <c r="A104" s="1798" t="s">
        <v>1346</v>
      </c>
      <c r="B104" s="1605"/>
      <c r="C104" s="1609"/>
      <c r="D104" s="2133"/>
      <c r="E104" s="2051" t="s">
        <v>1347</v>
      </c>
      <c r="F104" s="3148" t="n">
        <v>250</v>
      </c>
      <c r="G104" s="1826" t="s">
        <v>620</v>
      </c>
      <c r="H104" s="1058"/>
      <c r="I104" s="1058"/>
      <c r="J104" s="1058"/>
      <c r="K104" s="1058"/>
      <c r="L104" s="1058"/>
      <c r="M104" s="1058"/>
      <c r="N104" s="3139" t="n">
        <f aca="false">D104*F104</f>
        <v>0</v>
      </c>
      <c r="O104" s="3139"/>
      <c r="Q104" s="1599" t="s">
        <v>1353</v>
      </c>
      <c r="R104" s="1826"/>
      <c r="S104" s="1826" t="n">
        <f aca="false">S77*12/S102</f>
        <v>0</v>
      </c>
      <c r="T104" s="1826" t="s">
        <v>1354</v>
      </c>
      <c r="U104" s="1827" t="n">
        <f aca="false">BH82</f>
        <v>0</v>
      </c>
      <c r="V104" s="1827"/>
      <c r="W104" s="3139" t="n">
        <f aca="false">IF(T$55="Y",U104*S104,U104*S104*(1+V$55))</f>
        <v>0</v>
      </c>
    </row>
    <row r="105" customFormat="false" ht="15" hidden="false" customHeight="false" outlineLevel="0" collapsed="false">
      <c r="A105" s="2336" t="s">
        <v>1351</v>
      </c>
      <c r="B105" s="2336"/>
      <c r="C105" s="2336"/>
      <c r="D105" s="3149" t="n">
        <f aca="false">Summary!P60</f>
        <v>0</v>
      </c>
      <c r="E105" s="2338"/>
      <c r="F105" s="2339" t="n">
        <f aca="false">(SUM(N99:O104)+SUM(N93:O97)+SUM(N88:O90)+SUM(N79:O85)+SUM(K79:L85)+SUM(N66:O76))*D105</f>
        <v>0</v>
      </c>
      <c r="G105" s="2339"/>
      <c r="H105" s="2340"/>
      <c r="I105" s="2340"/>
      <c r="J105" s="2340"/>
      <c r="K105" s="2340"/>
      <c r="L105" s="2340"/>
      <c r="M105" s="2341"/>
      <c r="N105" s="2342"/>
      <c r="O105" s="2342"/>
      <c r="W105" s="1164" t="n">
        <f aca="false">SUM(W67:W104)</f>
        <v>0</v>
      </c>
    </row>
    <row r="106" customFormat="false" ht="15" hidden="false" customHeight="false" outlineLevel="0" collapsed="false">
      <c r="A106" s="949"/>
      <c r="B106" s="950"/>
      <c r="C106" s="950"/>
      <c r="D106" s="950"/>
      <c r="E106" s="950"/>
      <c r="F106" s="950"/>
      <c r="G106" s="950"/>
      <c r="H106" s="950"/>
      <c r="I106" s="950"/>
      <c r="J106" s="950"/>
      <c r="K106" s="954"/>
      <c r="L106" s="950"/>
      <c r="M106" s="950"/>
      <c r="N106" s="950"/>
      <c r="O106" s="950"/>
      <c r="P106" s="950"/>
      <c r="Q106" s="950"/>
      <c r="R106" s="950"/>
      <c r="S106" s="950"/>
      <c r="T106" s="950"/>
      <c r="U106" s="950"/>
      <c r="V106" s="950"/>
      <c r="W106" s="957"/>
      <c r="AG106" s="910"/>
    </row>
    <row r="107" customFormat="false" ht="28.55" hidden="false" customHeight="false" outlineLevel="0" collapsed="false">
      <c r="A107" s="1642" t="s">
        <v>1262</v>
      </c>
      <c r="B107" s="1643"/>
      <c r="C107" s="1644"/>
      <c r="D107" s="958" t="s">
        <v>982</v>
      </c>
      <c r="E107" s="958"/>
      <c r="F107" s="1642" t="s">
        <v>1263</v>
      </c>
      <c r="G107" s="1643"/>
      <c r="H107" s="1644"/>
      <c r="I107" s="1167" t="s">
        <v>1264</v>
      </c>
      <c r="J107" s="1168"/>
      <c r="K107" s="1169"/>
      <c r="L107" s="1170" t="s">
        <v>1265</v>
      </c>
      <c r="M107" s="1170"/>
      <c r="N107" s="1171"/>
      <c r="O107" s="1172"/>
      <c r="P107" s="961"/>
      <c r="Q107" s="599" t="s">
        <v>1266</v>
      </c>
      <c r="S107" s="16" t="s">
        <v>1739</v>
      </c>
      <c r="T107" s="1173" t="str">
        <f aca="false">T55</f>
        <v>N</v>
      </c>
      <c r="U107" s="833" t="s">
        <v>1268</v>
      </c>
      <c r="V107" s="1401" t="n">
        <f aca="false">V55</f>
        <v>0.0825</v>
      </c>
      <c r="W107" s="964"/>
    </row>
    <row r="108" customFormat="false" ht="15" hidden="false" customHeight="false" outlineLevel="0" collapsed="false">
      <c r="A108" s="965" t="s">
        <v>1269</v>
      </c>
      <c r="B108" s="966" t="n">
        <f aca="false">B56</f>
        <v>0</v>
      </c>
      <c r="C108" s="966"/>
      <c r="D108" s="967" t="n">
        <f aca="false">D56</f>
        <v>0</v>
      </c>
      <c r="E108" s="967"/>
      <c r="F108" s="968" t="n">
        <f aca="false">F56</f>
        <v>0</v>
      </c>
      <c r="G108" s="2824" t="n">
        <f aca="false">G56</f>
        <v>0</v>
      </c>
      <c r="H108" s="736"/>
      <c r="I108" s="1651" t="n">
        <f aca="false">I56</f>
        <v>0</v>
      </c>
      <c r="J108" s="1652"/>
      <c r="K108" s="1653"/>
      <c r="L108" s="1402" t="n">
        <f aca="false">L56</f>
        <v>0.18</v>
      </c>
      <c r="M108" s="1402"/>
      <c r="N108" s="1402"/>
      <c r="O108" s="1402"/>
      <c r="P108" s="1265"/>
      <c r="Q108" s="970" t="s">
        <v>980</v>
      </c>
      <c r="T108" s="971" t="n">
        <f aca="false">T56</f>
        <v>0</v>
      </c>
      <c r="U108" s="971"/>
      <c r="W108" s="964"/>
    </row>
    <row r="109" customFormat="false" ht="15" hidden="false" customHeight="false" outlineLevel="0" collapsed="false">
      <c r="A109" s="972"/>
      <c r="B109" s="973"/>
      <c r="C109" s="973"/>
      <c r="D109" s="973"/>
      <c r="E109" s="973"/>
      <c r="F109" s="973"/>
      <c r="G109" s="973"/>
      <c r="H109" s="973"/>
      <c r="I109" s="973"/>
      <c r="J109" s="973"/>
      <c r="K109" s="973"/>
      <c r="L109" s="973"/>
      <c r="M109" s="973"/>
      <c r="N109" s="973"/>
      <c r="O109" s="973"/>
      <c r="P109" s="973"/>
      <c r="Q109" s="973"/>
      <c r="R109" s="973"/>
      <c r="S109" s="973"/>
      <c r="T109" s="973"/>
      <c r="U109" s="973"/>
      <c r="V109" s="973"/>
      <c r="W109" s="984"/>
    </row>
    <row r="113" customFormat="false" ht="15" hidden="false" customHeight="false" outlineLevel="0" collapsed="false">
      <c r="A113" s="3150" t="str">
        <f aca="false">Summary!BP72</f>
        <v>Code</v>
      </c>
      <c r="B113" s="3151" t="str">
        <f aca="false">Summary!BQ72</f>
        <v>Panels</v>
      </c>
      <c r="C113" s="3151"/>
      <c r="D113" s="3151"/>
      <c r="E113" s="3151"/>
      <c r="F113" s="3152" t="n">
        <f aca="false">T56-F114</f>
        <v>0</v>
      </c>
      <c r="T113" s="717" t="s">
        <v>1055</v>
      </c>
      <c r="U113" s="1403" t="s">
        <v>2091</v>
      </c>
      <c r="V113" s="719"/>
      <c r="W113" s="722" t="n">
        <f aca="false">W114-T108</f>
        <v>0</v>
      </c>
    </row>
    <row r="114" customFormat="false" ht="15" hidden="false" customHeight="false" outlineLevel="0" collapsed="false">
      <c r="A114" s="3153" t="str">
        <f aca="false">Summary!BP73</f>
        <v>12</v>
      </c>
      <c r="B114" s="1037"/>
      <c r="F114" s="2434" t="n">
        <f aca="false">SUM(F115:F171)-F157-F147</f>
        <v>0</v>
      </c>
      <c r="T114" s="733" t="n">
        <v>10</v>
      </c>
      <c r="U114" s="735"/>
      <c r="V114" s="735"/>
      <c r="W114" s="3154" t="n">
        <f aca="false">SUM(W115:W162)</f>
        <v>0</v>
      </c>
    </row>
    <row r="115" customFormat="false" ht="15" hidden="false" customHeight="false" outlineLevel="0" collapsed="false">
      <c r="A115" s="3155" t="n">
        <f aca="false">Summary!BP74</f>
        <v>120001</v>
      </c>
      <c r="B115" s="3155" t="str">
        <f aca="false">Summary!BQ74</f>
        <v>General Requirements</v>
      </c>
      <c r="C115" s="2512"/>
      <c r="D115" s="786"/>
      <c r="E115" s="3156"/>
      <c r="F115" s="2512"/>
      <c r="T115" s="3157" t="n">
        <f aca="false">Summary!BP74</f>
        <v>120001</v>
      </c>
      <c r="U115" s="741" t="str">
        <f aca="false">Summary!BQ74</f>
        <v>General Requirements</v>
      </c>
      <c r="V115" s="318"/>
      <c r="W115" s="742" t="n">
        <f aca="false">SUM(L110:M112)</f>
        <v>0</v>
      </c>
    </row>
    <row r="116" customFormat="false" ht="15" hidden="false" customHeight="false" outlineLevel="0" collapsed="false">
      <c r="A116" s="3155" t="n">
        <f aca="false">Summary!BP75</f>
        <v>120002</v>
      </c>
      <c r="B116" s="3158" t="str">
        <f aca="false">Summary!BQ75</f>
        <v>Lumber</v>
      </c>
      <c r="C116" s="702"/>
      <c r="D116" s="702"/>
      <c r="E116" s="3156"/>
      <c r="F116" s="3159" t="n">
        <f aca="false">SUM(W66:W83)</f>
        <v>0</v>
      </c>
      <c r="T116" s="3157" t="n">
        <f aca="false">Summary!BP75</f>
        <v>120002</v>
      </c>
      <c r="U116" s="741" t="str">
        <f aca="false">Summary!BQ75</f>
        <v>Lumber</v>
      </c>
      <c r="V116" s="318"/>
      <c r="W116" s="751" t="n">
        <f aca="false">SUM(W66:W83)</f>
        <v>0</v>
      </c>
    </row>
    <row r="117" customFormat="false" ht="15" hidden="false" customHeight="false" outlineLevel="0" collapsed="false">
      <c r="A117" s="3155" t="n">
        <f aca="false">Summary!BP76</f>
        <v>120003</v>
      </c>
      <c r="B117" s="3158" t="str">
        <f aca="false">Summary!BQ76</f>
        <v>Sand Material</v>
      </c>
      <c r="C117" s="702"/>
      <c r="D117" s="702"/>
      <c r="E117" s="3156"/>
      <c r="F117" s="3159" t="n">
        <f aca="false">N70</f>
        <v>0</v>
      </c>
      <c r="O117" s="525"/>
      <c r="T117" s="3157" t="n">
        <f aca="false">Summary!BP76</f>
        <v>120003</v>
      </c>
      <c r="U117" s="741" t="str">
        <f aca="false">Summary!BQ76</f>
        <v>Sand Material</v>
      </c>
      <c r="V117" s="318"/>
      <c r="W117" s="751" t="n">
        <f aca="false">N70</f>
        <v>0</v>
      </c>
    </row>
    <row r="118" customFormat="false" ht="15" hidden="false" customHeight="false" outlineLevel="0" collapsed="false">
      <c r="A118" s="3155" t="n">
        <f aca="false">Summary!BP77</f>
        <v>120004</v>
      </c>
      <c r="B118" s="3158" t="str">
        <f aca="false">Summary!BQ77</f>
        <v>Rock Material</v>
      </c>
      <c r="C118" s="702"/>
      <c r="D118" s="702"/>
      <c r="E118" s="3156"/>
      <c r="F118" s="3159" t="n">
        <f aca="false">N71+N72</f>
        <v>0</v>
      </c>
      <c r="T118" s="3157" t="n">
        <f aca="false">Summary!BP77</f>
        <v>120004</v>
      </c>
      <c r="U118" s="741" t="str">
        <f aca="false">Summary!BQ77</f>
        <v>Rock Material</v>
      </c>
      <c r="V118" s="318"/>
      <c r="W118" s="751" t="n">
        <f aca="false">N72</f>
        <v>0</v>
      </c>
    </row>
    <row r="119" customFormat="false" ht="15" hidden="false" customHeight="false" outlineLevel="0" collapsed="false">
      <c r="A119" s="3155" t="n">
        <f aca="false">Summary!BP78</f>
        <v>120005</v>
      </c>
      <c r="B119" s="3158" t="str">
        <f aca="false">Summary!BQ78</f>
        <v>Reinforcement Material</v>
      </c>
      <c r="C119" s="702"/>
      <c r="D119" s="702"/>
      <c r="E119" s="3156"/>
      <c r="F119" s="3159" t="n">
        <f aca="false">N69</f>
        <v>0</v>
      </c>
      <c r="T119" s="3157" t="n">
        <f aca="false">Summary!BP78</f>
        <v>120005</v>
      </c>
      <c r="U119" s="741" t="str">
        <f aca="false">Summary!BQ78</f>
        <v>Reinforcement Material</v>
      </c>
      <c r="V119" s="318"/>
      <c r="W119" s="751" t="n">
        <f aca="false">N69</f>
        <v>0</v>
      </c>
    </row>
    <row r="120" customFormat="false" ht="15" hidden="false" customHeight="false" outlineLevel="0" collapsed="false">
      <c r="A120" s="3155" t="n">
        <f aca="false">Summary!BP79</f>
        <v>120006</v>
      </c>
      <c r="B120" s="3158" t="str">
        <f aca="false">Summary!BQ79</f>
        <v>Reinforcement Accessories</v>
      </c>
      <c r="C120" s="702"/>
      <c r="D120" s="702"/>
      <c r="E120" s="3156"/>
      <c r="F120" s="3159" t="n">
        <f aca="false">SUM(W92:W98)+W104+W103</f>
        <v>0</v>
      </c>
      <c r="T120" s="3157" t="n">
        <f aca="false">Summary!BP79</f>
        <v>120006</v>
      </c>
      <c r="U120" s="741" t="str">
        <f aca="false">Summary!BQ79</f>
        <v>Reinforcement Accessories</v>
      </c>
      <c r="V120" s="318"/>
      <c r="W120" s="751" t="n">
        <f aca="false">SUM(W92:W98)+W104</f>
        <v>0</v>
      </c>
    </row>
    <row r="121" customFormat="false" ht="15" hidden="false" customHeight="false" outlineLevel="0" collapsed="false">
      <c r="A121" s="3155" t="n">
        <f aca="false">Summary!BP80</f>
        <v>120007</v>
      </c>
      <c r="B121" s="3158" t="str">
        <f aca="false">Summary!BQ80</f>
        <v>PT Cables</v>
      </c>
      <c r="C121" s="702"/>
      <c r="D121" s="702"/>
      <c r="E121" s="3156"/>
      <c r="F121" s="3159" t="n">
        <f aca="false">N73</f>
        <v>0</v>
      </c>
      <c r="T121" s="3157" t="n">
        <f aca="false">Summary!BP80</f>
        <v>120007</v>
      </c>
      <c r="U121" s="741" t="str">
        <f aca="false">Summary!BQ80</f>
        <v>PT Cables</v>
      </c>
      <c r="V121" s="318"/>
      <c r="W121" s="751"/>
    </row>
    <row r="122" customFormat="false" ht="15" hidden="false" customHeight="false" outlineLevel="0" collapsed="false">
      <c r="A122" s="3155" t="n">
        <f aca="false">Summary!BP81</f>
        <v>120008</v>
      </c>
      <c r="B122" s="3158" t="str">
        <f aca="false">Summary!BQ81</f>
        <v>Concrete Material</v>
      </c>
      <c r="C122" s="702"/>
      <c r="D122" s="702"/>
      <c r="E122" s="3156"/>
      <c r="F122" s="3159" t="n">
        <f aca="false">SUM(N66:O68)</f>
        <v>0</v>
      </c>
      <c r="T122" s="3157" t="n">
        <f aca="false">Summary!BP81</f>
        <v>120008</v>
      </c>
      <c r="U122" s="741" t="str">
        <f aca="false">Summary!BQ81</f>
        <v>Concrete Material</v>
      </c>
      <c r="V122" s="318"/>
      <c r="W122" s="751" t="n">
        <f aca="false">SUM(N66:O68)</f>
        <v>0</v>
      </c>
    </row>
    <row r="123" customFormat="false" ht="15" hidden="false" customHeight="false" outlineLevel="0" collapsed="false">
      <c r="A123" s="3155" t="n">
        <f aca="false">Summary!BP82</f>
        <v>120009</v>
      </c>
      <c r="B123" s="3158" t="str">
        <f aca="false">Summary!BQ82</f>
        <v>Carton Forms</v>
      </c>
      <c r="C123" s="702"/>
      <c r="D123" s="702"/>
      <c r="E123" s="3156"/>
      <c r="F123" s="3159" t="n">
        <f aca="false">N74+N75+N76</f>
        <v>0</v>
      </c>
      <c r="T123" s="3157" t="n">
        <f aca="false">Summary!BP82</f>
        <v>120009</v>
      </c>
      <c r="U123" s="741" t="str">
        <f aca="false">Summary!BQ82</f>
        <v>Carton Forms</v>
      </c>
      <c r="V123" s="318"/>
      <c r="W123" s="751" t="n">
        <f aca="false">SUM(N73:O76)</f>
        <v>0</v>
      </c>
    </row>
    <row r="124" customFormat="false" ht="15" hidden="false" customHeight="false" outlineLevel="0" collapsed="false">
      <c r="A124" s="3155" t="n">
        <f aca="false">Summary!BP83</f>
        <v>120010</v>
      </c>
      <c r="B124" s="3158" t="str">
        <f aca="false">Summary!BQ83</f>
        <v>Cure/Sealers</v>
      </c>
      <c r="C124" s="702"/>
      <c r="D124" s="702"/>
      <c r="E124" s="3156"/>
      <c r="F124" s="3159" t="n">
        <f aca="false">SUM(W99:W101)</f>
        <v>0</v>
      </c>
      <c r="T124" s="3157" t="n">
        <f aca="false">Summary!BP83</f>
        <v>120010</v>
      </c>
      <c r="U124" s="741" t="str">
        <f aca="false">Summary!BQ83</f>
        <v>Cure/Sealers</v>
      </c>
      <c r="V124" s="318"/>
      <c r="W124" s="751" t="n">
        <f aca="false">SUM(W99:W101)</f>
        <v>0</v>
      </c>
    </row>
    <row r="125" customFormat="false" ht="15" hidden="false" customHeight="false" outlineLevel="0" collapsed="false">
      <c r="A125" s="3155" t="n">
        <f aca="false">Summary!BP84</f>
        <v>120011</v>
      </c>
      <c r="B125" s="3158" t="str">
        <f aca="false">Summary!BQ84</f>
        <v>Patch/Grout</v>
      </c>
      <c r="C125" s="702"/>
      <c r="D125" s="702"/>
      <c r="E125" s="3156"/>
      <c r="F125" s="3159" t="n">
        <f aca="false">W89</f>
        <v>0</v>
      </c>
      <c r="T125" s="3157" t="n">
        <f aca="false">Summary!BP84</f>
        <v>120011</v>
      </c>
      <c r="U125" s="741" t="str">
        <f aca="false">Summary!BQ84</f>
        <v>Patch/Grout</v>
      </c>
      <c r="V125" s="318"/>
      <c r="W125" s="751" t="n">
        <f aca="false">SUM(W87:W91)</f>
        <v>0</v>
      </c>
    </row>
    <row r="126" customFormat="false" ht="15" hidden="false" customHeight="false" outlineLevel="0" collapsed="false">
      <c r="A126" s="3155" t="n">
        <f aca="false">Summary!BP85</f>
        <v>120012</v>
      </c>
      <c r="B126" s="3158" t="str">
        <f aca="false">Summary!BQ85</f>
        <v>Poly/Vapor Barrier</v>
      </c>
      <c r="C126" s="702"/>
      <c r="D126" s="702"/>
      <c r="E126" s="3156"/>
      <c r="F126" s="3159" t="n">
        <f aca="false">SUM(W84:W86)</f>
        <v>0</v>
      </c>
      <c r="T126" s="3157" t="n">
        <f aca="false">Summary!BP85</f>
        <v>120012</v>
      </c>
      <c r="U126" s="741" t="str">
        <f aca="false">Summary!BQ85</f>
        <v>Poly/Vapor Barrier</v>
      </c>
      <c r="V126" s="318"/>
      <c r="W126" s="751" t="n">
        <f aca="false">SUM(W84:W86)</f>
        <v>0</v>
      </c>
    </row>
    <row r="127" customFormat="false" ht="15" hidden="false" customHeight="false" outlineLevel="0" collapsed="false">
      <c r="A127" s="3155" t="n">
        <f aca="false">Summary!BP86</f>
        <v>120013</v>
      </c>
      <c r="B127" s="3158" t="str">
        <f aca="false">Summary!BQ86</f>
        <v>Special Material</v>
      </c>
      <c r="C127" s="702"/>
      <c r="D127" s="702"/>
      <c r="E127" s="3156"/>
      <c r="F127" s="3159"/>
      <c r="T127" s="3157" t="n">
        <f aca="false">Summary!BP89</f>
        <v>120020</v>
      </c>
      <c r="U127" s="741" t="str">
        <f aca="false">Summary!BQ89</f>
        <v>Supervision</v>
      </c>
      <c r="V127" s="318"/>
      <c r="W127" s="751" t="n">
        <f aca="false">SUM(N88:O89)</f>
        <v>0</v>
      </c>
    </row>
    <row r="128" customFormat="false" ht="15" hidden="false" customHeight="false" outlineLevel="0" collapsed="false">
      <c r="A128" s="3155" t="n">
        <f aca="false">Summary!BP87</f>
        <v>120014</v>
      </c>
      <c r="B128" s="3158" t="str">
        <f aca="false">Summary!BQ87</f>
        <v>Special Material</v>
      </c>
      <c r="C128" s="702"/>
      <c r="D128" s="702"/>
      <c r="E128" s="3156"/>
      <c r="F128" s="3159" t="n">
        <f aca="false">W90</f>
        <v>0</v>
      </c>
      <c r="T128" s="3157" t="n">
        <f aca="false">Summary!BP90</f>
        <v>120021</v>
      </c>
      <c r="U128" s="741" t="str">
        <f aca="false">Summary!BQ90</f>
        <v>Supervision Expense</v>
      </c>
      <c r="V128" s="318"/>
      <c r="W128" s="751" t="n">
        <f aca="false">SUM(N90)</f>
        <v>0</v>
      </c>
    </row>
    <row r="129" customFormat="false" ht="15" hidden="false" customHeight="false" outlineLevel="0" collapsed="false">
      <c r="A129" s="3155" t="n">
        <f aca="false">Summary!BP88</f>
        <v>120015</v>
      </c>
      <c r="B129" s="3158" t="str">
        <f aca="false">Summary!BQ88</f>
        <v>PPE/Safety</v>
      </c>
      <c r="C129" s="702"/>
      <c r="D129" s="702"/>
      <c r="E129" s="3156"/>
      <c r="F129" s="3159" t="n">
        <f aca="false">W91</f>
        <v>0</v>
      </c>
      <c r="T129" s="3157" t="n">
        <f aca="false">Summary!BP91</f>
        <v>120022</v>
      </c>
      <c r="U129" s="741" t="str">
        <f aca="false">Summary!BQ91</f>
        <v>Project Management</v>
      </c>
      <c r="V129" s="318"/>
      <c r="W129" s="751" t="n">
        <f aca="false">SUM(K79:L80)</f>
        <v>0</v>
      </c>
    </row>
    <row r="130" customFormat="false" ht="15" hidden="false" customHeight="false" outlineLevel="0" collapsed="false">
      <c r="A130" s="3155" t="n">
        <f aca="false">Summary!BP89</f>
        <v>120020</v>
      </c>
      <c r="B130" s="3158" t="str">
        <f aca="false">Summary!BQ89</f>
        <v>Supervision</v>
      </c>
      <c r="C130" s="702"/>
      <c r="D130" s="702"/>
      <c r="E130" s="3156"/>
      <c r="F130" s="3159" t="n">
        <f aca="false">SUM(N88:O89)</f>
        <v>0</v>
      </c>
      <c r="T130" s="3157" t="n">
        <f aca="false">Summary!BP92</f>
        <v>120023</v>
      </c>
      <c r="U130" s="741" t="str">
        <f aca="false">Summary!BQ92</f>
        <v>Labor Grade, Poly, Reinf.</v>
      </c>
      <c r="V130" s="318"/>
      <c r="W130" s="751" t="n">
        <f aca="false">K85</f>
        <v>0</v>
      </c>
    </row>
    <row r="131" customFormat="false" ht="15" hidden="false" customHeight="false" outlineLevel="0" collapsed="false">
      <c r="A131" s="3155" t="n">
        <f aca="false">Summary!BP90</f>
        <v>120021</v>
      </c>
      <c r="B131" s="3158" t="str">
        <f aca="false">Summary!BQ90</f>
        <v>Supervision Expense</v>
      </c>
      <c r="C131" s="702"/>
      <c r="D131" s="702"/>
      <c r="E131" s="3156"/>
      <c r="F131" s="3159" t="n">
        <f aca="false">SUM(N90)</f>
        <v>0</v>
      </c>
      <c r="T131" s="3157" t="n">
        <f aca="false">Summary!BP93</f>
        <v>120024</v>
      </c>
      <c r="U131" s="741" t="str">
        <f aca="false">Summary!BQ93</f>
        <v>Labor Place &amp; Finish</v>
      </c>
      <c r="V131" s="318"/>
      <c r="W131" s="751" t="n">
        <f aca="false">K81</f>
        <v>0</v>
      </c>
    </row>
    <row r="132" customFormat="false" ht="15" hidden="false" customHeight="false" outlineLevel="0" collapsed="false">
      <c r="A132" s="3155" t="n">
        <f aca="false">Summary!BP91</f>
        <v>120022</v>
      </c>
      <c r="B132" s="3158" t="str">
        <f aca="false">Summary!BQ91</f>
        <v>Project Management</v>
      </c>
      <c r="C132" s="702"/>
      <c r="D132" s="702"/>
      <c r="E132" s="3156"/>
      <c r="F132" s="3159" t="n">
        <f aca="false">K80</f>
        <v>0</v>
      </c>
      <c r="T132" s="3157" t="n">
        <f aca="false">Summary!BP94</f>
        <v>120025</v>
      </c>
      <c r="U132" s="741" t="str">
        <f aca="false">Summary!BQ94</f>
        <v>Labor Drops</v>
      </c>
      <c r="V132" s="318"/>
      <c r="W132" s="751"/>
    </row>
    <row r="133" customFormat="false" ht="15" hidden="false" customHeight="false" outlineLevel="0" collapsed="false">
      <c r="A133" s="3155" t="n">
        <f aca="false">Summary!BP92</f>
        <v>120023</v>
      </c>
      <c r="B133" s="3158" t="str">
        <f aca="false">Summary!BQ92</f>
        <v>Labor Grade, Poly, Reinf.</v>
      </c>
      <c r="C133" s="702"/>
      <c r="D133" s="702"/>
      <c r="E133" s="3156"/>
      <c r="F133" s="3159" t="n">
        <f aca="false">K84</f>
        <v>0</v>
      </c>
      <c r="T133" s="3157" t="n">
        <f aca="false">Summary!BP95</f>
        <v>120026</v>
      </c>
      <c r="U133" s="741" t="str">
        <f aca="false">Summary!BQ95</f>
        <v>Labor Strip Forms</v>
      </c>
      <c r="V133" s="318"/>
      <c r="W133" s="751" t="n">
        <f aca="false">K82+K83</f>
        <v>0</v>
      </c>
    </row>
    <row r="134" customFormat="false" ht="15" hidden="false" customHeight="false" outlineLevel="0" collapsed="false">
      <c r="A134" s="3155" t="n">
        <f aca="false">Summary!BP93</f>
        <v>120024</v>
      </c>
      <c r="B134" s="3158" t="str">
        <f aca="false">Summary!BQ93</f>
        <v>Labor Place &amp; Finish</v>
      </c>
      <c r="C134" s="702"/>
      <c r="D134" s="702"/>
      <c r="E134" s="3156"/>
      <c r="F134" s="3159" t="n">
        <f aca="false">K81</f>
        <v>0</v>
      </c>
      <c r="T134" s="3157" t="n">
        <f aca="false">Summary!BP96</f>
        <v>120027</v>
      </c>
      <c r="U134" s="741" t="str">
        <f aca="false">Summary!BQ96</f>
        <v>Labor Burden</v>
      </c>
      <c r="V134" s="318"/>
      <c r="W134" s="751"/>
    </row>
    <row r="135" customFormat="false" ht="15" hidden="false" customHeight="false" outlineLevel="0" collapsed="false">
      <c r="A135" s="3155" t="n">
        <f aca="false">Summary!BP94</f>
        <v>120025</v>
      </c>
      <c r="B135" s="3158" t="str">
        <f aca="false">Summary!BQ94</f>
        <v>Labor Drops</v>
      </c>
      <c r="C135" s="702"/>
      <c r="D135" s="702"/>
      <c r="E135" s="3156"/>
      <c r="F135" s="3159" t="n">
        <f aca="false">K79</f>
        <v>0</v>
      </c>
      <c r="T135" s="3157" t="n">
        <f aca="false">Summary!BP99</f>
        <v>120031</v>
      </c>
      <c r="U135" s="741" t="str">
        <f aca="false">Summary!BQ99</f>
        <v>Earth Work/Excavation</v>
      </c>
      <c r="V135" s="318"/>
      <c r="W135" s="751" t="n">
        <f aca="false">K85</f>
        <v>0</v>
      </c>
    </row>
    <row r="136" customFormat="false" ht="15" hidden="false" customHeight="false" outlineLevel="0" collapsed="false">
      <c r="A136" s="3155" t="n">
        <f aca="false">Summary!BP95</f>
        <v>120026</v>
      </c>
      <c r="B136" s="3158" t="str">
        <f aca="false">Summary!BQ95</f>
        <v>Labor Strip Forms</v>
      </c>
      <c r="C136" s="702"/>
      <c r="D136" s="702"/>
      <c r="E136" s="3156"/>
      <c r="F136" s="3159" t="n">
        <f aca="false">K82</f>
        <v>0</v>
      </c>
      <c r="T136" s="3157" t="n">
        <f aca="false">Summary!BP100</f>
        <v>120032</v>
      </c>
      <c r="U136" s="741" t="str">
        <f aca="false">Summary!BQ100</f>
        <v>Drilling</v>
      </c>
      <c r="V136" s="318"/>
      <c r="W136" s="751"/>
    </row>
    <row r="137" customFormat="false" ht="15" hidden="false" customHeight="false" outlineLevel="0" collapsed="false">
      <c r="A137" s="3155" t="n">
        <f aca="false">Summary!BP96</f>
        <v>120027</v>
      </c>
      <c r="B137" s="3158" t="str">
        <f aca="false">Summary!BQ96</f>
        <v>Labor Burden</v>
      </c>
      <c r="C137" s="702"/>
      <c r="D137" s="702"/>
      <c r="E137" s="3156"/>
      <c r="F137" s="3159" t="n">
        <f aca="false">K85+K83</f>
        <v>0</v>
      </c>
      <c r="T137" s="3157" t="n">
        <f aca="false">Summary!BP101</f>
        <v>120033</v>
      </c>
      <c r="U137" s="741" t="str">
        <f aca="false">Summary!BQ101</f>
        <v>Haul off</v>
      </c>
      <c r="V137" s="318"/>
      <c r="W137" s="751" t="n">
        <f aca="false">N103</f>
        <v>0</v>
      </c>
    </row>
    <row r="138" customFormat="false" ht="15" hidden="false" customHeight="false" outlineLevel="0" collapsed="false">
      <c r="A138" s="3155" t="n">
        <f aca="false">Summary!BP98</f>
        <v>120030</v>
      </c>
      <c r="B138" s="3158" t="str">
        <f aca="false">Summary!BQ98</f>
        <v>Pumping</v>
      </c>
      <c r="C138" s="702"/>
      <c r="D138" s="702"/>
      <c r="E138" s="3156"/>
      <c r="F138" s="3159" t="n">
        <f aca="false">N99</f>
        <v>0</v>
      </c>
      <c r="T138" s="3157" t="n">
        <f aca="false">Summary!BP102</f>
        <v>120034</v>
      </c>
      <c r="U138" s="741" t="str">
        <f aca="false">Summary!BQ102</f>
        <v>Saw Cutting/Sealing</v>
      </c>
      <c r="V138" s="318"/>
      <c r="W138" s="751" t="n">
        <f aca="false">N102</f>
        <v>0</v>
      </c>
    </row>
    <row r="139" customFormat="false" ht="15" hidden="false" customHeight="false" outlineLevel="0" collapsed="false">
      <c r="A139" s="3155" t="n">
        <f aca="false">Summary!BP99</f>
        <v>120031</v>
      </c>
      <c r="B139" s="3158" t="str">
        <f aca="false">Summary!BQ99</f>
        <v>Earth Work/Excavation</v>
      </c>
      <c r="C139" s="702"/>
      <c r="D139" s="702"/>
      <c r="E139" s="3156"/>
      <c r="F139" s="3159"/>
      <c r="T139" s="3157" t="n">
        <f aca="false">Summary!BP103</f>
        <v>120035</v>
      </c>
      <c r="U139" s="741" t="str">
        <f aca="false">Summary!BQ103</f>
        <v>Demolition</v>
      </c>
      <c r="V139" s="318"/>
      <c r="W139" s="751"/>
    </row>
    <row r="140" customFormat="false" ht="15" hidden="false" customHeight="false" outlineLevel="0" collapsed="false">
      <c r="A140" s="3155" t="n">
        <f aca="false">Summary!BP100</f>
        <v>120032</v>
      </c>
      <c r="B140" s="3158" t="str">
        <f aca="false">Summary!BQ100</f>
        <v>Drilling</v>
      </c>
      <c r="C140" s="702"/>
      <c r="D140" s="702"/>
      <c r="E140" s="3156"/>
      <c r="F140" s="3159"/>
      <c r="T140" s="3157" t="n">
        <f aca="false">Summary!BP98</f>
        <v>120030</v>
      </c>
      <c r="U140" s="741" t="str">
        <f aca="false">Summary!BQ98</f>
        <v>Pumping</v>
      </c>
      <c r="V140" s="318"/>
      <c r="W140" s="751" t="n">
        <f aca="false">N99</f>
        <v>0</v>
      </c>
    </row>
    <row r="141" customFormat="false" ht="15" hidden="false" customHeight="false" outlineLevel="0" collapsed="false">
      <c r="A141" s="3155" t="n">
        <f aca="false">Summary!BP101</f>
        <v>120033</v>
      </c>
      <c r="B141" s="3158" t="str">
        <f aca="false">Summary!BQ101</f>
        <v>Haul off</v>
      </c>
      <c r="C141" s="702"/>
      <c r="D141" s="702"/>
      <c r="E141" s="3156"/>
      <c r="F141" s="3159" t="n">
        <f aca="false">N103</f>
        <v>0</v>
      </c>
      <c r="T141" s="3157" t="n">
        <f aca="false">Summary!BP104</f>
        <v>120037</v>
      </c>
      <c r="U141" s="741" t="str">
        <f aca="false">Summary!BQ104</f>
        <v>Waterproofing</v>
      </c>
      <c r="V141" s="318"/>
      <c r="W141" s="751" t="n">
        <f aca="false">N101</f>
        <v>0</v>
      </c>
    </row>
    <row r="142" customFormat="false" ht="15" hidden="false" customHeight="false" outlineLevel="0" collapsed="false">
      <c r="A142" s="3155" t="n">
        <f aca="false">Summary!BP102</f>
        <v>120034</v>
      </c>
      <c r="B142" s="3158" t="str">
        <f aca="false">Summary!BQ102</f>
        <v>Saw Cutting/Sealing</v>
      </c>
      <c r="C142" s="702"/>
      <c r="D142" s="702"/>
      <c r="E142" s="3156"/>
      <c r="F142" s="3159" t="n">
        <f aca="false">N102</f>
        <v>0</v>
      </c>
      <c r="T142" s="3157" t="n">
        <f aca="false">Summary!BP105</f>
        <v>120038</v>
      </c>
      <c r="U142" s="741" t="str">
        <f aca="false">Summary!BQ105</f>
        <v>Crain/Hoisting</v>
      </c>
      <c r="V142" s="318"/>
      <c r="W142" s="751"/>
    </row>
    <row r="143" customFormat="false" ht="15" hidden="false" customHeight="false" outlineLevel="0" collapsed="false">
      <c r="A143" s="3155" t="n">
        <f aca="false">Summary!BP103</f>
        <v>120035</v>
      </c>
      <c r="B143" s="3158" t="str">
        <f aca="false">Summary!BQ103</f>
        <v>Demolition</v>
      </c>
      <c r="C143" s="702"/>
      <c r="D143" s="702"/>
      <c r="E143" s="3156"/>
      <c r="F143" s="3159"/>
      <c r="T143" s="3157" t="n">
        <f aca="false">Summary!BP106</f>
        <v>120039</v>
      </c>
      <c r="U143" s="741" t="str">
        <f aca="false">Summary!BQ106</f>
        <v>Forming Systems</v>
      </c>
      <c r="V143" s="318"/>
      <c r="W143" s="751" t="n">
        <f aca="false">N77</f>
        <v>0</v>
      </c>
    </row>
    <row r="144" customFormat="false" ht="15" hidden="false" customHeight="false" outlineLevel="0" collapsed="false">
      <c r="A144" s="3155" t="n">
        <f aca="false">Summary!BP104</f>
        <v>120037</v>
      </c>
      <c r="B144" s="3158" t="str">
        <f aca="false">Summary!BQ104</f>
        <v>Waterproofing</v>
      </c>
      <c r="C144" s="702"/>
      <c r="D144" s="702"/>
      <c r="E144" s="3156"/>
      <c r="F144" s="3159" t="n">
        <f aca="false">N101</f>
        <v>0</v>
      </c>
      <c r="T144" s="3157" t="n">
        <f aca="false">Summary!BP108</f>
        <v>120041</v>
      </c>
      <c r="U144" s="741" t="str">
        <f aca="false">Summary!BQ108</f>
        <v>Labor Forming</v>
      </c>
      <c r="V144" s="749"/>
      <c r="W144" s="742" t="n">
        <f aca="false">N80</f>
        <v>0</v>
      </c>
    </row>
    <row r="145" customFormat="false" ht="15" hidden="false" customHeight="false" outlineLevel="0" collapsed="false">
      <c r="A145" s="3155" t="n">
        <f aca="false">Summary!BP105</f>
        <v>120038</v>
      </c>
      <c r="B145" s="3158" t="str">
        <f aca="false">Summary!BQ105</f>
        <v>Crain/Hoisting</v>
      </c>
      <c r="C145" s="702"/>
      <c r="D145" s="702"/>
      <c r="E145" s="3156"/>
      <c r="F145" s="3159"/>
      <c r="T145" s="3157" t="n">
        <f aca="false">Summary!BP109</f>
        <v>120042</v>
      </c>
      <c r="U145" s="741" t="str">
        <f aca="false">Summary!BQ109</f>
        <v>Labor Grade, Poly, Reinf.</v>
      </c>
      <c r="V145" s="318"/>
      <c r="W145" s="751" t="n">
        <f aca="false">N85</f>
        <v>0</v>
      </c>
    </row>
    <row r="146" customFormat="false" ht="15" hidden="false" customHeight="false" outlineLevel="0" collapsed="false">
      <c r="A146" s="3160" t="n">
        <f aca="false">Summary!BP106</f>
        <v>120039</v>
      </c>
      <c r="B146" s="3161" t="str">
        <f aca="false">Summary!BQ106</f>
        <v>Forming Systems</v>
      </c>
      <c r="C146" s="2358"/>
      <c r="D146" s="2358"/>
      <c r="E146" s="2359"/>
      <c r="F146" s="3162" t="n">
        <f aca="false">SUM(W87:W88)</f>
        <v>0</v>
      </c>
      <c r="T146" s="3157" t="n">
        <f aca="false">Summary!BP110</f>
        <v>120043</v>
      </c>
      <c r="U146" s="741" t="str">
        <f aca="false">Summary!BQ110</f>
        <v>Labor Place &amp; Finish</v>
      </c>
      <c r="V146" s="318"/>
      <c r="W146" s="751" t="n">
        <f aca="false">N81</f>
        <v>0</v>
      </c>
    </row>
    <row r="147" customFormat="false" ht="15" hidden="false" customHeight="false" outlineLevel="0" collapsed="false">
      <c r="A147" s="3163" t="n">
        <f aca="false">Summary!BP107</f>
        <v>120040</v>
      </c>
      <c r="B147" s="3164" t="str">
        <f aca="false">Summary!BQ107</f>
        <v>Total Sub Labor</v>
      </c>
      <c r="C147" s="593"/>
      <c r="D147" s="593"/>
      <c r="E147" s="3165"/>
      <c r="F147" s="3166" t="n">
        <f aca="false">N86</f>
        <v>0</v>
      </c>
      <c r="T147" s="3157" t="n">
        <f aca="false">Summary!BP111</f>
        <v>120044</v>
      </c>
      <c r="U147" s="741" t="str">
        <f aca="false">Summary!BQ111</f>
        <v>Labor Drops</v>
      </c>
      <c r="V147" s="749"/>
      <c r="W147" s="742" t="n">
        <f aca="false">N79</f>
        <v>0</v>
      </c>
    </row>
    <row r="148" customFormat="false" ht="15" hidden="false" customHeight="false" outlineLevel="0" collapsed="false">
      <c r="A148" s="3167" t="n">
        <f aca="false">Summary!BP108</f>
        <v>120041</v>
      </c>
      <c r="B148" s="3168" t="str">
        <f aca="false">Summary!BQ108</f>
        <v>Labor Forming</v>
      </c>
      <c r="C148" s="782"/>
      <c r="D148" s="782"/>
      <c r="E148" s="2418"/>
      <c r="F148" s="3169" t="n">
        <f aca="false">N80</f>
        <v>0</v>
      </c>
      <c r="T148" s="3157" t="n">
        <f aca="false">Summary!BP112</f>
        <v>120045</v>
      </c>
      <c r="U148" s="741" t="str">
        <f aca="false">Summary!BQ112</f>
        <v>Labor Strip Forms</v>
      </c>
      <c r="V148" s="749"/>
      <c r="W148" s="742" t="n">
        <f aca="false">N82+N83</f>
        <v>0</v>
      </c>
    </row>
    <row r="149" customFormat="false" ht="15" hidden="false" customHeight="false" outlineLevel="0" collapsed="false">
      <c r="A149" s="3155" t="n">
        <f aca="false">Summary!BP109</f>
        <v>120042</v>
      </c>
      <c r="B149" s="3158" t="str">
        <f aca="false">Summary!BQ109</f>
        <v>Labor Grade, Poly, Reinf.</v>
      </c>
      <c r="C149" s="702"/>
      <c r="D149" s="702"/>
      <c r="E149" s="3156"/>
      <c r="F149" s="3159"/>
      <c r="T149" s="3157" t="n">
        <f aca="false">Summary!BP113</f>
        <v>120046</v>
      </c>
      <c r="U149" s="741" t="str">
        <f aca="false">Summary!BQ113</f>
        <v>Labor Burden</v>
      </c>
      <c r="V149" s="318"/>
      <c r="W149" s="751"/>
    </row>
    <row r="150" customFormat="false" ht="15" hidden="false" customHeight="false" outlineLevel="0" collapsed="false">
      <c r="A150" s="3155" t="n">
        <f aca="false">Summary!BP110</f>
        <v>120043</v>
      </c>
      <c r="B150" s="3158" t="str">
        <f aca="false">Summary!BQ110</f>
        <v>Labor Place &amp; Finish</v>
      </c>
      <c r="C150" s="702"/>
      <c r="D150" s="702"/>
      <c r="E150" s="3156"/>
      <c r="F150" s="3159" t="n">
        <f aca="false">N81</f>
        <v>0</v>
      </c>
      <c r="T150" s="3157" t="n">
        <f aca="false">Summary!BP114</f>
        <v>120047</v>
      </c>
      <c r="U150" s="741" t="str">
        <f aca="false">Summary!BQ114</f>
        <v>Rebar</v>
      </c>
      <c r="V150" s="318"/>
      <c r="W150" s="751" t="n">
        <f aca="false">N84</f>
        <v>0</v>
      </c>
    </row>
    <row r="151" customFormat="false" ht="15" hidden="false" customHeight="false" outlineLevel="0" collapsed="false">
      <c r="A151" s="3155" t="n">
        <f aca="false">Summary!BP111</f>
        <v>120044</v>
      </c>
      <c r="B151" s="3158" t="str">
        <f aca="false">Summary!BQ111</f>
        <v>Labor Drops</v>
      </c>
      <c r="C151" s="702"/>
      <c r="D151" s="702"/>
      <c r="E151" s="3156"/>
      <c r="F151" s="3159" t="n">
        <f aca="false">N79</f>
        <v>0</v>
      </c>
      <c r="T151" s="3157" t="n">
        <f aca="false">Summary!BP115</f>
        <v>120048</v>
      </c>
      <c r="U151" s="741" t="str">
        <f aca="false">Summary!BQ115</f>
        <v>PT Installation</v>
      </c>
      <c r="V151" s="318"/>
      <c r="W151" s="751"/>
    </row>
    <row r="152" customFormat="false" ht="15" hidden="false" customHeight="false" outlineLevel="0" collapsed="false">
      <c r="A152" s="3155" t="n">
        <f aca="false">Summary!BP112</f>
        <v>120045</v>
      </c>
      <c r="B152" s="3158" t="str">
        <f aca="false">Summary!BQ112</f>
        <v>Labor Strip Forms</v>
      </c>
      <c r="C152" s="702"/>
      <c r="D152" s="702"/>
      <c r="E152" s="3156"/>
      <c r="F152" s="3159" t="n">
        <f aca="false">N82</f>
        <v>0</v>
      </c>
      <c r="T152" s="3157" t="n">
        <f aca="false">Summary!BP116</f>
        <v>120049</v>
      </c>
      <c r="U152" s="741" t="str">
        <f aca="false">Summary!BQ116</f>
        <v>Extra Hours</v>
      </c>
      <c r="V152" s="318"/>
      <c r="W152" s="751"/>
    </row>
    <row r="153" customFormat="false" ht="15" hidden="false" customHeight="false" outlineLevel="0" collapsed="false">
      <c r="A153" s="3155" t="n">
        <f aca="false">Summary!BP113</f>
        <v>120046</v>
      </c>
      <c r="B153" s="3158" t="str">
        <f aca="false">Summary!BQ113</f>
        <v>Labor Burden</v>
      </c>
      <c r="C153" s="702"/>
      <c r="D153" s="702"/>
      <c r="E153" s="3156"/>
      <c r="F153" s="3159" t="n">
        <f aca="false">N83+N85</f>
        <v>0</v>
      </c>
      <c r="T153" s="3157" t="n">
        <f aca="false">Summary!BP118</f>
        <v>120061</v>
      </c>
      <c r="U153" s="741" t="str">
        <f aca="false">Summary!BQ118</f>
        <v>SkyTrack</v>
      </c>
      <c r="V153" s="318"/>
      <c r="W153" s="751" t="n">
        <f aca="false">N96</f>
        <v>0</v>
      </c>
    </row>
    <row r="154" customFormat="false" ht="15" hidden="false" customHeight="false" outlineLevel="0" collapsed="false">
      <c r="A154" s="3155" t="n">
        <f aca="false">Summary!BP114</f>
        <v>120047</v>
      </c>
      <c r="B154" s="3158" t="str">
        <f aca="false">Summary!BQ114</f>
        <v>Rebar</v>
      </c>
      <c r="C154" s="702"/>
      <c r="D154" s="702"/>
      <c r="E154" s="3156"/>
      <c r="F154" s="3159" t="n">
        <f aca="false">N84</f>
        <v>0</v>
      </c>
      <c r="T154" s="3157" t="n">
        <f aca="false">Summary!BP119</f>
        <v>120062</v>
      </c>
      <c r="U154" s="741" t="str">
        <f aca="false">Summary!BQ119</f>
        <v>Mini Excavator</v>
      </c>
      <c r="V154" s="318"/>
      <c r="W154" s="751" t="n">
        <f aca="false">N92</f>
        <v>0</v>
      </c>
    </row>
    <row r="155" customFormat="false" ht="15" hidden="false" customHeight="false" outlineLevel="0" collapsed="false">
      <c r="A155" s="3155" t="n">
        <f aca="false">Summary!BP115</f>
        <v>120048</v>
      </c>
      <c r="B155" s="3158" t="str">
        <f aca="false">Summary!BQ115</f>
        <v>PT Installation</v>
      </c>
      <c r="C155" s="702"/>
      <c r="D155" s="702"/>
      <c r="E155" s="3156"/>
      <c r="F155" s="3159"/>
      <c r="T155" s="3157" t="n">
        <f aca="false">Summary!BP120</f>
        <v>120063</v>
      </c>
      <c r="U155" s="741" t="str">
        <f aca="false">Summary!BQ120</f>
        <v>Trencher</v>
      </c>
      <c r="V155" s="318"/>
      <c r="W155" s="751" t="n">
        <f aca="false">N94</f>
        <v>0</v>
      </c>
    </row>
    <row r="156" customFormat="false" ht="15" hidden="false" customHeight="false" outlineLevel="0" collapsed="false">
      <c r="A156" s="3160" t="n">
        <f aca="false">Summary!BP116</f>
        <v>120049</v>
      </c>
      <c r="B156" s="3161" t="str">
        <f aca="false">Summary!BQ116</f>
        <v>Extra Hours</v>
      </c>
      <c r="C156" s="2358"/>
      <c r="D156" s="2358"/>
      <c r="E156" s="2359"/>
      <c r="F156" s="3162"/>
      <c r="T156" s="3157" t="n">
        <f aca="false">Summary!BP121</f>
        <v>120064</v>
      </c>
      <c r="U156" s="741" t="str">
        <f aca="false">Summary!BQ121</f>
        <v>Skid Steer</v>
      </c>
      <c r="V156" s="318"/>
      <c r="W156" s="751" t="n">
        <f aca="false">N93</f>
        <v>0</v>
      </c>
    </row>
    <row r="157" customFormat="false" ht="15" hidden="false" customHeight="false" outlineLevel="0" collapsed="false">
      <c r="A157" s="3163" t="n">
        <f aca="false">Summary!BP117</f>
        <v>120060</v>
      </c>
      <c r="B157" s="3164" t="str">
        <f aca="false">Summary!BQ117</f>
        <v>Total Equipment Rental</v>
      </c>
      <c r="C157" s="593"/>
      <c r="D157" s="593"/>
      <c r="E157" s="3165"/>
      <c r="F157" s="3166" t="n">
        <f aca="false">L94</f>
        <v>0</v>
      </c>
      <c r="T157" s="3157" t="n">
        <f aca="false">Summary!BP122</f>
        <v>120065</v>
      </c>
      <c r="U157" s="741" t="str">
        <f aca="false">Summary!BQ122</f>
        <v>General Equipment Rental</v>
      </c>
      <c r="V157" s="318"/>
      <c r="W157" s="751" t="n">
        <f aca="false">N95+N97</f>
        <v>0</v>
      </c>
    </row>
    <row r="158" customFormat="false" ht="15" hidden="false" customHeight="false" outlineLevel="0" collapsed="false">
      <c r="A158" s="3167" t="n">
        <f aca="false">Summary!BP118</f>
        <v>120061</v>
      </c>
      <c r="B158" s="3168" t="str">
        <f aca="false">Summary!BQ118</f>
        <v>SkyTrack</v>
      </c>
      <c r="C158" s="782"/>
      <c r="D158" s="782"/>
      <c r="E158" s="2418"/>
      <c r="F158" s="2439" t="n">
        <f aca="false">N92/(1+V$55+I$95)</f>
        <v>0</v>
      </c>
      <c r="T158" s="3157" t="n">
        <f aca="false">Summary!BP123</f>
        <v>120066</v>
      </c>
      <c r="U158" s="741" t="str">
        <f aca="false">Summary!BQ123</f>
        <v>Fuel</v>
      </c>
      <c r="V158" s="318"/>
      <c r="W158" s="751"/>
    </row>
    <row r="159" customFormat="false" ht="15" hidden="false" customHeight="false" outlineLevel="0" collapsed="false">
      <c r="A159" s="3155" t="n">
        <f aca="false">Summary!BP119</f>
        <v>120062</v>
      </c>
      <c r="B159" s="3158" t="str">
        <f aca="false">Summary!BQ119</f>
        <v>Mini Excavator</v>
      </c>
      <c r="C159" s="702"/>
      <c r="D159" s="702"/>
      <c r="E159" s="3156"/>
      <c r="F159" s="3170" t="n">
        <f aca="false">N93/(1+V$55+I$95)</f>
        <v>0</v>
      </c>
      <c r="T159" s="3157" t="n">
        <f aca="false">Summary!BP124</f>
        <v>120067</v>
      </c>
      <c r="U159" s="741" t="str">
        <f aca="false">Summary!BQ124</f>
        <v>Purchased Tools</v>
      </c>
      <c r="V159" s="318"/>
      <c r="W159" s="751"/>
    </row>
    <row r="160" customFormat="false" ht="15" hidden="false" customHeight="false" outlineLevel="0" collapsed="false">
      <c r="A160" s="3155" t="n">
        <f aca="false">Summary!BP120</f>
        <v>120063</v>
      </c>
      <c r="B160" s="3158" t="str">
        <f aca="false">Summary!BQ120</f>
        <v>Trencher</v>
      </c>
      <c r="C160" s="702"/>
      <c r="D160" s="702"/>
      <c r="E160" s="3156"/>
      <c r="F160" s="3170" t="n">
        <f aca="false">N94/(1+V$55+I$95)</f>
        <v>0</v>
      </c>
      <c r="T160" s="3157" t="n">
        <f aca="false">Summary!BP125</f>
        <v>120068</v>
      </c>
      <c r="U160" s="741" t="str">
        <f aca="false">Summary!BQ125</f>
        <v>Stolen/Damaged</v>
      </c>
      <c r="V160" s="318"/>
      <c r="W160" s="751"/>
    </row>
    <row r="161" customFormat="false" ht="15" hidden="false" customHeight="false" outlineLevel="0" collapsed="false">
      <c r="A161" s="3155" t="n">
        <f aca="false">Summary!BP121</f>
        <v>120064</v>
      </c>
      <c r="B161" s="3158" t="str">
        <f aca="false">Summary!BQ121</f>
        <v>Skid Steer</v>
      </c>
      <c r="C161" s="702"/>
      <c r="D161" s="702"/>
      <c r="E161" s="3156"/>
      <c r="F161" s="3170" t="n">
        <f aca="false">N95/(1+V$55+I$95)</f>
        <v>0</v>
      </c>
      <c r="T161" s="3157" t="n">
        <f aca="false">Summary!BP126</f>
        <v>120070</v>
      </c>
      <c r="U161" s="741" t="str">
        <f aca="false">Summary!BQ126</f>
        <v>Out of Town Expense</v>
      </c>
      <c r="V161" s="318"/>
      <c r="W161" s="751" t="n">
        <f aca="false">N104</f>
        <v>0</v>
      </c>
    </row>
    <row r="162" customFormat="false" ht="15" hidden="false" customHeight="false" outlineLevel="0" collapsed="false">
      <c r="A162" s="3155" t="n">
        <f aca="false">Summary!BP122</f>
        <v>120065</v>
      </c>
      <c r="B162" s="3158" t="str">
        <f aca="false">Summary!BQ122</f>
        <v>General Equipment Rental</v>
      </c>
      <c r="C162" s="702"/>
      <c r="D162" s="702"/>
      <c r="E162" s="3156"/>
      <c r="F162" s="3170" t="n">
        <f aca="false">(N96+N97)/(1+V$55+I$95)</f>
        <v>0</v>
      </c>
      <c r="T162" s="3157" t="n">
        <f aca="false">Summary!BP127</f>
        <v>120071</v>
      </c>
      <c r="U162" s="741" t="str">
        <f aca="false">Summary!BQ127</f>
        <v>Miscellaneous</v>
      </c>
      <c r="V162" s="318"/>
      <c r="W162" s="751" t="n">
        <f aca="false">N100</f>
        <v>0</v>
      </c>
    </row>
    <row r="163" customFormat="false" ht="15" hidden="false" customHeight="false" outlineLevel="0" collapsed="false">
      <c r="A163" s="3155" t="n">
        <f aca="false">Summary!BP123</f>
        <v>120066</v>
      </c>
      <c r="B163" s="3158" t="str">
        <f aca="false">Summary!BQ123</f>
        <v>Fuel</v>
      </c>
      <c r="C163" s="702"/>
      <c r="D163" s="702"/>
      <c r="E163" s="3156"/>
      <c r="F163" s="3159" t="n">
        <f aca="false">L94-SUM(F158:F162)</f>
        <v>0</v>
      </c>
    </row>
    <row r="164" customFormat="false" ht="15" hidden="false" customHeight="false" outlineLevel="0" collapsed="false">
      <c r="A164" s="3155" t="n">
        <f aca="false">Summary!BP124</f>
        <v>120067</v>
      </c>
      <c r="B164" s="3158" t="str">
        <f aca="false">Summary!BQ124</f>
        <v>Purchased Tools</v>
      </c>
      <c r="C164" s="702"/>
      <c r="D164" s="702"/>
      <c r="E164" s="3156"/>
      <c r="F164" s="3159"/>
    </row>
    <row r="165" customFormat="false" ht="15" hidden="false" customHeight="false" outlineLevel="0" collapsed="false">
      <c r="A165" s="3155" t="n">
        <f aca="false">Summary!BP125</f>
        <v>120068</v>
      </c>
      <c r="B165" s="3158" t="str">
        <f aca="false">Summary!BQ125</f>
        <v>Stolen/Damaged</v>
      </c>
      <c r="C165" s="702"/>
      <c r="D165" s="702"/>
      <c r="E165" s="3156"/>
      <c r="F165" s="3159"/>
    </row>
    <row r="166" customFormat="false" ht="15" hidden="false" customHeight="false" outlineLevel="0" collapsed="false">
      <c r="A166" s="3155" t="n">
        <f aca="false">Summary!BP126</f>
        <v>120070</v>
      </c>
      <c r="B166" s="3158" t="str">
        <f aca="false">Summary!BQ126</f>
        <v>Out of Town Expense</v>
      </c>
      <c r="C166" s="702"/>
      <c r="D166" s="702"/>
      <c r="E166" s="3156"/>
      <c r="F166" s="3159" t="n">
        <f aca="false">N104</f>
        <v>0</v>
      </c>
    </row>
    <row r="167" customFormat="false" ht="15" hidden="false" customHeight="false" outlineLevel="0" collapsed="false">
      <c r="A167" s="3155" t="n">
        <f aca="false">Summary!BP127</f>
        <v>120071</v>
      </c>
      <c r="B167" s="3158" t="str">
        <f aca="false">Summary!BQ127</f>
        <v>Miscellaneous</v>
      </c>
      <c r="C167" s="702"/>
      <c r="D167" s="702"/>
      <c r="E167" s="3156"/>
      <c r="F167" s="3159"/>
    </row>
    <row r="168" customFormat="false" ht="15" hidden="false" customHeight="false" outlineLevel="0" collapsed="false">
      <c r="A168" s="3155" t="n">
        <f aca="false">Summary!BP128</f>
        <v>120072</v>
      </c>
      <c r="B168" s="3158" t="str">
        <f aca="false">Summary!BQ128</f>
        <v>Repairs</v>
      </c>
      <c r="C168" s="702"/>
      <c r="D168" s="702"/>
      <c r="E168" s="3156"/>
      <c r="F168" s="3159"/>
    </row>
    <row r="169" customFormat="false" ht="15" hidden="false" customHeight="false" outlineLevel="0" collapsed="false">
      <c r="A169" s="3155" t="n">
        <f aca="false">Summary!BP129</f>
        <v>120073</v>
      </c>
      <c r="B169" s="3158" t="str">
        <f aca="false">Summary!BQ129</f>
        <v>Engineering</v>
      </c>
      <c r="C169" s="702"/>
      <c r="D169" s="702"/>
      <c r="E169" s="3156"/>
      <c r="F169" s="3159" t="n">
        <f aca="false">N100</f>
        <v>0</v>
      </c>
    </row>
    <row r="170" customFormat="false" ht="15" hidden="false" customHeight="false" outlineLevel="0" collapsed="false">
      <c r="A170" s="3155" t="n">
        <f aca="false">Summary!BP130</f>
        <v>120090</v>
      </c>
      <c r="B170" s="3158" t="str">
        <f aca="false">Summary!BQ130</f>
        <v>Not Used</v>
      </c>
      <c r="C170" s="702"/>
      <c r="D170" s="702"/>
      <c r="E170" s="3156"/>
      <c r="F170" s="3159"/>
    </row>
    <row r="171" customFormat="false" ht="15" hidden="false" customHeight="false" outlineLevel="0" collapsed="false">
      <c r="A171" s="3155" t="n">
        <f aca="false">Summary!BP131</f>
        <v>120091</v>
      </c>
      <c r="B171" s="3158" t="str">
        <f aca="false">Summary!BQ131</f>
        <v>Margin Contingency</v>
      </c>
      <c r="C171" s="702"/>
      <c r="D171" s="702"/>
      <c r="E171" s="3156"/>
      <c r="F171" s="3159" t="n">
        <f aca="false">N105</f>
        <v>0</v>
      </c>
    </row>
    <row r="172" customFormat="false" ht="15" hidden="false" customHeight="false" outlineLevel="0" collapsed="false">
      <c r="A172" s="1037" t="n">
        <f aca="false">Summary!BP132</f>
        <v>0</v>
      </c>
      <c r="F172" s="525"/>
    </row>
    <row r="173" customFormat="false" ht="15" hidden="false" customHeight="false" outlineLevel="0" collapsed="false">
      <c r="A173" s="1037" t="n">
        <f aca="false">Summary!BJ133</f>
        <v>0</v>
      </c>
    </row>
    <row r="174" customFormat="false" ht="15" hidden="false" customHeight="false" outlineLevel="0" collapsed="false">
      <c r="A174" s="1037" t="n">
        <f aca="false">Summary!BJ134</f>
        <v>0</v>
      </c>
    </row>
    <row r="175" customFormat="false" ht="15" hidden="false" customHeight="false" outlineLevel="0" collapsed="false">
      <c r="A175" s="1037" t="n">
        <f aca="false">Summary!BJ135</f>
        <v>0</v>
      </c>
    </row>
    <row r="176" customFormat="false" ht="15" hidden="false" customHeight="false" outlineLevel="0" collapsed="false">
      <c r="A176" s="1037" t="n">
        <f aca="false">Summary!BJ136</f>
        <v>0</v>
      </c>
    </row>
    <row r="177" customFormat="false" ht="15" hidden="false" customHeight="false" outlineLevel="0" collapsed="false">
      <c r="A177" s="1037" t="n">
        <f aca="false">Summary!BJ137</f>
        <v>0</v>
      </c>
    </row>
    <row r="178" customFormat="false" ht="15" hidden="false" customHeight="false" outlineLevel="0" collapsed="false">
      <c r="A178" s="1037" t="n">
        <f aca="false">Summary!BJ138</f>
        <v>0</v>
      </c>
    </row>
    <row r="179" customFormat="false" ht="15" hidden="false" customHeight="false" outlineLevel="0" collapsed="false">
      <c r="A179" s="1037" t="n">
        <f aca="false">Summary!BJ139</f>
        <v>0</v>
      </c>
    </row>
    <row r="180" customFormat="false" ht="15" hidden="false" customHeight="false" outlineLevel="0" collapsed="false">
      <c r="A180" s="1037" t="n">
        <f aca="false">Summary!BJ140</f>
        <v>0</v>
      </c>
    </row>
  </sheetData>
  <mergeCells count="157">
    <mergeCell ref="T1:U1"/>
    <mergeCell ref="V1:W1"/>
    <mergeCell ref="A2:D2"/>
    <mergeCell ref="N2:O2"/>
    <mergeCell ref="P2:Q2"/>
    <mergeCell ref="A3:D3"/>
    <mergeCell ref="I3:M3"/>
    <mergeCell ref="N3:O3"/>
    <mergeCell ref="P3:Q3"/>
    <mergeCell ref="A4:D4"/>
    <mergeCell ref="I4:M4"/>
    <mergeCell ref="N4:O4"/>
    <mergeCell ref="P4:Q4"/>
    <mergeCell ref="I5:M5"/>
    <mergeCell ref="N5:O5"/>
    <mergeCell ref="P5:Q5"/>
    <mergeCell ref="C6:D6"/>
    <mergeCell ref="I6:M6"/>
    <mergeCell ref="N6:O6"/>
    <mergeCell ref="P6:Q6"/>
    <mergeCell ref="C7:D7"/>
    <mergeCell ref="F7:H7"/>
    <mergeCell ref="I7:M7"/>
    <mergeCell ref="C8:C9"/>
    <mergeCell ref="D8:G8"/>
    <mergeCell ref="I8:J8"/>
    <mergeCell ref="K8:M8"/>
    <mergeCell ref="N8:P8"/>
    <mergeCell ref="Q8:Q9"/>
    <mergeCell ref="S8:S9"/>
    <mergeCell ref="U8:U9"/>
    <mergeCell ref="V8:V9"/>
    <mergeCell ref="W8:W9"/>
    <mergeCell ref="X8:X9"/>
    <mergeCell ref="A9:B9"/>
    <mergeCell ref="A51:B51"/>
    <mergeCell ref="E52:H52"/>
    <mergeCell ref="P52:S52"/>
    <mergeCell ref="P53:S53"/>
    <mergeCell ref="A55:C55"/>
    <mergeCell ref="D55:E55"/>
    <mergeCell ref="F55:H55"/>
    <mergeCell ref="I55:K55"/>
    <mergeCell ref="L55:M55"/>
    <mergeCell ref="B56:C56"/>
    <mergeCell ref="D56:E56"/>
    <mergeCell ref="G56:H56"/>
    <mergeCell ref="I56:K56"/>
    <mergeCell ref="L56:O56"/>
    <mergeCell ref="T56:U56"/>
    <mergeCell ref="B57:C57"/>
    <mergeCell ref="D57:E57"/>
    <mergeCell ref="F57:G57"/>
    <mergeCell ref="J57:K57"/>
    <mergeCell ref="M57:N57"/>
    <mergeCell ref="T57:U57"/>
    <mergeCell ref="T58:U58"/>
    <mergeCell ref="V58:W58"/>
    <mergeCell ref="B65:O65"/>
    <mergeCell ref="Q65:R65"/>
    <mergeCell ref="H66:I68"/>
    <mergeCell ref="J66:J68"/>
    <mergeCell ref="K66:L66"/>
    <mergeCell ref="N66:O66"/>
    <mergeCell ref="K67:L67"/>
    <mergeCell ref="N67:O67"/>
    <mergeCell ref="K68:L68"/>
    <mergeCell ref="N68:O68"/>
    <mergeCell ref="H69:I69"/>
    <mergeCell ref="K69:L69"/>
    <mergeCell ref="N69:O69"/>
    <mergeCell ref="H70:I70"/>
    <mergeCell ref="K70:L70"/>
    <mergeCell ref="N70:O70"/>
    <mergeCell ref="H71:I71"/>
    <mergeCell ref="K71:L71"/>
    <mergeCell ref="N71:O71"/>
    <mergeCell ref="K72:L72"/>
    <mergeCell ref="N72:O72"/>
    <mergeCell ref="K73:L73"/>
    <mergeCell ref="N73:O73"/>
    <mergeCell ref="I74:J74"/>
    <mergeCell ref="K74:L74"/>
    <mergeCell ref="N74:O74"/>
    <mergeCell ref="H75:I76"/>
    <mergeCell ref="J75:J76"/>
    <mergeCell ref="K75:L75"/>
    <mergeCell ref="N75:O75"/>
    <mergeCell ref="K76:L76"/>
    <mergeCell ref="N76:O76"/>
    <mergeCell ref="H77:I77"/>
    <mergeCell ref="K77:L77"/>
    <mergeCell ref="N77:O77"/>
    <mergeCell ref="K78:L78"/>
    <mergeCell ref="M78:O78"/>
    <mergeCell ref="D79:E79"/>
    <mergeCell ref="H79:I79"/>
    <mergeCell ref="K79:L79"/>
    <mergeCell ref="N79:O79"/>
    <mergeCell ref="D80:E80"/>
    <mergeCell ref="G80:G82"/>
    <mergeCell ref="H80:I83"/>
    <mergeCell ref="K80:L80"/>
    <mergeCell ref="N80:O80"/>
    <mergeCell ref="D81:E81"/>
    <mergeCell ref="K81:L81"/>
    <mergeCell ref="N81:O81"/>
    <mergeCell ref="D82:E82"/>
    <mergeCell ref="K82:L82"/>
    <mergeCell ref="N82:O82"/>
    <mergeCell ref="D83:E83"/>
    <mergeCell ref="K83:L83"/>
    <mergeCell ref="N83:O83"/>
    <mergeCell ref="D84:E84"/>
    <mergeCell ref="H84:I84"/>
    <mergeCell ref="K84:L84"/>
    <mergeCell ref="N84:O84"/>
    <mergeCell ref="D85:E85"/>
    <mergeCell ref="H85:I85"/>
    <mergeCell ref="K85:L85"/>
    <mergeCell ref="N85:O85"/>
    <mergeCell ref="D86:E86"/>
    <mergeCell ref="H86:J86"/>
    <mergeCell ref="K86:L86"/>
    <mergeCell ref="N86:O86"/>
    <mergeCell ref="L88:M88"/>
    <mergeCell ref="N88:O88"/>
    <mergeCell ref="L89:M89"/>
    <mergeCell ref="N89:O89"/>
    <mergeCell ref="N90:O90"/>
    <mergeCell ref="N92:O92"/>
    <mergeCell ref="I93:J93"/>
    <mergeCell ref="L93:M93"/>
    <mergeCell ref="N93:O93"/>
    <mergeCell ref="I94:J95"/>
    <mergeCell ref="L94:M94"/>
    <mergeCell ref="N94:O94"/>
    <mergeCell ref="N95:O95"/>
    <mergeCell ref="N96:O96"/>
    <mergeCell ref="N97:O97"/>
    <mergeCell ref="N99:O99"/>
    <mergeCell ref="N100:O100"/>
    <mergeCell ref="N101:O101"/>
    <mergeCell ref="N102:O102"/>
    <mergeCell ref="Q102:R102"/>
    <mergeCell ref="N103:O103"/>
    <mergeCell ref="N104:O104"/>
    <mergeCell ref="U104:V104"/>
    <mergeCell ref="A105:C105"/>
    <mergeCell ref="F105:G105"/>
    <mergeCell ref="N105:O105"/>
    <mergeCell ref="D107:E107"/>
    <mergeCell ref="L107:M107"/>
    <mergeCell ref="B108:C108"/>
    <mergeCell ref="D108:E108"/>
    <mergeCell ref="L108:O108"/>
    <mergeCell ref="T108:U108"/>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rowBreaks count="1" manualBreakCount="1">
    <brk id="64" man="true" max="16383" min="0"/>
  </row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9CDE5"/>
    <pageSetUpPr fitToPage="true"/>
  </sheetPr>
  <dimension ref="B1:Y95"/>
  <sheetViews>
    <sheetView showFormulas="false" showGridLines="true" showRowColHeaders="true" showZeros="true" rightToLeft="false" tabSelected="false" showOutlineSymbols="true" defaultGridColor="true" view="normal" topLeftCell="A1" colorId="64" zoomScale="65" zoomScaleNormal="65" zoomScalePageLayoutView="70" workbookViewId="0">
      <selection pane="topLeft" activeCell="D25" activeCellId="0" sqref="D25"/>
    </sheetView>
  </sheetViews>
  <sheetFormatPr defaultColWidth="9.18359375" defaultRowHeight="15" customHeight="false" zeroHeight="false" outlineLevelRow="0" outlineLevelCol="0"/>
  <cols>
    <col collapsed="false" customWidth="false" hidden="false" outlineLevel="0" max="1" min="1" style="16" width="9.18"/>
    <col collapsed="false" customWidth="true" hidden="false" outlineLevel="0" max="2" min="2" style="16" width="8"/>
    <col collapsed="false" customWidth="true" hidden="false" outlineLevel="0" max="3" min="3" style="16" width="7"/>
    <col collapsed="false" customWidth="true" hidden="false" outlineLevel="0" max="4" min="4" style="16" width="16.54"/>
    <col collapsed="false" customWidth="true" hidden="false" outlineLevel="0" max="5" min="5" style="16" width="14.82"/>
    <col collapsed="false" customWidth="false" hidden="false" outlineLevel="0" max="6" min="6" style="16" width="9.18"/>
    <col collapsed="false" customWidth="true" hidden="false" outlineLevel="0" max="7" min="7" style="16" width="11.54"/>
    <col collapsed="false" customWidth="true" hidden="false" outlineLevel="0" max="8" min="8" style="16" width="12.82"/>
    <col collapsed="false" customWidth="true" hidden="false" outlineLevel="0" max="9" min="9" style="405" width="5.18"/>
    <col collapsed="false" customWidth="true" hidden="false" outlineLevel="0" max="10" min="10" style="16" width="22.18"/>
    <col collapsed="false" customWidth="true" hidden="false" outlineLevel="0" max="11" min="11" style="16" width="11.54"/>
    <col collapsed="false" customWidth="false" hidden="false" outlineLevel="0" max="12" min="12" style="16" width="9.18"/>
    <col collapsed="false" customWidth="true" hidden="false" outlineLevel="0" max="14" min="13" style="16" width="11.82"/>
    <col collapsed="false" customWidth="true" hidden="false" outlineLevel="0" max="15" min="15" style="16" width="11"/>
    <col collapsed="false" customWidth="true" hidden="false" outlineLevel="0" max="16" min="16" style="16" width="10.18"/>
    <col collapsed="false" customWidth="true" hidden="false" outlineLevel="0" max="17" min="17" style="16" width="14.82"/>
    <col collapsed="false" customWidth="true" hidden="false" outlineLevel="0" max="18" min="18" style="16" width="16.18"/>
    <col collapsed="false" customWidth="true" hidden="false" outlineLevel="0" max="19" min="19" style="16" width="9.82"/>
    <col collapsed="false" customWidth="true" hidden="false" outlineLevel="0" max="20" min="20" style="16" width="12.82"/>
    <col collapsed="false" customWidth="true" hidden="false" outlineLevel="0" max="21" min="21" style="16" width="11.18"/>
    <col collapsed="false" customWidth="true" hidden="false" outlineLevel="0" max="23" min="22" style="16" width="14.45"/>
    <col collapsed="false" customWidth="true" hidden="false" outlineLevel="0" max="24" min="24" style="16" width="6.82"/>
    <col collapsed="false" customWidth="true" hidden="false" outlineLevel="0" max="25" min="25" style="16" width="9.82"/>
    <col collapsed="false" customWidth="true" hidden="false" outlineLevel="0" max="26" min="26" style="16" width="10.18"/>
    <col collapsed="false" customWidth="false" hidden="false" outlineLevel="0" max="38" min="27" style="16" width="9.18"/>
    <col collapsed="false" customWidth="true" hidden="false" outlineLevel="0" max="39" min="39" style="16" width="23.45"/>
    <col collapsed="false" customWidth="false" hidden="false" outlineLevel="0" max="42" min="40" style="16" width="9.18"/>
    <col collapsed="false" customWidth="true" hidden="false" outlineLevel="0" max="43" min="43" style="16" width="39.54"/>
    <col collapsed="false" customWidth="false" hidden="false" outlineLevel="0" max="44" min="44" style="16" width="9.18"/>
    <col collapsed="false" customWidth="true" hidden="false" outlineLevel="0" max="45" min="45" style="16" width="13.82"/>
    <col collapsed="false" customWidth="true" hidden="false" outlineLevel="0" max="46" min="46" style="16" width="11.82"/>
    <col collapsed="false" customWidth="true" hidden="false" outlineLevel="0" max="47" min="47" style="16" width="29.45"/>
    <col collapsed="false" customWidth="true" hidden="false" outlineLevel="0" max="48" min="48" style="16" width="11"/>
    <col collapsed="false" customWidth="true" hidden="false" outlineLevel="0" max="49" min="49" style="16" width="15.82"/>
    <col collapsed="false" customWidth="false" hidden="false" outlineLevel="0" max="50" min="50" style="16" width="9.18"/>
    <col collapsed="false" customWidth="true" hidden="false" outlineLevel="0" max="51" min="51" style="16" width="15.82"/>
    <col collapsed="false" customWidth="false" hidden="false" outlineLevel="0" max="52" min="52" style="16" width="9.18"/>
    <col collapsed="false" customWidth="true" hidden="false" outlineLevel="0" max="53" min="53" style="16" width="15.82"/>
    <col collapsed="false" customWidth="false" hidden="false" outlineLevel="0" max="54" min="54" style="16" width="9.18"/>
    <col collapsed="false" customWidth="true" hidden="false" outlineLevel="0" max="55" min="55" style="16" width="15.82"/>
    <col collapsed="false" customWidth="false" hidden="false" outlineLevel="0" max="56" min="56" style="16" width="9.18"/>
    <col collapsed="false" customWidth="true" hidden="false" outlineLevel="0" max="57" min="57" style="16" width="14.82"/>
    <col collapsed="false" customWidth="false" hidden="false" outlineLevel="0" max="58" min="58" style="16" width="9.18"/>
    <col collapsed="false" customWidth="true" hidden="false" outlineLevel="0" max="59" min="59" style="16" width="16.82"/>
    <col collapsed="false" customWidth="true" hidden="false" outlineLevel="0" max="60" min="60" style="16" width="11"/>
    <col collapsed="false" customWidth="false" hidden="false" outlineLevel="0" max="16384" min="61" style="16" width="9.18"/>
  </cols>
  <sheetData>
    <row r="1" customFormat="false" ht="18" hidden="false" customHeight="true" outlineLevel="0" collapsed="false">
      <c r="B1" s="710" t="s">
        <v>1355</v>
      </c>
      <c r="C1" s="1068"/>
      <c r="D1" s="1068"/>
      <c r="E1" s="1068"/>
      <c r="F1" s="1068"/>
      <c r="G1" s="614"/>
      <c r="H1" s="614"/>
      <c r="I1" s="1462"/>
      <c r="J1" s="614"/>
      <c r="K1" s="614"/>
      <c r="L1" s="614"/>
      <c r="M1" s="614"/>
      <c r="N1" s="614"/>
      <c r="O1" s="614"/>
      <c r="P1" s="614"/>
      <c r="Q1" s="614"/>
      <c r="R1" s="614"/>
      <c r="S1" s="614"/>
      <c r="T1" s="614"/>
      <c r="U1" s="1197" t="s">
        <v>1193</v>
      </c>
      <c r="V1" s="1197"/>
      <c r="W1" s="1197"/>
      <c r="X1" s="2870"/>
      <c r="Y1" s="2870"/>
    </row>
    <row r="2" customFormat="false" ht="18" hidden="false" customHeight="true" outlineLevel="0" collapsed="false">
      <c r="B2" s="1200" t="str">
        <f aca="false">Summary!C1</f>
        <v>Trammell Crow – LBJ</v>
      </c>
      <c r="C2" s="1200"/>
      <c r="D2" s="1200"/>
      <c r="E2" s="1200"/>
      <c r="F2" s="3171"/>
      <c r="G2" s="654"/>
      <c r="H2" s="836"/>
      <c r="I2" s="695"/>
      <c r="J2" s="1419" t="s">
        <v>56</v>
      </c>
      <c r="K2" s="1068"/>
      <c r="L2" s="1202" t="s">
        <v>57</v>
      </c>
      <c r="M2" s="1068"/>
      <c r="N2" s="1068"/>
      <c r="O2" s="1068"/>
      <c r="P2" s="2015" t="s">
        <v>1</v>
      </c>
      <c r="Q2" s="2015"/>
      <c r="R2" s="1203" t="s">
        <v>1194</v>
      </c>
      <c r="S2" s="1203"/>
      <c r="T2" s="654"/>
      <c r="U2" s="836" t="s">
        <v>957</v>
      </c>
      <c r="V2" s="695"/>
      <c r="W2" s="695"/>
      <c r="X2" s="837" t="n">
        <f aca="false">Information!C7</f>
        <v>0</v>
      </c>
      <c r="Y2" s="838"/>
    </row>
    <row r="3" customFormat="false" ht="18" hidden="false" customHeight="true" outlineLevel="0" collapsed="false">
      <c r="B3" s="1204" t="n">
        <f aca="false">Summary!C2</f>
        <v>0</v>
      </c>
      <c r="C3" s="1204"/>
      <c r="D3" s="1204"/>
      <c r="E3" s="1204"/>
      <c r="F3" s="3171"/>
      <c r="G3" s="654"/>
      <c r="H3" s="599"/>
      <c r="J3" s="833" t="s">
        <v>955</v>
      </c>
      <c r="K3" s="2872" t="n">
        <f aca="false">Summary!K2</f>
        <v>0</v>
      </c>
      <c r="L3" s="2872"/>
      <c r="M3" s="2872"/>
      <c r="N3" s="2872"/>
      <c r="O3" s="2872"/>
      <c r="P3" s="1878" t="n">
        <f aca="false">Summary!O2</f>
        <v>0</v>
      </c>
      <c r="Q3" s="1878"/>
      <c r="R3" s="2144" t="n">
        <f aca="false">Summary!P2</f>
        <v>0</v>
      </c>
      <c r="S3" s="2144"/>
      <c r="T3" s="654"/>
      <c r="U3" s="599"/>
      <c r="Y3" s="843"/>
    </row>
    <row r="4" customFormat="false" ht="18" hidden="false" customHeight="true" outlineLevel="0" collapsed="false">
      <c r="B4" s="1208" t="str">
        <f aca="false">Summary!C3</f>
        <v>Dallas, TX</v>
      </c>
      <c r="C4" s="1208"/>
      <c r="D4" s="1208"/>
      <c r="E4" s="1208"/>
      <c r="F4" s="3171"/>
      <c r="G4" s="654"/>
      <c r="H4" s="599"/>
      <c r="J4" s="833" t="s">
        <v>71</v>
      </c>
      <c r="K4" s="2873" t="n">
        <f aca="false">Summary!K3</f>
        <v>0</v>
      </c>
      <c r="L4" s="2873"/>
      <c r="M4" s="2873"/>
      <c r="N4" s="2873"/>
      <c r="O4" s="2873"/>
      <c r="P4" s="1881" t="n">
        <f aca="false">Summary!O3</f>
        <v>0</v>
      </c>
      <c r="Q4" s="1881"/>
      <c r="R4" s="2145" t="n">
        <f aca="false">Summary!P3</f>
        <v>0</v>
      </c>
      <c r="S4" s="2145"/>
      <c r="T4" s="654"/>
      <c r="U4" s="599" t="s">
        <v>958</v>
      </c>
      <c r="X4" s="848"/>
      <c r="Y4" s="849"/>
    </row>
    <row r="5" customFormat="false" ht="18" hidden="false" customHeight="true" outlineLevel="0" collapsed="false">
      <c r="B5" s="1041" t="s">
        <v>0</v>
      </c>
      <c r="D5" s="405" t="s">
        <v>1</v>
      </c>
      <c r="G5" s="654"/>
      <c r="H5" s="599"/>
      <c r="J5" s="833" t="s">
        <v>79</v>
      </c>
      <c r="K5" s="2873" t="n">
        <f aca="false">Summary!K4</f>
        <v>0</v>
      </c>
      <c r="L5" s="2873"/>
      <c r="M5" s="2873"/>
      <c r="N5" s="2873"/>
      <c r="O5" s="2873"/>
      <c r="P5" s="1881" t="n">
        <f aca="false">Summary!O4</f>
        <v>0</v>
      </c>
      <c r="Q5" s="1881"/>
      <c r="R5" s="2145" t="n">
        <f aca="false">Summary!P4</f>
        <v>0</v>
      </c>
      <c r="S5" s="2145"/>
      <c r="T5" s="654"/>
      <c r="U5" s="599"/>
      <c r="Y5" s="843"/>
    </row>
    <row r="6" customFormat="false" ht="18" hidden="false" customHeight="true" outlineLevel="0" collapsed="false">
      <c r="B6" s="1211" t="n">
        <v>0</v>
      </c>
      <c r="C6" s="654"/>
      <c r="D6" s="3086" t="n">
        <v>0</v>
      </c>
      <c r="E6" s="3086"/>
      <c r="F6" s="3172"/>
      <c r="G6" s="654"/>
      <c r="H6" s="602"/>
      <c r="I6" s="855"/>
      <c r="J6" s="2351" t="s">
        <v>87</v>
      </c>
      <c r="K6" s="2875" t="n">
        <f aca="false">Summary!K5</f>
        <v>0</v>
      </c>
      <c r="L6" s="2875"/>
      <c r="M6" s="2875"/>
      <c r="N6" s="2875"/>
      <c r="O6" s="2875"/>
      <c r="P6" s="2147" t="n">
        <f aca="false">Summary!O5</f>
        <v>0</v>
      </c>
      <c r="Q6" s="2147"/>
      <c r="R6" s="2148" t="n">
        <f aca="false">Summary!P5</f>
        <v>0</v>
      </c>
      <c r="S6" s="2148"/>
      <c r="T6" s="654"/>
      <c r="U6" s="602" t="s">
        <v>958</v>
      </c>
      <c r="V6" s="855"/>
      <c r="W6" s="855"/>
      <c r="X6" s="855"/>
      <c r="Y6" s="856"/>
    </row>
    <row r="7" customFormat="false" ht="18" hidden="false" customHeight="true" outlineLevel="0" collapsed="false">
      <c r="B7" s="1214" t="n">
        <v>0</v>
      </c>
      <c r="C7" s="654"/>
      <c r="D7" s="3173" t="n">
        <v>0</v>
      </c>
      <c r="E7" s="3173"/>
      <c r="F7" s="3172"/>
      <c r="G7" s="654"/>
      <c r="H7" s="2876" t="s">
        <v>1196</v>
      </c>
      <c r="I7" s="2876"/>
      <c r="J7" s="2876"/>
      <c r="K7" s="2876"/>
      <c r="L7" s="933" t="str">
        <f aca="false">Pricing!A3</f>
        <v>SRM</v>
      </c>
      <c r="M7" s="933"/>
      <c r="N7" s="933"/>
      <c r="O7" s="933"/>
      <c r="P7" s="933"/>
      <c r="T7" s="1068"/>
      <c r="Y7" s="1068"/>
    </row>
    <row r="8" customFormat="false" ht="19.5" hidden="false" customHeight="true" outlineLevel="0" collapsed="false">
      <c r="B8" s="46"/>
      <c r="C8" s="46"/>
      <c r="D8" s="46"/>
      <c r="E8" s="46"/>
      <c r="F8" s="46"/>
      <c r="G8" s="46"/>
      <c r="H8" s="46"/>
      <c r="I8" s="46"/>
      <c r="J8" s="46"/>
      <c r="K8" s="46"/>
      <c r="L8" s="46"/>
      <c r="M8" s="46"/>
      <c r="N8" s="46"/>
      <c r="O8" s="46"/>
      <c r="P8" s="46"/>
      <c r="Q8" s="46"/>
      <c r="R8" s="46"/>
      <c r="S8" s="46"/>
      <c r="T8" s="46"/>
      <c r="U8" s="46"/>
      <c r="V8" s="46"/>
      <c r="W8" s="46"/>
      <c r="X8" s="46"/>
      <c r="Y8" s="46"/>
    </row>
    <row r="9" customFormat="false" ht="19.5" hidden="false" customHeight="true" outlineLevel="0" collapsed="false">
      <c r="B9" s="46"/>
      <c r="C9" s="46"/>
      <c r="D9" s="46"/>
      <c r="E9" s="46"/>
      <c r="F9" s="46"/>
      <c r="G9" s="46"/>
      <c r="H9" s="46"/>
      <c r="I9" s="46"/>
      <c r="J9" s="46"/>
      <c r="K9" s="46"/>
      <c r="L9" s="46"/>
      <c r="M9" s="46"/>
      <c r="N9" s="46"/>
      <c r="O9" s="46"/>
      <c r="P9" s="46"/>
      <c r="Q9" s="46"/>
      <c r="R9" s="46"/>
      <c r="S9" s="46"/>
      <c r="T9" s="46"/>
      <c r="U9" s="46"/>
      <c r="V9" s="46"/>
      <c r="W9" s="46"/>
      <c r="X9" s="46"/>
      <c r="Y9" s="46"/>
    </row>
    <row r="10" customFormat="false" ht="19.5" hidden="false" customHeight="true" outlineLevel="0" collapsed="false">
      <c r="B10" s="3174" t="s">
        <v>1517</v>
      </c>
      <c r="C10" s="46"/>
      <c r="D10" s="3174" t="s">
        <v>1039</v>
      </c>
      <c r="E10" s="3174"/>
      <c r="F10" s="46"/>
      <c r="G10" s="46"/>
      <c r="H10" s="46"/>
      <c r="I10" s="46"/>
      <c r="J10" s="46"/>
      <c r="K10" s="46"/>
      <c r="L10" s="46"/>
      <c r="M10" s="46"/>
      <c r="N10" s="46"/>
      <c r="O10" s="46"/>
      <c r="P10" s="46"/>
      <c r="Q10" s="46"/>
      <c r="R10" s="46"/>
      <c r="S10" s="46"/>
      <c r="T10" s="46"/>
      <c r="U10" s="46"/>
      <c r="V10" s="46"/>
      <c r="W10" s="46"/>
      <c r="X10" s="46"/>
      <c r="Y10" s="46"/>
    </row>
    <row r="11" customFormat="false" ht="19.5" hidden="false" customHeight="true" outlineLevel="0" collapsed="false">
      <c r="B11" s="3174"/>
      <c r="C11" s="46"/>
      <c r="D11" s="3174"/>
      <c r="E11" s="3174"/>
      <c r="F11" s="46"/>
      <c r="G11" s="46"/>
      <c r="H11" s="46"/>
      <c r="I11" s="46"/>
      <c r="J11" s="46"/>
      <c r="K11" s="46"/>
      <c r="L11" s="46"/>
      <c r="M11" s="46"/>
      <c r="N11" s="46"/>
      <c r="O11" s="46"/>
      <c r="P11" s="46"/>
      <c r="Q11" s="46"/>
      <c r="R11" s="46"/>
      <c r="S11" s="46"/>
      <c r="T11" s="46"/>
      <c r="U11" s="46"/>
      <c r="V11" s="46"/>
      <c r="W11" s="46"/>
      <c r="X11" s="46"/>
      <c r="Y11" s="46"/>
    </row>
    <row r="12" customFormat="false" ht="19.5" hidden="false" customHeight="true" outlineLevel="0" collapsed="false">
      <c r="B12" s="46"/>
      <c r="C12" s="46"/>
      <c r="D12" s="46"/>
      <c r="E12" s="46"/>
      <c r="F12" s="46"/>
      <c r="G12" s="46"/>
      <c r="H12" s="46"/>
      <c r="I12" s="46"/>
      <c r="J12" s="46"/>
      <c r="K12" s="46"/>
      <c r="L12" s="46"/>
      <c r="M12" s="46"/>
      <c r="N12" s="46"/>
      <c r="O12" s="46"/>
      <c r="P12" s="46"/>
      <c r="Q12" s="46"/>
      <c r="R12" s="46"/>
      <c r="S12" s="46"/>
      <c r="T12" s="46"/>
      <c r="U12" s="46"/>
      <c r="V12" s="46"/>
      <c r="W12" s="46"/>
      <c r="X12" s="46"/>
      <c r="Y12" s="46"/>
    </row>
    <row r="13" customFormat="false" ht="19.5" hidden="false" customHeight="true" outlineLevel="0" collapsed="false">
      <c r="B13" s="3175" t="s">
        <v>834</v>
      </c>
      <c r="C13" s="3176"/>
      <c r="D13" s="3177" t="n">
        <f aca="false">'01-Piers'!O84</f>
        <v>0</v>
      </c>
      <c r="E13" s="3177"/>
      <c r="F13" s="46"/>
      <c r="G13" s="46"/>
      <c r="H13" s="46"/>
      <c r="I13" s="46"/>
      <c r="J13" s="46"/>
      <c r="K13" s="46"/>
      <c r="L13" s="46"/>
      <c r="M13" s="46"/>
      <c r="N13" s="46"/>
      <c r="O13" s="46"/>
      <c r="P13" s="46"/>
      <c r="Q13" s="46"/>
      <c r="R13" s="46"/>
      <c r="S13" s="46"/>
      <c r="T13" s="46"/>
      <c r="U13" s="46"/>
      <c r="V13" s="46"/>
      <c r="W13" s="46"/>
      <c r="X13" s="46"/>
      <c r="Y13" s="46"/>
    </row>
    <row r="14" customFormat="false" ht="19.5" hidden="false" customHeight="true" outlineLevel="0" collapsed="false">
      <c r="B14" s="3175" t="s">
        <v>1056</v>
      </c>
      <c r="C14" s="3176"/>
      <c r="D14" s="3177" t="n">
        <f aca="false">'02-Gd Beams'!O91</f>
        <v>0</v>
      </c>
      <c r="E14" s="3177"/>
      <c r="F14" s="46"/>
      <c r="G14" s="46"/>
      <c r="H14" s="46"/>
      <c r="I14" s="46"/>
      <c r="J14" s="46"/>
      <c r="K14" s="46"/>
      <c r="L14" s="46"/>
      <c r="M14" s="46"/>
      <c r="N14" s="46"/>
      <c r="O14" s="46"/>
      <c r="P14" s="46"/>
      <c r="Q14" s="46"/>
      <c r="R14" s="46"/>
      <c r="S14" s="46"/>
      <c r="T14" s="46"/>
      <c r="U14" s="46"/>
      <c r="V14" s="46"/>
      <c r="W14" s="46"/>
      <c r="X14" s="46"/>
      <c r="Y14" s="46"/>
    </row>
    <row r="15" customFormat="false" ht="19.5" hidden="false" customHeight="true" outlineLevel="0" collapsed="false">
      <c r="B15" s="3175" t="s">
        <v>1060</v>
      </c>
      <c r="C15" s="3176"/>
      <c r="D15" s="3177" t="n">
        <f aca="false">'03-Walls &amp; Footings'!N96</f>
        <v>0</v>
      </c>
      <c r="E15" s="3177"/>
      <c r="F15" s="46"/>
      <c r="G15" s="46"/>
      <c r="H15" s="46"/>
      <c r="I15" s="46"/>
      <c r="J15" s="46"/>
      <c r="K15" s="46"/>
      <c r="L15" s="46"/>
      <c r="M15" s="46"/>
      <c r="N15" s="46"/>
      <c r="O15" s="46"/>
      <c r="P15" s="46"/>
      <c r="Q15" s="46"/>
      <c r="R15" s="46"/>
      <c r="S15" s="46"/>
      <c r="T15" s="46"/>
      <c r="U15" s="46"/>
      <c r="V15" s="46"/>
      <c r="W15" s="46"/>
      <c r="X15" s="46"/>
      <c r="Y15" s="46"/>
    </row>
    <row r="16" customFormat="false" ht="19.5" hidden="false" customHeight="true" outlineLevel="0" collapsed="false">
      <c r="B16" s="3175" t="s">
        <v>2092</v>
      </c>
      <c r="C16" s="3176"/>
      <c r="D16" s="3177" t="n">
        <f aca="false">'04-PT Slab on Grade'!O110</f>
        <v>0</v>
      </c>
      <c r="E16" s="3177"/>
      <c r="F16" s="46"/>
      <c r="G16" s="46"/>
      <c r="H16" s="46"/>
      <c r="I16" s="46"/>
      <c r="J16" s="46"/>
      <c r="K16" s="46"/>
      <c r="L16" s="46"/>
      <c r="M16" s="46"/>
      <c r="N16" s="46"/>
      <c r="O16" s="46"/>
      <c r="P16" s="46"/>
      <c r="Q16" s="46"/>
      <c r="R16" s="46"/>
      <c r="S16" s="46"/>
      <c r="T16" s="46"/>
      <c r="U16" s="46"/>
      <c r="V16" s="46"/>
      <c r="W16" s="46"/>
      <c r="X16" s="46"/>
      <c r="Y16" s="46"/>
    </row>
    <row r="17" customFormat="false" ht="19.5" hidden="false" customHeight="true" outlineLevel="0" collapsed="false">
      <c r="B17" s="3175" t="s">
        <v>2093</v>
      </c>
      <c r="C17" s="3176"/>
      <c r="D17" s="3177" t="n">
        <f aca="false">'05-Slabs'!O110</f>
        <v>0</v>
      </c>
      <c r="E17" s="3177"/>
      <c r="F17" s="46"/>
      <c r="G17" s="46"/>
      <c r="H17" s="46"/>
      <c r="I17" s="46"/>
      <c r="J17" s="46"/>
      <c r="K17" s="46"/>
      <c r="L17" s="46"/>
      <c r="M17" s="46"/>
      <c r="N17" s="46"/>
      <c r="O17" s="46"/>
      <c r="P17" s="46"/>
      <c r="Q17" s="46"/>
      <c r="R17" s="46"/>
      <c r="S17" s="46"/>
      <c r="T17" s="46"/>
      <c r="U17" s="46"/>
      <c r="V17" s="46"/>
      <c r="W17" s="46"/>
      <c r="X17" s="46"/>
      <c r="Y17" s="46"/>
    </row>
    <row r="18" customFormat="false" ht="19.5" hidden="false" customHeight="true" outlineLevel="0" collapsed="false">
      <c r="B18" s="3175" t="s">
        <v>1061</v>
      </c>
      <c r="C18" s="3176"/>
      <c r="D18" s="3177" t="n">
        <f aca="false">'06-Walls &amp; Footings'!F96</f>
        <v>0</v>
      </c>
      <c r="E18" s="3177"/>
      <c r="F18" s="46"/>
      <c r="G18" s="46"/>
      <c r="H18" s="46"/>
      <c r="I18" s="46"/>
      <c r="J18" s="46"/>
      <c r="K18" s="46"/>
      <c r="L18" s="46"/>
      <c r="M18" s="46"/>
      <c r="N18" s="46"/>
      <c r="O18" s="46"/>
      <c r="P18" s="46"/>
      <c r="Q18" s="46"/>
      <c r="R18" s="46"/>
      <c r="S18" s="46"/>
      <c r="T18" s="46"/>
      <c r="U18" s="46"/>
      <c r="V18" s="46"/>
      <c r="W18" s="46"/>
      <c r="X18" s="46"/>
      <c r="Y18" s="46"/>
    </row>
    <row r="19" customFormat="false" ht="19.5" hidden="false" customHeight="true" outlineLevel="0" collapsed="false">
      <c r="B19" s="3175" t="s">
        <v>877</v>
      </c>
      <c r="C19" s="3176"/>
      <c r="D19" s="3177" t="n">
        <f aca="false">'07-COLUMNS'!F110</f>
        <v>0</v>
      </c>
      <c r="E19" s="3177"/>
      <c r="F19" s="46"/>
      <c r="G19" s="46"/>
      <c r="H19" s="46"/>
      <c r="I19" s="46"/>
      <c r="J19" s="46"/>
      <c r="K19" s="46"/>
      <c r="L19" s="46"/>
      <c r="M19" s="46"/>
      <c r="N19" s="46"/>
      <c r="O19" s="46"/>
      <c r="P19" s="46"/>
      <c r="Q19" s="46"/>
      <c r="R19" s="46"/>
      <c r="S19" s="46"/>
      <c r="T19" s="46"/>
      <c r="U19" s="46"/>
      <c r="V19" s="46"/>
      <c r="W19" s="46"/>
      <c r="X19" s="46"/>
      <c r="Y19" s="46"/>
    </row>
    <row r="20" customFormat="false" ht="19.5" hidden="false" customHeight="true" outlineLevel="0" collapsed="false">
      <c r="B20" s="3175" t="s">
        <v>2094</v>
      </c>
      <c r="C20" s="3176"/>
      <c r="D20" s="3177" t="n">
        <f aca="false">'08-CIP EL. DECK'!F119</f>
        <v>0</v>
      </c>
      <c r="E20" s="3177"/>
      <c r="F20" s="46"/>
      <c r="G20" s="46"/>
      <c r="H20" s="46"/>
      <c r="I20" s="46"/>
      <c r="J20" s="46"/>
      <c r="K20" s="46"/>
      <c r="L20" s="46"/>
      <c r="M20" s="46"/>
      <c r="N20" s="46"/>
      <c r="O20" s="46"/>
      <c r="P20" s="46"/>
      <c r="Q20" s="46"/>
      <c r="R20" s="46"/>
      <c r="S20" s="46"/>
      <c r="T20" s="46"/>
      <c r="U20" s="46"/>
      <c r="V20" s="46"/>
      <c r="W20" s="46"/>
      <c r="X20" s="46"/>
      <c r="Y20" s="46"/>
    </row>
    <row r="21" customFormat="false" ht="19.5" hidden="false" customHeight="true" outlineLevel="0" collapsed="false">
      <c r="B21" s="3175" t="s">
        <v>1063</v>
      </c>
      <c r="C21" s="3176"/>
      <c r="D21" s="3177" t="n">
        <f aca="false">'09-SLAB ON DECK'!G110</f>
        <v>0</v>
      </c>
      <c r="E21" s="3177"/>
      <c r="F21" s="46"/>
      <c r="G21" s="46"/>
      <c r="H21" s="46"/>
      <c r="I21" s="46"/>
      <c r="J21" s="46"/>
      <c r="K21" s="46"/>
      <c r="L21" s="46"/>
      <c r="M21" s="46"/>
      <c r="N21" s="46"/>
      <c r="O21" s="46"/>
      <c r="P21" s="46"/>
      <c r="Q21" s="46"/>
      <c r="R21" s="46"/>
      <c r="S21" s="46"/>
      <c r="T21" s="46"/>
      <c r="U21" s="46"/>
      <c r="V21" s="46"/>
      <c r="W21" s="46"/>
      <c r="X21" s="46"/>
      <c r="Y21" s="46"/>
    </row>
    <row r="22" customFormat="false" ht="19.5" hidden="false" customHeight="true" outlineLevel="0" collapsed="false">
      <c r="B22" s="3175" t="s">
        <v>1064</v>
      </c>
      <c r="C22" s="3176"/>
      <c r="D22" s="3177" t="n">
        <f aca="false">'10-PAVING'!F91</f>
        <v>0</v>
      </c>
      <c r="E22" s="3177"/>
      <c r="F22" s="46"/>
      <c r="G22" s="46"/>
      <c r="H22" s="46"/>
      <c r="I22" s="46"/>
      <c r="J22" s="46"/>
      <c r="K22" s="46"/>
      <c r="L22" s="46"/>
      <c r="M22" s="46"/>
      <c r="N22" s="46"/>
      <c r="O22" s="46"/>
      <c r="P22" s="46"/>
      <c r="Q22" s="46"/>
      <c r="R22" s="46"/>
      <c r="S22" s="46"/>
      <c r="T22" s="46"/>
      <c r="U22" s="46"/>
      <c r="V22" s="46"/>
      <c r="W22" s="46"/>
      <c r="X22" s="46"/>
      <c r="Y22" s="46"/>
    </row>
    <row r="23" customFormat="false" ht="19.5" hidden="false" customHeight="true" outlineLevel="0" collapsed="false">
      <c r="B23" s="3175" t="s">
        <v>1065</v>
      </c>
      <c r="C23" s="3176"/>
      <c r="D23" s="3177" t="n">
        <f aca="false">'11-Sidewalks'!N88</f>
        <v>0</v>
      </c>
      <c r="E23" s="3177"/>
      <c r="F23" s="46"/>
      <c r="G23" s="46"/>
      <c r="H23" s="46"/>
      <c r="I23" s="46"/>
      <c r="J23" s="46"/>
      <c r="K23" s="46"/>
      <c r="L23" s="46"/>
      <c r="M23" s="46"/>
      <c r="N23" s="46"/>
      <c r="O23" s="46"/>
      <c r="P23" s="46"/>
      <c r="Q23" s="46"/>
      <c r="R23" s="46"/>
      <c r="S23" s="46"/>
      <c r="T23" s="46"/>
      <c r="U23" s="46"/>
      <c r="V23" s="46"/>
      <c r="W23" s="46"/>
      <c r="X23" s="46"/>
      <c r="Y23" s="46"/>
    </row>
    <row r="24" customFormat="false" ht="19.5" hidden="false" customHeight="true" outlineLevel="0" collapsed="false">
      <c r="B24" s="3175" t="s">
        <v>905</v>
      </c>
      <c r="C24" s="3176"/>
      <c r="D24" s="3177" t="n">
        <v>1000</v>
      </c>
      <c r="E24" s="3177"/>
      <c r="F24" s="46"/>
      <c r="G24" s="46"/>
      <c r="H24" s="46"/>
      <c r="I24" s="46"/>
      <c r="J24" s="46"/>
      <c r="K24" s="46"/>
      <c r="L24" s="46"/>
      <c r="M24" s="46"/>
      <c r="N24" s="46"/>
      <c r="O24" s="46"/>
      <c r="P24" s="46"/>
      <c r="Q24" s="46"/>
      <c r="R24" s="46"/>
      <c r="S24" s="46"/>
      <c r="T24" s="46"/>
      <c r="U24" s="46"/>
      <c r="V24" s="46"/>
      <c r="W24" s="46"/>
      <c r="X24" s="46"/>
      <c r="Y24" s="46"/>
    </row>
    <row r="25" customFormat="false" ht="19.5" hidden="false" customHeight="true" outlineLevel="0" collapsed="false">
      <c r="B25" s="46"/>
      <c r="C25" s="46"/>
      <c r="D25" s="46"/>
      <c r="E25" s="3178"/>
      <c r="F25" s="46"/>
      <c r="G25" s="46"/>
      <c r="H25" s="46"/>
      <c r="I25" s="46"/>
      <c r="J25" s="46"/>
      <c r="K25" s="46"/>
      <c r="L25" s="46"/>
      <c r="M25" s="46"/>
      <c r="N25" s="46"/>
      <c r="O25" s="46"/>
      <c r="P25" s="46"/>
      <c r="Q25" s="46"/>
      <c r="R25" s="46"/>
      <c r="S25" s="46"/>
      <c r="T25" s="46"/>
      <c r="U25" s="46"/>
      <c r="V25" s="46"/>
      <c r="W25" s="46"/>
      <c r="X25" s="46"/>
      <c r="Y25" s="46"/>
    </row>
    <row r="26" customFormat="false" ht="19.5" hidden="false" customHeight="true" outlineLevel="0" collapsed="false">
      <c r="B26" s="46"/>
      <c r="C26" s="46"/>
      <c r="D26" s="46"/>
      <c r="E26" s="3178"/>
      <c r="F26" s="46"/>
      <c r="G26" s="46"/>
      <c r="H26" s="46"/>
      <c r="I26" s="46"/>
      <c r="J26" s="46"/>
      <c r="K26" s="46"/>
      <c r="L26" s="46"/>
      <c r="M26" s="46"/>
      <c r="N26" s="46"/>
      <c r="O26" s="46"/>
      <c r="P26" s="46"/>
      <c r="Q26" s="46"/>
      <c r="R26" s="46"/>
      <c r="S26" s="46"/>
      <c r="T26" s="46"/>
      <c r="U26" s="46"/>
      <c r="V26" s="46"/>
      <c r="W26" s="46"/>
      <c r="X26" s="46"/>
      <c r="Y26" s="46"/>
    </row>
    <row r="27" customFormat="false" ht="19.5" hidden="false" customHeight="true" outlineLevel="0" collapsed="false">
      <c r="B27" s="3175" t="s">
        <v>860</v>
      </c>
      <c r="C27" s="3176"/>
      <c r="D27" s="3179" t="n">
        <f aca="false">SUM(D13:E26)</f>
        <v>1000</v>
      </c>
      <c r="E27" s="3179"/>
      <c r="F27" s="46"/>
      <c r="G27" s="46"/>
      <c r="H27" s="46"/>
      <c r="I27" s="46"/>
      <c r="J27" s="46"/>
      <c r="K27" s="46"/>
      <c r="L27" s="46"/>
      <c r="M27" s="46"/>
      <c r="N27" s="46"/>
      <c r="O27" s="46"/>
      <c r="P27" s="46"/>
      <c r="Q27" s="46"/>
      <c r="R27" s="46"/>
      <c r="S27" s="46"/>
      <c r="T27" s="46"/>
      <c r="U27" s="46"/>
      <c r="V27" s="46"/>
      <c r="W27" s="46"/>
      <c r="X27" s="46"/>
      <c r="Y27" s="46"/>
    </row>
    <row r="28" customFormat="false" ht="19.5" hidden="false" customHeight="true" outlineLevel="0" collapsed="false">
      <c r="B28" s="46"/>
      <c r="C28" s="46"/>
      <c r="D28" s="46"/>
      <c r="E28" s="46"/>
      <c r="F28" s="46"/>
      <c r="G28" s="46"/>
      <c r="H28" s="46"/>
      <c r="I28" s="46"/>
      <c r="J28" s="46"/>
      <c r="K28" s="46"/>
      <c r="L28" s="46"/>
      <c r="M28" s="46"/>
      <c r="N28" s="46"/>
      <c r="O28" s="46"/>
      <c r="P28" s="46"/>
      <c r="Q28" s="46"/>
      <c r="R28" s="46"/>
      <c r="S28" s="46"/>
      <c r="T28" s="46"/>
      <c r="U28" s="46"/>
      <c r="V28" s="46"/>
      <c r="W28" s="46"/>
      <c r="X28" s="46"/>
      <c r="Y28" s="46"/>
    </row>
    <row r="29" customFormat="false" ht="19.5" hidden="false" customHeight="true" outlineLevel="0" collapsed="false">
      <c r="B29" s="46"/>
      <c r="C29" s="46"/>
      <c r="D29" s="46"/>
      <c r="E29" s="46"/>
      <c r="F29" s="46"/>
      <c r="G29" s="46"/>
      <c r="H29" s="46"/>
      <c r="I29" s="46"/>
      <c r="J29" s="46"/>
      <c r="K29" s="46"/>
      <c r="L29" s="46"/>
      <c r="M29" s="46"/>
      <c r="N29" s="46"/>
      <c r="O29" s="46"/>
      <c r="P29" s="46"/>
      <c r="Q29" s="46"/>
      <c r="R29" s="46"/>
      <c r="S29" s="46"/>
      <c r="T29" s="46"/>
      <c r="U29" s="46"/>
      <c r="V29" s="46"/>
      <c r="W29" s="46"/>
      <c r="X29" s="46"/>
      <c r="Y29" s="46"/>
    </row>
    <row r="30" customFormat="false" ht="19.5" hidden="false" customHeight="true" outlineLevel="0" collapsed="false">
      <c r="B30" s="46"/>
      <c r="C30" s="46"/>
      <c r="D30" s="46"/>
      <c r="E30" s="46"/>
      <c r="F30" s="46"/>
      <c r="G30" s="46"/>
      <c r="H30" s="46"/>
      <c r="I30" s="46"/>
      <c r="J30" s="46"/>
      <c r="K30" s="46"/>
      <c r="L30" s="46"/>
      <c r="M30" s="46"/>
      <c r="N30" s="46"/>
      <c r="O30" s="46"/>
      <c r="P30" s="46"/>
      <c r="Q30" s="46"/>
      <c r="R30" s="46"/>
      <c r="S30" s="46"/>
      <c r="T30" s="46"/>
      <c r="U30" s="46"/>
      <c r="V30" s="46"/>
      <c r="W30" s="46"/>
      <c r="X30" s="46"/>
      <c r="Y30" s="46"/>
    </row>
    <row r="31" customFormat="false" ht="19.5" hidden="false" customHeight="true" outlineLevel="0" collapsed="false">
      <c r="B31" s="46"/>
      <c r="C31" s="46"/>
      <c r="D31" s="46"/>
      <c r="E31" s="46"/>
      <c r="F31" s="46"/>
      <c r="G31" s="46"/>
      <c r="H31" s="46"/>
      <c r="I31" s="46"/>
      <c r="J31" s="46"/>
      <c r="K31" s="46"/>
      <c r="L31" s="46"/>
      <c r="M31" s="46"/>
      <c r="N31" s="46"/>
      <c r="O31" s="46"/>
      <c r="P31" s="46"/>
      <c r="Q31" s="46"/>
      <c r="R31" s="46"/>
      <c r="S31" s="46"/>
      <c r="T31" s="46"/>
      <c r="U31" s="46"/>
      <c r="V31" s="46"/>
      <c r="W31" s="46"/>
      <c r="X31" s="46"/>
      <c r="Y31" s="46"/>
    </row>
    <row r="32" customFormat="false" ht="19.5" hidden="false" customHeight="true" outlineLevel="0" collapsed="false">
      <c r="B32" s="46"/>
      <c r="C32" s="46"/>
      <c r="D32" s="46"/>
      <c r="E32" s="46"/>
      <c r="F32" s="46"/>
      <c r="G32" s="46"/>
      <c r="H32" s="46"/>
      <c r="I32" s="46"/>
      <c r="J32" s="46"/>
      <c r="K32" s="46"/>
      <c r="L32" s="46"/>
      <c r="M32" s="46"/>
      <c r="N32" s="46"/>
      <c r="O32" s="46"/>
      <c r="P32" s="46"/>
      <c r="Q32" s="46"/>
      <c r="R32" s="46"/>
      <c r="S32" s="46"/>
      <c r="T32" s="46"/>
      <c r="U32" s="46"/>
      <c r="V32" s="46"/>
      <c r="W32" s="46"/>
      <c r="X32" s="46"/>
      <c r="Y32" s="46"/>
    </row>
    <row r="33" customFormat="false" ht="19.5" hidden="false" customHeight="true" outlineLevel="0" collapsed="false">
      <c r="B33" s="46"/>
      <c r="C33" s="46"/>
      <c r="D33" s="46"/>
      <c r="E33" s="46"/>
      <c r="F33" s="46"/>
      <c r="G33" s="46"/>
      <c r="H33" s="46"/>
      <c r="I33" s="46"/>
      <c r="J33" s="46"/>
      <c r="K33" s="46"/>
      <c r="L33" s="46"/>
      <c r="M33" s="46"/>
      <c r="N33" s="46"/>
      <c r="O33" s="46"/>
      <c r="P33" s="46"/>
      <c r="Q33" s="46"/>
      <c r="R33" s="46"/>
      <c r="S33" s="46"/>
      <c r="T33" s="46"/>
      <c r="U33" s="46"/>
      <c r="V33" s="46"/>
      <c r="W33" s="46"/>
      <c r="X33" s="46"/>
      <c r="Y33" s="46"/>
    </row>
    <row r="34" customFormat="false" ht="19.5" hidden="false" customHeight="true" outlineLevel="0" collapsed="false">
      <c r="B34" s="46"/>
      <c r="C34" s="46"/>
      <c r="D34" s="46"/>
      <c r="E34" s="46"/>
      <c r="F34" s="46"/>
      <c r="G34" s="46"/>
      <c r="H34" s="46"/>
      <c r="I34" s="46"/>
      <c r="J34" s="46"/>
      <c r="K34" s="46"/>
      <c r="L34" s="46"/>
      <c r="M34" s="46"/>
      <c r="N34" s="46"/>
      <c r="O34" s="46"/>
      <c r="P34" s="46"/>
      <c r="Q34" s="46"/>
      <c r="R34" s="46"/>
      <c r="S34" s="46"/>
      <c r="T34" s="46"/>
      <c r="U34" s="46"/>
      <c r="V34" s="46"/>
      <c r="W34" s="46"/>
      <c r="X34" s="46"/>
      <c r="Y34" s="46"/>
    </row>
    <row r="35" s="654" customFormat="true" ht="19.5" hidden="false" customHeight="true" outlineLevel="0" collapsed="false">
      <c r="B35" s="46"/>
      <c r="C35" s="46"/>
      <c r="D35" s="46"/>
      <c r="E35" s="46"/>
      <c r="F35" s="46"/>
      <c r="G35" s="46"/>
      <c r="H35" s="46"/>
      <c r="I35" s="46"/>
      <c r="J35" s="46"/>
      <c r="K35" s="46"/>
      <c r="L35" s="46"/>
      <c r="M35" s="46"/>
      <c r="N35" s="46"/>
      <c r="O35" s="46"/>
      <c r="P35" s="46"/>
      <c r="Q35" s="46"/>
      <c r="R35" s="46"/>
      <c r="S35" s="46"/>
      <c r="T35" s="46"/>
      <c r="U35" s="46"/>
      <c r="V35" s="46"/>
      <c r="W35" s="46"/>
      <c r="X35" s="46"/>
      <c r="Y35" s="46"/>
    </row>
    <row r="36" s="654" customFormat="true" ht="19.5" hidden="false" customHeight="true" outlineLevel="0" collapsed="false">
      <c r="B36" s="46"/>
      <c r="C36" s="46"/>
      <c r="D36" s="46"/>
      <c r="E36" s="46"/>
      <c r="F36" s="46"/>
      <c r="G36" s="46"/>
      <c r="H36" s="46"/>
      <c r="I36" s="46"/>
      <c r="J36" s="46"/>
      <c r="K36" s="46"/>
      <c r="L36" s="46"/>
      <c r="M36" s="46"/>
      <c r="N36" s="46"/>
      <c r="O36" s="46"/>
      <c r="P36" s="46"/>
      <c r="Q36" s="46"/>
      <c r="R36" s="46"/>
      <c r="S36" s="46"/>
      <c r="T36" s="46"/>
      <c r="U36" s="46"/>
      <c r="V36" s="46"/>
      <c r="W36" s="46"/>
      <c r="X36" s="46"/>
      <c r="Y36" s="46"/>
    </row>
    <row r="37" s="654" customFormat="true" ht="15" hidden="false" customHeight="false" outlineLevel="0" collapsed="false">
      <c r="B37" s="46"/>
      <c r="C37" s="46"/>
      <c r="D37" s="46"/>
      <c r="E37" s="46"/>
      <c r="F37" s="46"/>
      <c r="G37" s="46"/>
      <c r="H37" s="46"/>
      <c r="I37" s="46"/>
      <c r="J37" s="46"/>
      <c r="K37" s="46"/>
      <c r="L37" s="46"/>
      <c r="M37" s="46"/>
      <c r="N37" s="46"/>
      <c r="O37" s="46"/>
      <c r="P37" s="46"/>
      <c r="Q37" s="46"/>
      <c r="R37" s="46"/>
      <c r="S37" s="46"/>
      <c r="T37" s="46"/>
      <c r="U37" s="46"/>
      <c r="V37" s="46"/>
      <c r="W37" s="46"/>
      <c r="X37" s="46"/>
      <c r="Y37" s="46"/>
    </row>
    <row r="38" s="654" customFormat="true" ht="15" hidden="false" customHeight="false" outlineLevel="0" collapsed="false">
      <c r="B38" s="46"/>
      <c r="C38" s="46"/>
      <c r="D38" s="46"/>
      <c r="E38" s="46"/>
      <c r="F38" s="46"/>
      <c r="G38" s="46"/>
      <c r="H38" s="46"/>
      <c r="I38" s="46"/>
      <c r="J38" s="46"/>
      <c r="K38" s="46"/>
      <c r="L38" s="46"/>
      <c r="M38" s="46"/>
      <c r="N38" s="46"/>
      <c r="O38" s="46"/>
      <c r="P38" s="46"/>
      <c r="Q38" s="46"/>
      <c r="R38" s="46"/>
      <c r="S38" s="46"/>
      <c r="T38" s="46"/>
      <c r="U38" s="46"/>
      <c r="V38" s="46"/>
      <c r="W38" s="46"/>
      <c r="X38" s="46"/>
      <c r="Y38" s="46"/>
    </row>
    <row r="39" customFormat="false" ht="15" hidden="false" customHeight="false" outlineLevel="0" collapsed="false">
      <c r="B39" s="654"/>
      <c r="C39" s="1271"/>
      <c r="D39" s="1271"/>
      <c r="E39" s="1271"/>
      <c r="F39" s="1271"/>
      <c r="G39" s="1271"/>
      <c r="H39" s="1271"/>
      <c r="I39" s="2684"/>
      <c r="J39" s="1271"/>
      <c r="K39" s="1271"/>
      <c r="L39" s="1271"/>
      <c r="M39" s="1271"/>
      <c r="N39" s="1271"/>
      <c r="O39" s="1271"/>
      <c r="P39" s="1271"/>
      <c r="Q39" s="654"/>
      <c r="R39" s="654"/>
      <c r="S39" s="654"/>
      <c r="T39" s="654"/>
      <c r="U39" s="654"/>
      <c r="V39" s="654"/>
      <c r="W39" s="654"/>
      <c r="X39" s="654"/>
      <c r="Y39" s="654"/>
    </row>
    <row r="40" customFormat="false" ht="15" hidden="false" customHeight="false" outlineLevel="0" collapsed="false">
      <c r="B40" s="654"/>
      <c r="C40" s="1271"/>
      <c r="D40" s="1271"/>
      <c r="E40" s="1271"/>
      <c r="F40" s="1271"/>
      <c r="G40" s="1271"/>
      <c r="H40" s="1271"/>
      <c r="I40" s="2684"/>
      <c r="J40" s="1271"/>
      <c r="K40" s="1271"/>
      <c r="L40" s="1271"/>
      <c r="M40" s="1271"/>
      <c r="N40" s="1271"/>
      <c r="O40" s="1271"/>
      <c r="P40" s="1271"/>
      <c r="Q40" s="654"/>
      <c r="R40" s="654"/>
      <c r="S40" s="654"/>
      <c r="T40" s="654"/>
      <c r="U40" s="654"/>
      <c r="V40" s="654"/>
      <c r="W40" s="654"/>
      <c r="X40" s="654"/>
      <c r="Y40" s="654"/>
    </row>
    <row r="41" customFormat="false" ht="15" hidden="false" customHeight="false" outlineLevel="0" collapsed="false">
      <c r="C41" s="40"/>
      <c r="D41" s="40"/>
      <c r="E41" s="40"/>
      <c r="F41" s="40"/>
      <c r="G41" s="40"/>
      <c r="H41" s="40"/>
      <c r="I41" s="3084"/>
      <c r="J41" s="40"/>
      <c r="K41" s="40"/>
      <c r="L41" s="40"/>
      <c r="M41" s="40"/>
      <c r="N41" s="40"/>
      <c r="O41" s="40"/>
      <c r="P41" s="40"/>
    </row>
    <row r="42" s="16" customFormat="true" ht="15" hidden="false" customHeight="false" outlineLevel="0" collapsed="false">
      <c r="B42" s="713" t="s">
        <v>1055</v>
      </c>
      <c r="C42" s="725" t="s">
        <v>1067</v>
      </c>
      <c r="D42" s="412"/>
      <c r="E42" s="715" t="n">
        <f aca="false">E43-D27</f>
        <v>0</v>
      </c>
      <c r="M42" s="405"/>
    </row>
    <row r="43" s="16" customFormat="true" ht="15" hidden="false" customHeight="false" outlineLevel="0" collapsed="false">
      <c r="B43" s="733" t="n">
        <v>13</v>
      </c>
      <c r="C43" s="694"/>
      <c r="D43" s="686"/>
      <c r="E43" s="2141" t="n">
        <f aca="false">SUM(E44:E95)</f>
        <v>1000</v>
      </c>
      <c r="M43" s="405"/>
    </row>
    <row r="44" customFormat="false" ht="15" hidden="false" customHeight="false" outlineLevel="0" collapsed="false">
      <c r="B44" s="1854" t="n">
        <f aca="false">Summary!BT74</f>
        <v>130001</v>
      </c>
      <c r="C44" s="741" t="str">
        <f aca="false">Summary!BU74</f>
        <v>General Requirements</v>
      </c>
      <c r="D44" s="318"/>
      <c r="E44" s="742"/>
      <c r="L44" s="405"/>
    </row>
    <row r="45" customFormat="false" ht="15" hidden="false" customHeight="false" outlineLevel="0" collapsed="false">
      <c r="B45" s="1854" t="n">
        <f aca="false">Summary!BT75</f>
        <v>130002</v>
      </c>
      <c r="C45" s="741" t="str">
        <f aca="false">Summary!BU75</f>
        <v>Lumber</v>
      </c>
      <c r="D45" s="318"/>
      <c r="E45" s="742"/>
      <c r="L45" s="405"/>
    </row>
    <row r="46" customFormat="false" ht="15" hidden="false" customHeight="false" outlineLevel="0" collapsed="false">
      <c r="B46" s="1854" t="n">
        <f aca="false">Summary!BT76</f>
        <v>130003</v>
      </c>
      <c r="C46" s="741" t="str">
        <f aca="false">Summary!BU76</f>
        <v>Sand Material</v>
      </c>
      <c r="D46" s="318"/>
      <c r="E46" s="742"/>
      <c r="L46" s="405"/>
    </row>
    <row r="47" customFormat="false" ht="15" hidden="false" customHeight="false" outlineLevel="0" collapsed="false">
      <c r="B47" s="1854" t="n">
        <f aca="false">Summary!BT77</f>
        <v>130004</v>
      </c>
      <c r="C47" s="741" t="str">
        <f aca="false">Summary!BU77</f>
        <v>Rock Material</v>
      </c>
      <c r="D47" s="318"/>
      <c r="E47" s="742"/>
      <c r="L47" s="405"/>
    </row>
    <row r="48" customFormat="false" ht="15" hidden="false" customHeight="false" outlineLevel="0" collapsed="false">
      <c r="B48" s="1854" t="n">
        <f aca="false">Summary!BT78</f>
        <v>130005</v>
      </c>
      <c r="C48" s="741" t="str">
        <f aca="false">Summary!BU78</f>
        <v>Reinforcement Material</v>
      </c>
      <c r="D48" s="318"/>
      <c r="E48" s="742"/>
      <c r="L48" s="405"/>
    </row>
    <row r="49" customFormat="false" ht="15" hidden="false" customHeight="false" outlineLevel="0" collapsed="false">
      <c r="B49" s="1854" t="n">
        <f aca="false">Summary!BT79</f>
        <v>130006</v>
      </c>
      <c r="C49" s="741" t="str">
        <f aca="false">Summary!BU79</f>
        <v>Reinforcement Accessories</v>
      </c>
    </row>
    <row r="50" customFormat="false" ht="15" hidden="false" customHeight="false" outlineLevel="0" collapsed="false">
      <c r="B50" s="1854" t="n">
        <f aca="false">Summary!BT80</f>
        <v>130007</v>
      </c>
      <c r="C50" s="741" t="str">
        <f aca="false">Summary!BU80</f>
        <v>PT Cables</v>
      </c>
    </row>
    <row r="51" customFormat="false" ht="15" hidden="false" customHeight="false" outlineLevel="0" collapsed="false">
      <c r="B51" s="1854" t="n">
        <f aca="false">Summary!BT81</f>
        <v>130008</v>
      </c>
      <c r="C51" s="741" t="str">
        <f aca="false">Summary!BU81</f>
        <v>Concrete Material</v>
      </c>
    </row>
    <row r="52" customFormat="false" ht="15" hidden="false" customHeight="false" outlineLevel="0" collapsed="false">
      <c r="B52" s="1854" t="n">
        <f aca="false">Summary!BT82</f>
        <v>130009</v>
      </c>
      <c r="C52" s="741" t="str">
        <f aca="false">Summary!BU82</f>
        <v>Carton Forms</v>
      </c>
    </row>
    <row r="53" customFormat="false" ht="15" hidden="false" customHeight="false" outlineLevel="0" collapsed="false">
      <c r="B53" s="1854" t="n">
        <f aca="false">Summary!BT83</f>
        <v>130010</v>
      </c>
      <c r="C53" s="741" t="str">
        <f aca="false">Summary!BU83</f>
        <v>Cure/Sealers</v>
      </c>
    </row>
    <row r="54" customFormat="false" ht="15" hidden="false" customHeight="false" outlineLevel="0" collapsed="false">
      <c r="B54" s="1854" t="n">
        <f aca="false">Summary!BT84</f>
        <v>130011</v>
      </c>
      <c r="C54" s="741" t="str">
        <f aca="false">Summary!BU84</f>
        <v>Patch/Grout</v>
      </c>
    </row>
    <row r="55" customFormat="false" ht="15" hidden="false" customHeight="false" outlineLevel="0" collapsed="false">
      <c r="B55" s="1854" t="n">
        <f aca="false">Summary!BT85</f>
        <v>130012</v>
      </c>
      <c r="C55" s="741" t="str">
        <f aca="false">Summary!BU85</f>
        <v>Poly/Vapor Barrier</v>
      </c>
    </row>
    <row r="56" customFormat="false" ht="15" hidden="false" customHeight="false" outlineLevel="0" collapsed="false">
      <c r="B56" s="1854" t="n">
        <f aca="false">Summary!BT89</f>
        <v>130020</v>
      </c>
      <c r="C56" s="741" t="str">
        <f aca="false">Summary!BU89</f>
        <v>Supervision</v>
      </c>
    </row>
    <row r="57" customFormat="false" ht="15" hidden="false" customHeight="false" outlineLevel="0" collapsed="false">
      <c r="B57" s="1854" t="n">
        <f aca="false">Summary!BT90</f>
        <v>130021</v>
      </c>
      <c r="C57" s="741" t="str">
        <f aca="false">Summary!BU90</f>
        <v>Supervision Expense</v>
      </c>
    </row>
    <row r="58" customFormat="false" ht="15" hidden="false" customHeight="false" outlineLevel="0" collapsed="false">
      <c r="B58" s="1854" t="n">
        <f aca="false">Summary!BT91</f>
        <v>130022</v>
      </c>
      <c r="C58" s="741" t="str">
        <f aca="false">Summary!BU91</f>
        <v>Project Management</v>
      </c>
    </row>
    <row r="59" customFormat="false" ht="15" hidden="false" customHeight="false" outlineLevel="0" collapsed="false">
      <c r="B59" s="1854" t="n">
        <f aca="false">Summary!BT92</f>
        <v>130023</v>
      </c>
      <c r="C59" s="741" t="str">
        <f aca="false">Summary!BU92</f>
        <v>Labor Grade, Poly, Reinf.</v>
      </c>
    </row>
    <row r="60" customFormat="false" ht="15" hidden="false" customHeight="false" outlineLevel="0" collapsed="false">
      <c r="B60" s="1854" t="n">
        <f aca="false">Summary!BT93</f>
        <v>130024</v>
      </c>
      <c r="C60" s="741" t="str">
        <f aca="false">Summary!BU93</f>
        <v>Labor Place &amp; Finish</v>
      </c>
    </row>
    <row r="61" customFormat="false" ht="15" hidden="false" customHeight="false" outlineLevel="0" collapsed="false">
      <c r="B61" s="1854" t="n">
        <f aca="false">Summary!BT94</f>
        <v>130025</v>
      </c>
      <c r="C61" s="741" t="str">
        <f aca="false">Summary!BU94</f>
        <v>Labor Drops</v>
      </c>
    </row>
    <row r="62" customFormat="false" ht="15" hidden="false" customHeight="false" outlineLevel="0" collapsed="false">
      <c r="B62" s="1854" t="n">
        <f aca="false">Summary!BT95</f>
        <v>130026</v>
      </c>
      <c r="C62" s="741" t="str">
        <f aca="false">Summary!BU95</f>
        <v>Labor Strip Forms</v>
      </c>
    </row>
    <row r="63" customFormat="false" ht="15" hidden="false" customHeight="false" outlineLevel="0" collapsed="false">
      <c r="B63" s="1854" t="n">
        <f aca="false">Summary!BT96</f>
        <v>130027</v>
      </c>
      <c r="C63" s="741" t="str">
        <f aca="false">Summary!BU96</f>
        <v>Labor Burden</v>
      </c>
    </row>
    <row r="64" customFormat="false" ht="15" hidden="false" customHeight="false" outlineLevel="0" collapsed="false">
      <c r="B64" s="1854" t="n">
        <f aca="false">Summary!BT98</f>
        <v>130030</v>
      </c>
      <c r="C64" s="741" t="str">
        <f aca="false">Summary!BU98</f>
        <v>Pumping</v>
      </c>
    </row>
    <row r="65" customFormat="false" ht="15" hidden="false" customHeight="false" outlineLevel="0" collapsed="false">
      <c r="B65" s="1854" t="n">
        <f aca="false">Summary!BT99</f>
        <v>130031</v>
      </c>
      <c r="C65" s="741" t="str">
        <f aca="false">Summary!BU99</f>
        <v>Earth Work/Excavation</v>
      </c>
    </row>
    <row r="66" customFormat="false" ht="15" hidden="false" customHeight="false" outlineLevel="0" collapsed="false">
      <c r="B66" s="1854" t="n">
        <f aca="false">Summary!BT100</f>
        <v>130032</v>
      </c>
      <c r="C66" s="741" t="str">
        <f aca="false">Summary!BU100</f>
        <v>Drilling</v>
      </c>
    </row>
    <row r="67" customFormat="false" ht="15" hidden="false" customHeight="false" outlineLevel="0" collapsed="false">
      <c r="B67" s="1854" t="n">
        <f aca="false">Summary!BT101</f>
        <v>130033</v>
      </c>
      <c r="C67" s="741" t="str">
        <f aca="false">Summary!BU101</f>
        <v>Haul off</v>
      </c>
    </row>
    <row r="68" customFormat="false" ht="15" hidden="false" customHeight="false" outlineLevel="0" collapsed="false">
      <c r="B68" s="1854" t="n">
        <f aca="false">Summary!BT102</f>
        <v>130034</v>
      </c>
      <c r="C68" s="741" t="str">
        <f aca="false">Summary!BU102</f>
        <v>Saw Cutting/Sealing</v>
      </c>
    </row>
    <row r="69" customFormat="false" ht="15" hidden="false" customHeight="false" outlineLevel="0" collapsed="false">
      <c r="B69" s="1854" t="n">
        <f aca="false">Summary!BT103</f>
        <v>130035</v>
      </c>
      <c r="C69" s="741" t="str">
        <f aca="false">Summary!BU103</f>
        <v>Demolition</v>
      </c>
    </row>
    <row r="70" customFormat="false" ht="15" hidden="false" customHeight="false" outlineLevel="0" collapsed="false">
      <c r="B70" s="1854" t="n">
        <f aca="false">Summary!BT104</f>
        <v>130037</v>
      </c>
      <c r="C70" s="741" t="str">
        <f aca="false">Summary!BU104</f>
        <v>Waterproofing</v>
      </c>
    </row>
    <row r="71" customFormat="false" ht="15" hidden="false" customHeight="false" outlineLevel="0" collapsed="false">
      <c r="B71" s="1854" t="n">
        <f aca="false">Summary!BT105</f>
        <v>130038</v>
      </c>
      <c r="C71" s="741" t="str">
        <f aca="false">Summary!BU105</f>
        <v>Crain/Hoisting</v>
      </c>
    </row>
    <row r="72" customFormat="false" ht="15" hidden="false" customHeight="false" outlineLevel="0" collapsed="false">
      <c r="B72" s="1854" t="n">
        <f aca="false">Summary!BT106</f>
        <v>130039</v>
      </c>
      <c r="C72" s="741" t="str">
        <f aca="false">Summary!BU106</f>
        <v>Forming Systems</v>
      </c>
    </row>
    <row r="73" customFormat="false" ht="15" hidden="false" customHeight="false" outlineLevel="0" collapsed="false">
      <c r="B73" s="1854" t="n">
        <f aca="false">Summary!BT107</f>
        <v>130040</v>
      </c>
      <c r="C73" s="741" t="str">
        <f aca="false">Summary!BU107</f>
        <v>Total Sub Labor</v>
      </c>
    </row>
    <row r="74" customFormat="false" ht="15" hidden="false" customHeight="false" outlineLevel="0" collapsed="false">
      <c r="B74" s="1854" t="n">
        <f aca="false">Summary!BT108</f>
        <v>130041</v>
      </c>
      <c r="C74" s="741" t="str">
        <f aca="false">Summary!BU108</f>
        <v>Labor Forming</v>
      </c>
    </row>
    <row r="75" customFormat="false" ht="15" hidden="false" customHeight="false" outlineLevel="0" collapsed="false">
      <c r="B75" s="1854" t="n">
        <f aca="false">Summary!BT109</f>
        <v>130042</v>
      </c>
      <c r="C75" s="741" t="str">
        <f aca="false">Summary!BU109</f>
        <v>Labor Grade, Poly, Reinf.</v>
      </c>
    </row>
    <row r="76" customFormat="false" ht="15" hidden="false" customHeight="false" outlineLevel="0" collapsed="false">
      <c r="B76" s="1854" t="n">
        <f aca="false">Summary!BT110</f>
        <v>130043</v>
      </c>
      <c r="C76" s="741" t="str">
        <f aca="false">Summary!BU110</f>
        <v>Labor Place &amp; Finish</v>
      </c>
    </row>
    <row r="77" customFormat="false" ht="15" hidden="false" customHeight="false" outlineLevel="0" collapsed="false">
      <c r="B77" s="1854" t="n">
        <f aca="false">Summary!BT111</f>
        <v>130044</v>
      </c>
      <c r="C77" s="741" t="str">
        <f aca="false">Summary!BU111</f>
        <v>Labor Drops</v>
      </c>
    </row>
    <row r="78" customFormat="false" ht="15" hidden="false" customHeight="false" outlineLevel="0" collapsed="false">
      <c r="B78" s="1854" t="n">
        <f aca="false">Summary!BT112</f>
        <v>130045</v>
      </c>
      <c r="C78" s="741" t="str">
        <f aca="false">Summary!BU112</f>
        <v>Labor Strip Forms</v>
      </c>
    </row>
    <row r="79" customFormat="false" ht="15" hidden="false" customHeight="false" outlineLevel="0" collapsed="false">
      <c r="B79" s="1854" t="n">
        <f aca="false">Summary!BT113</f>
        <v>130046</v>
      </c>
      <c r="C79" s="741" t="str">
        <f aca="false">Summary!BU113</f>
        <v>Labor Burden</v>
      </c>
    </row>
    <row r="80" customFormat="false" ht="15" hidden="false" customHeight="false" outlineLevel="0" collapsed="false">
      <c r="B80" s="1854" t="n">
        <f aca="false">Summary!BT114</f>
        <v>130047</v>
      </c>
      <c r="C80" s="741" t="str">
        <f aca="false">Summary!BU114</f>
        <v>Rebar</v>
      </c>
    </row>
    <row r="81" customFormat="false" ht="15" hidden="false" customHeight="false" outlineLevel="0" collapsed="false">
      <c r="B81" s="1854" t="n">
        <f aca="false">Summary!BT115</f>
        <v>130048</v>
      </c>
      <c r="C81" s="741" t="str">
        <f aca="false">Summary!BU115</f>
        <v>PT Installation</v>
      </c>
      <c r="D81" s="318"/>
      <c r="E81" s="742"/>
    </row>
    <row r="82" customFormat="false" ht="15" hidden="false" customHeight="false" outlineLevel="0" collapsed="false">
      <c r="B82" s="1854" t="n">
        <f aca="false">Summary!BT116</f>
        <v>130049</v>
      </c>
      <c r="C82" s="741" t="str">
        <f aca="false">Summary!BU116</f>
        <v>Extra Hours</v>
      </c>
      <c r="D82" s="318"/>
      <c r="E82" s="742"/>
    </row>
    <row r="83" customFormat="false" ht="15" hidden="false" customHeight="false" outlineLevel="0" collapsed="false">
      <c r="B83" s="1854" t="n">
        <f aca="false">Summary!BT117</f>
        <v>130060</v>
      </c>
      <c r="C83" s="741" t="str">
        <f aca="false">Summary!BU117</f>
        <v>Total Equipment Rental</v>
      </c>
      <c r="D83" s="318"/>
      <c r="E83" s="742"/>
    </row>
    <row r="84" customFormat="false" ht="15" hidden="false" customHeight="false" outlineLevel="0" collapsed="false">
      <c r="B84" s="1854" t="n">
        <f aca="false">Summary!BT118</f>
        <v>130061</v>
      </c>
      <c r="C84" s="741" t="str">
        <f aca="false">Summary!BU118</f>
        <v>SkyTrack</v>
      </c>
      <c r="D84" s="318"/>
      <c r="E84" s="742"/>
    </row>
    <row r="85" customFormat="false" ht="15" hidden="false" customHeight="false" outlineLevel="0" collapsed="false">
      <c r="B85" s="1854" t="n">
        <f aca="false">Summary!BT119</f>
        <v>130062</v>
      </c>
      <c r="C85" s="741" t="str">
        <f aca="false">Summary!BU119</f>
        <v>Mini Excavator</v>
      </c>
      <c r="D85" s="318"/>
      <c r="E85" s="742"/>
    </row>
    <row r="86" customFormat="false" ht="15" hidden="false" customHeight="false" outlineLevel="0" collapsed="false">
      <c r="B86" s="1854" t="n">
        <f aca="false">Summary!BT120</f>
        <v>130063</v>
      </c>
      <c r="C86" s="741" t="str">
        <f aca="false">Summary!BU120</f>
        <v>Trencher</v>
      </c>
      <c r="D86" s="318"/>
      <c r="E86" s="742"/>
    </row>
    <row r="87" customFormat="false" ht="15" hidden="false" customHeight="false" outlineLevel="0" collapsed="false">
      <c r="B87" s="1854" t="n">
        <f aca="false">Summary!BT121</f>
        <v>130064</v>
      </c>
      <c r="C87" s="741" t="str">
        <f aca="false">Summary!BU121</f>
        <v>Skid Steer</v>
      </c>
      <c r="D87" s="318"/>
      <c r="E87" s="742"/>
    </row>
    <row r="88" customFormat="false" ht="15" hidden="false" customHeight="false" outlineLevel="0" collapsed="false">
      <c r="B88" s="1854" t="n">
        <f aca="false">Summary!BT122</f>
        <v>130065</v>
      </c>
      <c r="C88" s="741" t="str">
        <f aca="false">Summary!BU122</f>
        <v>General Equipment Rental</v>
      </c>
      <c r="E88" s="742"/>
    </row>
    <row r="89" customFormat="false" ht="15" hidden="false" customHeight="false" outlineLevel="0" collapsed="false">
      <c r="B89" s="1854" t="n">
        <f aca="false">Summary!BT123</f>
        <v>130066</v>
      </c>
      <c r="C89" s="741" t="str">
        <f aca="false">Summary!BU123</f>
        <v>Fuel</v>
      </c>
      <c r="E89" s="742"/>
    </row>
    <row r="90" customFormat="false" ht="15" hidden="false" customHeight="false" outlineLevel="0" collapsed="false">
      <c r="B90" s="1854" t="n">
        <f aca="false">Summary!BT124</f>
        <v>130067</v>
      </c>
      <c r="C90" s="741" t="str">
        <f aca="false">Summary!BU124</f>
        <v>Purchased Tools</v>
      </c>
      <c r="E90" s="742"/>
    </row>
    <row r="91" customFormat="false" ht="15" hidden="false" customHeight="false" outlineLevel="0" collapsed="false">
      <c r="B91" s="1854" t="n">
        <f aca="false">Summary!BT125</f>
        <v>130068</v>
      </c>
      <c r="C91" s="741" t="str">
        <f aca="false">Summary!BU125</f>
        <v>Stolen/Damaged</v>
      </c>
      <c r="E91" s="742"/>
    </row>
    <row r="92" customFormat="false" ht="15" hidden="false" customHeight="false" outlineLevel="0" collapsed="false">
      <c r="B92" s="1854" t="n">
        <f aca="false">Summary!BT126</f>
        <v>130070</v>
      </c>
      <c r="C92" s="741" t="str">
        <f aca="false">Summary!BU126</f>
        <v>Out of Town Expense</v>
      </c>
      <c r="E92" s="742"/>
    </row>
    <row r="93" customFormat="false" ht="15" hidden="false" customHeight="false" outlineLevel="0" collapsed="false">
      <c r="B93" s="1854" t="n">
        <f aca="false">Summary!BT127</f>
        <v>130071</v>
      </c>
      <c r="C93" s="741" t="str">
        <f aca="false">Summary!BU127</f>
        <v>Miscellaneous</v>
      </c>
      <c r="E93" s="742"/>
    </row>
    <row r="94" customFormat="false" ht="15" hidden="false" customHeight="false" outlineLevel="0" collapsed="false">
      <c r="B94" s="1854" t="n">
        <f aca="false">Summary!BT130</f>
        <v>130090</v>
      </c>
      <c r="C94" s="741" t="str">
        <f aca="false">Summary!BU130</f>
        <v>Not Used</v>
      </c>
      <c r="E94" s="742"/>
    </row>
    <row r="95" customFormat="false" ht="15" hidden="false" customHeight="false" outlineLevel="0" collapsed="false">
      <c r="B95" s="1854" t="n">
        <f aca="false">Summary!BT131</f>
        <v>130091</v>
      </c>
      <c r="C95" s="741" t="str">
        <f aca="false">Summary!BU131</f>
        <v>Margin Contingency</v>
      </c>
      <c r="E95" s="742" t="n">
        <f aca="false">D27</f>
        <v>1000</v>
      </c>
    </row>
  </sheetData>
  <mergeCells count="37">
    <mergeCell ref="X1:Y1"/>
    <mergeCell ref="B2:E2"/>
    <mergeCell ref="P2:Q2"/>
    <mergeCell ref="R2:S2"/>
    <mergeCell ref="B3:E3"/>
    <mergeCell ref="K3:O3"/>
    <mergeCell ref="P3:Q3"/>
    <mergeCell ref="R3:S3"/>
    <mergeCell ref="B4:E4"/>
    <mergeCell ref="K4:O4"/>
    <mergeCell ref="P4:Q4"/>
    <mergeCell ref="R4:S4"/>
    <mergeCell ref="K5:O5"/>
    <mergeCell ref="P5:Q5"/>
    <mergeCell ref="R5:S5"/>
    <mergeCell ref="D6:E6"/>
    <mergeCell ref="K6:O6"/>
    <mergeCell ref="P6:Q6"/>
    <mergeCell ref="R6:S6"/>
    <mergeCell ref="D7:E7"/>
    <mergeCell ref="H7:K7"/>
    <mergeCell ref="L7:P7"/>
    <mergeCell ref="B10:B11"/>
    <mergeCell ref="D10:E11"/>
    <mergeCell ref="D13:E13"/>
    <mergeCell ref="D14:E14"/>
    <mergeCell ref="D15:E15"/>
    <mergeCell ref="D16:E16"/>
    <mergeCell ref="D17:E17"/>
    <mergeCell ref="D18:E18"/>
    <mergeCell ref="D19:E19"/>
    <mergeCell ref="D20:E20"/>
    <mergeCell ref="D21:E21"/>
    <mergeCell ref="D22:E22"/>
    <mergeCell ref="D23:E23"/>
    <mergeCell ref="D24:E24"/>
    <mergeCell ref="D27:E27"/>
  </mergeCells>
  <printOptions headings="false" gridLines="false" gridLinesSet="true" horizontalCentered="false" verticalCentered="false"/>
  <pageMargins left="0.45" right="0.359722222222222" top="1.06458333333333" bottom="0.75" header="0.0201388888888889" footer="0.3"/>
  <pageSetup paperSize="5" scale="100" fitToWidth="1" fitToHeight="0" pageOrder="downThenOver" orientation="landscape" blackAndWhite="false" draft="false" cellComments="none" horizontalDpi="300" verticalDpi="300" copies="1"/>
  <headerFooter differentFirst="false" differentOddEven="false">
    <oddHeader>&amp;LCTH Concrete, LLC
225 Creekside Dr.
Fort Worth, Texas 76131</oddHeader>
    <oddFooter>&amp;LOffice: 817-228-0452&amp;C&amp;14CTH Concrete, LLC
&amp;10&amp;P of &amp;N&amp;REmail: cdykgraaf@cthconcrete.com</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N20" activeCellId="0" sqref="N20"/>
    </sheetView>
  </sheetViews>
  <sheetFormatPr defaultColWidth="8.34375" defaultRowHeight="12" customHeight="false" zeroHeight="false" outlineLevelRow="0" outlineLevelCol="0"/>
  <cols>
    <col collapsed="false" customWidth="true" hidden="false" outlineLevel="0" max="6" min="6" style="0" width="10.18"/>
    <col collapsed="false" customWidth="true" hidden="false" outlineLevel="0" max="9" min="9" style="0" width="18.82"/>
  </cols>
  <sheetData>
    <row r="1" customFormat="false" ht="12.65" hidden="false" customHeight="false" outlineLevel="0" collapsed="false">
      <c r="A1" s="3180" t="s">
        <v>788</v>
      </c>
      <c r="B1" s="3180"/>
      <c r="C1" s="3180"/>
      <c r="D1" s="3180"/>
      <c r="E1" s="3180"/>
      <c r="F1" s="3180"/>
      <c r="G1" s="3180"/>
      <c r="H1" s="3180"/>
      <c r="I1" s="3180"/>
    </row>
    <row r="2" customFormat="false" ht="12.65" hidden="false" customHeight="false" outlineLevel="0" collapsed="false">
      <c r="A2" s="3181" t="s">
        <v>2095</v>
      </c>
      <c r="B2" s="3181"/>
      <c r="C2" s="3182" t="str">
        <f aca="false">Information!C2</f>
        <v>Trammell Crow – LBJ</v>
      </c>
      <c r="D2" s="3182"/>
      <c r="E2" s="3182"/>
      <c r="F2" s="3182"/>
      <c r="G2" s="3182"/>
      <c r="H2" s="3182"/>
      <c r="I2" s="3182"/>
    </row>
    <row r="3" customFormat="false" ht="12.65" hidden="false" customHeight="false" outlineLevel="0" collapsed="false">
      <c r="A3" s="3181" t="s">
        <v>2096</v>
      </c>
      <c r="B3" s="3181"/>
      <c r="C3" s="3183"/>
      <c r="D3" s="3183"/>
      <c r="E3" s="3183"/>
      <c r="F3" s="3183"/>
      <c r="G3" s="3183"/>
      <c r="H3" s="3183"/>
      <c r="I3" s="3183"/>
    </row>
    <row r="4" customFormat="false" ht="12.65" hidden="false" customHeight="false" outlineLevel="0" collapsed="false">
      <c r="A4" s="3184"/>
      <c r="B4" s="3184"/>
      <c r="C4" s="3185"/>
      <c r="D4" s="3185"/>
      <c r="E4" s="3185"/>
      <c r="F4" s="3185"/>
      <c r="G4" s="3185"/>
      <c r="H4" s="3185"/>
      <c r="I4" s="3185"/>
    </row>
    <row r="5" customFormat="false" ht="12.65" hidden="false" customHeight="false" outlineLevel="0" collapsed="false">
      <c r="A5" s="3186" t="s">
        <v>2097</v>
      </c>
      <c r="B5" s="3186"/>
      <c r="C5" s="3187"/>
      <c r="D5" s="3187"/>
      <c r="E5" s="3187"/>
      <c r="F5" s="3187"/>
      <c r="G5" s="3187"/>
      <c r="H5" s="3187"/>
      <c r="I5" s="3187"/>
    </row>
    <row r="6" customFormat="false" ht="12.65" hidden="false" customHeight="false" outlineLevel="0" collapsed="false">
      <c r="A6" s="3188"/>
      <c r="B6" s="3188"/>
      <c r="C6" s="416"/>
      <c r="D6" s="416"/>
      <c r="E6" s="416"/>
      <c r="F6" s="416"/>
      <c r="G6" s="416"/>
      <c r="H6" s="416"/>
      <c r="I6" s="416"/>
    </row>
    <row r="7" customFormat="false" ht="12.65" hidden="false" customHeight="false" outlineLevel="0" collapsed="false">
      <c r="A7" s="3189"/>
      <c r="B7" s="3189"/>
      <c r="C7" s="3190"/>
      <c r="D7" s="3190"/>
      <c r="E7" s="3190"/>
      <c r="F7" s="3190"/>
    </row>
    <row r="8" customFormat="false" ht="12.65" hidden="false" customHeight="false" outlineLevel="0" collapsed="false">
      <c r="A8" s="3186" t="s">
        <v>2098</v>
      </c>
      <c r="B8" s="3186"/>
      <c r="C8" s="3190"/>
      <c r="D8" s="3190"/>
      <c r="E8" s="3190"/>
      <c r="F8" s="3190"/>
    </row>
    <row r="9" customFormat="false" ht="23.25" hidden="false" customHeight="true" outlineLevel="0" collapsed="false">
      <c r="A9" s="276"/>
      <c r="B9" s="276"/>
      <c r="C9" s="29"/>
      <c r="D9" s="29"/>
      <c r="E9" s="29"/>
      <c r="F9" s="29"/>
      <c r="G9" s="29"/>
      <c r="H9" s="29" t="s">
        <v>2099</v>
      </c>
      <c r="I9" s="3191" t="n">
        <f aca="false">I17+I25+I33+I39+I45+I50+I55+I63</f>
        <v>0</v>
      </c>
    </row>
    <row r="10" customFormat="false" ht="12.65" hidden="false" customHeight="false" outlineLevel="0" collapsed="false">
      <c r="A10" s="3192" t="s">
        <v>2100</v>
      </c>
      <c r="B10" s="3192" t="s">
        <v>835</v>
      </c>
      <c r="C10" s="3192" t="s">
        <v>2100</v>
      </c>
      <c r="D10" s="3192"/>
      <c r="E10" s="3192"/>
      <c r="F10" s="800" t="s">
        <v>2101</v>
      </c>
      <c r="G10" s="800"/>
      <c r="H10" s="800"/>
      <c r="I10" s="3193"/>
    </row>
    <row r="11" customFormat="false" ht="19.5" hidden="false" customHeight="true" outlineLevel="0" collapsed="false">
      <c r="A11" s="3194" t="s">
        <v>1056</v>
      </c>
      <c r="B11" s="3195"/>
      <c r="C11" s="3196"/>
      <c r="D11" s="3196"/>
      <c r="E11" s="3196"/>
      <c r="F11" s="3197"/>
      <c r="G11" s="0" t="s">
        <v>849</v>
      </c>
      <c r="I11" s="3198" t="n">
        <f aca="false">B11*F11</f>
        <v>0</v>
      </c>
    </row>
    <row r="12" customFormat="false" ht="19.5" hidden="false" customHeight="true" outlineLevel="0" collapsed="false">
      <c r="A12" s="3194"/>
      <c r="B12" s="3195"/>
      <c r="C12" s="3199"/>
      <c r="D12" s="3199"/>
      <c r="E12" s="3199"/>
      <c r="F12" s="3197"/>
      <c r="G12" s="0" t="s">
        <v>2102</v>
      </c>
      <c r="I12" s="3198" t="n">
        <f aca="false">B12*F12</f>
        <v>0</v>
      </c>
    </row>
    <row r="13" customFormat="false" ht="19.5" hidden="false" customHeight="true" outlineLevel="0" collapsed="false">
      <c r="A13" s="3194"/>
      <c r="B13" s="3195"/>
      <c r="C13" s="3200"/>
      <c r="D13" s="3200"/>
      <c r="E13" s="3200"/>
      <c r="F13" s="3197"/>
      <c r="G13" s="0" t="s">
        <v>2103</v>
      </c>
      <c r="I13" s="3198" t="n">
        <f aca="false">B13*F13</f>
        <v>0</v>
      </c>
    </row>
    <row r="14" customFormat="false" ht="19.5" hidden="false" customHeight="true" outlineLevel="0" collapsed="false">
      <c r="A14" s="3194"/>
      <c r="B14" s="3195"/>
      <c r="C14" s="3201"/>
      <c r="D14" s="3201"/>
      <c r="E14" s="3201"/>
      <c r="F14" s="3197"/>
      <c r="I14" s="3198" t="n">
        <f aca="false">B14*F14</f>
        <v>0</v>
      </c>
    </row>
    <row r="15" customFormat="false" ht="19.5" hidden="false" customHeight="true" outlineLevel="0" collapsed="false">
      <c r="A15" s="3194"/>
      <c r="B15" s="3195"/>
      <c r="C15" s="3201"/>
      <c r="D15" s="3201"/>
      <c r="E15" s="3201"/>
      <c r="F15" s="3197"/>
      <c r="I15" s="3198" t="n">
        <f aca="false">B15*F15</f>
        <v>0</v>
      </c>
    </row>
    <row r="16" customFormat="false" ht="19.5" hidden="false" customHeight="true" outlineLevel="0" collapsed="false">
      <c r="A16" s="3194"/>
      <c r="B16" s="3202"/>
      <c r="C16" s="3203"/>
      <c r="D16" s="3203"/>
      <c r="E16" s="3203"/>
      <c r="F16" s="3204"/>
      <c r="G16" s="246"/>
      <c r="H16" s="246"/>
      <c r="I16" s="3198" t="n">
        <f aca="false">B16*F16</f>
        <v>0</v>
      </c>
    </row>
    <row r="17" customFormat="false" ht="19.5" hidden="false" customHeight="true" outlineLevel="0" collapsed="false">
      <c r="A17" s="3205"/>
      <c r="B17" s="3206"/>
      <c r="C17" s="3207"/>
      <c r="D17" s="3207"/>
      <c r="E17" s="3207"/>
      <c r="F17" s="3208"/>
      <c r="G17" s="3209"/>
      <c r="H17" s="3209"/>
      <c r="I17" s="3210" t="n">
        <f aca="false">SUM(I11:I16)</f>
        <v>0</v>
      </c>
    </row>
    <row r="18" customFormat="false" ht="15.75" hidden="false" customHeight="true" outlineLevel="0" collapsed="false">
      <c r="A18" s="3194" t="s">
        <v>2104</v>
      </c>
      <c r="B18" s="3195"/>
      <c r="C18" s="3211"/>
      <c r="D18" s="3211"/>
      <c r="E18" s="3211"/>
      <c r="F18" s="3197"/>
      <c r="G18" s="0" t="s">
        <v>863</v>
      </c>
      <c r="I18" s="3198" t="n">
        <f aca="false">B18*F18</f>
        <v>0</v>
      </c>
    </row>
    <row r="19" customFormat="false" ht="15.75" hidden="false" customHeight="true" outlineLevel="0" collapsed="false">
      <c r="A19" s="3194"/>
      <c r="B19" s="3195"/>
      <c r="C19" s="3211"/>
      <c r="D19" s="3211"/>
      <c r="E19" s="3211"/>
      <c r="F19" s="3197"/>
      <c r="G19" s="0" t="s">
        <v>863</v>
      </c>
      <c r="I19" s="3198" t="n">
        <f aca="false">B19*F19</f>
        <v>0</v>
      </c>
    </row>
    <row r="20" customFormat="false" ht="15.75" hidden="false" customHeight="true" outlineLevel="0" collapsed="false">
      <c r="A20" s="3194"/>
      <c r="B20" s="3195"/>
      <c r="C20" s="515"/>
      <c r="D20" s="15"/>
      <c r="E20" s="15"/>
      <c r="F20" s="3212"/>
      <c r="G20" s="0" t="s">
        <v>863</v>
      </c>
      <c r="I20" s="3198" t="n">
        <f aca="false">B20*F20</f>
        <v>0</v>
      </c>
    </row>
    <row r="21" customFormat="false" ht="15.75" hidden="false" customHeight="true" outlineLevel="0" collapsed="false">
      <c r="A21" s="3194"/>
      <c r="B21" s="3195"/>
      <c r="C21" s="515"/>
      <c r="D21" s="15"/>
      <c r="E21" s="15"/>
      <c r="F21" s="3197"/>
      <c r="G21" s="0" t="s">
        <v>863</v>
      </c>
      <c r="I21" s="3198" t="n">
        <f aca="false">B21*F21</f>
        <v>0</v>
      </c>
    </row>
    <row r="22" customFormat="false" ht="15.75" hidden="false" customHeight="true" outlineLevel="0" collapsed="false">
      <c r="A22" s="3194"/>
      <c r="B22" s="3195"/>
      <c r="C22" s="515"/>
      <c r="D22" s="11"/>
      <c r="E22" s="11"/>
      <c r="F22" s="3197"/>
      <c r="G22" s="0" t="s">
        <v>2105</v>
      </c>
      <c r="I22" s="3198" t="n">
        <f aca="false">B22*F22</f>
        <v>0</v>
      </c>
    </row>
    <row r="23" customFormat="false" ht="15.75" hidden="false" customHeight="true" outlineLevel="0" collapsed="false">
      <c r="A23" s="3194"/>
      <c r="B23" s="3195"/>
      <c r="C23" s="514"/>
      <c r="D23" s="11"/>
      <c r="E23" s="11"/>
      <c r="F23" s="3197"/>
      <c r="G23" s="0" t="s">
        <v>2106</v>
      </c>
      <c r="I23" s="3198" t="n">
        <f aca="false">B23*F23</f>
        <v>0</v>
      </c>
    </row>
    <row r="24" customFormat="false" ht="15.75" hidden="false" customHeight="true" outlineLevel="0" collapsed="false">
      <c r="A24" s="3194"/>
      <c r="B24" s="3202"/>
      <c r="C24" s="3203"/>
      <c r="D24" s="3203"/>
      <c r="E24" s="3203"/>
      <c r="F24" s="3204"/>
      <c r="G24" s="246"/>
      <c r="H24" s="246"/>
      <c r="I24" s="3213" t="n">
        <f aca="false">B24*F24</f>
        <v>0</v>
      </c>
    </row>
    <row r="25" customFormat="false" ht="19.5" hidden="false" customHeight="true" outlineLevel="0" collapsed="false">
      <c r="A25" s="3205"/>
      <c r="B25" s="3214"/>
      <c r="C25" s="3215"/>
      <c r="D25" s="3215"/>
      <c r="E25" s="3215"/>
      <c r="F25" s="3216"/>
      <c r="G25" s="265"/>
      <c r="H25" s="265"/>
      <c r="I25" s="3217" t="n">
        <f aca="false">SUM(I18:I24)</f>
        <v>0</v>
      </c>
    </row>
    <row r="26" customFormat="false" ht="15.75" hidden="false" customHeight="true" outlineLevel="0" collapsed="false">
      <c r="A26" s="3194" t="s">
        <v>2093</v>
      </c>
      <c r="B26" s="3218"/>
      <c r="C26" s="126"/>
      <c r="D26" s="16"/>
      <c r="E26" s="16"/>
      <c r="F26" s="3219"/>
      <c r="G26" s="0" t="s">
        <v>863</v>
      </c>
      <c r="I26" s="3198" t="n">
        <f aca="false">B26*F26</f>
        <v>0</v>
      </c>
    </row>
    <row r="27" customFormat="false" ht="15.75" hidden="false" customHeight="true" outlineLevel="0" collapsed="false">
      <c r="A27" s="3194"/>
      <c r="B27" s="3195"/>
      <c r="C27" s="126"/>
      <c r="D27" s="15"/>
      <c r="E27" s="15"/>
      <c r="F27" s="3197"/>
      <c r="G27" s="0" t="s">
        <v>863</v>
      </c>
      <c r="I27" s="3198" t="n">
        <f aca="false">B27*F27</f>
        <v>0</v>
      </c>
    </row>
    <row r="28" customFormat="false" ht="15.75" hidden="false" customHeight="true" outlineLevel="0" collapsed="false">
      <c r="A28" s="3194"/>
      <c r="B28" s="3195"/>
      <c r="C28" s="515"/>
      <c r="D28" s="15"/>
      <c r="E28" s="15"/>
      <c r="F28" s="3197"/>
      <c r="G28" s="0" t="s">
        <v>863</v>
      </c>
      <c r="I28" s="3198" t="n">
        <f aca="false">B28*F28</f>
        <v>0</v>
      </c>
    </row>
    <row r="29" customFormat="false" ht="15.75" hidden="false" customHeight="true" outlineLevel="0" collapsed="false">
      <c r="A29" s="3194"/>
      <c r="B29" s="3195"/>
      <c r="C29" s="515"/>
      <c r="D29" s="15"/>
      <c r="E29" s="15"/>
      <c r="F29" s="3212"/>
      <c r="G29" s="0" t="s">
        <v>2105</v>
      </c>
      <c r="I29" s="3198" t="n">
        <f aca="false">B29*F29</f>
        <v>0</v>
      </c>
    </row>
    <row r="30" customFormat="false" ht="15.75" hidden="false" customHeight="true" outlineLevel="0" collapsed="false">
      <c r="A30" s="3194"/>
      <c r="B30" s="3195"/>
      <c r="C30" s="515"/>
      <c r="D30" s="15"/>
      <c r="E30" s="15"/>
      <c r="F30" s="3197"/>
      <c r="I30" s="3198" t="n">
        <f aca="false">B30*F30</f>
        <v>0</v>
      </c>
    </row>
    <row r="31" customFormat="false" ht="15.75" hidden="false" customHeight="true" outlineLevel="0" collapsed="false">
      <c r="A31" s="3194"/>
      <c r="B31" s="3195"/>
      <c r="C31" s="514"/>
      <c r="D31" s="11"/>
      <c r="E31" s="11"/>
      <c r="F31" s="3197"/>
      <c r="I31" s="3198" t="n">
        <f aca="false">B31*F31</f>
        <v>0</v>
      </c>
    </row>
    <row r="32" customFormat="false" ht="15.75" hidden="false" customHeight="true" outlineLevel="0" collapsed="false">
      <c r="A32" s="3194"/>
      <c r="B32" s="3202"/>
      <c r="C32" s="3203"/>
      <c r="D32" s="3203"/>
      <c r="E32" s="3203"/>
      <c r="F32" s="3204"/>
      <c r="G32" s="246"/>
      <c r="H32" s="246"/>
      <c r="I32" s="3213" t="n">
        <f aca="false">B32*F32</f>
        <v>0</v>
      </c>
    </row>
    <row r="33" customFormat="false" ht="19.5" hidden="false" customHeight="true" outlineLevel="0" collapsed="false">
      <c r="A33" s="265"/>
      <c r="B33" s="3209"/>
      <c r="C33" s="3209"/>
      <c r="D33" s="3209"/>
      <c r="E33" s="3209"/>
      <c r="F33" s="3220"/>
      <c r="G33" s="3209"/>
      <c r="H33" s="3209"/>
      <c r="I33" s="3210" t="n">
        <f aca="false">SUM(I26:I32)</f>
        <v>0</v>
      </c>
    </row>
    <row r="34" customFormat="false" ht="15.75" hidden="false" customHeight="true" outlineLevel="0" collapsed="false">
      <c r="A34" s="3194" t="s">
        <v>2107</v>
      </c>
      <c r="B34" s="3218"/>
      <c r="C34" s="126"/>
      <c r="D34" s="16"/>
      <c r="E34" s="16"/>
      <c r="F34" s="3219"/>
      <c r="G34" s="0" t="s">
        <v>863</v>
      </c>
      <c r="I34" s="3198" t="n">
        <f aca="false">B34*F34</f>
        <v>0</v>
      </c>
    </row>
    <row r="35" customFormat="false" ht="15.75" hidden="false" customHeight="true" outlineLevel="0" collapsed="false">
      <c r="A35" s="3194"/>
      <c r="B35" s="3195"/>
      <c r="C35" s="126"/>
      <c r="D35" s="15"/>
      <c r="E35" s="15"/>
      <c r="F35" s="3197"/>
      <c r="G35" s="0" t="s">
        <v>2105</v>
      </c>
      <c r="I35" s="3198" t="n">
        <f aca="false">B35*F35</f>
        <v>0</v>
      </c>
    </row>
    <row r="36" customFormat="false" ht="15.75" hidden="false" customHeight="true" outlineLevel="0" collapsed="false">
      <c r="A36" s="3194"/>
      <c r="B36" s="3195"/>
      <c r="C36" s="515"/>
      <c r="D36" s="15"/>
      <c r="E36" s="15"/>
      <c r="F36" s="3197"/>
      <c r="I36" s="3198" t="n">
        <f aca="false">B36*F36</f>
        <v>0</v>
      </c>
    </row>
    <row r="37" customFormat="false" ht="15.75" hidden="false" customHeight="true" outlineLevel="0" collapsed="false">
      <c r="A37" s="3194"/>
      <c r="B37" s="3195"/>
      <c r="C37" s="515"/>
      <c r="D37" s="15"/>
      <c r="E37" s="15"/>
      <c r="F37" s="3212"/>
      <c r="I37" s="3198" t="n">
        <f aca="false">B37*F37</f>
        <v>0</v>
      </c>
    </row>
    <row r="38" customFormat="false" ht="15.75" hidden="false" customHeight="true" outlineLevel="0" collapsed="false">
      <c r="A38" s="3194"/>
      <c r="B38" s="3202"/>
      <c r="C38" s="3203"/>
      <c r="D38" s="3203"/>
      <c r="E38" s="3203"/>
      <c r="F38" s="3204"/>
      <c r="G38" s="246"/>
      <c r="H38" s="246"/>
      <c r="I38" s="3213" t="n">
        <f aca="false">B38*F38</f>
        <v>0</v>
      </c>
    </row>
    <row r="39" customFormat="false" ht="19.5" hidden="false" customHeight="true" outlineLevel="0" collapsed="false">
      <c r="A39" s="265"/>
      <c r="B39" s="3209"/>
      <c r="C39" s="3209"/>
      <c r="D39" s="3209"/>
      <c r="E39" s="3209"/>
      <c r="F39" s="3220"/>
      <c r="G39" s="3209"/>
      <c r="H39" s="3209"/>
      <c r="I39" s="3210" t="n">
        <f aca="false">SUM(I34:I38)</f>
        <v>0</v>
      </c>
    </row>
    <row r="40" customFormat="false" ht="15.75" hidden="false" customHeight="true" outlineLevel="0" collapsed="false">
      <c r="A40" s="3194" t="s">
        <v>797</v>
      </c>
      <c r="B40" s="3218"/>
      <c r="C40" s="126"/>
      <c r="D40" s="16"/>
      <c r="E40" s="16"/>
      <c r="F40" s="3219"/>
      <c r="G40" s="0" t="s">
        <v>1312</v>
      </c>
      <c r="I40" s="3198" t="n">
        <f aca="false">B40*F40</f>
        <v>0</v>
      </c>
    </row>
    <row r="41" customFormat="false" ht="15.75" hidden="false" customHeight="true" outlineLevel="0" collapsed="false">
      <c r="A41" s="3194"/>
      <c r="B41" s="3195"/>
      <c r="C41" s="126"/>
      <c r="D41" s="15"/>
      <c r="E41" s="15"/>
      <c r="F41" s="3197"/>
      <c r="I41" s="3198" t="n">
        <f aca="false">B41*F41</f>
        <v>0</v>
      </c>
    </row>
    <row r="42" customFormat="false" ht="15.75" hidden="false" customHeight="true" outlineLevel="0" collapsed="false">
      <c r="A42" s="3194"/>
      <c r="B42" s="3195"/>
      <c r="C42" s="515"/>
      <c r="D42" s="15"/>
      <c r="E42" s="15"/>
      <c r="F42" s="3197"/>
      <c r="I42" s="3198" t="n">
        <f aca="false">B42*F42</f>
        <v>0</v>
      </c>
    </row>
    <row r="43" customFormat="false" ht="15.75" hidden="false" customHeight="true" outlineLevel="0" collapsed="false">
      <c r="A43" s="3194"/>
      <c r="B43" s="3195"/>
      <c r="C43" s="514"/>
      <c r="D43" s="11"/>
      <c r="E43" s="11"/>
      <c r="F43" s="3197"/>
      <c r="I43" s="3198" t="n">
        <f aca="false">B43*F43</f>
        <v>0</v>
      </c>
    </row>
    <row r="44" customFormat="false" ht="15.75" hidden="false" customHeight="true" outlineLevel="0" collapsed="false">
      <c r="A44" s="3194"/>
      <c r="B44" s="3202"/>
      <c r="C44" s="3203"/>
      <c r="D44" s="3203"/>
      <c r="E44" s="3203"/>
      <c r="F44" s="3204"/>
      <c r="G44" s="246"/>
      <c r="H44" s="246"/>
      <c r="I44" s="3213" t="n">
        <f aca="false">B44*F44</f>
        <v>0</v>
      </c>
    </row>
    <row r="45" customFormat="false" ht="19.5" hidden="false" customHeight="true" outlineLevel="0" collapsed="false">
      <c r="A45" s="265"/>
      <c r="B45" s="3209"/>
      <c r="C45" s="3209"/>
      <c r="D45" s="3209"/>
      <c r="E45" s="3209"/>
      <c r="F45" s="3220"/>
      <c r="G45" s="3209"/>
      <c r="H45" s="3209"/>
      <c r="I45" s="3210" t="n">
        <f aca="false">SUM(I40:I44)</f>
        <v>0</v>
      </c>
    </row>
    <row r="46" customFormat="false" ht="15.75" hidden="false" customHeight="true" outlineLevel="0" collapsed="false">
      <c r="A46" s="3221" t="s">
        <v>1063</v>
      </c>
      <c r="B46" s="3218"/>
      <c r="C46" s="126"/>
      <c r="D46" s="16"/>
      <c r="E46" s="16"/>
      <c r="F46" s="3219"/>
      <c r="G46" s="0" t="s">
        <v>863</v>
      </c>
      <c r="I46" s="3198" t="n">
        <f aca="false">B46*F46</f>
        <v>0</v>
      </c>
    </row>
    <row r="47" customFormat="false" ht="15.75" hidden="false" customHeight="true" outlineLevel="0" collapsed="false">
      <c r="A47" s="3221"/>
      <c r="B47" s="3195"/>
      <c r="C47" s="126"/>
      <c r="D47" s="15"/>
      <c r="E47" s="15"/>
      <c r="F47" s="3197"/>
      <c r="G47" s="0" t="s">
        <v>863</v>
      </c>
      <c r="I47" s="3198" t="n">
        <f aca="false">B47*F47</f>
        <v>0</v>
      </c>
    </row>
    <row r="48" customFormat="false" ht="15.75" hidden="false" customHeight="true" outlineLevel="0" collapsed="false">
      <c r="A48" s="3221"/>
      <c r="B48" s="3195"/>
      <c r="C48" s="515"/>
      <c r="D48" s="15"/>
      <c r="E48" s="15"/>
      <c r="F48" s="3197"/>
      <c r="I48" s="3198" t="n">
        <f aca="false">B48*F48</f>
        <v>0</v>
      </c>
    </row>
    <row r="49" customFormat="false" ht="15.75" hidden="false" customHeight="true" outlineLevel="0" collapsed="false">
      <c r="A49" s="3221"/>
      <c r="B49" s="3202"/>
      <c r="C49" s="3203"/>
      <c r="D49" s="3203"/>
      <c r="E49" s="3203"/>
      <c r="F49" s="3204"/>
      <c r="G49" s="246"/>
      <c r="H49" s="246"/>
      <c r="I49" s="3213" t="n">
        <f aca="false">B49*F49</f>
        <v>0</v>
      </c>
    </row>
    <row r="50" customFormat="false" ht="19.5" hidden="false" customHeight="true" outlineLevel="0" collapsed="false">
      <c r="A50" s="265"/>
      <c r="B50" s="3209"/>
      <c r="C50" s="3209"/>
      <c r="D50" s="3209"/>
      <c r="E50" s="3209"/>
      <c r="F50" s="3220"/>
      <c r="G50" s="3209"/>
      <c r="H50" s="3209"/>
      <c r="I50" s="3210" t="n">
        <f aca="false">SUM(I46:I49)</f>
        <v>0</v>
      </c>
    </row>
    <row r="51" customFormat="false" ht="15.75" hidden="false" customHeight="true" outlineLevel="0" collapsed="false">
      <c r="A51" s="3222" t="s">
        <v>1065</v>
      </c>
      <c r="B51" s="3223"/>
      <c r="C51" s="126"/>
      <c r="D51" s="16"/>
      <c r="E51" s="16"/>
      <c r="F51" s="3219" t="n">
        <v>1.25</v>
      </c>
      <c r="G51" s="0" t="s">
        <v>863</v>
      </c>
      <c r="I51" s="3198" t="n">
        <f aca="false">B51*F51</f>
        <v>0</v>
      </c>
    </row>
    <row r="52" customFormat="false" ht="15.75" hidden="false" customHeight="true" outlineLevel="0" collapsed="false">
      <c r="A52" s="3222"/>
      <c r="B52" s="3195"/>
      <c r="C52" s="126"/>
      <c r="D52" s="15"/>
      <c r="E52" s="15"/>
      <c r="F52" s="3197"/>
      <c r="I52" s="3198" t="n">
        <f aca="false">B52*F52</f>
        <v>0</v>
      </c>
    </row>
    <row r="53" customFormat="false" ht="15.75" hidden="false" customHeight="true" outlineLevel="0" collapsed="false">
      <c r="A53" s="3222"/>
      <c r="B53" s="3195"/>
      <c r="C53" s="515"/>
      <c r="D53" s="15"/>
      <c r="E53" s="15"/>
      <c r="F53" s="3197"/>
      <c r="I53" s="3198" t="n">
        <f aca="false">B53*F53</f>
        <v>0</v>
      </c>
    </row>
    <row r="54" customFormat="false" ht="15.75" hidden="false" customHeight="true" outlineLevel="0" collapsed="false">
      <c r="A54" s="3222"/>
      <c r="B54" s="3202"/>
      <c r="C54" s="3203"/>
      <c r="D54" s="3203"/>
      <c r="E54" s="3203"/>
      <c r="F54" s="3204"/>
      <c r="G54" s="246"/>
      <c r="H54" s="246"/>
      <c r="I54" s="3213" t="n">
        <f aca="false">B54*F54</f>
        <v>0</v>
      </c>
    </row>
    <row r="55" customFormat="false" ht="12.75" hidden="false" customHeight="false" outlineLevel="0" collapsed="false">
      <c r="A55" s="265"/>
      <c r="B55" s="3209"/>
      <c r="C55" s="3209"/>
      <c r="D55" s="3209"/>
      <c r="E55" s="3209"/>
      <c r="F55" s="3220"/>
      <c r="G55" s="3209"/>
      <c r="H55" s="3209"/>
      <c r="I55" s="3210" t="n">
        <f aca="false">SUM(I51:I54)</f>
        <v>0</v>
      </c>
    </row>
    <row r="56" customFormat="false" ht="15.75" hidden="false" customHeight="true" outlineLevel="0" collapsed="false">
      <c r="A56" s="3194" t="s">
        <v>905</v>
      </c>
      <c r="B56" s="3218"/>
      <c r="C56" s="126" t="s">
        <v>2108</v>
      </c>
      <c r="D56" s="16"/>
      <c r="E56" s="16"/>
      <c r="F56" s="3219" t="n">
        <v>50</v>
      </c>
      <c r="G56" s="0" t="s">
        <v>2109</v>
      </c>
      <c r="I56" s="3198" t="n">
        <f aca="false">B56*F56</f>
        <v>0</v>
      </c>
    </row>
    <row r="57" customFormat="false" ht="15.75" hidden="false" customHeight="true" outlineLevel="0" collapsed="false">
      <c r="A57" s="3194"/>
      <c r="B57" s="3195"/>
      <c r="C57" s="126" t="s">
        <v>2110</v>
      </c>
      <c r="D57" s="15"/>
      <c r="E57" s="15"/>
      <c r="F57" s="3197" t="n">
        <v>1200</v>
      </c>
      <c r="G57" s="0" t="s">
        <v>2109</v>
      </c>
      <c r="I57" s="3198" t="n">
        <f aca="false">B57*F57</f>
        <v>0</v>
      </c>
    </row>
    <row r="58" customFormat="false" ht="15.75" hidden="false" customHeight="true" outlineLevel="0" collapsed="false">
      <c r="A58" s="3194"/>
      <c r="B58" s="3195"/>
      <c r="C58" s="515" t="s">
        <v>2111</v>
      </c>
      <c r="D58" s="15"/>
      <c r="E58" s="15"/>
      <c r="F58" s="3197" t="n">
        <v>600</v>
      </c>
      <c r="G58" s="0" t="s">
        <v>2109</v>
      </c>
      <c r="I58" s="3198" t="n">
        <f aca="false">B58*F58</f>
        <v>0</v>
      </c>
    </row>
    <row r="59" customFormat="false" ht="15.75" hidden="false" customHeight="true" outlineLevel="0" collapsed="false">
      <c r="A59" s="3194"/>
      <c r="B59" s="3195"/>
      <c r="C59" s="515" t="s">
        <v>2112</v>
      </c>
      <c r="D59" s="15"/>
      <c r="E59" s="15"/>
      <c r="F59" s="3212" t="n">
        <v>10</v>
      </c>
      <c r="G59" s="0" t="s">
        <v>664</v>
      </c>
      <c r="I59" s="3198" t="n">
        <f aca="false">B59*F59</f>
        <v>0</v>
      </c>
    </row>
    <row r="60" customFormat="false" ht="15.75" hidden="false" customHeight="true" outlineLevel="0" collapsed="false">
      <c r="A60" s="3194"/>
      <c r="B60" s="3195"/>
      <c r="C60" s="515" t="s">
        <v>2113</v>
      </c>
      <c r="D60" s="15"/>
      <c r="E60" s="15"/>
      <c r="F60" s="3197" t="n">
        <v>35</v>
      </c>
      <c r="I60" s="3198" t="n">
        <f aca="false">B60*F60</f>
        <v>0</v>
      </c>
    </row>
    <row r="61" customFormat="false" ht="15.75" hidden="false" customHeight="true" outlineLevel="0" collapsed="false">
      <c r="A61" s="3194"/>
      <c r="B61" s="3195"/>
      <c r="C61" s="514" t="s">
        <v>2114</v>
      </c>
      <c r="D61" s="11"/>
      <c r="E61" s="11"/>
      <c r="F61" s="3197" t="n">
        <v>150</v>
      </c>
      <c r="I61" s="3198" t="n">
        <f aca="false">B61*F61</f>
        <v>0</v>
      </c>
    </row>
    <row r="62" customFormat="false" ht="15.75" hidden="false" customHeight="true" outlineLevel="0" collapsed="false">
      <c r="A62" s="3194"/>
      <c r="B62" s="3202"/>
      <c r="C62" s="3203" t="s">
        <v>2115</v>
      </c>
      <c r="D62" s="3203"/>
      <c r="E62" s="3203"/>
      <c r="F62" s="3204" t="n">
        <v>100</v>
      </c>
      <c r="G62" s="246"/>
      <c r="H62" s="246"/>
      <c r="I62" s="3213" t="n">
        <f aca="false">B62*F62</f>
        <v>0</v>
      </c>
    </row>
    <row r="63" customFormat="false" ht="19.5" hidden="false" customHeight="true" outlineLevel="0" collapsed="false">
      <c r="A63" s="3209"/>
      <c r="B63" s="3209"/>
      <c r="C63" s="3209"/>
      <c r="D63" s="3209"/>
      <c r="E63" s="3209"/>
      <c r="F63" s="3209"/>
      <c r="G63" s="3209"/>
      <c r="H63" s="3209"/>
      <c r="I63" s="3210" t="n">
        <f aca="false">SUM(I56:I62)</f>
        <v>0</v>
      </c>
    </row>
    <row r="64" customFormat="false" ht="12.75" hidden="false" customHeight="false" outlineLevel="0" collapsed="false"/>
  </sheetData>
  <mergeCells count="39">
    <mergeCell ref="A1:I1"/>
    <mergeCell ref="A2:B2"/>
    <mergeCell ref="C2:I2"/>
    <mergeCell ref="A3:B3"/>
    <mergeCell ref="C3:I3"/>
    <mergeCell ref="A4:B4"/>
    <mergeCell ref="C4:I4"/>
    <mergeCell ref="A5:B5"/>
    <mergeCell ref="C5:I5"/>
    <mergeCell ref="A6:B6"/>
    <mergeCell ref="C6:I6"/>
    <mergeCell ref="A7:B7"/>
    <mergeCell ref="C7:F8"/>
    <mergeCell ref="A8:B8"/>
    <mergeCell ref="C10:E10"/>
    <mergeCell ref="A11:A16"/>
    <mergeCell ref="C11:E11"/>
    <mergeCell ref="C12:E12"/>
    <mergeCell ref="C13:E13"/>
    <mergeCell ref="C14:E14"/>
    <mergeCell ref="C15:E15"/>
    <mergeCell ref="C16:E16"/>
    <mergeCell ref="C17:E17"/>
    <mergeCell ref="A18:A24"/>
    <mergeCell ref="C18:E18"/>
    <mergeCell ref="C19:E19"/>
    <mergeCell ref="C24:E24"/>
    <mergeCell ref="A26:A32"/>
    <mergeCell ref="C32:E32"/>
    <mergeCell ref="A34:A38"/>
    <mergeCell ref="C38:E38"/>
    <mergeCell ref="A40:A44"/>
    <mergeCell ref="C44:E44"/>
    <mergeCell ref="A46:A49"/>
    <mergeCell ref="C49:E49"/>
    <mergeCell ref="A51:A54"/>
    <mergeCell ref="C54:E54"/>
    <mergeCell ref="A56:A62"/>
    <mergeCell ref="C62:E62"/>
  </mergeCells>
  <printOptions headings="false" gridLines="false" gridLinesSet="true" horizontalCentered="false" verticalCentered="false"/>
  <pageMargins left="0.75" right="0.429861111111111" top="0.490277777777778" bottom="0.529861111111111" header="0.511811023622047" footer="0.511811023622047"/>
  <pageSetup paperSize="5" scale="75"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3.xml><?xml version="1.0" encoding="utf-8"?>
<SwiftTokens xmlns:xsd="http://www.w3.org/2001/XMLSchema" xmlns:xsi="http://www.w3.org/2001/XMLSchema-instance">
  <Tokens/>
</SwiftTokens>
</file>

<file path=customXml/item4.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2</TotalTime>
  <Application>LibreOffice/26.2.5.2$Linux_X86_64 LibreOffice_project/30643f3b95f81f04449dc87ba649cc313a42270e</Application>
  <AppVersion>15.0000</AppVersion>
  <Company>ACCI</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2001-09-19T15:27:56Z</dcterms:created>
  <dc:creator>Dan</dc:creator>
  <dc:description/>
  <dc:language>en-US</dc:language>
  <cp:lastModifiedBy/>
  <cp:lastPrinted>2022-03-31T04:00:27Z</cp:lastPrinted>
  <dcterms:modified xsi:type="dcterms:W3CDTF">2026-07-29T14:22:01Z</dcterms:modified>
  <cp:revision>1</cp:revision>
  <dc:subject/>
  <dc:title>Master Sheet May 23, 2004</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0x0101008836333B1DB08C48B993AD2502A2E1AA</vt:lpwstr>
  </property>
  <property fmtid="{D5CDD505-2E9C-101B-9397-08002B2CF9AE}" pid="3" name="LinkedDataId">
    <vt:lpwstr>{142CED22-42F8-4397-9E48-99E074D65071}</vt:lpwstr>
  </property>
  <property fmtid="{D5CDD505-2E9C-101B-9397-08002B2CF9AE}" pid="4" name="MediaServiceImageTags">
    <vt:lpwstr/>
  </property>
  <property fmtid="{D5CDD505-2E9C-101B-9397-08002B2CF9AE}" pid="5" name="PlanSwiftJobGuid">
    <vt:lpwstr/>
  </property>
  <property fmtid="{D5CDD505-2E9C-101B-9397-08002B2CF9AE}" pid="6" name="PlanSwiftJobName">
    <vt:lpwstr/>
  </property>
</Properties>
</file>